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rplgsf-my.sharepoint.com/personal/mdurazo_publicpolicygroup_com/Documents/Bakersfield/CPRG/Completed/"/>
    </mc:Choice>
  </mc:AlternateContent>
  <xr:revisionPtr revIDLastSave="0" documentId="8_{2CCC2A75-949D-4F22-8163-BEB4A9924243}" xr6:coauthVersionLast="47" xr6:coauthVersionMax="47" xr10:uidLastSave="{00000000-0000-0000-0000-000000000000}"/>
  <bookViews>
    <workbookView xWindow="-2535" yWindow="375" windowWidth="21600" windowHeight="11325" xr2:uid="{00000000-000D-0000-FFFF-FFFF00000000}"/>
  </bookViews>
  <sheets>
    <sheet name="Budget" sheetId="27" r:id="rId1"/>
    <sheet name="Proj 1 MLK" sheetId="14" r:id="rId2"/>
    <sheet name="Proj 2 4 5 Solar" sheetId="15" r:id="rId3"/>
    <sheet name="Proj 3 Low-Income Weatherizatio" sheetId="24" r:id="rId4"/>
    <sheet name="Proj 6 EV Chargers And Vehicles" sheetId="30" r:id="rId5"/>
    <sheet name="Proj 7 eBike" sheetId="11" r:id="rId6"/>
    <sheet name="Proj 8 Complete Streets" sheetId="17" r:id="rId7"/>
    <sheet name="Proj 9 and 10 Trees and Parks" sheetId="23" r:id="rId8"/>
    <sheet name="Proj 11 Xeriscaping" sheetId="25" r:id="rId9"/>
    <sheet name="Proj 12 13 Waste" sheetId="3" r:id="rId10"/>
    <sheet name="emfac" sheetId="31" r:id="rId11"/>
    <sheet name="Electricity Emissions Factors" sheetId="16" r:id="rId12"/>
    <sheet name="RPS projects" sheetId="9" r:id="rId13"/>
    <sheet name="Parameters" sheetId="32" r:id="rId14"/>
    <sheet name="Vehicle GHG reductions" sheetId="33" r:id="rId15"/>
  </sheets>
  <externalReferences>
    <externalReference r:id="rId16"/>
    <externalReference r:id="rId17"/>
  </externalReferences>
  <definedNames>
    <definedName name="_xlnm._FilterDatabase" localSheetId="10" hidden="1">emfac!$A$9:$BP$140</definedName>
    <definedName name="_xlnm._FilterDatabase" localSheetId="4" hidden="1">'Proj 6 EV Chargers And Vehicles'!$A$3:$C$13</definedName>
    <definedName name="_xlnm._FilterDatabase" localSheetId="12" hidden="1">'RPS projects'!$A$1:$W$1220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3" l="1"/>
  <c r="D6" i="15" l="1"/>
  <c r="B10" i="3"/>
  <c r="B9" i="3"/>
  <c r="B8" i="3"/>
  <c r="B7" i="3"/>
  <c r="B6" i="3"/>
  <c r="B5" i="3"/>
  <c r="B4" i="3"/>
  <c r="A30" i="3"/>
  <c r="A31" i="3" s="1"/>
  <c r="R10" i="23"/>
  <c r="Q10" i="23"/>
  <c r="E15" i="27"/>
  <c r="D6" i="17"/>
  <c r="T3" i="14"/>
  <c r="K7" i="33"/>
  <c r="K6" i="33"/>
  <c r="K5" i="33"/>
  <c r="J7" i="33"/>
  <c r="I7" i="33"/>
  <c r="H7" i="33"/>
  <c r="J6" i="33"/>
  <c r="I6" i="33"/>
  <c r="H6" i="33"/>
  <c r="J5" i="33"/>
  <c r="I5" i="33"/>
  <c r="H5" i="33"/>
  <c r="Y6" i="33"/>
  <c r="X6" i="33"/>
  <c r="W6" i="33"/>
  <c r="Y5" i="33"/>
  <c r="X5" i="33"/>
  <c r="W5" i="33"/>
  <c r="AA5" i="33" s="1"/>
  <c r="W6" i="30" s="1"/>
  <c r="P6" i="33"/>
  <c r="O6" i="33"/>
  <c r="N6" i="33"/>
  <c r="R6" i="33" s="1"/>
  <c r="S6" i="33" s="1"/>
  <c r="P5" i="33"/>
  <c r="O5" i="33"/>
  <c r="R5" i="33" s="1"/>
  <c r="S5" i="33" s="1"/>
  <c r="N5" i="33"/>
  <c r="Y4" i="33"/>
  <c r="X4" i="33"/>
  <c r="W4" i="33"/>
  <c r="P4" i="33"/>
  <c r="O4" i="33"/>
  <c r="N4" i="33"/>
  <c r="G7" i="33"/>
  <c r="G6" i="33"/>
  <c r="G5" i="33"/>
  <c r="AG7" i="30"/>
  <c r="AG6" i="30"/>
  <c r="AG5" i="30"/>
  <c r="H13" i="30"/>
  <c r="H12" i="30"/>
  <c r="H11" i="30"/>
  <c r="H10" i="30"/>
  <c r="H9" i="30"/>
  <c r="H8" i="30"/>
  <c r="H7" i="30"/>
  <c r="H6" i="30"/>
  <c r="H5" i="30"/>
  <c r="H4" i="30"/>
  <c r="AA6" i="33" l="1"/>
  <c r="AB5" i="33"/>
  <c r="AA4" i="33"/>
  <c r="R4" i="33"/>
  <c r="S4" i="33" s="1"/>
  <c r="G11" i="23"/>
  <c r="J16" i="27"/>
  <c r="J17" i="27"/>
  <c r="B11" i="3"/>
  <c r="N10" i="3"/>
  <c r="N9" i="3"/>
  <c r="N8" i="3"/>
  <c r="F6" i="3"/>
  <c r="F5" i="3"/>
  <c r="O9" i="3"/>
  <c r="O8" i="3"/>
  <c r="A5" i="3"/>
  <c r="A6" i="3" s="1"/>
  <c r="A7" i="3" s="1"/>
  <c r="M10" i="3"/>
  <c r="L10" i="3"/>
  <c r="O10" i="3" s="1"/>
  <c r="F11" i="15"/>
  <c r="E11" i="15"/>
  <c r="F10" i="15"/>
  <c r="E10" i="15"/>
  <c r="G17" i="27"/>
  <c r="F17" i="27"/>
  <c r="H17" i="27" s="1"/>
  <c r="G16" i="27"/>
  <c r="F16" i="27"/>
  <c r="R9" i="23"/>
  <c r="Q9" i="23"/>
  <c r="R8" i="23"/>
  <c r="Q8" i="23"/>
  <c r="L8" i="23"/>
  <c r="L6" i="23"/>
  <c r="M5" i="23"/>
  <c r="M7" i="23" s="1"/>
  <c r="L5" i="23"/>
  <c r="L7" i="23" s="1"/>
  <c r="M6" i="23"/>
  <c r="N5" i="11"/>
  <c r="N6" i="11" s="1"/>
  <c r="N7" i="11" s="1"/>
  <c r="N8" i="11" s="1"/>
  <c r="N9" i="11" s="1"/>
  <c r="N10" i="11" s="1"/>
  <c r="N11" i="11" s="1"/>
  <c r="N12" i="11" s="1"/>
  <c r="N13" i="11" s="1"/>
  <c r="N14" i="11" s="1"/>
  <c r="N15" i="11" s="1"/>
  <c r="N16" i="11" s="1"/>
  <c r="N17" i="11" s="1"/>
  <c r="N18" i="11" s="1"/>
  <c r="N19" i="11" s="1"/>
  <c r="N20" i="11" s="1"/>
  <c r="N21" i="11" s="1"/>
  <c r="N22" i="11" s="1"/>
  <c r="N23" i="11" s="1"/>
  <c r="N24" i="11" s="1"/>
  <c r="N25" i="11" s="1"/>
  <c r="N26" i="11" s="1"/>
  <c r="N27" i="11" s="1"/>
  <c r="N28" i="11" s="1"/>
  <c r="N4" i="11"/>
  <c r="M28" i="11"/>
  <c r="M24" i="11"/>
  <c r="M25" i="11" s="1"/>
  <c r="M26" i="11" s="1"/>
  <c r="M27" i="11" s="1"/>
  <c r="M5" i="11"/>
  <c r="M6" i="11" s="1"/>
  <c r="M7" i="11" s="1"/>
  <c r="M8" i="11" s="1"/>
  <c r="M9" i="11" s="1"/>
  <c r="M10" i="11" s="1"/>
  <c r="M11" i="11" s="1"/>
  <c r="M12" i="11" s="1"/>
  <c r="M13" i="11" s="1"/>
  <c r="M14" i="11" s="1"/>
  <c r="M15" i="11" s="1"/>
  <c r="M16" i="11" s="1"/>
  <c r="M17" i="11" s="1"/>
  <c r="M18" i="11" s="1"/>
  <c r="M19" i="11" s="1"/>
  <c r="M20" i="11" s="1"/>
  <c r="M21" i="11" s="1"/>
  <c r="M22" i="11" s="1"/>
  <c r="M23" i="11" s="1"/>
  <c r="M4" i="11"/>
  <c r="D9" i="15"/>
  <c r="F9" i="15"/>
  <c r="E9" i="15"/>
  <c r="Q32" i="24"/>
  <c r="Q31" i="24"/>
  <c r="Q30" i="24"/>
  <c r="Q29" i="24"/>
  <c r="Q28" i="24"/>
  <c r="Q27" i="24"/>
  <c r="Q26" i="24"/>
  <c r="Q25" i="24"/>
  <c r="Q24" i="24"/>
  <c r="Q23" i="24"/>
  <c r="Q22" i="24"/>
  <c r="Q21" i="24"/>
  <c r="Q20" i="24"/>
  <c r="Q19" i="24"/>
  <c r="Q18" i="24"/>
  <c r="Q17" i="24"/>
  <c r="Q16" i="24"/>
  <c r="Q15" i="24"/>
  <c r="Q14" i="24"/>
  <c r="Q13" i="24"/>
  <c r="Q12" i="24"/>
  <c r="Q11" i="24"/>
  <c r="Q10" i="24"/>
  <c r="Q9" i="24"/>
  <c r="Q8" i="24"/>
  <c r="Q7" i="24"/>
  <c r="N8" i="24"/>
  <c r="N9" i="24" s="1"/>
  <c r="N10" i="24" s="1"/>
  <c r="N11" i="24" s="1"/>
  <c r="N12" i="24" s="1"/>
  <c r="N13" i="24" s="1"/>
  <c r="N14" i="24" s="1"/>
  <c r="N15" i="24" s="1"/>
  <c r="N16" i="24" s="1"/>
  <c r="N17" i="24" s="1"/>
  <c r="N18" i="24" s="1"/>
  <c r="N19" i="24" s="1"/>
  <c r="N20" i="24" s="1"/>
  <c r="N21" i="24" s="1"/>
  <c r="N22" i="24" s="1"/>
  <c r="N23" i="24" s="1"/>
  <c r="N24" i="24" s="1"/>
  <c r="N25" i="24" s="1"/>
  <c r="N26" i="24" s="1"/>
  <c r="N27" i="24" s="1"/>
  <c r="N28" i="24" s="1"/>
  <c r="N29" i="24" s="1"/>
  <c r="N30" i="24" s="1"/>
  <c r="N31" i="24" s="1"/>
  <c r="N32" i="24" s="1"/>
  <c r="H10" i="24"/>
  <c r="G10" i="24"/>
  <c r="H9" i="24"/>
  <c r="G9" i="24"/>
  <c r="O9" i="15"/>
  <c r="N9" i="15"/>
  <c r="M9" i="15"/>
  <c r="O8" i="15"/>
  <c r="N8" i="15"/>
  <c r="M8" i="15"/>
  <c r="C17" i="15"/>
  <c r="C16" i="15"/>
  <c r="B13" i="15"/>
  <c r="B12" i="15"/>
  <c r="I4" i="27"/>
  <c r="H4" i="27"/>
  <c r="N4" i="14"/>
  <c r="P4" i="14" s="1"/>
  <c r="Q4" i="14" s="1"/>
  <c r="M4" i="14"/>
  <c r="N3" i="14"/>
  <c r="O3" i="14" s="1"/>
  <c r="M3" i="14"/>
  <c r="I8" i="32"/>
  <c r="I7" i="32"/>
  <c r="P4" i="16"/>
  <c r="L5" i="16"/>
  <c r="M5" i="16" s="1"/>
  <c r="K6" i="16"/>
  <c r="K7" i="16" s="1"/>
  <c r="E12" i="27"/>
  <c r="E11" i="27"/>
  <c r="H10" i="23"/>
  <c r="I10" i="23" s="1"/>
  <c r="H9" i="23"/>
  <c r="I9" i="23" s="1"/>
  <c r="H8" i="23"/>
  <c r="I8" i="23" s="1"/>
  <c r="H7" i="23"/>
  <c r="I7" i="23" s="1"/>
  <c r="H6" i="23"/>
  <c r="I6" i="23" s="1"/>
  <c r="H5" i="23"/>
  <c r="I5" i="23" s="1"/>
  <c r="H4" i="23"/>
  <c r="I4" i="23" s="1"/>
  <c r="C6" i="17"/>
  <c r="B6" i="17"/>
  <c r="E9" i="27"/>
  <c r="W4" i="30"/>
  <c r="AA9" i="30"/>
  <c r="F14" i="30"/>
  <c r="E14" i="30"/>
  <c r="D11" i="30"/>
  <c r="G11" i="30" s="1"/>
  <c r="BQ11" i="31"/>
  <c r="BQ12" i="31"/>
  <c r="BQ13" i="31"/>
  <c r="BQ14" i="31"/>
  <c r="BQ15" i="31"/>
  <c r="BQ16" i="31"/>
  <c r="BQ17" i="31"/>
  <c r="BQ18" i="31"/>
  <c r="BQ19" i="31"/>
  <c r="BQ20" i="31"/>
  <c r="BQ21" i="31"/>
  <c r="BQ22" i="31"/>
  <c r="BQ23" i="31"/>
  <c r="BQ24" i="31"/>
  <c r="BQ25" i="31"/>
  <c r="BQ26" i="31"/>
  <c r="BQ27" i="31"/>
  <c r="BQ28" i="31"/>
  <c r="BQ29" i="31"/>
  <c r="BQ30" i="31"/>
  <c r="BQ31" i="31"/>
  <c r="BQ32" i="31"/>
  <c r="BQ33" i="31"/>
  <c r="BQ34" i="31"/>
  <c r="BQ35" i="31"/>
  <c r="BQ36" i="31"/>
  <c r="BQ37" i="31"/>
  <c r="BQ38" i="31"/>
  <c r="BQ39" i="31"/>
  <c r="BQ40" i="31"/>
  <c r="BQ41" i="31"/>
  <c r="BQ42" i="31"/>
  <c r="BQ43" i="31"/>
  <c r="BQ44" i="31"/>
  <c r="BQ45" i="31"/>
  <c r="BQ46" i="31"/>
  <c r="BQ47" i="31"/>
  <c r="BQ48" i="31"/>
  <c r="BQ49" i="31"/>
  <c r="BQ50" i="31"/>
  <c r="BQ51" i="31"/>
  <c r="BQ52" i="31"/>
  <c r="BQ53" i="31"/>
  <c r="BQ54" i="31"/>
  <c r="BQ55" i="31"/>
  <c r="BQ56" i="31"/>
  <c r="BQ57" i="31"/>
  <c r="BQ58" i="31"/>
  <c r="BQ59" i="31"/>
  <c r="BQ60" i="31"/>
  <c r="BQ61" i="31"/>
  <c r="BQ62" i="31"/>
  <c r="BQ63" i="31"/>
  <c r="BQ64" i="31"/>
  <c r="BQ65" i="31"/>
  <c r="BQ66" i="31"/>
  <c r="BQ67" i="31"/>
  <c r="BQ68" i="31"/>
  <c r="BQ69" i="31"/>
  <c r="BQ70" i="31"/>
  <c r="BQ71" i="31"/>
  <c r="BQ72" i="31"/>
  <c r="BQ73" i="31"/>
  <c r="BQ74" i="31"/>
  <c r="BQ75" i="31"/>
  <c r="BQ76" i="31"/>
  <c r="BQ77" i="31"/>
  <c r="BQ78" i="31"/>
  <c r="BQ79" i="31"/>
  <c r="BQ80" i="31"/>
  <c r="BQ81" i="31"/>
  <c r="BQ82" i="31"/>
  <c r="BQ83" i="31"/>
  <c r="BQ84" i="31"/>
  <c r="BQ85" i="31"/>
  <c r="BQ86" i="31"/>
  <c r="BQ87" i="31"/>
  <c r="BQ88" i="31"/>
  <c r="BQ89" i="31"/>
  <c r="BQ90" i="31"/>
  <c r="BQ91" i="31"/>
  <c r="BQ92" i="31"/>
  <c r="BQ93" i="31"/>
  <c r="BQ94" i="31"/>
  <c r="BQ95" i="31"/>
  <c r="BQ96" i="31"/>
  <c r="BQ97" i="31"/>
  <c r="BQ98" i="31"/>
  <c r="BQ99" i="31"/>
  <c r="BQ100" i="31"/>
  <c r="BQ101" i="31"/>
  <c r="BQ102" i="31"/>
  <c r="BQ103" i="31"/>
  <c r="BQ104" i="31"/>
  <c r="BQ105" i="31"/>
  <c r="BQ106" i="31"/>
  <c r="BQ107" i="31"/>
  <c r="BQ108" i="31"/>
  <c r="BQ109" i="31"/>
  <c r="BQ110" i="31"/>
  <c r="BQ111" i="31"/>
  <c r="BQ112" i="31"/>
  <c r="BQ113" i="31"/>
  <c r="BQ114" i="31"/>
  <c r="BQ115" i="31"/>
  <c r="BQ116" i="31"/>
  <c r="BQ117" i="31"/>
  <c r="BQ118" i="31"/>
  <c r="BQ119" i="31"/>
  <c r="BQ120" i="31"/>
  <c r="BQ121" i="31"/>
  <c r="BQ122" i="31"/>
  <c r="BQ123" i="31"/>
  <c r="BQ124" i="31"/>
  <c r="BQ125" i="31"/>
  <c r="BQ126" i="31"/>
  <c r="BQ127" i="31"/>
  <c r="BQ128" i="31"/>
  <c r="BQ129" i="31"/>
  <c r="BQ130" i="31"/>
  <c r="BQ131" i="31"/>
  <c r="BQ132" i="31"/>
  <c r="BQ133" i="31"/>
  <c r="BQ134" i="31"/>
  <c r="BQ135" i="31"/>
  <c r="BQ136" i="31"/>
  <c r="BQ137" i="31"/>
  <c r="BQ138" i="31"/>
  <c r="BQ139" i="31"/>
  <c r="BQ140" i="31"/>
  <c r="BQ10" i="31"/>
  <c r="W5" i="30" l="1"/>
  <c r="D4" i="30" s="1"/>
  <c r="G4" i="30" s="1"/>
  <c r="AB4" i="33"/>
  <c r="W7" i="30"/>
  <c r="D5" i="30" s="1"/>
  <c r="G5" i="30" s="1"/>
  <c r="AB6" i="33"/>
  <c r="C6" i="3"/>
  <c r="C4" i="3"/>
  <c r="C5" i="3"/>
  <c r="C7" i="3"/>
  <c r="A8" i="3"/>
  <c r="M8" i="23"/>
  <c r="D11" i="15"/>
  <c r="D10" i="15"/>
  <c r="P3" i="14"/>
  <c r="O4" i="14"/>
  <c r="R4" i="14"/>
  <c r="I17" i="27"/>
  <c r="L6" i="16"/>
  <c r="K8" i="16"/>
  <c r="L7" i="16"/>
  <c r="N5" i="16"/>
  <c r="D6" i="30"/>
  <c r="G6" i="30" s="1"/>
  <c r="D7" i="30"/>
  <c r="G7" i="30" s="1"/>
  <c r="D8" i="30"/>
  <c r="G8" i="30" s="1"/>
  <c r="D10" i="30"/>
  <c r="G10" i="30" s="1"/>
  <c r="D12" i="30"/>
  <c r="G12" i="30" s="1"/>
  <c r="D13" i="30"/>
  <c r="G13" i="30" s="1"/>
  <c r="D9" i="30"/>
  <c r="G9" i="30" s="1"/>
  <c r="R3" i="14" l="1"/>
  <c r="Q3" i="14"/>
  <c r="A9" i="3"/>
  <c r="M6" i="16"/>
  <c r="N6" i="16"/>
  <c r="M7" i="16"/>
  <c r="N7" i="16"/>
  <c r="K9" i="16"/>
  <c r="L8" i="16"/>
  <c r="G14" i="30"/>
  <c r="C8" i="3" l="1"/>
  <c r="A10" i="3"/>
  <c r="L9" i="16"/>
  <c r="K10" i="16"/>
  <c r="M8" i="16"/>
  <c r="N8" i="16"/>
  <c r="C9" i="3" l="1"/>
  <c r="A11" i="3"/>
  <c r="K11" i="16"/>
  <c r="L10" i="16"/>
  <c r="M9" i="16"/>
  <c r="N9" i="16"/>
  <c r="C10" i="3" l="1"/>
  <c r="A12" i="3"/>
  <c r="K12" i="16"/>
  <c r="L11" i="16"/>
  <c r="M10" i="16"/>
  <c r="N10" i="16"/>
  <c r="B12" i="3" l="1"/>
  <c r="C11" i="3"/>
  <c r="A13" i="3"/>
  <c r="N11" i="16"/>
  <c r="M11" i="16"/>
  <c r="L12" i="16"/>
  <c r="K13" i="16"/>
  <c r="G7" i="3" l="1"/>
  <c r="B13" i="3"/>
  <c r="C12" i="3"/>
  <c r="A14" i="3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M12" i="16"/>
  <c r="N12" i="16"/>
  <c r="K14" i="16"/>
  <c r="L13" i="16"/>
  <c r="G5" i="3" l="1"/>
  <c r="F19" i="27" s="1"/>
  <c r="H19" i="27" s="1"/>
  <c r="J19" i="27" s="1"/>
  <c r="G6" i="3"/>
  <c r="F20" i="27" s="1"/>
  <c r="H20" i="27" s="1"/>
  <c r="J20" i="27" s="1"/>
  <c r="B14" i="3"/>
  <c r="C13" i="3"/>
  <c r="M13" i="16"/>
  <c r="N13" i="16"/>
  <c r="L14" i="16"/>
  <c r="K15" i="16"/>
  <c r="B15" i="3" l="1"/>
  <c r="C14" i="3"/>
  <c r="K16" i="16"/>
  <c r="L15" i="16"/>
  <c r="M14" i="16"/>
  <c r="N14" i="16"/>
  <c r="B16" i="3" l="1"/>
  <c r="C15" i="3"/>
  <c r="M15" i="16"/>
  <c r="N15" i="16"/>
  <c r="K17" i="16"/>
  <c r="L16" i="16"/>
  <c r="B17" i="3" l="1"/>
  <c r="C16" i="3"/>
  <c r="M16" i="16"/>
  <c r="N16" i="16"/>
  <c r="K18" i="16"/>
  <c r="L17" i="16"/>
  <c r="B18" i="3" l="1"/>
  <c r="C17" i="3"/>
  <c r="M17" i="16"/>
  <c r="N17" i="16"/>
  <c r="L18" i="16"/>
  <c r="K19" i="16"/>
  <c r="B19" i="3" l="1"/>
  <c r="C18" i="3"/>
  <c r="K20" i="16"/>
  <c r="L19" i="16"/>
  <c r="M18" i="16"/>
  <c r="N18" i="16"/>
  <c r="B20" i="3" l="1"/>
  <c r="C19" i="3"/>
  <c r="M19" i="16"/>
  <c r="N19" i="16"/>
  <c r="K21" i="16"/>
  <c r="L20" i="16"/>
  <c r="B21" i="3" l="1"/>
  <c r="C20" i="3"/>
  <c r="M20" i="16"/>
  <c r="N20" i="16"/>
  <c r="L21" i="16"/>
  <c r="K22" i="16"/>
  <c r="B22" i="3" l="1"/>
  <c r="C21" i="3"/>
  <c r="M21" i="16"/>
  <c r="N21" i="16"/>
  <c r="K23" i="16"/>
  <c r="L22" i="16"/>
  <c r="B23" i="3" l="1"/>
  <c r="C22" i="3"/>
  <c r="M22" i="16"/>
  <c r="N22" i="16"/>
  <c r="L23" i="16"/>
  <c r="K24" i="16"/>
  <c r="C23" i="3" l="1"/>
  <c r="B24" i="3"/>
  <c r="K25" i="16"/>
  <c r="L24" i="16"/>
  <c r="M23" i="16"/>
  <c r="N23" i="16"/>
  <c r="C24" i="3" l="1"/>
  <c r="B25" i="3"/>
  <c r="M24" i="16"/>
  <c r="N24" i="16"/>
  <c r="K26" i="16"/>
  <c r="L25" i="16"/>
  <c r="B26" i="3" l="1"/>
  <c r="C25" i="3"/>
  <c r="M25" i="16"/>
  <c r="N25" i="16"/>
  <c r="K27" i="16"/>
  <c r="L26" i="16"/>
  <c r="B27" i="3" l="1"/>
  <c r="C26" i="3"/>
  <c r="M26" i="16"/>
  <c r="N26" i="16"/>
  <c r="L27" i="16"/>
  <c r="K28" i="16"/>
  <c r="C27" i="3" l="1"/>
  <c r="B28" i="3"/>
  <c r="K29" i="16"/>
  <c r="L28" i="16"/>
  <c r="M27" i="16"/>
  <c r="N27" i="16"/>
  <c r="C28" i="3" l="1"/>
  <c r="B29" i="3"/>
  <c r="M28" i="16"/>
  <c r="N28" i="16"/>
  <c r="K30" i="16"/>
  <c r="L29" i="16"/>
  <c r="C29" i="3" l="1"/>
  <c r="B30" i="3"/>
  <c r="M29" i="16"/>
  <c r="N29" i="16"/>
  <c r="L30" i="16"/>
  <c r="K31" i="16"/>
  <c r="B31" i="3" l="1"/>
  <c r="C31" i="3" s="1"/>
  <c r="H7" i="3" s="1"/>
  <c r="C30" i="3"/>
  <c r="M30" i="16"/>
  <c r="N30" i="16"/>
  <c r="K32" i="16"/>
  <c r="L31" i="16"/>
  <c r="H5" i="3" l="1"/>
  <c r="G19" i="27" s="1"/>
  <c r="I19" i="27" s="1"/>
  <c r="H6" i="3"/>
  <c r="G20" i="27" s="1"/>
  <c r="I20" i="27" s="1"/>
  <c r="M31" i="16"/>
  <c r="N31" i="16"/>
  <c r="L32" i="16"/>
  <c r="K33" i="16"/>
  <c r="K34" i="16" l="1"/>
  <c r="L33" i="16"/>
  <c r="M32" i="16"/>
  <c r="N32" i="16"/>
  <c r="M33" i="16" l="1"/>
  <c r="N33" i="16"/>
  <c r="K35" i="16"/>
  <c r="L34" i="16"/>
  <c r="K36" i="16" l="1"/>
  <c r="L35" i="16"/>
  <c r="M34" i="16"/>
  <c r="N34" i="16"/>
  <c r="M35" i="16" l="1"/>
  <c r="N35" i="16"/>
  <c r="L36" i="16"/>
  <c r="K37" i="16"/>
  <c r="K38" i="16" l="1"/>
  <c r="L37" i="16"/>
  <c r="M36" i="16"/>
  <c r="N36" i="16"/>
  <c r="M37" i="16" l="1"/>
  <c r="N37" i="16"/>
  <c r="K39" i="16"/>
  <c r="L38" i="16"/>
  <c r="L39" i="16" l="1"/>
  <c r="K40" i="16"/>
  <c r="N38" i="16"/>
  <c r="M38" i="16"/>
  <c r="K41" i="16" l="1"/>
  <c r="L40" i="16"/>
  <c r="M39" i="16"/>
  <c r="N39" i="16"/>
  <c r="M40" i="16" l="1"/>
  <c r="N40" i="16"/>
  <c r="L41" i="16"/>
  <c r="K42" i="16"/>
  <c r="M41" i="16" l="1"/>
  <c r="N41" i="16"/>
  <c r="K43" i="16"/>
  <c r="L42" i="16"/>
  <c r="M42" i="16" l="1"/>
  <c r="N42" i="16"/>
  <c r="K44" i="16"/>
  <c r="L43" i="16"/>
  <c r="K45" i="16" l="1"/>
  <c r="L44" i="16"/>
  <c r="M43" i="16"/>
  <c r="N43" i="16"/>
  <c r="M44" i="16" l="1"/>
  <c r="N44" i="16"/>
  <c r="L45" i="16"/>
  <c r="K46" i="16"/>
  <c r="K47" i="16" l="1"/>
  <c r="L46" i="16"/>
  <c r="M45" i="16"/>
  <c r="N45" i="16"/>
  <c r="M46" i="16" l="1"/>
  <c r="N46" i="16"/>
  <c r="K48" i="16"/>
  <c r="L47" i="16"/>
  <c r="M47" i="16" l="1"/>
  <c r="N47" i="16"/>
  <c r="L48" i="16"/>
  <c r="K49" i="16"/>
  <c r="K50" i="16" l="1"/>
  <c r="L49" i="16"/>
  <c r="M48" i="16"/>
  <c r="N48" i="16"/>
  <c r="M49" i="16" l="1"/>
  <c r="N49" i="16"/>
  <c r="L50" i="16"/>
  <c r="K51" i="16"/>
  <c r="K52" i="16" l="1"/>
  <c r="L51" i="16"/>
  <c r="M50" i="16"/>
  <c r="N50" i="16"/>
  <c r="M51" i="16" l="1"/>
  <c r="N51" i="16"/>
  <c r="K53" i="16"/>
  <c r="L52" i="16"/>
  <c r="M52" i="16" l="1"/>
  <c r="N52" i="16"/>
  <c r="K54" i="16"/>
  <c r="L53" i="16"/>
  <c r="M53" i="16" l="1"/>
  <c r="N53" i="16"/>
  <c r="L54" i="16"/>
  <c r="K55" i="16"/>
  <c r="K56" i="16" l="1"/>
  <c r="L55" i="16"/>
  <c r="M54" i="16"/>
  <c r="N54" i="16"/>
  <c r="M55" i="16" l="1"/>
  <c r="N55" i="16"/>
  <c r="L56" i="16"/>
  <c r="K57" i="16"/>
  <c r="L57" i="16" l="1"/>
  <c r="K58" i="16"/>
  <c r="N56" i="16"/>
  <c r="M56" i="16"/>
  <c r="K59" i="16" l="1"/>
  <c r="L58" i="16"/>
  <c r="M57" i="16"/>
  <c r="N57" i="16"/>
  <c r="N58" i="16" l="1"/>
  <c r="M58" i="16"/>
  <c r="L59" i="16"/>
  <c r="K60" i="16"/>
  <c r="K61" i="16" l="1"/>
  <c r="L60" i="16"/>
  <c r="M59" i="16"/>
  <c r="N59" i="16"/>
  <c r="M60" i="16" l="1"/>
  <c r="N60" i="16"/>
  <c r="K62" i="16"/>
  <c r="L61" i="16"/>
  <c r="M61" i="16" l="1"/>
  <c r="N61" i="16"/>
  <c r="K63" i="16"/>
  <c r="L62" i="16"/>
  <c r="M62" i="16" l="1"/>
  <c r="N62" i="16"/>
  <c r="L63" i="16"/>
  <c r="K64" i="16"/>
  <c r="K65" i="16" l="1"/>
  <c r="L64" i="16"/>
  <c r="M63" i="16"/>
  <c r="N63" i="16"/>
  <c r="N64" i="16" l="1"/>
  <c r="M64" i="16"/>
  <c r="L65" i="16"/>
  <c r="K66" i="16"/>
  <c r="M65" i="16" l="1"/>
  <c r="N65" i="16"/>
  <c r="L66" i="16"/>
  <c r="K67" i="16"/>
  <c r="K68" i="16" l="1"/>
  <c r="L67" i="16"/>
  <c r="M66" i="16"/>
  <c r="N66" i="16"/>
  <c r="M67" i="16" l="1"/>
  <c r="N67" i="16"/>
  <c r="L68" i="16"/>
  <c r="K69" i="16"/>
  <c r="K70" i="16" l="1"/>
  <c r="L69" i="16"/>
  <c r="M68" i="16"/>
  <c r="N68" i="16"/>
  <c r="M69" i="16" l="1"/>
  <c r="N69" i="16"/>
  <c r="K71" i="16"/>
  <c r="L70" i="16"/>
  <c r="N70" i="16" l="1"/>
  <c r="M70" i="16"/>
  <c r="L71" i="16"/>
  <c r="K72" i="16"/>
  <c r="L72" i="16" l="1"/>
  <c r="K73" i="16"/>
  <c r="M71" i="16"/>
  <c r="N71" i="16"/>
  <c r="K74" i="16" l="1"/>
  <c r="L73" i="16"/>
  <c r="M72" i="16"/>
  <c r="N72" i="16"/>
  <c r="N73" i="16" l="1"/>
  <c r="M73" i="16"/>
  <c r="L74" i="16"/>
  <c r="K75" i="16"/>
  <c r="L75" i="16" l="1"/>
  <c r="K76" i="16"/>
  <c r="M74" i="16"/>
  <c r="N74" i="16"/>
  <c r="K77" i="16" l="1"/>
  <c r="L76" i="16"/>
  <c r="M75" i="16"/>
  <c r="N75" i="16"/>
  <c r="M76" i="16" l="1"/>
  <c r="N76" i="16"/>
  <c r="L77" i="16"/>
  <c r="K78" i="16"/>
  <c r="K79" i="16" l="1"/>
  <c r="L78" i="16"/>
  <c r="M77" i="16"/>
  <c r="N77" i="16"/>
  <c r="M78" i="16" l="1"/>
  <c r="N78" i="16"/>
  <c r="K80" i="16"/>
  <c r="L79" i="16"/>
  <c r="K81" i="16" l="1"/>
  <c r="L80" i="16"/>
  <c r="N79" i="16"/>
  <c r="M79" i="16"/>
  <c r="N80" i="16" l="1"/>
  <c r="M80" i="16"/>
  <c r="L81" i="16"/>
  <c r="K82" i="16"/>
  <c r="K83" i="16" l="1"/>
  <c r="L82" i="16"/>
  <c r="M81" i="16"/>
  <c r="N81" i="16"/>
  <c r="N82" i="16" l="1"/>
  <c r="M82" i="16"/>
  <c r="L83" i="16"/>
  <c r="K84" i="16"/>
  <c r="L84" i="16" l="1"/>
  <c r="K85" i="16"/>
  <c r="N83" i="16"/>
  <c r="M83" i="16"/>
  <c r="K86" i="16" l="1"/>
  <c r="L85" i="16"/>
  <c r="M84" i="16"/>
  <c r="N84" i="16"/>
  <c r="M85" i="16" l="1"/>
  <c r="N85" i="16"/>
  <c r="L86" i="16"/>
  <c r="K87" i="16"/>
  <c r="K88" i="16" l="1"/>
  <c r="L87" i="16"/>
  <c r="M86" i="16"/>
  <c r="N86" i="16"/>
  <c r="M87" i="16" l="1"/>
  <c r="N87" i="16"/>
  <c r="K89" i="16"/>
  <c r="L88" i="16"/>
  <c r="N88" i="16" l="1"/>
  <c r="M88" i="16"/>
  <c r="L89" i="16"/>
  <c r="K90" i="16"/>
  <c r="N89" i="16" l="1"/>
  <c r="M89" i="16"/>
  <c r="L90" i="16"/>
  <c r="K91" i="16"/>
  <c r="K92" i="16" l="1"/>
  <c r="L91" i="16"/>
  <c r="M90" i="16"/>
  <c r="N90" i="16"/>
  <c r="N91" i="16" l="1"/>
  <c r="M91" i="16"/>
  <c r="L92" i="16"/>
  <c r="K93" i="16"/>
  <c r="L93" i="16" l="1"/>
  <c r="K94" i="16"/>
  <c r="N92" i="16"/>
  <c r="M92" i="16"/>
  <c r="K95" i="16" l="1"/>
  <c r="L94" i="16"/>
  <c r="M93" i="16"/>
  <c r="N93" i="16"/>
  <c r="M94" i="16" l="1"/>
  <c r="N94" i="16"/>
  <c r="L95" i="16"/>
  <c r="K96" i="16"/>
  <c r="K97" i="16" l="1"/>
  <c r="L96" i="16"/>
  <c r="M95" i="16"/>
  <c r="N95" i="16"/>
  <c r="M96" i="16" l="1"/>
  <c r="N96" i="16"/>
  <c r="L97" i="16"/>
  <c r="K98" i="16"/>
  <c r="K99" i="16" l="1"/>
  <c r="L98" i="16"/>
  <c r="M97" i="16"/>
  <c r="N97" i="16"/>
  <c r="N98" i="16" l="1"/>
  <c r="M98" i="16"/>
  <c r="K100" i="16"/>
  <c r="L99" i="16"/>
  <c r="M99" i="16" l="1"/>
  <c r="N99" i="16"/>
  <c r="L100" i="16"/>
  <c r="K101" i="16"/>
  <c r="K102" i="16" l="1"/>
  <c r="L101" i="16"/>
  <c r="M100" i="16"/>
  <c r="N100" i="16"/>
  <c r="N101" i="16" l="1"/>
  <c r="M101" i="16"/>
  <c r="L102" i="16"/>
  <c r="K103" i="16"/>
  <c r="K104" i="16" l="1"/>
  <c r="L103" i="16"/>
  <c r="M102" i="16"/>
  <c r="N102" i="16"/>
  <c r="N103" i="16" l="1"/>
  <c r="M103" i="16"/>
  <c r="K105" i="16"/>
  <c r="L104" i="16"/>
  <c r="M104" i="16" l="1"/>
  <c r="N104" i="16"/>
  <c r="L105" i="16"/>
  <c r="K106" i="16"/>
  <c r="K107" i="16" l="1"/>
  <c r="L106" i="16"/>
  <c r="M105" i="16"/>
  <c r="N105" i="16"/>
  <c r="M106" i="16" l="1"/>
  <c r="N106" i="16"/>
  <c r="K108" i="16"/>
  <c r="L107" i="16"/>
  <c r="N107" i="16" l="1"/>
  <c r="M107" i="16"/>
  <c r="K109" i="16"/>
  <c r="L108" i="16"/>
  <c r="M108" i="16" l="1"/>
  <c r="N108" i="16"/>
  <c r="K110" i="16"/>
  <c r="L109" i="16"/>
  <c r="N109" i="16" l="1"/>
  <c r="M109" i="16"/>
  <c r="L110" i="16"/>
  <c r="K111" i="16"/>
  <c r="L111" i="16" l="1"/>
  <c r="K112" i="16"/>
  <c r="M110" i="16"/>
  <c r="N110" i="16"/>
  <c r="K113" i="16" l="1"/>
  <c r="L112" i="16"/>
  <c r="M111" i="16"/>
  <c r="N111" i="16"/>
  <c r="N112" i="16" l="1"/>
  <c r="M112" i="16"/>
  <c r="L113" i="16"/>
  <c r="K114" i="16"/>
  <c r="K115" i="16" l="1"/>
  <c r="L114" i="16"/>
  <c r="M113" i="16"/>
  <c r="N113" i="16"/>
  <c r="M114" i="16" l="1"/>
  <c r="N114" i="16"/>
  <c r="L115" i="16"/>
  <c r="K116" i="16"/>
  <c r="K117" i="16" l="1"/>
  <c r="L116" i="16"/>
  <c r="M115" i="16"/>
  <c r="N115" i="16"/>
  <c r="M116" i="16" l="1"/>
  <c r="N116" i="16"/>
  <c r="K118" i="16"/>
  <c r="L117" i="16"/>
  <c r="L118" i="16" l="1"/>
  <c r="K119" i="16"/>
  <c r="M117" i="16"/>
  <c r="N117" i="16"/>
  <c r="K120" i="16" l="1"/>
  <c r="L119" i="16"/>
  <c r="M118" i="16"/>
  <c r="N118" i="16"/>
  <c r="N119" i="16" l="1"/>
  <c r="M119" i="16"/>
  <c r="K121" i="16"/>
  <c r="L120" i="16"/>
  <c r="M120" i="16" l="1"/>
  <c r="N120" i="16"/>
  <c r="L121" i="16"/>
  <c r="K122" i="16"/>
  <c r="K123" i="16" l="1"/>
  <c r="L122" i="16"/>
  <c r="N121" i="16"/>
  <c r="M121" i="16"/>
  <c r="M122" i="16" l="1"/>
  <c r="N122" i="16"/>
  <c r="L123" i="16"/>
  <c r="K124" i="16"/>
  <c r="K125" i="16" l="1"/>
  <c r="L124" i="16"/>
  <c r="M123" i="16"/>
  <c r="N123" i="16"/>
  <c r="M124" i="16" l="1"/>
  <c r="N124" i="16"/>
  <c r="K126" i="16"/>
  <c r="L125" i="16"/>
  <c r="L126" i="16" l="1"/>
  <c r="K127" i="16"/>
  <c r="M125" i="16"/>
  <c r="N125" i="16"/>
  <c r="K128" i="16" l="1"/>
  <c r="L127" i="16"/>
  <c r="M126" i="16"/>
  <c r="N126" i="16"/>
  <c r="M127" i="16" l="1"/>
  <c r="N127" i="16"/>
  <c r="L128" i="16"/>
  <c r="K129" i="16"/>
  <c r="K130" i="16" l="1"/>
  <c r="L129" i="16"/>
  <c r="M128" i="16"/>
  <c r="N128" i="16"/>
  <c r="M129" i="16" l="1"/>
  <c r="N129" i="16"/>
  <c r="K131" i="16"/>
  <c r="L130" i="16"/>
  <c r="K132" i="16" l="1"/>
  <c r="L131" i="16"/>
  <c r="N130" i="16"/>
  <c r="M130" i="16"/>
  <c r="M131" i="16" l="1"/>
  <c r="N131" i="16"/>
  <c r="K133" i="16"/>
  <c r="L132" i="16"/>
  <c r="M132" i="16" l="1"/>
  <c r="N132" i="16"/>
  <c r="L133" i="16"/>
  <c r="K134" i="16"/>
  <c r="K135" i="16" l="1"/>
  <c r="L134" i="16"/>
  <c r="N133" i="16"/>
  <c r="M133" i="16"/>
  <c r="N134" i="16" l="1"/>
  <c r="M134" i="16"/>
  <c r="K136" i="16"/>
  <c r="L135" i="16"/>
  <c r="M135" i="16" l="1"/>
  <c r="N135" i="16"/>
  <c r="L136" i="16"/>
  <c r="K137" i="16"/>
  <c r="K138" i="16" l="1"/>
  <c r="L137" i="16"/>
  <c r="M136" i="16"/>
  <c r="N136" i="16"/>
  <c r="N137" i="16" l="1"/>
  <c r="M137" i="16"/>
  <c r="K139" i="16"/>
  <c r="L138" i="16"/>
  <c r="M138" i="16" l="1"/>
  <c r="N138" i="16"/>
  <c r="L139" i="16"/>
  <c r="K140" i="16"/>
  <c r="K141" i="16" l="1"/>
  <c r="L140" i="16"/>
  <c r="M139" i="16"/>
  <c r="N139" i="16"/>
  <c r="N140" i="16" l="1"/>
  <c r="M140" i="16"/>
  <c r="K142" i="16"/>
  <c r="L141" i="16"/>
  <c r="N141" i="16" l="1"/>
  <c r="M141" i="16"/>
  <c r="L142" i="16"/>
  <c r="K143" i="16"/>
  <c r="K144" i="16" l="1"/>
  <c r="L143" i="16"/>
  <c r="M142" i="16"/>
  <c r="N142" i="16"/>
  <c r="N143" i="16" l="1"/>
  <c r="M143" i="16"/>
  <c r="K145" i="16"/>
  <c r="L144" i="16"/>
  <c r="M144" i="16" l="1"/>
  <c r="N144" i="16"/>
  <c r="L145" i="16"/>
  <c r="K146" i="16"/>
  <c r="K147" i="16" l="1"/>
  <c r="L146" i="16"/>
  <c r="N145" i="16"/>
  <c r="M145" i="16"/>
  <c r="N146" i="16" l="1"/>
  <c r="M146" i="16"/>
  <c r="K148" i="16"/>
  <c r="L147" i="16"/>
  <c r="K149" i="16" l="1"/>
  <c r="L148" i="16"/>
  <c r="M147" i="16"/>
  <c r="N147" i="16"/>
  <c r="M148" i="16" l="1"/>
  <c r="N148" i="16"/>
  <c r="L149" i="16"/>
  <c r="K150" i="16"/>
  <c r="L150" i="16" l="1"/>
  <c r="K151" i="16"/>
  <c r="N149" i="16"/>
  <c r="M149" i="16"/>
  <c r="K152" i="16" l="1"/>
  <c r="L151" i="16"/>
  <c r="N150" i="16"/>
  <c r="M150" i="16"/>
  <c r="M151" i="16" l="1"/>
  <c r="N151" i="16"/>
  <c r="L152" i="16"/>
  <c r="K153" i="16"/>
  <c r="K154" i="16" l="1"/>
  <c r="L153" i="16"/>
  <c r="M152" i="16"/>
  <c r="N152" i="16"/>
  <c r="N153" i="16" l="1"/>
  <c r="M153" i="16"/>
  <c r="K155" i="16"/>
  <c r="L154" i="16"/>
  <c r="M154" i="16" l="1"/>
  <c r="N154" i="16"/>
  <c r="K156" i="16"/>
  <c r="L155" i="16"/>
  <c r="K157" i="16" l="1"/>
  <c r="L156" i="16"/>
  <c r="M155" i="16"/>
  <c r="N155" i="16"/>
  <c r="N156" i="16" l="1"/>
  <c r="M156" i="16"/>
  <c r="K158" i="16"/>
  <c r="L157" i="16"/>
  <c r="L158" i="16" l="1"/>
  <c r="K159" i="16"/>
  <c r="M157" i="16"/>
  <c r="N157" i="16"/>
  <c r="K160" i="16" l="1"/>
  <c r="L159" i="16"/>
  <c r="M158" i="16"/>
  <c r="N158" i="16"/>
  <c r="N159" i="16" l="1"/>
  <c r="M159" i="16"/>
  <c r="K161" i="16"/>
  <c r="L160" i="16"/>
  <c r="K162" i="16" l="1"/>
  <c r="L161" i="16"/>
  <c r="M160" i="16"/>
  <c r="N160" i="16"/>
  <c r="M161" i="16" l="1"/>
  <c r="N161" i="16"/>
  <c r="K163" i="16"/>
  <c r="L162" i="16"/>
  <c r="N162" i="16" l="1"/>
  <c r="M162" i="16"/>
  <c r="K164" i="16"/>
  <c r="L163" i="16"/>
  <c r="M163" i="16" l="1"/>
  <c r="N163" i="16"/>
  <c r="K165" i="16"/>
  <c r="L164" i="16"/>
  <c r="M164" i="16" l="1"/>
  <c r="N164" i="16"/>
  <c r="L165" i="16"/>
  <c r="K166" i="16"/>
  <c r="K167" i="16" l="1"/>
  <c r="L166" i="16"/>
  <c r="M165" i="16"/>
  <c r="N165" i="16"/>
  <c r="M166" i="16" l="1"/>
  <c r="N166" i="16"/>
  <c r="L167" i="16"/>
  <c r="K168" i="16"/>
  <c r="K169" i="16" l="1"/>
  <c r="L168" i="16"/>
  <c r="M167" i="16"/>
  <c r="N167" i="16"/>
  <c r="N168" i="16" l="1"/>
  <c r="M168" i="16"/>
  <c r="K170" i="16"/>
  <c r="L169" i="16"/>
  <c r="M169" i="16" l="1"/>
  <c r="N169" i="16"/>
  <c r="K171" i="16"/>
  <c r="L170" i="16"/>
  <c r="M170" i="16" l="1"/>
  <c r="N170" i="16"/>
  <c r="K172" i="16"/>
  <c r="L171" i="16"/>
  <c r="N171" i="16" l="1"/>
  <c r="M171" i="16"/>
  <c r="K173" i="16"/>
  <c r="L172" i="16"/>
  <c r="M172" i="16" l="1"/>
  <c r="N172" i="16"/>
  <c r="K174" i="16"/>
  <c r="L173" i="16"/>
  <c r="M173" i="16" l="1"/>
  <c r="N173" i="16"/>
  <c r="L174" i="16"/>
  <c r="K175" i="16"/>
  <c r="K176" i="16" l="1"/>
  <c r="L175" i="16"/>
  <c r="M174" i="16"/>
  <c r="N174" i="16"/>
  <c r="M175" i="16" l="1"/>
  <c r="N175" i="16"/>
  <c r="L176" i="16"/>
  <c r="K177" i="16"/>
  <c r="K178" i="16" l="1"/>
  <c r="L177" i="16"/>
  <c r="M176" i="16"/>
  <c r="N176" i="16"/>
  <c r="N177" i="16" l="1"/>
  <c r="M177" i="16"/>
  <c r="K179" i="16"/>
  <c r="L178" i="16"/>
  <c r="M178" i="16" l="1"/>
  <c r="N178" i="16"/>
  <c r="K180" i="16"/>
  <c r="L179" i="16"/>
  <c r="M179" i="16" l="1"/>
  <c r="N179" i="16"/>
  <c r="K181" i="16"/>
  <c r="L180" i="16"/>
  <c r="K182" i="16" l="1"/>
  <c r="L181" i="16"/>
  <c r="N180" i="16"/>
  <c r="M180" i="16"/>
  <c r="M181" i="16" l="1"/>
  <c r="N181" i="16"/>
  <c r="K183" i="16"/>
  <c r="L182" i="16"/>
  <c r="L183" i="16" l="1"/>
  <c r="K184" i="16"/>
  <c r="M182" i="16"/>
  <c r="N182" i="16"/>
  <c r="K185" i="16" l="1"/>
  <c r="L184" i="16"/>
  <c r="M183" i="16"/>
  <c r="N183" i="16"/>
  <c r="M184" i="16" l="1"/>
  <c r="N184" i="16"/>
  <c r="L185" i="16"/>
  <c r="K186" i="16"/>
  <c r="K187" i="16" l="1"/>
  <c r="L186" i="16"/>
  <c r="M185" i="16"/>
  <c r="N185" i="16"/>
  <c r="N186" i="16" l="1"/>
  <c r="M186" i="16"/>
  <c r="K188" i="16"/>
  <c r="L187" i="16"/>
  <c r="M187" i="16" l="1"/>
  <c r="N187" i="16"/>
  <c r="K189" i="16"/>
  <c r="L188" i="16"/>
  <c r="K190" i="16" l="1"/>
  <c r="L189" i="16"/>
  <c r="M188" i="16"/>
  <c r="N188" i="16"/>
  <c r="N189" i="16" l="1"/>
  <c r="M189" i="16"/>
  <c r="K191" i="16"/>
  <c r="L190" i="16"/>
  <c r="M190" i="16" l="1"/>
  <c r="N190" i="16"/>
  <c r="K192" i="16"/>
  <c r="L191" i="16"/>
  <c r="M191" i="16" l="1"/>
  <c r="N191" i="16"/>
  <c r="L192" i="16"/>
  <c r="K193" i="16"/>
  <c r="K194" i="16" l="1"/>
  <c r="L193" i="16"/>
  <c r="M192" i="16"/>
  <c r="N192" i="16"/>
  <c r="N193" i="16" l="1"/>
  <c r="M193" i="16"/>
  <c r="L194" i="16"/>
  <c r="K195" i="16"/>
  <c r="L195" i="16" l="1"/>
  <c r="K196" i="16"/>
  <c r="M194" i="16"/>
  <c r="N194" i="16"/>
  <c r="K197" i="16" l="1"/>
  <c r="L196" i="16"/>
  <c r="M195" i="16"/>
  <c r="N195" i="16"/>
  <c r="N196" i="16" l="1"/>
  <c r="M196" i="16"/>
  <c r="L197" i="16"/>
  <c r="K198" i="16"/>
  <c r="M197" i="16" l="1"/>
  <c r="N197" i="16"/>
  <c r="K199" i="16"/>
  <c r="L198" i="16"/>
  <c r="M198" i="16" l="1"/>
  <c r="N198" i="16"/>
  <c r="K200" i="16"/>
  <c r="L199" i="16"/>
  <c r="N199" i="16" l="1"/>
  <c r="M199" i="16"/>
  <c r="L200" i="16"/>
  <c r="K201" i="16"/>
  <c r="K202" i="16" l="1"/>
  <c r="L201" i="16"/>
  <c r="M200" i="16"/>
  <c r="N200" i="16"/>
  <c r="M201" i="16" l="1"/>
  <c r="N201" i="16"/>
  <c r="K203" i="16"/>
  <c r="L202" i="16"/>
  <c r="M202" i="16" l="1"/>
  <c r="N202" i="16"/>
  <c r="L203" i="16"/>
  <c r="K204" i="16"/>
  <c r="K205" i="16" l="1"/>
  <c r="L204" i="16"/>
  <c r="M203" i="16"/>
  <c r="N203" i="16"/>
  <c r="M204" i="16" l="1"/>
  <c r="N204" i="16"/>
  <c r="K206" i="16"/>
  <c r="L205" i="16"/>
  <c r="M205" i="16" l="1"/>
  <c r="N205" i="16"/>
  <c r="K207" i="16"/>
  <c r="L206" i="16"/>
  <c r="N206" i="16" l="1"/>
  <c r="M206" i="16"/>
  <c r="L207" i="16"/>
  <c r="K208" i="16"/>
  <c r="K209" i="16" l="1"/>
  <c r="L208" i="16"/>
  <c r="M207" i="16"/>
  <c r="N207" i="16"/>
  <c r="N208" i="16" l="1"/>
  <c r="M208" i="16"/>
  <c r="K210" i="16"/>
  <c r="L209" i="16"/>
  <c r="M209" i="16" l="1"/>
  <c r="N209" i="16"/>
  <c r="L210" i="16"/>
  <c r="K211" i="16"/>
  <c r="K212" i="16" l="1"/>
  <c r="L211" i="16"/>
  <c r="M210" i="16"/>
  <c r="N210" i="16"/>
  <c r="N211" i="16" l="1"/>
  <c r="M211" i="16"/>
  <c r="L212" i="16"/>
  <c r="K213" i="16"/>
  <c r="L213" i="16" l="1"/>
  <c r="K214" i="16"/>
  <c r="N212" i="16"/>
  <c r="M212" i="16"/>
  <c r="K215" i="16" l="1"/>
  <c r="L214" i="16"/>
  <c r="M213" i="16"/>
  <c r="N213" i="16"/>
  <c r="M214" i="16" l="1"/>
  <c r="N214" i="16"/>
  <c r="L215" i="16"/>
  <c r="K216" i="16"/>
  <c r="K217" i="16" l="1"/>
  <c r="L216" i="16"/>
  <c r="M215" i="16"/>
  <c r="N215" i="16"/>
  <c r="M216" i="16" l="1"/>
  <c r="N216" i="16"/>
  <c r="K218" i="16"/>
  <c r="L217" i="16"/>
  <c r="N217" i="16" l="1"/>
  <c r="M217" i="16"/>
  <c r="L218" i="16"/>
  <c r="K219" i="16"/>
  <c r="K220" i="16" l="1"/>
  <c r="L219" i="16"/>
  <c r="M218" i="16"/>
  <c r="N218" i="16"/>
  <c r="N219" i="16" l="1"/>
  <c r="M219" i="16"/>
  <c r="K221" i="16"/>
  <c r="L220" i="16"/>
  <c r="M220" i="16" l="1"/>
  <c r="N220" i="16"/>
  <c r="K222" i="16"/>
  <c r="L221" i="16"/>
  <c r="F8" i="15"/>
  <c r="E8" i="15"/>
  <c r="H5" i="15"/>
  <c r="I5" i="15"/>
  <c r="J5" i="15" s="1"/>
  <c r="B6" i="14"/>
  <c r="B8" i="14" s="1"/>
  <c r="E17" i="27"/>
  <c r="E16" i="27"/>
  <c r="H16" i="27"/>
  <c r="H28" i="11"/>
  <c r="D28" i="11"/>
  <c r="C16" i="11"/>
  <c r="C17" i="11"/>
  <c r="C18" i="11" s="1"/>
  <c r="B10" i="14" l="1"/>
  <c r="G8" i="27" s="1"/>
  <c r="I8" i="27" s="1"/>
  <c r="B9" i="14"/>
  <c r="F8" i="27" s="1"/>
  <c r="H8" i="27" s="1"/>
  <c r="M221" i="16"/>
  <c r="N221" i="16"/>
  <c r="K223" i="16"/>
  <c r="L222" i="16"/>
  <c r="F11" i="23"/>
  <c r="H11" i="23"/>
  <c r="I11" i="23" s="1"/>
  <c r="C19" i="11"/>
  <c r="G8" i="33" s="1"/>
  <c r="K4" i="30"/>
  <c r="D7" i="15"/>
  <c r="J8" i="27" l="1"/>
  <c r="M222" i="16"/>
  <c r="N222" i="16"/>
  <c r="K224" i="16"/>
  <c r="L223" i="16"/>
  <c r="N6" i="30"/>
  <c r="D8" i="15"/>
  <c r="M223" i="16" l="1"/>
  <c r="N223" i="16"/>
  <c r="K225" i="16"/>
  <c r="L224" i="16"/>
  <c r="N7" i="30"/>
  <c r="N8" i="30" s="1"/>
  <c r="N9" i="30" s="1"/>
  <c r="L225" i="16" l="1"/>
  <c r="K226" i="16"/>
  <c r="M224" i="16"/>
  <c r="N224" i="16"/>
  <c r="O12" i="30"/>
  <c r="P12" i="30" l="1"/>
  <c r="O13" i="30"/>
  <c r="P13" i="30" s="1"/>
  <c r="G13" i="27" s="1"/>
  <c r="I13" i="27" s="1"/>
  <c r="K227" i="16"/>
  <c r="L226" i="16"/>
  <c r="N225" i="16"/>
  <c r="M225" i="16"/>
  <c r="N17" i="30"/>
  <c r="F13" i="27"/>
  <c r="H13" i="27" l="1"/>
  <c r="J13" i="27" s="1"/>
  <c r="N226" i="16"/>
  <c r="M226" i="16"/>
  <c r="K228" i="16"/>
  <c r="L227" i="16"/>
  <c r="M227" i="16" l="1"/>
  <c r="N227" i="16"/>
  <c r="L228" i="16"/>
  <c r="K229" i="16"/>
  <c r="K230" i="16" l="1"/>
  <c r="L229" i="16"/>
  <c r="M228" i="16"/>
  <c r="N228" i="16"/>
  <c r="E8" i="17"/>
  <c r="E17" i="17" s="1"/>
  <c r="N229" i="16" l="1"/>
  <c r="M229" i="16"/>
  <c r="L230" i="16"/>
  <c r="K231" i="16"/>
  <c r="I16" i="27"/>
  <c r="L231" i="16" l="1"/>
  <c r="K232" i="16"/>
  <c r="M230" i="16"/>
  <c r="N230" i="16"/>
  <c r="K233" i="16" l="1"/>
  <c r="L232" i="16"/>
  <c r="M231" i="16"/>
  <c r="N231" i="16"/>
  <c r="M232" i="16" l="1"/>
  <c r="N232" i="16"/>
  <c r="L233" i="16"/>
  <c r="K234" i="16"/>
  <c r="K235" i="16" l="1"/>
  <c r="L234" i="16"/>
  <c r="M233" i="16"/>
  <c r="N233" i="16"/>
  <c r="M234" i="16" l="1"/>
  <c r="N234" i="16"/>
  <c r="K236" i="16"/>
  <c r="L235" i="16"/>
  <c r="N235" i="16" l="1"/>
  <c r="M235" i="16"/>
  <c r="L236" i="16"/>
  <c r="K237" i="16"/>
  <c r="K238" i="16" l="1"/>
  <c r="L237" i="16"/>
  <c r="M236" i="16"/>
  <c r="N236" i="16"/>
  <c r="M237" i="16" l="1"/>
  <c r="N237" i="16"/>
  <c r="K239" i="16"/>
  <c r="L238" i="16"/>
  <c r="M238" i="16" l="1"/>
  <c r="N238" i="16"/>
  <c r="L239" i="16"/>
  <c r="K240" i="16"/>
  <c r="K241" i="16" l="1"/>
  <c r="L240" i="16"/>
  <c r="M239" i="16"/>
  <c r="N239" i="16"/>
  <c r="M240" i="16" l="1"/>
  <c r="N240" i="16"/>
  <c r="K242" i="16"/>
  <c r="L241" i="16"/>
  <c r="M241" i="16" l="1"/>
  <c r="N241" i="16"/>
  <c r="L242" i="16"/>
  <c r="K243" i="16"/>
  <c r="L243" i="16" l="1"/>
  <c r="K244" i="16"/>
  <c r="M242" i="16"/>
  <c r="N242" i="16"/>
  <c r="K245" i="16" l="1"/>
  <c r="L244" i="16"/>
  <c r="M243" i="16"/>
  <c r="N243" i="16"/>
  <c r="N244" i="16" l="1"/>
  <c r="M244" i="16"/>
  <c r="K246" i="16"/>
  <c r="L245" i="16"/>
  <c r="K247" i="16" l="1"/>
  <c r="L246" i="16"/>
  <c r="M245" i="16"/>
  <c r="N245" i="16"/>
  <c r="N246" i="16" l="1"/>
  <c r="M246" i="16"/>
  <c r="K248" i="16"/>
  <c r="L247" i="16"/>
  <c r="N247" i="16" l="1"/>
  <c r="M247" i="16"/>
  <c r="L248" i="16"/>
  <c r="K249" i="16"/>
  <c r="M248" i="16" l="1"/>
  <c r="N248" i="16"/>
  <c r="K250" i="16"/>
  <c r="L249" i="16"/>
  <c r="K251" i="16" l="1"/>
  <c r="L250" i="16"/>
  <c r="M249" i="16"/>
  <c r="N249" i="16"/>
  <c r="M250" i="16" l="1"/>
  <c r="N250" i="16"/>
  <c r="L251" i="16"/>
  <c r="K252" i="16"/>
  <c r="K253" i="16" l="1"/>
  <c r="L252" i="16"/>
  <c r="M251" i="16"/>
  <c r="N251" i="16"/>
  <c r="M252" i="16" l="1"/>
  <c r="N252" i="16"/>
  <c r="K254" i="16"/>
  <c r="L253" i="16"/>
  <c r="K255" i="16" l="1"/>
  <c r="L254" i="16"/>
  <c r="M253" i="16"/>
  <c r="N253" i="16"/>
  <c r="M254" i="16" l="1"/>
  <c r="N254" i="16"/>
  <c r="K256" i="16"/>
  <c r="L255" i="16"/>
  <c r="K257" i="16" l="1"/>
  <c r="L256" i="16"/>
  <c r="M255" i="16"/>
  <c r="N255" i="16"/>
  <c r="N256" i="16" l="1"/>
  <c r="M256" i="16"/>
  <c r="K258" i="16"/>
  <c r="L257" i="16"/>
  <c r="M257" i="16" l="1"/>
  <c r="N257" i="16"/>
  <c r="L258" i="16"/>
  <c r="K259" i="16"/>
  <c r="K260" i="16" l="1"/>
  <c r="L259" i="16"/>
  <c r="M258" i="16"/>
  <c r="N258" i="16"/>
  <c r="M259" i="16" l="1"/>
  <c r="N259" i="16"/>
  <c r="K261" i="16"/>
  <c r="L260" i="16"/>
  <c r="N260" i="16" l="1"/>
  <c r="M260" i="16"/>
  <c r="L261" i="16"/>
  <c r="K262" i="16"/>
  <c r="K263" i="16" l="1"/>
  <c r="L262" i="16"/>
  <c r="M261" i="16"/>
  <c r="N261" i="16"/>
  <c r="M262" i="16" l="1"/>
  <c r="N262" i="16"/>
  <c r="K264" i="16"/>
  <c r="L263" i="16"/>
  <c r="L264" i="16" l="1"/>
  <c r="K265" i="16"/>
  <c r="N263" i="16"/>
  <c r="M263" i="16"/>
  <c r="K266" i="16" l="1"/>
  <c r="L265" i="16"/>
  <c r="M264" i="16"/>
  <c r="N264" i="16"/>
  <c r="N265" i="16" l="1"/>
  <c r="M265" i="16"/>
  <c r="K267" i="16"/>
  <c r="L266" i="16"/>
  <c r="N266" i="16" l="1"/>
  <c r="M266" i="16"/>
  <c r="L267" i="16"/>
  <c r="K268" i="16"/>
  <c r="M267" i="16" l="1"/>
  <c r="N267" i="16"/>
  <c r="K269" i="16"/>
  <c r="L268" i="16"/>
  <c r="N268" i="16" l="1"/>
  <c r="M268" i="16"/>
  <c r="K270" i="16"/>
  <c r="L269" i="16"/>
  <c r="N269" i="16" l="1"/>
  <c r="M269" i="16"/>
  <c r="L270" i="16"/>
  <c r="K271" i="16"/>
  <c r="M270" i="16" l="1"/>
  <c r="N270" i="16"/>
  <c r="K272" i="16"/>
  <c r="L271" i="16"/>
  <c r="M271" i="16" l="1"/>
  <c r="N271" i="16"/>
  <c r="L272" i="16"/>
  <c r="K273" i="16"/>
  <c r="N272" i="16" l="1"/>
  <c r="M272" i="16"/>
  <c r="L273" i="16"/>
  <c r="K274" i="16"/>
  <c r="N273" i="16" l="1"/>
  <c r="M273" i="16"/>
  <c r="K275" i="16"/>
  <c r="L274" i="16"/>
  <c r="M274" i="16" l="1"/>
  <c r="N274" i="16"/>
  <c r="K276" i="16"/>
  <c r="L275" i="16"/>
  <c r="M275" i="16" l="1"/>
  <c r="N275" i="16"/>
  <c r="L276" i="16"/>
  <c r="K277" i="16"/>
  <c r="N276" i="16" l="1"/>
  <c r="M276" i="16"/>
  <c r="K278" i="16"/>
  <c r="L277" i="16"/>
  <c r="N277" i="16" l="1"/>
  <c r="M277" i="16"/>
  <c r="L278" i="16"/>
  <c r="K279" i="16"/>
  <c r="K280" i="16" l="1"/>
  <c r="L279" i="16"/>
  <c r="M278" i="16"/>
  <c r="N278" i="16"/>
  <c r="M279" i="16" l="1"/>
  <c r="N279" i="16"/>
  <c r="K281" i="16"/>
  <c r="L280" i="16"/>
  <c r="M280" i="16" l="1"/>
  <c r="N280" i="16"/>
  <c r="L281" i="16"/>
  <c r="K282" i="16"/>
  <c r="L282" i="16" l="1"/>
  <c r="K283" i="16"/>
  <c r="N281" i="16"/>
  <c r="M281" i="16"/>
  <c r="K284" i="16" l="1"/>
  <c r="L283" i="16"/>
  <c r="M282" i="16"/>
  <c r="N282" i="16"/>
  <c r="N283" i="16" l="1"/>
  <c r="M283" i="16"/>
  <c r="K285" i="16"/>
  <c r="L284" i="16"/>
  <c r="N284" i="16" l="1"/>
  <c r="M284" i="16"/>
  <c r="L285" i="16"/>
  <c r="K286" i="16"/>
  <c r="K287" i="16" l="1"/>
  <c r="L286" i="16"/>
  <c r="N285" i="16"/>
  <c r="M285" i="16"/>
  <c r="M286" i="16" l="1"/>
  <c r="N286" i="16"/>
  <c r="K288" i="16"/>
  <c r="L287" i="16"/>
  <c r="M287" i="16" l="1"/>
  <c r="N287" i="16"/>
  <c r="K289" i="16"/>
  <c r="L288" i="16"/>
  <c r="M288" i="16" l="1"/>
  <c r="N288" i="16"/>
  <c r="K290" i="16"/>
  <c r="L289" i="16"/>
  <c r="M289" i="16" l="1"/>
  <c r="N289" i="16"/>
  <c r="L290" i="16"/>
  <c r="K291" i="16"/>
  <c r="L291" i="16" l="1"/>
  <c r="K292" i="16"/>
  <c r="N290" i="16"/>
  <c r="M290" i="16"/>
  <c r="K293" i="16" l="1"/>
  <c r="L292" i="16"/>
  <c r="N291" i="16"/>
  <c r="M291" i="16"/>
  <c r="N292" i="16" l="1"/>
  <c r="M292" i="16"/>
  <c r="K294" i="16"/>
  <c r="L293" i="16"/>
  <c r="K295" i="16" l="1"/>
  <c r="L294" i="16"/>
  <c r="M293" i="16"/>
  <c r="N293" i="16"/>
  <c r="M294" i="16" l="1"/>
  <c r="N294" i="16"/>
  <c r="K296" i="16"/>
  <c r="L295" i="16"/>
  <c r="M295" i="16" l="1"/>
  <c r="N295" i="16"/>
  <c r="L296" i="16"/>
  <c r="K297" i="16"/>
  <c r="K298" i="16" l="1"/>
  <c r="L297" i="16"/>
  <c r="N296" i="16"/>
  <c r="M296" i="16"/>
  <c r="N297" i="16" l="1"/>
  <c r="M297" i="16"/>
  <c r="K299" i="16"/>
  <c r="L298" i="16"/>
  <c r="M298" i="16" l="1"/>
  <c r="N298" i="16"/>
  <c r="L299" i="16"/>
  <c r="K300" i="16"/>
  <c r="K301" i="16" l="1"/>
  <c r="L300" i="16"/>
  <c r="M299" i="16"/>
  <c r="N299" i="16"/>
  <c r="N300" i="16" l="1"/>
  <c r="M300" i="16"/>
  <c r="K302" i="16"/>
  <c r="L301" i="16"/>
  <c r="N301" i="16" l="1"/>
  <c r="M301" i="16"/>
  <c r="K303" i="16"/>
  <c r="L302" i="16"/>
  <c r="N302" i="16" l="1"/>
  <c r="M302" i="16"/>
  <c r="K304" i="16"/>
  <c r="L303" i="16"/>
  <c r="M303" i="16" l="1"/>
  <c r="N303" i="16"/>
  <c r="K305" i="16"/>
  <c r="L304" i="16"/>
  <c r="N304" i="16" l="1"/>
  <c r="M304" i="16"/>
  <c r="L305" i="16"/>
  <c r="K306" i="16"/>
  <c r="K307" i="16" l="1"/>
  <c r="L306" i="16"/>
  <c r="M305" i="16"/>
  <c r="N305" i="16"/>
  <c r="M306" i="16" l="1"/>
  <c r="N306" i="16"/>
  <c r="K308" i="16"/>
  <c r="L307" i="16"/>
  <c r="M307" i="16" l="1"/>
  <c r="N307" i="16"/>
  <c r="L308" i="16"/>
  <c r="K309" i="16"/>
  <c r="K310" i="16" l="1"/>
  <c r="L309" i="16"/>
  <c r="M308" i="16"/>
  <c r="N308" i="16"/>
  <c r="N309" i="16" l="1"/>
  <c r="M309" i="16"/>
  <c r="K311" i="16"/>
  <c r="L310" i="16"/>
  <c r="L311" i="16" l="1"/>
  <c r="K312" i="16"/>
  <c r="N310" i="16"/>
  <c r="M310" i="16"/>
  <c r="L312" i="16" l="1"/>
  <c r="K313" i="16"/>
  <c r="M311" i="16"/>
  <c r="N311" i="16"/>
  <c r="K314" i="16" l="1"/>
  <c r="L313" i="16"/>
  <c r="N312" i="16"/>
  <c r="M312" i="16"/>
  <c r="M313" i="16" l="1"/>
  <c r="N313" i="16"/>
  <c r="L314" i="16"/>
  <c r="K315" i="16"/>
  <c r="C5" i="11"/>
  <c r="C14" i="11"/>
  <c r="E21" i="27"/>
  <c r="L315" i="16" l="1"/>
  <c r="K316" i="16"/>
  <c r="M314" i="16"/>
  <c r="N314" i="16"/>
  <c r="K317" i="16" l="1"/>
  <c r="L316" i="16"/>
  <c r="M315" i="16"/>
  <c r="N315" i="16"/>
  <c r="N316" i="16" l="1"/>
  <c r="M316" i="16"/>
  <c r="L317" i="16"/>
  <c r="K318" i="16"/>
  <c r="L318" i="16" l="1"/>
  <c r="K319" i="16"/>
  <c r="M317" i="16"/>
  <c r="N317" i="16"/>
  <c r="O317" i="16" s="1"/>
  <c r="K320" i="16" l="1"/>
  <c r="L319" i="16"/>
  <c r="N318" i="16"/>
  <c r="O318" i="16" s="1"/>
  <c r="M318" i="16"/>
  <c r="N319" i="16" l="1"/>
  <c r="O319" i="16" s="1"/>
  <c r="M319" i="16"/>
  <c r="K321" i="16"/>
  <c r="L320" i="16"/>
  <c r="M320" i="16" l="1"/>
  <c r="N320" i="16"/>
  <c r="O320" i="16" s="1"/>
  <c r="L321" i="16"/>
  <c r="K322" i="16"/>
  <c r="K323" i="16" l="1"/>
  <c r="L322" i="16"/>
  <c r="M321" i="16"/>
  <c r="N321" i="16"/>
  <c r="O321" i="16" s="1"/>
  <c r="N322" i="16" l="1"/>
  <c r="O322" i="16" s="1"/>
  <c r="M322" i="16"/>
  <c r="K324" i="16"/>
  <c r="L323" i="16"/>
  <c r="N323" i="16" l="1"/>
  <c r="O323" i="16" s="1"/>
  <c r="M323" i="16"/>
  <c r="L324" i="16"/>
  <c r="K325" i="16"/>
  <c r="L325" i="16" l="1"/>
  <c r="K326" i="16"/>
  <c r="M324" i="16"/>
  <c r="N324" i="16"/>
  <c r="O324" i="16" s="1"/>
  <c r="K327" i="16" l="1"/>
  <c r="L326" i="16"/>
  <c r="N325" i="16"/>
  <c r="O325" i="16" s="1"/>
  <c r="M325" i="16"/>
  <c r="M326" i="16" l="1"/>
  <c r="N326" i="16"/>
  <c r="O326" i="16" s="1"/>
  <c r="L327" i="16"/>
  <c r="K328" i="16"/>
  <c r="K329" i="16" l="1"/>
  <c r="L328" i="16"/>
  <c r="M327" i="16"/>
  <c r="N327" i="16"/>
  <c r="O327" i="16" s="1"/>
  <c r="M328" i="16" l="1"/>
  <c r="N328" i="16"/>
  <c r="O328" i="16" s="1"/>
  <c r="L329" i="16"/>
  <c r="K330" i="16"/>
  <c r="K331" i="16" l="1"/>
  <c r="L330" i="16"/>
  <c r="M329" i="16"/>
  <c r="N329" i="16"/>
  <c r="O329" i="16" s="1"/>
  <c r="M330" i="16" l="1"/>
  <c r="N330" i="16"/>
  <c r="O330" i="16" s="1"/>
  <c r="L331" i="16"/>
  <c r="K332" i="16"/>
  <c r="K333" i="16" l="1"/>
  <c r="L332" i="16"/>
  <c r="M331" i="16"/>
  <c r="N331" i="16"/>
  <c r="O331" i="16" s="1"/>
  <c r="N332" i="16" l="1"/>
  <c r="O332" i="16" s="1"/>
  <c r="M332" i="16"/>
  <c r="K334" i="16"/>
  <c r="L333" i="16"/>
  <c r="M333" i="16" l="1"/>
  <c r="N333" i="16"/>
  <c r="O333" i="16" s="1"/>
  <c r="K335" i="16"/>
  <c r="L334" i="16"/>
  <c r="N334" i="16" l="1"/>
  <c r="O334" i="16" s="1"/>
  <c r="M334" i="16"/>
  <c r="L335" i="16"/>
  <c r="K336" i="16"/>
  <c r="K337" i="16" l="1"/>
  <c r="L336" i="16"/>
  <c r="M335" i="16"/>
  <c r="N335" i="16"/>
  <c r="O335" i="16" s="1"/>
  <c r="M336" i="16" l="1"/>
  <c r="N336" i="16"/>
  <c r="O336" i="16" s="1"/>
  <c r="L337" i="16"/>
  <c r="K338" i="16"/>
  <c r="K339" i="16" l="1"/>
  <c r="L338" i="16"/>
  <c r="M337" i="16"/>
  <c r="N337" i="16"/>
  <c r="O337" i="16" s="1"/>
  <c r="M338" i="16" l="1"/>
  <c r="N338" i="16"/>
  <c r="O338" i="16" s="1"/>
  <c r="K340" i="16"/>
  <c r="L339" i="16"/>
  <c r="K341" i="16" l="1"/>
  <c r="L340" i="16"/>
  <c r="M339" i="16"/>
  <c r="N339" i="16"/>
  <c r="O339" i="16" s="1"/>
  <c r="M340" i="16" l="1"/>
  <c r="N340" i="16"/>
  <c r="O340" i="16" s="1"/>
  <c r="L341" i="16"/>
  <c r="K342" i="16"/>
  <c r="L342" i="16" l="1"/>
  <c r="K343" i="16"/>
  <c r="M341" i="16"/>
  <c r="N341" i="16"/>
  <c r="O341" i="16" s="1"/>
  <c r="L343" i="16" l="1"/>
  <c r="K344" i="16"/>
  <c r="M342" i="16"/>
  <c r="N342" i="16"/>
  <c r="O342" i="16" s="1"/>
  <c r="K345" i="16" l="1"/>
  <c r="L344" i="16"/>
  <c r="M343" i="16"/>
  <c r="N343" i="16"/>
  <c r="O343" i="16" s="1"/>
  <c r="M344" i="16" l="1"/>
  <c r="N344" i="16"/>
  <c r="O344" i="16" s="1"/>
  <c r="L345" i="16"/>
  <c r="K346" i="16"/>
  <c r="K347" i="16" l="1"/>
  <c r="L346" i="16"/>
  <c r="M345" i="16"/>
  <c r="N345" i="16"/>
  <c r="O345" i="16" s="1"/>
  <c r="N346" i="16" l="1"/>
  <c r="O346" i="16" s="1"/>
  <c r="M346" i="16"/>
  <c r="L347" i="16"/>
  <c r="K348" i="16"/>
  <c r="M347" i="16" l="1"/>
  <c r="N347" i="16"/>
  <c r="O347" i="16" s="1"/>
  <c r="K349" i="16"/>
  <c r="L348" i="16"/>
  <c r="M348" i="16" l="1"/>
  <c r="N348" i="16"/>
  <c r="O348" i="16" s="1"/>
  <c r="L349" i="16"/>
  <c r="K350" i="16"/>
  <c r="K351" i="16" l="1"/>
  <c r="L350" i="16"/>
  <c r="M349" i="16"/>
  <c r="N349" i="16"/>
  <c r="O349" i="16" s="1"/>
  <c r="N350" i="16" l="1"/>
  <c r="O350" i="16" s="1"/>
  <c r="M350" i="16"/>
  <c r="K352" i="16"/>
  <c r="L351" i="16"/>
  <c r="M351" i="16" l="1"/>
  <c r="N351" i="16"/>
  <c r="O351" i="16" s="1"/>
  <c r="K353" i="16"/>
  <c r="L352" i="16"/>
  <c r="M352" i="16" l="1"/>
  <c r="N352" i="16"/>
  <c r="O352" i="16" s="1"/>
  <c r="L353" i="16"/>
  <c r="K354" i="16"/>
  <c r="L354" i="16" l="1"/>
  <c r="K355" i="16"/>
  <c r="M353" i="16"/>
  <c r="N353" i="16"/>
  <c r="O353" i="16" s="1"/>
  <c r="L355" i="16" l="1"/>
  <c r="K356" i="16"/>
  <c r="M354" i="16"/>
  <c r="N354" i="16"/>
  <c r="O354" i="16" s="1"/>
  <c r="L356" i="16" l="1"/>
  <c r="K357" i="16"/>
  <c r="M355" i="16"/>
  <c r="N355" i="16"/>
  <c r="O355" i="16" s="1"/>
  <c r="L357" i="16" l="1"/>
  <c r="K358" i="16"/>
  <c r="M356" i="16"/>
  <c r="N356" i="16"/>
  <c r="O356" i="16" s="1"/>
  <c r="L358" i="16" l="1"/>
  <c r="K359" i="16"/>
  <c r="M357" i="16"/>
  <c r="N357" i="16"/>
  <c r="O357" i="16" s="1"/>
  <c r="K360" i="16" l="1"/>
  <c r="L359" i="16"/>
  <c r="M358" i="16"/>
  <c r="N358" i="16"/>
  <c r="O358" i="16" s="1"/>
  <c r="M359" i="16" l="1"/>
  <c r="N359" i="16"/>
  <c r="O359" i="16" s="1"/>
  <c r="L360" i="16"/>
  <c r="K361" i="16"/>
  <c r="L361" i="16" l="1"/>
  <c r="K362" i="16"/>
  <c r="M360" i="16"/>
  <c r="N360" i="16"/>
  <c r="O360" i="16" s="1"/>
  <c r="L362" i="16" l="1"/>
  <c r="K363" i="16"/>
  <c r="N361" i="16"/>
  <c r="O361" i="16" s="1"/>
  <c r="M361" i="16"/>
  <c r="L363" i="16" l="1"/>
  <c r="K364" i="16"/>
  <c r="M362" i="16"/>
  <c r="N362" i="16"/>
  <c r="O362" i="16" s="1"/>
  <c r="K365" i="16" l="1"/>
  <c r="L364" i="16"/>
  <c r="M363" i="16"/>
  <c r="N363" i="16"/>
  <c r="O363" i="16" s="1"/>
  <c r="M364" i="16" l="1"/>
  <c r="N364" i="16"/>
  <c r="O364" i="16" s="1"/>
  <c r="L365" i="16"/>
  <c r="K366" i="16"/>
  <c r="M365" i="16" l="1"/>
  <c r="N365" i="16"/>
  <c r="O365" i="16" s="1"/>
  <c r="L366" i="16"/>
  <c r="K367" i="16"/>
  <c r="K368" i="16" l="1"/>
  <c r="L367" i="16"/>
  <c r="M366" i="16"/>
  <c r="N366" i="16"/>
  <c r="O366" i="16" s="1"/>
  <c r="M367" i="16" l="1"/>
  <c r="N367" i="16"/>
  <c r="O367" i="16" s="1"/>
  <c r="L368" i="16"/>
  <c r="K369" i="16"/>
  <c r="K370" i="16" l="1"/>
  <c r="L369" i="16"/>
  <c r="N368" i="16"/>
  <c r="O368" i="16" s="1"/>
  <c r="M368" i="16"/>
  <c r="M369" i="16" l="1"/>
  <c r="N369" i="16"/>
  <c r="O369" i="16" s="1"/>
  <c r="L370" i="16"/>
  <c r="K371" i="16"/>
  <c r="K372" i="16" l="1"/>
  <c r="L371" i="16"/>
  <c r="M370" i="16"/>
  <c r="N370" i="16"/>
  <c r="O370" i="16" s="1"/>
  <c r="M371" i="16" l="1"/>
  <c r="N371" i="16"/>
  <c r="O371" i="16" s="1"/>
  <c r="L372" i="16"/>
  <c r="K373" i="16"/>
  <c r="K374" i="16" l="1"/>
  <c r="L373" i="16"/>
  <c r="M372" i="16"/>
  <c r="N372" i="16"/>
  <c r="O372" i="16" s="1"/>
  <c r="M373" i="16" l="1"/>
  <c r="N373" i="16"/>
  <c r="O373" i="16" s="1"/>
  <c r="L374" i="16"/>
  <c r="K375" i="16"/>
  <c r="L375" i="16" l="1"/>
  <c r="K376" i="16"/>
  <c r="M374" i="16"/>
  <c r="N374" i="16"/>
  <c r="O374" i="16" s="1"/>
  <c r="K377" i="16" l="1"/>
  <c r="L376" i="16"/>
  <c r="M375" i="16"/>
  <c r="N375" i="16"/>
  <c r="O375" i="16" s="1"/>
  <c r="M376" i="16" l="1"/>
  <c r="N376" i="16"/>
  <c r="O376" i="16" s="1"/>
  <c r="L377" i="16"/>
  <c r="K378" i="16"/>
  <c r="L378" i="16" l="1"/>
  <c r="K379" i="16"/>
  <c r="M377" i="16"/>
  <c r="N377" i="16"/>
  <c r="O377" i="16" s="1"/>
  <c r="L379" i="16" l="1"/>
  <c r="K380" i="16"/>
  <c r="M378" i="16"/>
  <c r="N378" i="16"/>
  <c r="O378" i="16" s="1"/>
  <c r="K381" i="16" l="1"/>
  <c r="L380" i="16"/>
  <c r="M379" i="16"/>
  <c r="N379" i="16"/>
  <c r="O379" i="16" s="1"/>
  <c r="M380" i="16" l="1"/>
  <c r="N380" i="16"/>
  <c r="O380" i="16" s="1"/>
  <c r="L381" i="16"/>
  <c r="K382" i="16"/>
  <c r="L382" i="16" s="1"/>
  <c r="M382" i="16" l="1"/>
  <c r="N382" i="16"/>
  <c r="O382" i="16" s="1"/>
  <c r="M381" i="16"/>
  <c r="N381" i="16"/>
  <c r="O381" i="16" s="1"/>
  <c r="D3" i="25" l="1"/>
  <c r="D4" i="25" l="1"/>
  <c r="D5" i="25" s="1"/>
  <c r="H4" i="16" l="1"/>
  <c r="D17" i="17" l="1"/>
  <c r="J30" i="17"/>
  <c r="G29" i="11" s="1"/>
  <c r="G30" i="11" s="1"/>
  <c r="I30" i="17"/>
  <c r="F29" i="11" s="1"/>
  <c r="F30" i="11" s="1"/>
  <c r="H30" i="17"/>
  <c r="J28" i="17"/>
  <c r="I28" i="17"/>
  <c r="I29" i="17" s="1"/>
  <c r="H28" i="17"/>
  <c r="J27" i="17"/>
  <c r="G28" i="11" s="1"/>
  <c r="I27" i="17"/>
  <c r="F28" i="11" s="1"/>
  <c r="H27" i="17"/>
  <c r="E28" i="11" s="1"/>
  <c r="D23" i="17"/>
  <c r="D7" i="16"/>
  <c r="D5" i="16"/>
  <c r="D4" i="16"/>
  <c r="C7" i="16"/>
  <c r="C6" i="16"/>
  <c r="C5" i="16"/>
  <c r="E5" i="16" s="1"/>
  <c r="C4" i="16"/>
  <c r="E4" i="16" l="1"/>
  <c r="O137" i="16"/>
  <c r="O138" i="16"/>
  <c r="O139" i="16"/>
  <c r="O140" i="16"/>
  <c r="O141" i="16"/>
  <c r="O142" i="16"/>
  <c r="O143" i="16"/>
  <c r="O144" i="16"/>
  <c r="O145" i="16"/>
  <c r="O146" i="16"/>
  <c r="O147" i="16"/>
  <c r="O148" i="16"/>
  <c r="O149" i="16"/>
  <c r="O150" i="16"/>
  <c r="O151" i="16"/>
  <c r="O152" i="16"/>
  <c r="O153" i="16"/>
  <c r="O154" i="16"/>
  <c r="O155" i="16"/>
  <c r="O156" i="16"/>
  <c r="O157" i="16"/>
  <c r="O158" i="16"/>
  <c r="O159" i="16"/>
  <c r="O160" i="16"/>
  <c r="O161" i="16"/>
  <c r="O162" i="16"/>
  <c r="O163" i="16"/>
  <c r="O164" i="16"/>
  <c r="O165" i="16"/>
  <c r="O166" i="16"/>
  <c r="O167" i="16"/>
  <c r="O168" i="16"/>
  <c r="O169" i="16"/>
  <c r="O170" i="16"/>
  <c r="O171" i="16"/>
  <c r="O172" i="16"/>
  <c r="O173" i="16"/>
  <c r="O174" i="16"/>
  <c r="O175" i="16"/>
  <c r="O176" i="16"/>
  <c r="O177" i="16"/>
  <c r="O178" i="16"/>
  <c r="O179" i="16"/>
  <c r="O180" i="16"/>
  <c r="O181" i="16"/>
  <c r="O182" i="16"/>
  <c r="O183" i="16"/>
  <c r="O184" i="16"/>
  <c r="O185" i="16"/>
  <c r="O186" i="16"/>
  <c r="O187" i="16"/>
  <c r="O188" i="16"/>
  <c r="O189" i="16"/>
  <c r="O190" i="16"/>
  <c r="O191" i="16"/>
  <c r="O192" i="16"/>
  <c r="O193" i="16"/>
  <c r="O194" i="16"/>
  <c r="O195" i="16"/>
  <c r="O196" i="16"/>
  <c r="O197" i="16"/>
  <c r="O198" i="16"/>
  <c r="O199" i="16"/>
  <c r="O200" i="16"/>
  <c r="O201" i="16"/>
  <c r="O202" i="16"/>
  <c r="O203" i="16"/>
  <c r="O204" i="16"/>
  <c r="O205" i="16"/>
  <c r="O206" i="16"/>
  <c r="O207" i="16"/>
  <c r="O208" i="16"/>
  <c r="O209" i="16"/>
  <c r="O210" i="16"/>
  <c r="O211" i="16"/>
  <c r="O212" i="16"/>
  <c r="O213" i="16"/>
  <c r="O214" i="16"/>
  <c r="O215" i="16"/>
  <c r="O216" i="16"/>
  <c r="O217" i="16"/>
  <c r="O218" i="16"/>
  <c r="O219" i="16"/>
  <c r="O220" i="16"/>
  <c r="O221" i="16"/>
  <c r="O222" i="16"/>
  <c r="O223" i="16"/>
  <c r="O224" i="16"/>
  <c r="O225" i="16"/>
  <c r="O226" i="16"/>
  <c r="O227" i="16"/>
  <c r="O228" i="16"/>
  <c r="O229" i="16"/>
  <c r="O230" i="16"/>
  <c r="O231" i="16"/>
  <c r="O232" i="16"/>
  <c r="O233" i="16"/>
  <c r="O234" i="16"/>
  <c r="O235" i="16"/>
  <c r="O236" i="16"/>
  <c r="O237" i="16"/>
  <c r="O238" i="16"/>
  <c r="O239" i="16"/>
  <c r="O240" i="16"/>
  <c r="O241" i="16"/>
  <c r="O242" i="16"/>
  <c r="O243" i="16"/>
  <c r="O244" i="16"/>
  <c r="O245" i="16"/>
  <c r="O246" i="16"/>
  <c r="O247" i="16"/>
  <c r="O248" i="16"/>
  <c r="O249" i="16"/>
  <c r="O250" i="16"/>
  <c r="O251" i="16"/>
  <c r="O252" i="16"/>
  <c r="O253" i="16"/>
  <c r="O254" i="16"/>
  <c r="O255" i="16"/>
  <c r="O256" i="16"/>
  <c r="E29" i="11"/>
  <c r="E30" i="11" s="1"/>
  <c r="G30" i="17"/>
  <c r="D29" i="11" s="1"/>
  <c r="D30" i="11" s="1"/>
  <c r="K30" i="17"/>
  <c r="H29" i="11" s="1"/>
  <c r="H30" i="11" s="1"/>
  <c r="J29" i="17"/>
  <c r="J31" i="17" s="1"/>
  <c r="J32" i="17" s="1"/>
  <c r="K28" i="17"/>
  <c r="K29" i="17" s="1"/>
  <c r="G28" i="17"/>
  <c r="G29" i="17" s="1"/>
  <c r="G9" i="33" s="1"/>
  <c r="H29" i="17"/>
  <c r="H31" i="17" s="1"/>
  <c r="H32" i="17" s="1"/>
  <c r="E23" i="17"/>
  <c r="I31" i="17"/>
  <c r="I32" i="17" s="1"/>
  <c r="AC4" i="16"/>
  <c r="I4" i="16"/>
  <c r="E6" i="16"/>
  <c r="P146" i="16" l="1"/>
  <c r="O257" i="16"/>
  <c r="O258" i="16"/>
  <c r="O259" i="16"/>
  <c r="O260" i="16"/>
  <c r="O261" i="16"/>
  <c r="O262" i="16"/>
  <c r="O263" i="16"/>
  <c r="O264" i="16"/>
  <c r="O265" i="16"/>
  <c r="O266" i="16"/>
  <c r="P266" i="16" s="1"/>
  <c r="O267" i="16"/>
  <c r="O268" i="16"/>
  <c r="O269" i="16"/>
  <c r="O270" i="16"/>
  <c r="O271" i="16"/>
  <c r="O272" i="16"/>
  <c r="O273" i="16"/>
  <c r="O274" i="16"/>
  <c r="O275" i="16"/>
  <c r="O276" i="16"/>
  <c r="O277" i="16"/>
  <c r="O278" i="16"/>
  <c r="O279" i="16"/>
  <c r="O280" i="16"/>
  <c r="O281" i="16"/>
  <c r="O282" i="16"/>
  <c r="O283" i="16"/>
  <c r="O284" i="16"/>
  <c r="O285" i="16"/>
  <c r="O286" i="16"/>
  <c r="O287" i="16"/>
  <c r="O288" i="16"/>
  <c r="O289" i="16"/>
  <c r="O290" i="16"/>
  <c r="O291" i="16"/>
  <c r="O292" i="16"/>
  <c r="O293" i="16"/>
  <c r="O294" i="16"/>
  <c r="O295" i="16"/>
  <c r="O296" i="16"/>
  <c r="O297" i="16"/>
  <c r="O298" i="16"/>
  <c r="O299" i="16"/>
  <c r="O300" i="16"/>
  <c r="O301" i="16"/>
  <c r="O302" i="16"/>
  <c r="O303" i="16"/>
  <c r="O304" i="16"/>
  <c r="O305" i="16"/>
  <c r="O306" i="16"/>
  <c r="O307" i="16"/>
  <c r="O308" i="16"/>
  <c r="O309" i="16"/>
  <c r="O310" i="16"/>
  <c r="O311" i="16"/>
  <c r="O312" i="16"/>
  <c r="O313" i="16"/>
  <c r="O314" i="16"/>
  <c r="O315" i="16"/>
  <c r="O316" i="16"/>
  <c r="O5" i="16"/>
  <c r="P159" i="16" s="1"/>
  <c r="O7" i="16"/>
  <c r="O6" i="16"/>
  <c r="O8" i="16"/>
  <c r="O9" i="16"/>
  <c r="P232" i="16" s="1"/>
  <c r="O10" i="16"/>
  <c r="P208" i="16" s="1"/>
  <c r="O11" i="16"/>
  <c r="P11" i="16" s="1"/>
  <c r="O12" i="16"/>
  <c r="O13" i="16"/>
  <c r="O14" i="16"/>
  <c r="P14" i="16" s="1"/>
  <c r="O15" i="16"/>
  <c r="O16" i="16"/>
  <c r="P16" i="16" s="1"/>
  <c r="O17" i="16"/>
  <c r="O18" i="16"/>
  <c r="O19" i="16"/>
  <c r="O20" i="16"/>
  <c r="O21" i="16"/>
  <c r="O22" i="16"/>
  <c r="O23" i="16"/>
  <c r="O24" i="16"/>
  <c r="O25" i="16"/>
  <c r="O26" i="16"/>
  <c r="O27" i="16"/>
  <c r="O28" i="16"/>
  <c r="O29" i="16"/>
  <c r="O30" i="16"/>
  <c r="O31" i="16"/>
  <c r="O32" i="16"/>
  <c r="O33" i="16"/>
  <c r="O34" i="16"/>
  <c r="O35" i="16"/>
  <c r="O36" i="16"/>
  <c r="O37" i="16"/>
  <c r="O38" i="16"/>
  <c r="O39" i="16"/>
  <c r="O40" i="16"/>
  <c r="O41" i="16"/>
  <c r="O42" i="16"/>
  <c r="O43" i="16"/>
  <c r="O44" i="16"/>
  <c r="O45" i="16"/>
  <c r="O46" i="16"/>
  <c r="O47" i="16"/>
  <c r="O48" i="16"/>
  <c r="O49" i="16"/>
  <c r="O50" i="16"/>
  <c r="O51" i="16"/>
  <c r="O52" i="16"/>
  <c r="O53" i="16"/>
  <c r="O54" i="16"/>
  <c r="O55" i="16"/>
  <c r="O56" i="16"/>
  <c r="O57" i="16"/>
  <c r="O58" i="16"/>
  <c r="O59" i="16"/>
  <c r="O60" i="16"/>
  <c r="O61" i="16"/>
  <c r="O62" i="16"/>
  <c r="O63" i="16"/>
  <c r="O64" i="16"/>
  <c r="P64" i="16" s="1"/>
  <c r="O65" i="16"/>
  <c r="O66" i="16"/>
  <c r="O67" i="16"/>
  <c r="O68" i="16"/>
  <c r="O69" i="16"/>
  <c r="O70" i="16"/>
  <c r="O71" i="16"/>
  <c r="O72" i="16"/>
  <c r="O73" i="16"/>
  <c r="O74" i="16"/>
  <c r="O75" i="16"/>
  <c r="O76" i="16"/>
  <c r="P76" i="16" s="1"/>
  <c r="O77" i="16"/>
  <c r="O78" i="16"/>
  <c r="O79" i="16"/>
  <c r="O80" i="16"/>
  <c r="O81" i="16"/>
  <c r="O82" i="16"/>
  <c r="O83" i="16"/>
  <c r="O84" i="16"/>
  <c r="O85" i="16"/>
  <c r="O86" i="16"/>
  <c r="O87" i="16"/>
  <c r="O88" i="16"/>
  <c r="O89" i="16"/>
  <c r="O90" i="16"/>
  <c r="O91" i="16"/>
  <c r="O92" i="16"/>
  <c r="O93" i="16"/>
  <c r="O94" i="16"/>
  <c r="O95" i="16"/>
  <c r="O96" i="16"/>
  <c r="O97" i="16"/>
  <c r="O98" i="16"/>
  <c r="O99" i="16"/>
  <c r="O100" i="16"/>
  <c r="P100" i="16" s="1"/>
  <c r="O101" i="16"/>
  <c r="O102" i="16"/>
  <c r="O103" i="16"/>
  <c r="O104" i="16"/>
  <c r="O105" i="16"/>
  <c r="O106" i="16"/>
  <c r="O107" i="16"/>
  <c r="O108" i="16"/>
  <c r="O109" i="16"/>
  <c r="O110" i="16"/>
  <c r="O111" i="16"/>
  <c r="O112" i="16"/>
  <c r="O113" i="16"/>
  <c r="O114" i="16"/>
  <c r="O115" i="16"/>
  <c r="O116" i="16"/>
  <c r="O117" i="16"/>
  <c r="O118" i="16"/>
  <c r="O119" i="16"/>
  <c r="O120" i="16"/>
  <c r="O121" i="16"/>
  <c r="O122" i="16"/>
  <c r="O123" i="16"/>
  <c r="O124" i="16"/>
  <c r="O125" i="16"/>
  <c r="O126" i="16"/>
  <c r="O127" i="16"/>
  <c r="O128" i="16"/>
  <c r="O129" i="16"/>
  <c r="O130" i="16"/>
  <c r="O131" i="16"/>
  <c r="O132" i="16"/>
  <c r="O133" i="16"/>
  <c r="O134" i="16"/>
  <c r="O135" i="16"/>
  <c r="O136" i="16"/>
  <c r="P136" i="16" s="1"/>
  <c r="O33" i="17"/>
  <c r="G15" i="27" s="1"/>
  <c r="O32" i="17"/>
  <c r="F15" i="27" s="1"/>
  <c r="O24" i="11"/>
  <c r="O12" i="11"/>
  <c r="O11" i="11"/>
  <c r="O20" i="11"/>
  <c r="O23" i="11"/>
  <c r="O8" i="11"/>
  <c r="O22" i="11"/>
  <c r="O10" i="11"/>
  <c r="O21" i="11"/>
  <c r="O9" i="11"/>
  <c r="O19" i="11"/>
  <c r="O7" i="11"/>
  <c r="O18" i="11"/>
  <c r="O6" i="11"/>
  <c r="O17" i="11"/>
  <c r="O5" i="11"/>
  <c r="O28" i="11"/>
  <c r="O16" i="11"/>
  <c r="O4" i="11"/>
  <c r="O14" i="11"/>
  <c r="O13" i="11"/>
  <c r="O27" i="11"/>
  <c r="O15" i="11"/>
  <c r="O3" i="11"/>
  <c r="O26" i="11"/>
  <c r="O25" i="11"/>
  <c r="G31" i="17"/>
  <c r="G32" i="17" s="1"/>
  <c r="K31" i="17"/>
  <c r="K32" i="17" s="1"/>
  <c r="P135" i="16" l="1"/>
  <c r="P123" i="16"/>
  <c r="P111" i="16"/>
  <c r="P99" i="16"/>
  <c r="P87" i="16"/>
  <c r="P75" i="16"/>
  <c r="P63" i="16"/>
  <c r="P51" i="16"/>
  <c r="P39" i="16"/>
  <c r="P27" i="16"/>
  <c r="P15" i="16"/>
  <c r="P160" i="16"/>
  <c r="P313" i="16"/>
  <c r="P301" i="16"/>
  <c r="P289" i="16"/>
  <c r="P277" i="16"/>
  <c r="P265" i="16"/>
  <c r="P149" i="16"/>
  <c r="P138" i="16"/>
  <c r="P171" i="16"/>
  <c r="P219" i="16"/>
  <c r="P229" i="16"/>
  <c r="P249" i="16"/>
  <c r="P143" i="16"/>
  <c r="P156" i="16"/>
  <c r="P158" i="16"/>
  <c r="P112" i="16"/>
  <c r="P28" i="16"/>
  <c r="P314" i="16"/>
  <c r="P290" i="16"/>
  <c r="P137" i="16"/>
  <c r="P183" i="16"/>
  <c r="P193" i="16"/>
  <c r="P144" i="16"/>
  <c r="P134" i="16"/>
  <c r="P122" i="16"/>
  <c r="P110" i="16"/>
  <c r="P98" i="16"/>
  <c r="P86" i="16"/>
  <c r="P74" i="16"/>
  <c r="P62" i="16"/>
  <c r="P50" i="16"/>
  <c r="P38" i="16"/>
  <c r="P26" i="16"/>
  <c r="P172" i="16"/>
  <c r="P312" i="16"/>
  <c r="P300" i="16"/>
  <c r="P288" i="16"/>
  <c r="P276" i="16"/>
  <c r="P264" i="16"/>
  <c r="P161" i="16"/>
  <c r="P150" i="16"/>
  <c r="P139" i="16"/>
  <c r="P140" i="16"/>
  <c r="P147" i="16"/>
  <c r="P195" i="16"/>
  <c r="P155" i="16"/>
  <c r="P168" i="16"/>
  <c r="P170" i="16"/>
  <c r="P124" i="16"/>
  <c r="P40" i="16"/>
  <c r="P148" i="16"/>
  <c r="P302" i="16"/>
  <c r="P250" i="16"/>
  <c r="P133" i="16"/>
  <c r="P121" i="16"/>
  <c r="P109" i="16"/>
  <c r="P97" i="16"/>
  <c r="P85" i="16"/>
  <c r="P73" i="16"/>
  <c r="P61" i="16"/>
  <c r="P49" i="16"/>
  <c r="P37" i="16"/>
  <c r="P25" i="16"/>
  <c r="P13" i="16"/>
  <c r="P184" i="16"/>
  <c r="P311" i="16"/>
  <c r="P299" i="16"/>
  <c r="P287" i="16"/>
  <c r="P275" i="16"/>
  <c r="P263" i="16"/>
  <c r="P173" i="16"/>
  <c r="P162" i="16"/>
  <c r="P151" i="16"/>
  <c r="P152" i="16"/>
  <c r="P243" i="16"/>
  <c r="P142" i="16"/>
  <c r="P167" i="16"/>
  <c r="P180" i="16"/>
  <c r="P182" i="16"/>
  <c r="P132" i="16"/>
  <c r="P120" i="16"/>
  <c r="P108" i="16"/>
  <c r="P96" i="16"/>
  <c r="P84" i="16"/>
  <c r="P72" i="16"/>
  <c r="P60" i="16"/>
  <c r="P48" i="16"/>
  <c r="P36" i="16"/>
  <c r="P24" i="16"/>
  <c r="P12" i="16"/>
  <c r="P196" i="16"/>
  <c r="P310" i="16"/>
  <c r="P298" i="16"/>
  <c r="P286" i="16"/>
  <c r="P274" i="16"/>
  <c r="P262" i="16"/>
  <c r="P185" i="16"/>
  <c r="P174" i="16"/>
  <c r="P163" i="16"/>
  <c r="P164" i="16"/>
  <c r="P141" i="16"/>
  <c r="P154" i="16"/>
  <c r="P179" i="16"/>
  <c r="P192" i="16"/>
  <c r="P194" i="16"/>
  <c r="P131" i="16"/>
  <c r="P119" i="16"/>
  <c r="P107" i="16"/>
  <c r="P95" i="16"/>
  <c r="P83" i="16"/>
  <c r="P71" i="16"/>
  <c r="P59" i="16"/>
  <c r="P47" i="16"/>
  <c r="P35" i="16"/>
  <c r="P23" i="16"/>
  <c r="P309" i="16"/>
  <c r="P297" i="16"/>
  <c r="P285" i="16"/>
  <c r="P273" i="16"/>
  <c r="P261" i="16"/>
  <c r="P197" i="16"/>
  <c r="P186" i="16"/>
  <c r="P175" i="16"/>
  <c r="P176" i="16"/>
  <c r="P153" i="16"/>
  <c r="P166" i="16"/>
  <c r="P191" i="16"/>
  <c r="P204" i="16"/>
  <c r="P206" i="16"/>
  <c r="P88" i="16"/>
  <c r="P130" i="16"/>
  <c r="P118" i="16"/>
  <c r="P106" i="16"/>
  <c r="P94" i="16"/>
  <c r="P82" i="16"/>
  <c r="P70" i="16"/>
  <c r="P58" i="16"/>
  <c r="P46" i="16"/>
  <c r="P34" i="16"/>
  <c r="P22" i="16"/>
  <c r="P220" i="16"/>
  <c r="P308" i="16"/>
  <c r="P296" i="16"/>
  <c r="P284" i="16"/>
  <c r="P272" i="16"/>
  <c r="P260" i="16"/>
  <c r="P209" i="16"/>
  <c r="P198" i="16"/>
  <c r="P187" i="16"/>
  <c r="P188" i="16"/>
  <c r="P165" i="16"/>
  <c r="P178" i="16"/>
  <c r="P203" i="16"/>
  <c r="P216" i="16"/>
  <c r="P218" i="16"/>
  <c r="P129" i="16"/>
  <c r="P117" i="16"/>
  <c r="P105" i="16"/>
  <c r="P93" i="16"/>
  <c r="P81" i="16"/>
  <c r="P69" i="16"/>
  <c r="P57" i="16"/>
  <c r="P45" i="16"/>
  <c r="P33" i="16"/>
  <c r="P21" i="16"/>
  <c r="P307" i="16"/>
  <c r="P295" i="16"/>
  <c r="P283" i="16"/>
  <c r="P271" i="16"/>
  <c r="P259" i="16"/>
  <c r="P221" i="16"/>
  <c r="P210" i="16"/>
  <c r="P199" i="16"/>
  <c r="P200" i="16"/>
  <c r="P177" i="16"/>
  <c r="P190" i="16"/>
  <c r="P215" i="16"/>
  <c r="P228" i="16"/>
  <c r="P230" i="16"/>
  <c r="P237" i="16"/>
  <c r="P128" i="16"/>
  <c r="P116" i="16"/>
  <c r="P104" i="16"/>
  <c r="P92" i="16"/>
  <c r="P80" i="16"/>
  <c r="P68" i="16"/>
  <c r="P56" i="16"/>
  <c r="P44" i="16"/>
  <c r="P32" i="16"/>
  <c r="P20" i="16"/>
  <c r="P244" i="16"/>
  <c r="P306" i="16"/>
  <c r="P294" i="16"/>
  <c r="P282" i="16"/>
  <c r="P270" i="16"/>
  <c r="P258" i="16"/>
  <c r="P233" i="16"/>
  <c r="P222" i="16"/>
  <c r="P211" i="16"/>
  <c r="P212" i="16"/>
  <c r="P189" i="16"/>
  <c r="P202" i="16"/>
  <c r="P239" i="16"/>
  <c r="P252" i="16"/>
  <c r="P242" i="16"/>
  <c r="P52" i="16"/>
  <c r="P205" i="16"/>
  <c r="P127" i="16"/>
  <c r="P115" i="16"/>
  <c r="P103" i="16"/>
  <c r="P91" i="16"/>
  <c r="P79" i="16"/>
  <c r="P67" i="16"/>
  <c r="P55" i="16"/>
  <c r="P43" i="16"/>
  <c r="P31" i="16"/>
  <c r="P19" i="16"/>
  <c r="P256" i="16"/>
  <c r="P305" i="16"/>
  <c r="P293" i="16"/>
  <c r="P281" i="16"/>
  <c r="P269" i="16"/>
  <c r="P257" i="16"/>
  <c r="P245" i="16"/>
  <c r="P234" i="16"/>
  <c r="P223" i="16"/>
  <c r="P236" i="16"/>
  <c r="P201" i="16"/>
  <c r="P214" i="16"/>
  <c r="P145" i="16"/>
  <c r="P169" i="16"/>
  <c r="P254" i="16"/>
  <c r="P278" i="16"/>
  <c r="P126" i="16"/>
  <c r="P114" i="16"/>
  <c r="P102" i="16"/>
  <c r="P90" i="16"/>
  <c r="P78" i="16"/>
  <c r="P66" i="16"/>
  <c r="P54" i="16"/>
  <c r="P42" i="16"/>
  <c r="P30" i="16"/>
  <c r="P18" i="16"/>
  <c r="P316" i="16"/>
  <c r="P304" i="16"/>
  <c r="P292" i="16"/>
  <c r="P280" i="16"/>
  <c r="P268" i="16"/>
  <c r="P251" i="16"/>
  <c r="P224" i="16"/>
  <c r="P246" i="16"/>
  <c r="P235" i="16"/>
  <c r="P248" i="16"/>
  <c r="P213" i="16"/>
  <c r="P226" i="16"/>
  <c r="P217" i="16"/>
  <c r="P253" i="16"/>
  <c r="P157" i="16"/>
  <c r="P125" i="16"/>
  <c r="P113" i="16"/>
  <c r="P101" i="16"/>
  <c r="P89" i="16"/>
  <c r="P77" i="16"/>
  <c r="P65" i="16"/>
  <c r="P53" i="16"/>
  <c r="P41" i="16"/>
  <c r="P29" i="16"/>
  <c r="P17" i="16"/>
  <c r="P322" i="16"/>
  <c r="P334" i="16"/>
  <c r="P346" i="16"/>
  <c r="P358" i="16"/>
  <c r="P370" i="16"/>
  <c r="P382" i="16"/>
  <c r="P355" i="16"/>
  <c r="P5" i="16"/>
  <c r="F4" i="16" s="1"/>
  <c r="P323" i="16"/>
  <c r="P335" i="16"/>
  <c r="P347" i="16"/>
  <c r="P359" i="16"/>
  <c r="P371" i="16"/>
  <c r="P379" i="16"/>
  <c r="P6" i="16"/>
  <c r="P324" i="16"/>
  <c r="P336" i="16"/>
  <c r="P348" i="16"/>
  <c r="P360" i="16"/>
  <c r="P372" i="16"/>
  <c r="P321" i="16"/>
  <c r="P7" i="16"/>
  <c r="P325" i="16"/>
  <c r="P337" i="16"/>
  <c r="P349" i="16"/>
  <c r="P361" i="16"/>
  <c r="P373" i="16"/>
  <c r="P8" i="16"/>
  <c r="P326" i="16"/>
  <c r="P338" i="16"/>
  <c r="P350" i="16"/>
  <c r="P362" i="16"/>
  <c r="P374" i="16"/>
  <c r="P331" i="16"/>
  <c r="P345" i="16"/>
  <c r="P9" i="16"/>
  <c r="P327" i="16"/>
  <c r="P339" i="16"/>
  <c r="P351" i="16"/>
  <c r="P363" i="16"/>
  <c r="P375" i="16"/>
  <c r="P10" i="16"/>
  <c r="P328" i="16"/>
  <c r="P340" i="16"/>
  <c r="P352" i="16"/>
  <c r="P364" i="16"/>
  <c r="P376" i="16"/>
  <c r="P317" i="16"/>
  <c r="P329" i="16"/>
  <c r="P341" i="16"/>
  <c r="P353" i="16"/>
  <c r="P365" i="16"/>
  <c r="P377" i="16"/>
  <c r="P343" i="16"/>
  <c r="P333" i="16"/>
  <c r="P381" i="16"/>
  <c r="P318" i="16"/>
  <c r="P330" i="16"/>
  <c r="P342" i="16"/>
  <c r="P354" i="16"/>
  <c r="P366" i="16"/>
  <c r="P378" i="16"/>
  <c r="P367" i="16"/>
  <c r="P369" i="16"/>
  <c r="P319" i="16"/>
  <c r="P320" i="16"/>
  <c r="P332" i="16"/>
  <c r="P344" i="16"/>
  <c r="P356" i="16"/>
  <c r="P368" i="16"/>
  <c r="P380" i="16"/>
  <c r="P357" i="16"/>
  <c r="P315" i="16"/>
  <c r="P303" i="16"/>
  <c r="P291" i="16"/>
  <c r="P279" i="16"/>
  <c r="P267" i="16"/>
  <c r="P181" i="16"/>
  <c r="P241" i="16"/>
  <c r="P240" i="16"/>
  <c r="P247" i="16"/>
  <c r="P227" i="16"/>
  <c r="P225" i="16"/>
  <c r="P238" i="16"/>
  <c r="P207" i="16"/>
  <c r="P231" i="16"/>
  <c r="P255" i="16"/>
  <c r="S4" i="11"/>
  <c r="G14" i="27" s="1"/>
  <c r="I14" i="27" s="1"/>
  <c r="S3" i="11"/>
  <c r="F14" i="27" s="1"/>
  <c r="E13" i="15" l="1"/>
  <c r="E15" i="15" s="1"/>
  <c r="E17" i="15" s="1"/>
  <c r="G11" i="27" s="1"/>
  <c r="I11" i="27" s="1"/>
  <c r="E12" i="15"/>
  <c r="E14" i="15" s="1"/>
  <c r="E16" i="15" s="1"/>
  <c r="F11" i="27" s="1"/>
  <c r="H11" i="27" s="1"/>
  <c r="J11" i="27" s="1"/>
  <c r="F13" i="15"/>
  <c r="F15" i="15" s="1"/>
  <c r="F17" i="15" s="1"/>
  <c r="G12" i="27" s="1"/>
  <c r="I12" i="27" s="1"/>
  <c r="F12" i="15"/>
  <c r="F14" i="15" s="1"/>
  <c r="F16" i="15" s="1"/>
  <c r="F12" i="27" s="1"/>
  <c r="H12" i="27" s="1"/>
  <c r="J12" i="27" s="1"/>
  <c r="D12" i="15"/>
  <c r="D14" i="15" s="1"/>
  <c r="D16" i="15" s="1"/>
  <c r="F9" i="27" s="1"/>
  <c r="H9" i="27" s="1"/>
  <c r="J9" i="27" s="1"/>
  <c r="D13" i="15"/>
  <c r="D15" i="15" s="1"/>
  <c r="D17" i="15" s="1"/>
  <c r="G9" i="27" s="1"/>
  <c r="I9" i="27" s="1"/>
  <c r="D6" i="25"/>
  <c r="D8" i="25" s="1"/>
  <c r="F18" i="27" s="1"/>
  <c r="H18" i="27" s="1"/>
  <c r="J18" i="27" s="1"/>
  <c r="J9" i="24"/>
  <c r="J12" i="24" s="1"/>
  <c r="J10" i="24"/>
  <c r="J13" i="24" s="1"/>
  <c r="D7" i="25"/>
  <c r="D9" i="25" s="1"/>
  <c r="G18" i="27" s="1"/>
  <c r="I18" i="27" s="1"/>
  <c r="H14" i="27"/>
  <c r="I15" i="27"/>
  <c r="H15" i="27"/>
  <c r="J15" i="27" s="1"/>
  <c r="V11" i="16"/>
  <c r="O21" i="24" l="1"/>
  <c r="R21" i="24" s="1"/>
  <c r="O16" i="24"/>
  <c r="R16" i="24" s="1"/>
  <c r="O22" i="24"/>
  <c r="R22" i="24" s="1"/>
  <c r="O31" i="24"/>
  <c r="R31" i="24" s="1"/>
  <c r="O19" i="24"/>
  <c r="R19" i="24" s="1"/>
  <c r="O30" i="24"/>
  <c r="R30" i="24" s="1"/>
  <c r="O17" i="24"/>
  <c r="R17" i="24" s="1"/>
  <c r="O18" i="24"/>
  <c r="R18" i="24" s="1"/>
  <c r="O28" i="24"/>
  <c r="R28" i="24" s="1"/>
  <c r="O27" i="24"/>
  <c r="R27" i="24" s="1"/>
  <c r="O26" i="24"/>
  <c r="R26" i="24" s="1"/>
  <c r="O24" i="24"/>
  <c r="R24" i="24" s="1"/>
  <c r="O13" i="24"/>
  <c r="R13" i="24" s="1"/>
  <c r="O23" i="24"/>
  <c r="R23" i="24" s="1"/>
  <c r="O14" i="24"/>
  <c r="R14" i="24" s="1"/>
  <c r="O15" i="24"/>
  <c r="R15" i="24" s="1"/>
  <c r="O29" i="24"/>
  <c r="R29" i="24" s="1"/>
  <c r="O20" i="24"/>
  <c r="R20" i="24" s="1"/>
  <c r="O32" i="24"/>
  <c r="R32" i="24" s="1"/>
  <c r="O25" i="24"/>
  <c r="R25" i="24" s="1"/>
  <c r="O8" i="24"/>
  <c r="R8" i="24" s="1"/>
  <c r="O11" i="24"/>
  <c r="R11" i="24" s="1"/>
  <c r="O10" i="24"/>
  <c r="R10" i="24" s="1"/>
  <c r="O9" i="24"/>
  <c r="R9" i="24" s="1"/>
  <c r="O12" i="24"/>
  <c r="R12" i="24" s="1"/>
  <c r="O7" i="24"/>
  <c r="R7" i="24" s="1"/>
  <c r="J14" i="27"/>
  <c r="V12" i="16"/>
  <c r="V8" i="24" l="1"/>
  <c r="F10" i="27" s="1"/>
  <c r="V9" i="24"/>
  <c r="G10" i="27" s="1"/>
  <c r="V13" i="16"/>
  <c r="I10" i="27" l="1"/>
  <c r="I21" i="27" s="1"/>
  <c r="G21" i="27"/>
  <c r="H10" i="27"/>
  <c r="F21" i="27"/>
  <c r="V14" i="16"/>
  <c r="J10" i="27" l="1"/>
  <c r="H21" i="27"/>
  <c r="J21" i="27" s="1"/>
  <c r="V15" i="16"/>
  <c r="V16" i="16" l="1"/>
  <c r="V17" i="16" l="1"/>
  <c r="V18" i="16" l="1"/>
  <c r="V19" i="16" l="1"/>
  <c r="V20" i="16" l="1"/>
  <c r="V21" i="16" l="1"/>
  <c r="V22" i="16" l="1"/>
  <c r="V23" i="16" l="1"/>
  <c r="V24" i="16" l="1"/>
  <c r="V25" i="16" l="1"/>
  <c r="V26" i="16" l="1"/>
  <c r="V27" i="16" l="1"/>
  <c r="V28" i="16" l="1"/>
  <c r="V29" i="16" l="1"/>
  <c r="V30" i="16" l="1"/>
  <c r="V31" i="16" l="1"/>
  <c r="V32" i="16" l="1"/>
  <c r="V33" i="16" l="1"/>
  <c r="V34" i="16" l="1"/>
  <c r="V35" i="16" l="1"/>
  <c r="C7" i="11" l="1"/>
  <c r="F5" i="16" l="1"/>
  <c r="F6" i="16"/>
  <c r="W10" i="16" l="1"/>
  <c r="W11" i="16"/>
  <c r="W12" i="16"/>
  <c r="W13" i="16"/>
  <c r="W14" i="16"/>
  <c r="W15" i="16"/>
  <c r="W16" i="16"/>
  <c r="W17" i="16"/>
  <c r="W18" i="16"/>
  <c r="W19" i="16"/>
  <c r="W20" i="16"/>
  <c r="W21" i="16"/>
  <c r="W22" i="16"/>
  <c r="W23" i="16"/>
  <c r="W24" i="16"/>
  <c r="W25" i="16"/>
  <c r="W26" i="16"/>
  <c r="W27" i="16"/>
  <c r="W28" i="16"/>
  <c r="W29" i="16"/>
  <c r="W30" i="16"/>
  <c r="W31" i="16"/>
  <c r="W32" i="16"/>
  <c r="W33" i="16"/>
  <c r="W34" i="16"/>
  <c r="W35" i="16"/>
  <c r="AF4" i="16"/>
  <c r="AG4" i="16" s="1"/>
  <c r="W36" i="16" l="1"/>
  <c r="X10" i="16"/>
  <c r="X11" i="16"/>
  <c r="X12" i="16"/>
  <c r="X13" i="16"/>
  <c r="X14" i="16"/>
  <c r="X15" i="16"/>
  <c r="X16" i="16"/>
  <c r="X17" i="16"/>
  <c r="X18" i="16"/>
  <c r="X19" i="16"/>
  <c r="X20" i="16"/>
  <c r="X21" i="16"/>
  <c r="X22" i="16"/>
  <c r="X23" i="16"/>
  <c r="X24" i="16"/>
  <c r="X25" i="16"/>
  <c r="X26" i="16"/>
  <c r="X27" i="16"/>
  <c r="X28" i="16"/>
  <c r="X29" i="16"/>
  <c r="X30" i="16"/>
  <c r="X31" i="16"/>
  <c r="X32" i="16"/>
  <c r="X33" i="16"/>
  <c r="X34" i="16"/>
  <c r="X35" i="16"/>
  <c r="X36" i="16" l="1"/>
  <c r="AC5" i="16" s="1"/>
  <c r="AC6" i="1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tc={73224171-986B-4D95-A832-E66B1824A1CF}</author>
  </authors>
  <commentList>
    <comment ref="O7" authorId="0" shapeId="0" xr:uid="{73224171-986B-4D95-A832-E66B1824A1CF}">
      <text>
        <t>[Threaded comment]
Your version of Excel allows you to read this threaded comment; however, any edits to it will get removed if the file is opened in a newer version of Excel. Learn more: https://go.microsoft.com/fwlink/?linkid=870924
Comment:
    Assuming half of 60 month phase-in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tc={A1EC6F08-D5D5-4961-B964-D6A1E2A249C4}</author>
  </authors>
  <commentList>
    <comment ref="D7" authorId="0" shapeId="0" xr:uid="{A1EC6F08-D5D5-4961-B964-D6A1E2A249C4}">
      <text>
        <t>[Threaded comment]
Your version of Excel allows you to read this threaded comment; however, any edits to it will get removed if the file is opened in a newer version of Excel. Learn more: https://go.microsoft.com/fwlink/?linkid=870924
Comment:
    Test case to confirm I can match CAPCOA.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tc={A449E6EE-F8FF-4990-AC03-E838CB078C81}</author>
  </authors>
  <commentList>
    <comment ref="I3" authorId="0" shapeId="0" xr:uid="{A449E6EE-F8FF-4990-AC03-E838CB078C81}">
      <text>
        <t>[Threaded comment]
Your version of Excel allows you to read this threaded comment; however, any edits to it will get removed if the file is opened in a newer version of Excel. Learn more: https://go.microsoft.com/fwlink/?linkid=870924
Comment:
    Trees only grow for 20 out of these 25 years.</t>
      </text>
    </comment>
  </commentList>
</comments>
</file>

<file path=xl/sharedStrings.xml><?xml version="1.0" encoding="utf-8"?>
<sst xmlns="http://schemas.openxmlformats.org/spreadsheetml/2006/main" count="13653" uniqueCount="2601">
  <si>
    <t>Trees</t>
  </si>
  <si>
    <t>Total</t>
  </si>
  <si>
    <t>NA</t>
  </si>
  <si>
    <t>Project</t>
  </si>
  <si>
    <t>Project Name</t>
  </si>
  <si>
    <t>Number of Trees</t>
  </si>
  <si>
    <t>Cost</t>
  </si>
  <si>
    <t>MT CO2e reductions</t>
  </si>
  <si>
    <t>2025-2030</t>
  </si>
  <si>
    <t>2025-2050</t>
  </si>
  <si>
    <t>Diesel</t>
  </si>
  <si>
    <t>Aggregate</t>
  </si>
  <si>
    <t>Kern</t>
  </si>
  <si>
    <t>Gasoline</t>
  </si>
  <si>
    <t>Fuel Consumption</t>
  </si>
  <si>
    <t>Fuel</t>
  </si>
  <si>
    <t>Model Year</t>
  </si>
  <si>
    <t>Vehicle Category</t>
  </si>
  <si>
    <t>Calendar Year</t>
  </si>
  <si>
    <t>Region</t>
  </si>
  <si>
    <t>Calendar Year: 2024</t>
  </si>
  <si>
    <t>Region: Kern</t>
  </si>
  <si>
    <t>Region Type: County</t>
  </si>
  <si>
    <t>Bakersfield Senior Housing &amp; Facility</t>
  </si>
  <si>
    <t>Category 0</t>
  </si>
  <si>
    <t>Green Ridge Power LLC</t>
  </si>
  <si>
    <t>CA</t>
  </si>
  <si>
    <t>Alameda</t>
  </si>
  <si>
    <t>Tracy</t>
  </si>
  <si>
    <t>Expired</t>
  </si>
  <si>
    <t>Wind</t>
  </si>
  <si>
    <t>Green Ridge Power LLC (100 MW - A)</t>
  </si>
  <si>
    <t>QF Standard Contract</t>
  </si>
  <si>
    <t>Pacific Gas and Electric (PG)</t>
  </si>
  <si>
    <t>Patterson Pass Wind Farm LLC</t>
  </si>
  <si>
    <t>San Joaquin</t>
  </si>
  <si>
    <t>Category 1</t>
  </si>
  <si>
    <t>Pacific Ultrapower Chinese Station</t>
  </si>
  <si>
    <t>Tuolumne</t>
  </si>
  <si>
    <t>Jamestown</t>
  </si>
  <si>
    <t>Online</t>
  </si>
  <si>
    <t>Biomass</t>
  </si>
  <si>
    <t>BioRAM (Bio Energy/Mass)</t>
  </si>
  <si>
    <t>Southern California Edison (SC)</t>
  </si>
  <si>
    <t>Calleguas MWD</t>
  </si>
  <si>
    <t xml:space="preserve">Ventura </t>
  </si>
  <si>
    <t>Thousand Oaks</t>
  </si>
  <si>
    <t>Small hydro</t>
  </si>
  <si>
    <t>Calleguas MWD - Unit 3 (Santa Rosa)</t>
  </si>
  <si>
    <t>Humboldt Bay Mwd</t>
  </si>
  <si>
    <t>Trinity</t>
  </si>
  <si>
    <t>Ruth</t>
  </si>
  <si>
    <t>Terminated</t>
  </si>
  <si>
    <t>Humboldt Bay MWD</t>
  </si>
  <si>
    <t>Mill &amp; Sulphur Creek Power Plant LP</t>
  </si>
  <si>
    <t>Humboldt</t>
  </si>
  <si>
    <t>Bridgeville</t>
  </si>
  <si>
    <t>Mill &amp; Sulphur Creek</t>
  </si>
  <si>
    <t>AES Wind</t>
  </si>
  <si>
    <t xml:space="preserve">Riverside </t>
  </si>
  <si>
    <t>Palm Springs</t>
  </si>
  <si>
    <t>Section 16-29  Trust  (Altech III)</t>
  </si>
  <si>
    <t>Sonoma Clean Power Authority</t>
  </si>
  <si>
    <t>Lassen</t>
  </si>
  <si>
    <t>Wendel</t>
  </si>
  <si>
    <t>N/A</t>
  </si>
  <si>
    <t>PSA - Bilateral</t>
  </si>
  <si>
    <t>San Diego Gas &amp; Electric (SD)</t>
  </si>
  <si>
    <t>Fortistar LLC</t>
  </si>
  <si>
    <t>Santa Clara</t>
  </si>
  <si>
    <t>San Jose</t>
  </si>
  <si>
    <t>Landfill gas</t>
  </si>
  <si>
    <t>Gas Recovery Sys. (Newby Island 2)</t>
  </si>
  <si>
    <t>TKO Power (South Bear Creek)</t>
  </si>
  <si>
    <t>Shasta</t>
  </si>
  <si>
    <t>SHINGLETOWN</t>
  </si>
  <si>
    <t>Tko Power (South Fork Bear Creek)</t>
  </si>
  <si>
    <t>IHI Power Services Corp.</t>
  </si>
  <si>
    <t>Pacific-Ultrapower Chinese Station</t>
  </si>
  <si>
    <t>Terra-Gen</t>
  </si>
  <si>
    <t xml:space="preserve">Kern </t>
  </si>
  <si>
    <t>Mojave</t>
  </si>
  <si>
    <t>Oak Creek Energy Systems Inc.</t>
  </si>
  <si>
    <t>Arbuckle Mountain Hydro</t>
  </si>
  <si>
    <t>Platina</t>
  </si>
  <si>
    <t>Green Ridge Power LLC (23.8 MW)</t>
  </si>
  <si>
    <t>Forebay Wind, LLC</t>
  </si>
  <si>
    <t>Forebay Wind LLC - Altech</t>
  </si>
  <si>
    <t>Riverside</t>
  </si>
  <si>
    <t>Perris</t>
  </si>
  <si>
    <t>Solar PV - Rooftop</t>
  </si>
  <si>
    <t>SPVP044 - Perris</t>
  </si>
  <si>
    <t>Utility-Owned Generation (UOG)</t>
  </si>
  <si>
    <t>EDF Renewable Windfarm V, Inc.</t>
  </si>
  <si>
    <t>Solano</t>
  </si>
  <si>
    <t>Suisun City</t>
  </si>
  <si>
    <t>EDF Renewable Windfarm V, Inc. (70 MW - B)</t>
  </si>
  <si>
    <t>Walnut Valley</t>
  </si>
  <si>
    <t xml:space="preserve">Los Angeles </t>
  </si>
  <si>
    <t>Walnut</t>
  </si>
  <si>
    <t>Walnut Valley Water District (#2)</t>
  </si>
  <si>
    <t>Cameron Ridge LLC (IV)</t>
  </si>
  <si>
    <t>NextEra (FP&amp;L)</t>
  </si>
  <si>
    <t xml:space="preserve">San Bernardino </t>
  </si>
  <si>
    <t>Boron</t>
  </si>
  <si>
    <t>Solar Thermal - No Storage</t>
  </si>
  <si>
    <t>Luz Solar Partners Ltd. III</t>
  </si>
  <si>
    <t>Forebay Wind LLC - Western</t>
  </si>
  <si>
    <t>Commercial Energy of Montana, Inc.</t>
  </si>
  <si>
    <t>Various</t>
  </si>
  <si>
    <t>Vario</t>
  </si>
  <si>
    <t>PSA - Solicitation</t>
  </si>
  <si>
    <t>Rock Creek L.P.</t>
  </si>
  <si>
    <t>El Dorado</t>
  </si>
  <si>
    <t>Placerville</t>
  </si>
  <si>
    <t>Rock Creek</t>
  </si>
  <si>
    <t>Salmon Creek Hydroelectric Co.</t>
  </si>
  <si>
    <t>Sierra</t>
  </si>
  <si>
    <t>Sierra City</t>
  </si>
  <si>
    <t>Salmon Creek Hydroelectric Company, LLC</t>
  </si>
  <si>
    <t>Napa</t>
  </si>
  <si>
    <t>AMERICAN CANYON</t>
  </si>
  <si>
    <t>Gas Recovery Sys. (American Cyn)</t>
  </si>
  <si>
    <t>Yolo County Flood &amp; WCD</t>
  </si>
  <si>
    <t>Lake</t>
  </si>
  <si>
    <t>Clearlake Oaks</t>
  </si>
  <si>
    <t>Indian Valley Hydro</t>
  </si>
  <si>
    <t>QF CHP</t>
  </si>
  <si>
    <t>Green Sand Investments, LLC</t>
  </si>
  <si>
    <t>San Diego</t>
  </si>
  <si>
    <t>Solar PV - Ground mount</t>
  </si>
  <si>
    <t>X-nth</t>
  </si>
  <si>
    <t>Luz Solar Partners Ltd. IX</t>
  </si>
  <si>
    <t>San Bernardino</t>
  </si>
  <si>
    <t>Hinkley</t>
  </si>
  <si>
    <t>Rio Bravo Rocklin</t>
  </si>
  <si>
    <t>Placer</t>
  </si>
  <si>
    <t>Lincoln</t>
  </si>
  <si>
    <t>enXco</t>
  </si>
  <si>
    <t>Difwind Partners</t>
  </si>
  <si>
    <t>MidAmerican (CalEnergy)</t>
  </si>
  <si>
    <t xml:space="preserve">Imperial </t>
  </si>
  <si>
    <t>Niland</t>
  </si>
  <si>
    <t>Geothermal</t>
  </si>
  <si>
    <t>Vulcan/Bn Geothermal</t>
  </si>
  <si>
    <t>Rio Bravo Fresno</t>
  </si>
  <si>
    <t>Fresno</t>
  </si>
  <si>
    <t>Shamrock Utilities (Clover Leaf)</t>
  </si>
  <si>
    <t>OAK RUN</t>
  </si>
  <si>
    <t>Tehachapi</t>
  </si>
  <si>
    <t>Wind Stream Operations, LLC (VG # 4)</t>
  </si>
  <si>
    <t>Ridgetop Energy, LLC (I)</t>
  </si>
  <si>
    <t>Merced Irrigation District</t>
  </si>
  <si>
    <t>Merced</t>
  </si>
  <si>
    <t>Canal Creek Power Plant (RETA)</t>
  </si>
  <si>
    <t>Camarillo</t>
  </si>
  <si>
    <t>Calleguas MWD (Springville Hydro)</t>
  </si>
  <si>
    <t>Geysers Power Company, LLC</t>
  </si>
  <si>
    <t>Sonoma/Lake</t>
  </si>
  <si>
    <t>Middletown</t>
  </si>
  <si>
    <t>Geysers Power Company, LLC (f/k/a 3107)</t>
  </si>
  <si>
    <t>Renewable Standard Contract (RSC)</t>
  </si>
  <si>
    <t>Mega Renewables</t>
  </si>
  <si>
    <t>Burney</t>
  </si>
  <si>
    <t>Mega Renewables (Bidwell Ditch)</t>
  </si>
  <si>
    <t>Montgomery Creek</t>
  </si>
  <si>
    <t>Mega Renewables (Roaring Crk)</t>
  </si>
  <si>
    <t>California</t>
  </si>
  <si>
    <t>Snelling</t>
  </si>
  <si>
    <t>Merced Falls Powerhouse</t>
  </si>
  <si>
    <t>Inland Empire Utilities Agency</t>
  </si>
  <si>
    <t>Chino</t>
  </si>
  <si>
    <t>Olcese Water District</t>
  </si>
  <si>
    <t>Bakersfield</t>
  </si>
  <si>
    <t>El Dorado Hydro, LLC</t>
  </si>
  <si>
    <t>Pollock Pines</t>
  </si>
  <si>
    <t>El Dorado Hydro  (Montgomery Creek)</t>
  </si>
  <si>
    <t>Madera-Chowchilla Water And Power Authority</t>
  </si>
  <si>
    <t>Madera</t>
  </si>
  <si>
    <t>Madera Canal (1174 + 84)</t>
  </si>
  <si>
    <t>Royal Farms #2</t>
  </si>
  <si>
    <t>Tulare</t>
  </si>
  <si>
    <t>Forebay Wind LLC - Seawest</t>
  </si>
  <si>
    <t>Richard Moss</t>
  </si>
  <si>
    <t xml:space="preserve">Mono </t>
  </si>
  <si>
    <t>Hammil Valley</t>
  </si>
  <si>
    <t>Benninghoven Hydro</t>
  </si>
  <si>
    <t>Zenia</t>
  </si>
  <si>
    <t>Tom Benninghoven</t>
  </si>
  <si>
    <t>SPVP048 - Redlands</t>
  </si>
  <si>
    <t>Redlands</t>
  </si>
  <si>
    <t>Fairfield Grossmont Trolley, LLC</t>
  </si>
  <si>
    <t>La Mesa</t>
  </si>
  <si>
    <t>Fairfield Grossmont Trolley</t>
  </si>
  <si>
    <t>City of San Diego</t>
  </si>
  <si>
    <t>Hybrid</t>
  </si>
  <si>
    <t>City of San Diego (Point Loma)</t>
  </si>
  <si>
    <t>PPA - Solicitation</t>
  </si>
  <si>
    <t>Solano Irrigation District (SID)</t>
  </si>
  <si>
    <t>Vacaville</t>
  </si>
  <si>
    <t>Solano Irrigation District (SID)(ID/WA)</t>
  </si>
  <si>
    <t>PPA - Bilateral</t>
  </si>
  <si>
    <t>CED Lost Hills Solar, LLC</t>
  </si>
  <si>
    <t>Lost Hills</t>
  </si>
  <si>
    <t>In Development</t>
  </si>
  <si>
    <t>CED Lost Hills Solar</t>
  </si>
  <si>
    <t>Renewable Auction Mechanism (RAM)</t>
  </si>
  <si>
    <t>Nevada Irrigation District (Bowman)</t>
  </si>
  <si>
    <t>Nevada</t>
  </si>
  <si>
    <t>Nevada City</t>
  </si>
  <si>
    <t>Nevada Irrigation District/Bowman</t>
  </si>
  <si>
    <t>Yavi Energy</t>
  </si>
  <si>
    <t>NAWP Inc. (East Winds Proj)</t>
  </si>
  <si>
    <t>Indian Valley Hydro (PURPA)</t>
  </si>
  <si>
    <t>Carlyle Group</t>
  </si>
  <si>
    <t>Dagget</t>
  </si>
  <si>
    <t>Sunray Energy, Inc.</t>
  </si>
  <si>
    <t>DG Fairhaven Power, LLC</t>
  </si>
  <si>
    <t>Fairhaven</t>
  </si>
  <si>
    <t>DG Fairhaven Power</t>
  </si>
  <si>
    <t>Category 3</t>
  </si>
  <si>
    <t>SRECTrade, Inc.</t>
  </si>
  <si>
    <t>CA, AZ, NV</t>
  </si>
  <si>
    <t>Green Ridge Power LLC (70 MW)</t>
  </si>
  <si>
    <t>TKO Power -  South Fork Bear Creek</t>
  </si>
  <si>
    <t>Diablo Winds, LLC</t>
  </si>
  <si>
    <t>Livermore</t>
  </si>
  <si>
    <t>Diablo Winds</t>
  </si>
  <si>
    <t>Scherz Renewables Projectco LLC</t>
  </si>
  <si>
    <t>San Luis Obispo</t>
  </si>
  <si>
    <t>Creston</t>
  </si>
  <si>
    <t>Scherz</t>
  </si>
  <si>
    <t>FIT - 1969</t>
  </si>
  <si>
    <t>Camrosa County Water District</t>
  </si>
  <si>
    <t>Ventura</t>
  </si>
  <si>
    <t>Henwood</t>
  </si>
  <si>
    <t>Mono</t>
  </si>
  <si>
    <t>Bishop</t>
  </si>
  <si>
    <t>Desert Power Company</t>
  </si>
  <si>
    <t>Alta Wind XI, LLC</t>
  </si>
  <si>
    <t>Alta Windpower XI</t>
  </si>
  <si>
    <t>Alta Wind X, LLC</t>
  </si>
  <si>
    <t>Alta Windpower X</t>
  </si>
  <si>
    <t>Alta Wind III, LLC</t>
  </si>
  <si>
    <t>Alta Windpower III</t>
  </si>
  <si>
    <t>Alta Wind II, LLC</t>
  </si>
  <si>
    <t>Alta Windpower II</t>
  </si>
  <si>
    <t>Olsen Power Partners</t>
  </si>
  <si>
    <t>Whitmore</t>
  </si>
  <si>
    <t>Horseshoe Bend Wind, LLC(Shepherds Flat)</t>
  </si>
  <si>
    <t>OR</t>
  </si>
  <si>
    <t>Gilliam</t>
  </si>
  <si>
    <t>Arlington</t>
  </si>
  <si>
    <t>Horseshoe Bend Wind, LLC</t>
  </si>
  <si>
    <t>South Hurlburt, LLC (Shepherds Flat)</t>
  </si>
  <si>
    <t>S. Hurlburt Wind, LLC</t>
  </si>
  <si>
    <t>North Hurlburt, LLC (Shepherds Flat)</t>
  </si>
  <si>
    <t>N. Hurlburt Wind, LLC</t>
  </si>
  <si>
    <t>Three Valleys MWD</t>
  </si>
  <si>
    <t>Los Angeles</t>
  </si>
  <si>
    <t>La Verne</t>
  </si>
  <si>
    <t>Three Valleys MWD (Williams)</t>
  </si>
  <si>
    <t>Yavi Energy (f/k/a 6052)</t>
  </si>
  <si>
    <t>FIT - ReMAT</t>
  </si>
  <si>
    <t>STS HydroPower Kekawaka</t>
  </si>
  <si>
    <t>Trinity and Humboldt</t>
  </si>
  <si>
    <t>STS Hydropower (Kekawaka)</t>
  </si>
  <si>
    <t>Wendel Energy Operations I</t>
  </si>
  <si>
    <t>Wendel Energy Operations 1, LLC</t>
  </si>
  <si>
    <t>Montecito Water District</t>
  </si>
  <si>
    <t>Santa Barbara</t>
  </si>
  <si>
    <t>NLH 1 Solar, LLC</t>
  </si>
  <si>
    <t>Nickel 1</t>
  </si>
  <si>
    <t>Oroville Solar, LLC</t>
  </si>
  <si>
    <t>Tehama</t>
  </si>
  <si>
    <t>Corning</t>
  </si>
  <si>
    <t>2105 Hart</t>
  </si>
  <si>
    <t>Orange Cove Irrigation District</t>
  </si>
  <si>
    <t>Friant</t>
  </si>
  <si>
    <t>Fishwater Release</t>
  </si>
  <si>
    <t>Sanger</t>
  </si>
  <si>
    <t>Kings River Syphon</t>
  </si>
  <si>
    <t>Vista Corporation</t>
  </si>
  <si>
    <t>Calistoga</t>
  </si>
  <si>
    <t>Clover Flat LFG</t>
  </si>
  <si>
    <t>Pinyon Pines Wind II, LLC (Alta Wind IX, LLC)</t>
  </si>
  <si>
    <t>Pinyon Pines II</t>
  </si>
  <si>
    <t>Pinyon Pines Wind I, LLC (Alta Wind VII, LLC)</t>
  </si>
  <si>
    <t>Pinyon Pines I</t>
  </si>
  <si>
    <t>Luna Valley Solar</t>
  </si>
  <si>
    <t>Mendota</t>
  </si>
  <si>
    <t>Solar PV + Storage</t>
  </si>
  <si>
    <t>Luna Solar</t>
  </si>
  <si>
    <t>Yellow Pine Solar III, LLC</t>
  </si>
  <si>
    <t>NV</t>
  </si>
  <si>
    <t>Nye</t>
  </si>
  <si>
    <t>Pahrump</t>
  </si>
  <si>
    <t>Yellow Pine</t>
  </si>
  <si>
    <t>Wilco Investments, LLC</t>
  </si>
  <si>
    <t>Vista</t>
  </si>
  <si>
    <t>Wilco Investments</t>
  </si>
  <si>
    <t>Palomar Airport Road, LLC</t>
  </si>
  <si>
    <t>Carlsbad</t>
  </si>
  <si>
    <t>Towers at Bressi Ranch</t>
  </si>
  <si>
    <t>TallBear Seville LLC</t>
  </si>
  <si>
    <t>Imperial</t>
  </si>
  <si>
    <t>El Centro</t>
  </si>
  <si>
    <t>TallBear Seville</t>
  </si>
  <si>
    <t>Sycamore Energy 2 LLC</t>
  </si>
  <si>
    <t>Sycamore Landfill 2</t>
  </si>
  <si>
    <t>Sycamore Energy 1 LLC</t>
  </si>
  <si>
    <t>Santee</t>
  </si>
  <si>
    <t>Sycamore Landfill 1</t>
  </si>
  <si>
    <t>NaturEner Rim Rock Wind Energy, LLC</t>
  </si>
  <si>
    <t>MT</t>
  </si>
  <si>
    <t>Glacier</t>
  </si>
  <si>
    <t>Kevin</t>
  </si>
  <si>
    <t>Naturener Rim Rock Wind Energy</t>
  </si>
  <si>
    <t>Solar Borrego I LLC</t>
  </si>
  <si>
    <t>Borrego Springs</t>
  </si>
  <si>
    <t>Solar Borrego I</t>
  </si>
  <si>
    <t>Sol Orchard San Diego 23 LLC</t>
  </si>
  <si>
    <t>Valley Center</t>
  </si>
  <si>
    <t>Sol Orchard SD 23 (Valley Center 2)</t>
  </si>
  <si>
    <t>Sol Orchard San Diego 22 LLC</t>
  </si>
  <si>
    <t>Sol Orchard SD 22 (Valley Center 1)</t>
  </si>
  <si>
    <t>Sol Orchard San Diego 21 LLC</t>
  </si>
  <si>
    <t>Ramona</t>
  </si>
  <si>
    <t>Sol Orchard SD 21 (Ramona 2)</t>
  </si>
  <si>
    <t>Sol Orchard San Diego 20 LLC</t>
  </si>
  <si>
    <t>Sol Orchard SD 20 (Ramona 1)</t>
  </si>
  <si>
    <t>San Marcos Energy LLC</t>
  </si>
  <si>
    <t>San Marcos</t>
  </si>
  <si>
    <t>San Marcos Landfill</t>
  </si>
  <si>
    <t>RAM 3</t>
  </si>
  <si>
    <t>San Gorgonio Westwinds II, LLC</t>
  </si>
  <si>
    <t>San Gorgonio West II</t>
  </si>
  <si>
    <t>City of Oceanside</t>
  </si>
  <si>
    <t>Oceanside</t>
  </si>
  <si>
    <t>Conduit hydro</t>
  </si>
  <si>
    <t>San Francisco Peak Hydro (City of Oceanside)</t>
  </si>
  <si>
    <t>San Diego Community Power (“SDCP”) - REC sales from HLP</t>
  </si>
  <si>
    <t>Multi</t>
  </si>
  <si>
    <t>Multiple</t>
  </si>
  <si>
    <t>San Diego Gas &amp; Electric (Ramona Solar Energy)</t>
  </si>
  <si>
    <t>Ramona Solar</t>
  </si>
  <si>
    <t>Pacific Wind LLC</t>
  </si>
  <si>
    <t>Rosamond</t>
  </si>
  <si>
    <t>Pacific Wind</t>
  </si>
  <si>
    <t>Pacific Station Property, LLC</t>
  </si>
  <si>
    <t>Encinitas</t>
  </si>
  <si>
    <t>Pacific Station</t>
  </si>
  <si>
    <t>Naturener Glacier Wind Energy 2, LLC</t>
  </si>
  <si>
    <t>Toole</t>
  </si>
  <si>
    <t>Ethridge</t>
  </si>
  <si>
    <t>Naturener Glacier 2 Wind Energy</t>
  </si>
  <si>
    <t>Olivenhain Municipal Water District</t>
  </si>
  <si>
    <t>Olivenhain/Hodges Pumped Storage Facility</t>
  </si>
  <si>
    <t>Ocotillo Express LLC</t>
  </si>
  <si>
    <t>Ocotillo</t>
  </si>
  <si>
    <t>Ocotillo Express</t>
  </si>
  <si>
    <t>NLP Valley Center Solar, LLC</t>
  </si>
  <si>
    <t>NLP Valley Center</t>
  </si>
  <si>
    <t>NLP Granger A82, LLC</t>
  </si>
  <si>
    <t>NLP Granger Solar</t>
  </si>
  <si>
    <t>Naturener Glacier Wind Energy 1, LLC</t>
  </si>
  <si>
    <t>Naturener Glacier 1 Wind Energy</t>
  </si>
  <si>
    <t>Empire II Starlight, LLC</t>
  </si>
  <si>
    <t>Boulevard</t>
  </si>
  <si>
    <t>Starlight</t>
  </si>
  <si>
    <t>RAM 2</t>
  </si>
  <si>
    <t>Fortistar (formerly Gas Recovery Systems GRS)</t>
  </si>
  <si>
    <t>MM San Diego, LLC - Miramar</t>
  </si>
  <si>
    <t>MM Prima Deshecha Energy LLC</t>
  </si>
  <si>
    <t>Orange</t>
  </si>
  <si>
    <t>San Juan Capistrano</t>
  </si>
  <si>
    <t>MM Prima Deshecha</t>
  </si>
  <si>
    <t>RAM 6</t>
  </si>
  <si>
    <t>97WI 8ME LLC</t>
  </si>
  <si>
    <t>Calipatria</t>
  </si>
  <si>
    <t>Midway Solar Farm III</t>
  </si>
  <si>
    <t>Maricopa West Solar PV, LLC</t>
  </si>
  <si>
    <t>Maricopa</t>
  </si>
  <si>
    <t>Maricopa West</t>
  </si>
  <si>
    <t>Manzana Wind LLC</t>
  </si>
  <si>
    <t>Manzana Wind</t>
  </si>
  <si>
    <t>Kumeyaay Wind LLC</t>
  </si>
  <si>
    <t>Kumeyaay Wind</t>
  </si>
  <si>
    <t>Imperial Valley Solar 1, LLC</t>
  </si>
  <si>
    <t>Calexico</t>
  </si>
  <si>
    <t>Imperial Valley Solar</t>
  </si>
  <si>
    <t>HL Power Company, LP</t>
  </si>
  <si>
    <t>HL Power</t>
  </si>
  <si>
    <t>RAM 7</t>
  </si>
  <si>
    <t>Energia Sierra Juarez 2 U.S., LLC</t>
  </si>
  <si>
    <t>BCN</t>
  </si>
  <si>
    <t>La Rumorosa</t>
  </si>
  <si>
    <t>Energía Sierra Juárez 2 (“ESJ 2”)</t>
  </si>
  <si>
    <t>Energia Sierra Juarez U.S., LLC</t>
  </si>
  <si>
    <t>Energía Sierra Juárez (ESJ)</t>
  </si>
  <si>
    <t>Desert Green Solar Farm LLC</t>
  </si>
  <si>
    <t>Desert Green Solar Farm</t>
  </si>
  <si>
    <t>Poway Unified School District</t>
  </si>
  <si>
    <t>Del Sur Elementary School</t>
  </si>
  <si>
    <t>CSOLAR IV West, LLC</t>
  </si>
  <si>
    <t>CSolar IV West</t>
  </si>
  <si>
    <t>CSOLAR IV South, LLC</t>
  </si>
  <si>
    <t>CSolar IV South</t>
  </si>
  <si>
    <t>Coram Energy LLC</t>
  </si>
  <si>
    <t>Coram</t>
  </si>
  <si>
    <t>Centinela Solar Energy, LLC</t>
  </si>
  <si>
    <t>Centinela Solar Energy 2</t>
  </si>
  <si>
    <t>Centinela Solar Energy 1</t>
  </si>
  <si>
    <t>Catalina Solar, LLC</t>
  </si>
  <si>
    <t>Catalina Solar</t>
  </si>
  <si>
    <t>Cascade Solar, LLC</t>
  </si>
  <si>
    <t>Sun Fair</t>
  </si>
  <si>
    <t>Cascade Solar</t>
  </si>
  <si>
    <t>Hunter Industries, Inc.</t>
  </si>
  <si>
    <t>Hunter Industries</t>
  </si>
  <si>
    <t>Campo Verde Solar, LLC</t>
  </si>
  <si>
    <t>Campo Verde</t>
  </si>
  <si>
    <t>70SM1 8me, LLC</t>
  </si>
  <si>
    <t>City of Escondido</t>
  </si>
  <si>
    <t>Escondido</t>
  </si>
  <si>
    <t>Bear Valley Hydro</t>
  </si>
  <si>
    <t>BCE LOS Alamitos, LLC</t>
  </si>
  <si>
    <t>118°3’16.68”W</t>
  </si>
  <si>
    <t>33°46’52.59N</t>
  </si>
  <si>
    <t>Los Alamitos</t>
  </si>
  <si>
    <t>BCE Los Alamitos 2_x000D_
(Bright Canyon)</t>
  </si>
  <si>
    <t>BCE Los Alamitos 1_x000D_
(Bright Canyon)</t>
  </si>
  <si>
    <t>ORNI33, LLC</t>
  </si>
  <si>
    <t>ORNI33, LLC (Wister Solar Project)</t>
  </si>
  <si>
    <t>Santa Fe Irrigation District</t>
  </si>
  <si>
    <t>Rancho Santa Fe</t>
  </si>
  <si>
    <t>Badger Filtration Plant-Santa Fe Irrigation District (SFID)</t>
  </si>
  <si>
    <t>Arlington Valley Solar Energy II, LLC</t>
  </si>
  <si>
    <t>AZ</t>
  </si>
  <si>
    <t>Arlington Valley</t>
  </si>
  <si>
    <t>Alta Oak Realty , LLC</t>
  </si>
  <si>
    <t>Alta Oak Realty</t>
  </si>
  <si>
    <t>East Bay Community Energy Authority</t>
  </si>
  <si>
    <t>Anderson</t>
  </si>
  <si>
    <t>San Diego Community Power</t>
  </si>
  <si>
    <t>Shiloh IV Lessee, LLC</t>
  </si>
  <si>
    <t>Birds Landing</t>
  </si>
  <si>
    <t>Shiloh IV Wind Project</t>
  </si>
  <si>
    <t>North Sky River Energy, LLC</t>
  </si>
  <si>
    <t>Caliente</t>
  </si>
  <si>
    <t>North Sky River Energy Center</t>
  </si>
  <si>
    <t>NextEra Energy Montezuma II Wind, LLC</t>
  </si>
  <si>
    <t>Collinsville</t>
  </si>
  <si>
    <t>Montezuma II Wind Energy Center</t>
  </si>
  <si>
    <t>Arlington Wind Power Project, LLC</t>
  </si>
  <si>
    <t>Rattlesnake Road Wind Power Project</t>
  </si>
  <si>
    <t>Vantage Wind Energy LLC</t>
  </si>
  <si>
    <t>WA</t>
  </si>
  <si>
    <t>Kittitas</t>
  </si>
  <si>
    <t>Ellensburg</t>
  </si>
  <si>
    <t>Vantage Wind Energy Center</t>
  </si>
  <si>
    <t>FPL Energy Montezuma Wind, LLC</t>
  </si>
  <si>
    <t>Montezuma Wind Energy Center</t>
  </si>
  <si>
    <t>Coram California Development, L.P.</t>
  </si>
  <si>
    <t>Coram Brodie</t>
  </si>
  <si>
    <t>Vasco Winds, LLC</t>
  </si>
  <si>
    <t>Contra Costa</t>
  </si>
  <si>
    <t>Vasco Wind Energy Center</t>
  </si>
  <si>
    <t>Halkirk 1 Wind Project LP</t>
  </si>
  <si>
    <t>AB</t>
  </si>
  <si>
    <t>County of Paintearth Number 18</t>
  </si>
  <si>
    <t>Stettler, Canada</t>
  </si>
  <si>
    <t>Halkirk I Wind Project</t>
  </si>
  <si>
    <t>EDF Renewables</t>
  </si>
  <si>
    <t>Vulcan</t>
  </si>
  <si>
    <t>Lethbridge, Canada</t>
  </si>
  <si>
    <t>Blackspring Ridge IB</t>
  </si>
  <si>
    <t>EEN LP and Enbridge LP</t>
  </si>
  <si>
    <t>Blackspring Ridge IA</t>
  </si>
  <si>
    <t>Shiloh Wind Project 2, LLC</t>
  </si>
  <si>
    <t>Rio Vista</t>
  </si>
  <si>
    <t>Shiloh II Wind Project</t>
  </si>
  <si>
    <t>Hatchet Ridge Wind, LLC</t>
  </si>
  <si>
    <t>Hatchet Ridge A&amp;R</t>
  </si>
  <si>
    <t>RAM 4</t>
  </si>
  <si>
    <t>Rising Tree Wind Farm II, LLC</t>
  </si>
  <si>
    <t>Rising Tree Wind Farm II</t>
  </si>
  <si>
    <t>Mojave Solar LLC</t>
  </si>
  <si>
    <t>Mojave Solar Project</t>
  </si>
  <si>
    <t>Solar Partners VIII, LLC</t>
  </si>
  <si>
    <t>Nipton</t>
  </si>
  <si>
    <t>Ivanpah Unit 3</t>
  </si>
  <si>
    <t>Solar Partners II, LLC</t>
  </si>
  <si>
    <t>Ivanpah Unit 1</t>
  </si>
  <si>
    <t>Genesis Solar, LLC</t>
  </si>
  <si>
    <t>Blythe</t>
  </si>
  <si>
    <t>Genesis Solar Energy Project</t>
  </si>
  <si>
    <t>Green Light FIT 1, LLC</t>
  </si>
  <si>
    <t>Taft</t>
  </si>
  <si>
    <t>Greenlight - Castor Solar Project</t>
  </si>
  <si>
    <t>GL Sirius, LLC</t>
  </si>
  <si>
    <t>Le Grand</t>
  </si>
  <si>
    <t>Greenlight - Sirius Solar Project</t>
  </si>
  <si>
    <t>Fresno Cogeneration Partners, L.P.</t>
  </si>
  <si>
    <t>Fresno Cogeneration - Fresno Solar West</t>
  </si>
  <si>
    <t>Fresno Cogeneration - Fresno Solar South</t>
  </si>
  <si>
    <t>Arcadia Solar, LLC</t>
  </si>
  <si>
    <t>Orange Cove</t>
  </si>
  <si>
    <t>APEX 646-460</t>
  </si>
  <si>
    <t>Mission Solar LLC</t>
  </si>
  <si>
    <t>Ecos Energy - Mission Solar</t>
  </si>
  <si>
    <t>Merced Solar LLC</t>
  </si>
  <si>
    <t>Ecos Energy - Merced Solar Project</t>
  </si>
  <si>
    <t>Hollister Solar LLC</t>
  </si>
  <si>
    <t>San Benito</t>
  </si>
  <si>
    <t>Hollister</t>
  </si>
  <si>
    <t>Ecos Energy - Hollister Project</t>
  </si>
  <si>
    <t>Yolo County</t>
  </si>
  <si>
    <t>Yolo</t>
  </si>
  <si>
    <t>Davis</t>
  </si>
  <si>
    <t>Yolo County Grassland #4</t>
  </si>
  <si>
    <t>Yolo County Grassland #3</t>
  </si>
  <si>
    <t>RE Old River One LLC</t>
  </si>
  <si>
    <t>Old River One</t>
  </si>
  <si>
    <t>Morelos Solar, LLC</t>
  </si>
  <si>
    <t>Morelos del Sol</t>
  </si>
  <si>
    <t>Shafter Solar, LLC</t>
  </si>
  <si>
    <t>Shafter</t>
  </si>
  <si>
    <t>Shafter Solar</t>
  </si>
  <si>
    <t>Columbia Solar Energy, LLC</t>
  </si>
  <si>
    <t>Pittsburg</t>
  </si>
  <si>
    <t>Columbia Solar Energy</t>
  </si>
  <si>
    <t>CID Solar, LLC</t>
  </si>
  <si>
    <t>Kings</t>
  </si>
  <si>
    <t>Corcoran</t>
  </si>
  <si>
    <t>CID Solar PV Project</t>
  </si>
  <si>
    <t>Alamo Solar, LLC</t>
  </si>
  <si>
    <t>Oro Grande</t>
  </si>
  <si>
    <t>Algonquin SKIC 20 Solar, LLC</t>
  </si>
  <si>
    <t>Algonquin SKIC 20 Solar</t>
  </si>
  <si>
    <t>PV PPA Programs</t>
  </si>
  <si>
    <t>RE Kent South LLC</t>
  </si>
  <si>
    <t>Lemoore</t>
  </si>
  <si>
    <t>Kent South</t>
  </si>
  <si>
    <t>RAM 1</t>
  </si>
  <si>
    <t>Western Antelope Blue Sky Ranch A, LLC</t>
  </si>
  <si>
    <t>Lancaster</t>
  </si>
  <si>
    <t>Western Antelope Blue Sky Ranch A</t>
  </si>
  <si>
    <t>TA - Acacia, LLC</t>
  </si>
  <si>
    <t>West Antelope</t>
  </si>
  <si>
    <t>Blackwell Solar, LLC.</t>
  </si>
  <si>
    <t>Blackwell Solar</t>
  </si>
  <si>
    <t>CA Flats Solar 150, LLC</t>
  </si>
  <si>
    <t>Monterey</t>
  </si>
  <si>
    <t>Parkfield</t>
  </si>
  <si>
    <t>California Flats Solar Project</t>
  </si>
  <si>
    <t>RE Astoria LLC</t>
  </si>
  <si>
    <t>RE Astoria</t>
  </si>
  <si>
    <t>Shiloh III Lessee, LLC</t>
  </si>
  <si>
    <t>Shiloh III Wind Project</t>
  </si>
  <si>
    <t>83WI 8ME LLC</t>
  </si>
  <si>
    <t>Midway Solar Farm I</t>
  </si>
  <si>
    <t>CED White River Solar 2, LLC</t>
  </si>
  <si>
    <t>Alpaugh</t>
  </si>
  <si>
    <t>White River Solar 2</t>
  </si>
  <si>
    <t>North Star Solar, LLC</t>
  </si>
  <si>
    <t>North Star Solar</t>
  </si>
  <si>
    <t>Lost Hills Solar, LLC</t>
  </si>
  <si>
    <t>Lost Hills Solar</t>
  </si>
  <si>
    <t>RE Kansas LLC</t>
  </si>
  <si>
    <t>Stratford</t>
  </si>
  <si>
    <t>Kansas</t>
  </si>
  <si>
    <t>Parrey, LLC</t>
  </si>
  <si>
    <t>Henrietta Solar</t>
  </si>
  <si>
    <t>Cuyama Solar, LLC.</t>
  </si>
  <si>
    <t>Cuyama</t>
  </si>
  <si>
    <t>Cuyama Solar Array</t>
  </si>
  <si>
    <t>Copper Mountain Solar 2, LLC</t>
  </si>
  <si>
    <t>Clark</t>
  </si>
  <si>
    <t>Boulder City</t>
  </si>
  <si>
    <t>Copper Mountain Solar 2</t>
  </si>
  <si>
    <t>Cloverdale Solar 1, LLC</t>
  </si>
  <si>
    <t>Sonoma</t>
  </si>
  <si>
    <t>Cloverdale</t>
  </si>
  <si>
    <t>Cloverdale Solar FSEC 1</t>
  </si>
  <si>
    <t>Agua Caliente Solar, LLC</t>
  </si>
  <si>
    <t>Yuma</t>
  </si>
  <si>
    <t>Roll</t>
  </si>
  <si>
    <t>Agua Caliente Solar Project</t>
  </si>
  <si>
    <t>Topaz Solar Farms LLC</t>
  </si>
  <si>
    <t>Santa Margarita</t>
  </si>
  <si>
    <t>Topaz Solar Farm</t>
  </si>
  <si>
    <t>High Plains Ranch II, LLC</t>
  </si>
  <si>
    <t>California Valley</t>
  </si>
  <si>
    <t>High Plains Ranch II</t>
  </si>
  <si>
    <t>Copper Mountain Solar 1, LLC</t>
  </si>
  <si>
    <t>CM10</t>
  </si>
  <si>
    <t>CED White River Solar, LLC</t>
  </si>
  <si>
    <t>White River</t>
  </si>
  <si>
    <t>Vintner Solar, LLC</t>
  </si>
  <si>
    <t>Templeton</t>
  </si>
  <si>
    <t>Vintner Solar Project</t>
  </si>
  <si>
    <t>Sun City Project LLC</t>
  </si>
  <si>
    <t>Avenal</t>
  </si>
  <si>
    <t>Sun City Project</t>
  </si>
  <si>
    <t>Sand Drag LLC</t>
  </si>
  <si>
    <t>Sand Drag</t>
  </si>
  <si>
    <t>Kettleman Solar LLC</t>
  </si>
  <si>
    <t>Lodi</t>
  </si>
  <si>
    <t>Kettleman Solar Project</t>
  </si>
  <si>
    <t>High Plains Ranch III</t>
  </si>
  <si>
    <t>Desert Sunlight 300, LLC</t>
  </si>
  <si>
    <t>Desert Center</t>
  </si>
  <si>
    <t>Desert Center Solar Farm</t>
  </si>
  <si>
    <t>CED Corcoran Solar, LLC</t>
  </si>
  <si>
    <t>CM48</t>
  </si>
  <si>
    <t>Avenal Park LLC</t>
  </si>
  <si>
    <t>Avenal Park</t>
  </si>
  <si>
    <t>SPS Atwell Island, LLC</t>
  </si>
  <si>
    <t>Atwell Island</t>
  </si>
  <si>
    <t>AV Solar Ranch 1, LLC</t>
  </si>
  <si>
    <t>AV Solar Ranch One</t>
  </si>
  <si>
    <t>Solar Alpine LLC</t>
  </si>
  <si>
    <t>Alpine Solar Project</t>
  </si>
  <si>
    <t>Alpaugh 50, LLC</t>
  </si>
  <si>
    <t>Alpaugh 50</t>
  </si>
  <si>
    <t>Alpaugh North, LLC</t>
  </si>
  <si>
    <t>Alpaugh North</t>
  </si>
  <si>
    <t>Westlands Solar Farms LLC</t>
  </si>
  <si>
    <t>Huron</t>
  </si>
  <si>
    <t>Westlands Solar Farms</t>
  </si>
  <si>
    <t>Enerparc CA1, LLC</t>
  </si>
  <si>
    <t>Enerparc CA1</t>
  </si>
  <si>
    <t>NRG Solar Kansas South LLC</t>
  </si>
  <si>
    <t>Kansas South</t>
  </si>
  <si>
    <t>Terzian Renewables Projectco LLC</t>
  </si>
  <si>
    <t>Reedley</t>
  </si>
  <si>
    <t>Terzian</t>
  </si>
  <si>
    <t>Stroing Renewables Projectco LLC</t>
  </si>
  <si>
    <t>Red Bluff</t>
  </si>
  <si>
    <t>Stroing</t>
  </si>
  <si>
    <t>Smotherman Renewables Projectco LLC</t>
  </si>
  <si>
    <t>Sutter</t>
  </si>
  <si>
    <t>Marysville</t>
  </si>
  <si>
    <t>Smotherman</t>
  </si>
  <si>
    <t>Rogers Renewables Projectco LLC</t>
  </si>
  <si>
    <t>Gerber</t>
  </si>
  <si>
    <t>Rogers</t>
  </si>
  <si>
    <t>Jarvis Renewables Projectco LLC</t>
  </si>
  <si>
    <t>Butte</t>
  </si>
  <si>
    <t>Oroville</t>
  </si>
  <si>
    <t>Jarvis</t>
  </si>
  <si>
    <t>Jardine Renewables Projectco LLC</t>
  </si>
  <si>
    <t>Paso Robles</t>
  </si>
  <si>
    <t>Jardine</t>
  </si>
  <si>
    <t>Hill Renewables Projectco LLC</t>
  </si>
  <si>
    <t>Hill</t>
  </si>
  <si>
    <t>Helton Renewables Projectco LLC</t>
  </si>
  <si>
    <t>Helton</t>
  </si>
  <si>
    <t>Harris Renewable Projectco LLC</t>
  </si>
  <si>
    <t>Live Oak</t>
  </si>
  <si>
    <t>Harris</t>
  </si>
  <si>
    <t>Fitzjarrell Renewables Projectco LLC</t>
  </si>
  <si>
    <t>Fitzjarrell</t>
  </si>
  <si>
    <t>Cotton Renewables Projectco LLC</t>
  </si>
  <si>
    <t>Cotton</t>
  </si>
  <si>
    <t>Christensen Renewables Projectco LLC</t>
  </si>
  <si>
    <t>Del Rey</t>
  </si>
  <si>
    <t>Christensen</t>
  </si>
  <si>
    <t>Buzzelle Renewables Projectco LLC</t>
  </si>
  <si>
    <t>Buzzelle</t>
  </si>
  <si>
    <t>Alvares Renewables Projectco LLC</t>
  </si>
  <si>
    <t>Alvares 2041</t>
  </si>
  <si>
    <t>Hayworth-Fabian LLC</t>
  </si>
  <si>
    <t>Oakley</t>
  </si>
  <si>
    <t>Oakley Executive Solar Project</t>
  </si>
  <si>
    <t>Mesquite Solar 1, LLC</t>
  </si>
  <si>
    <t>Tonopah</t>
  </si>
  <si>
    <t>Mesquite Solar 1</t>
  </si>
  <si>
    <t>GASNA 16P, LLC</t>
  </si>
  <si>
    <t>La Joya Del Sol #1</t>
  </si>
  <si>
    <t>Tulare PV II LLC</t>
  </si>
  <si>
    <t>Kingsburg</t>
  </si>
  <si>
    <t>Kingsburg 3</t>
  </si>
  <si>
    <t>Kingsburg 2</t>
  </si>
  <si>
    <t>Kingsburg 1</t>
  </si>
  <si>
    <t>Ignite Solar Holdings 1, LLC</t>
  </si>
  <si>
    <t>Fall River Mills</t>
  </si>
  <si>
    <t>Fall River Mills Solar Project B</t>
  </si>
  <si>
    <t>Fall River Mills Solar Project A</t>
  </si>
  <si>
    <t>Orion Solar I, LLC</t>
  </si>
  <si>
    <t>Unincorporated Kern County</t>
  </si>
  <si>
    <t>Orion Solar</t>
  </si>
  <si>
    <t>Bear Creek Solar, LLC</t>
  </si>
  <si>
    <t>Bear Creek Solar Project</t>
  </si>
  <si>
    <t>Fresh Air Energy IV, LLC</t>
  </si>
  <si>
    <t>Fresh Air Energy IV, LLC - Sonora 1</t>
  </si>
  <si>
    <t>Northern Orchard Solar PV, LLC</t>
  </si>
  <si>
    <t>Northern Orchard Solar</t>
  </si>
  <si>
    <t>Tesoro Commons, LLC</t>
  </si>
  <si>
    <t>Manteca</t>
  </si>
  <si>
    <t>Tesoro Commons LLC</t>
  </si>
  <si>
    <t>Pittsburg RV &amp; Boat Storage LLC</t>
  </si>
  <si>
    <t>Pittsburg RV and Boat Storage</t>
  </si>
  <si>
    <t>Rio Vista Executive Boat &amp; RV Storage, LLC</t>
  </si>
  <si>
    <t>Rio Vista RV and Boat Storage</t>
  </si>
  <si>
    <t>RPCA Solar 8, LLC</t>
  </si>
  <si>
    <t>Firebaugh</t>
  </si>
  <si>
    <t>RPCA Solar 1, LLC</t>
  </si>
  <si>
    <t>Chowchilla</t>
  </si>
  <si>
    <t>RPCA Solar 6, LLC</t>
  </si>
  <si>
    <t>Los Banos</t>
  </si>
  <si>
    <t>Kings CSG 3 LLC</t>
  </si>
  <si>
    <t>RPCA Solar 7, LLC</t>
  </si>
  <si>
    <t>El Nido</t>
  </si>
  <si>
    <t>Community Solar Utica 1, LLC</t>
  </si>
  <si>
    <t>Kettleman City</t>
  </si>
  <si>
    <t>Jaton LLC</t>
  </si>
  <si>
    <t>Terry Solar, LLC</t>
  </si>
  <si>
    <t>Wasco</t>
  </si>
  <si>
    <t>Terry</t>
  </si>
  <si>
    <t>Twisselmen Solar, LLC</t>
  </si>
  <si>
    <t>Pistachio Road</t>
  </si>
  <si>
    <t>Nachtigall Solar, LLC</t>
  </si>
  <si>
    <t>Nachtigall</t>
  </si>
  <si>
    <t>Tulare CSG LLC</t>
  </si>
  <si>
    <t>Fresno Community Solar Developers, LLC</t>
  </si>
  <si>
    <t>Fresno Disadvantaged Community Solar Project</t>
  </si>
  <si>
    <t>Weedpatch Solar, LLC</t>
  </si>
  <si>
    <t>Kern Sunset</t>
  </si>
  <si>
    <t>Currumbin Solar, LLC</t>
  </si>
  <si>
    <t>35.52721088023565</t>
  </si>
  <si>
    <t>Highway 43</t>
  </si>
  <si>
    <t>Gonzalez Solar, LLC</t>
  </si>
  <si>
    <t>36.60281441636605</t>
  </si>
  <si>
    <t>Gonzalez</t>
  </si>
  <si>
    <t>Rocha Solar, LLC</t>
  </si>
  <si>
    <t>35.28893177757164</t>
  </si>
  <si>
    <t>Rocha</t>
  </si>
  <si>
    <t>Beard Solar, LLC</t>
  </si>
  <si>
    <t>35.142556695303405</t>
  </si>
  <si>
    <t>Beard</t>
  </si>
  <si>
    <t>RE Gaskell West 3 LLC</t>
  </si>
  <si>
    <t>RE Gaskell West 5</t>
  </si>
  <si>
    <t>RE Gaskell West 4</t>
  </si>
  <si>
    <t>RE Gaskell West 3</t>
  </si>
  <si>
    <t>Apex Eagle Creek, LLC</t>
  </si>
  <si>
    <t>Eagle Solar</t>
  </si>
  <si>
    <t>GL Madera, LLC</t>
  </si>
  <si>
    <t>Madera 1</t>
  </si>
  <si>
    <t>54KR 8me LLC</t>
  </si>
  <si>
    <t>Java Solar, LLC</t>
  </si>
  <si>
    <t>Java Solar</t>
  </si>
  <si>
    <t>Great Valley Solar 4, LLC</t>
  </si>
  <si>
    <t>Cantua Creek</t>
  </si>
  <si>
    <t>RE Tranquillity 8 Amarillo</t>
  </si>
  <si>
    <t>GL Merced 2, LLC</t>
  </si>
  <si>
    <t>Merced 1</t>
  </si>
  <si>
    <t>Manteca PV 1, LLC</t>
  </si>
  <si>
    <t>Manteca Land 1</t>
  </si>
  <si>
    <t>Delano PV 1, LLC</t>
  </si>
  <si>
    <t>McFarland</t>
  </si>
  <si>
    <t>Delano Land 1</t>
  </si>
  <si>
    <t>Bakersfield Industrial PV 1, LLC</t>
  </si>
  <si>
    <t>Bakersfield Industrial 1</t>
  </si>
  <si>
    <t>GASNA 6P, LLC</t>
  </si>
  <si>
    <t>Summer Wheat</t>
  </si>
  <si>
    <t>GASNA 36P, LLC</t>
  </si>
  <si>
    <t>Winter Wheat</t>
  </si>
  <si>
    <t>Bayshore Solar C, LLC</t>
  </si>
  <si>
    <t>Bayshore Solar C</t>
  </si>
  <si>
    <t>Bayshore Solar B, LLC</t>
  </si>
  <si>
    <t>Bayshore Solar B</t>
  </si>
  <si>
    <t>Bayshore Solar A, LLC</t>
  </si>
  <si>
    <t>Bayshore Solar A</t>
  </si>
  <si>
    <t>Bakersfield PV 1, LLC</t>
  </si>
  <si>
    <t>Bakersfield PV 1</t>
  </si>
  <si>
    <t>Aspiration Solar G LLC</t>
  </si>
  <si>
    <t>Tranquility</t>
  </si>
  <si>
    <t>Aspiration Solar G</t>
  </si>
  <si>
    <t>Westside Solar, LLC</t>
  </si>
  <si>
    <t>Unincorporated Fresno County</t>
  </si>
  <si>
    <t>Westside Solar</t>
  </si>
  <si>
    <t>CED Corcoran Solar 3, LLC</t>
  </si>
  <si>
    <t>CED Corcoran Solar 3</t>
  </si>
  <si>
    <t>RAM 5</t>
  </si>
  <si>
    <t>CED Avenal Solar, LLC</t>
  </si>
  <si>
    <t>Avenal Solar Project B</t>
  </si>
  <si>
    <t>CED Oro Loma Solar, LLC</t>
  </si>
  <si>
    <t>CED Oro Loma Solar Project B</t>
  </si>
  <si>
    <t>Avenal Solar Project A</t>
  </si>
  <si>
    <t>Sunray Energy 2, LLC</t>
  </si>
  <si>
    <t>Daggett</t>
  </si>
  <si>
    <t>Sunray 2</t>
  </si>
  <si>
    <t>CED Oro Loma Solar Project A</t>
  </si>
  <si>
    <t>Portal Ridge Solar C, LLC</t>
  </si>
  <si>
    <t>Portal Ridge Solar C Project</t>
  </si>
  <si>
    <t>Adapture CA2, LLC</t>
  </si>
  <si>
    <t>Glenn</t>
  </si>
  <si>
    <t>Orland</t>
  </si>
  <si>
    <t>2184 Gruber</t>
  </si>
  <si>
    <t>Sun Harvest Solar, LLC</t>
  </si>
  <si>
    <t>Dos Palos</t>
  </si>
  <si>
    <t>NDP1</t>
  </si>
  <si>
    <t>Putah Creek Solar Farms LLC</t>
  </si>
  <si>
    <t>Winters</t>
  </si>
  <si>
    <t>Putah Creek Solar Farms</t>
  </si>
  <si>
    <t>87RL 8ME LLC</t>
  </si>
  <si>
    <t>Woodmere Solar Farm</t>
  </si>
  <si>
    <t>Bakersfield 111 LLC</t>
  </si>
  <si>
    <t>Bakersfield 111</t>
  </si>
  <si>
    <t>2192 Ramirez</t>
  </si>
  <si>
    <t>Biggs</t>
  </si>
  <si>
    <t>2154 Foote</t>
  </si>
  <si>
    <t>Lemoore PV 1, LLC</t>
  </si>
  <si>
    <t>imMODO- Lemoore 1</t>
  </si>
  <si>
    <t>GL Peacock, LLC</t>
  </si>
  <si>
    <t>Orosi</t>
  </si>
  <si>
    <t>Greenlight - Peacock Solar Project</t>
  </si>
  <si>
    <t>Placer County Water Agency</t>
  </si>
  <si>
    <t>PCWA- Lincoln Metering and Hydroelectric Station</t>
  </si>
  <si>
    <t>Tunnel Hill Hydro LLC</t>
  </si>
  <si>
    <t>Georgetown</t>
  </si>
  <si>
    <t>Tunnel Hill Hydroelectric Project</t>
  </si>
  <si>
    <t>Buckeye Hydroelectric Project</t>
  </si>
  <si>
    <t>Four Dog Energy, LLC</t>
  </si>
  <si>
    <t>Grass Valley</t>
  </si>
  <si>
    <t>SGE Site 1</t>
  </si>
  <si>
    <t>Nevada Irrigation District</t>
  </si>
  <si>
    <t>Combie North</t>
  </si>
  <si>
    <t>Vecino Vineyards LLC</t>
  </si>
  <si>
    <t>Mendocino</t>
  </si>
  <si>
    <t>Potter Valley</t>
  </si>
  <si>
    <t>Vecino Vineyards</t>
  </si>
  <si>
    <t>Twin Valley Hydro</t>
  </si>
  <si>
    <t>T&amp;G Hydro</t>
  </si>
  <si>
    <t>Big Creek Water Works, Ltd.</t>
  </si>
  <si>
    <t>Hyampom</t>
  </si>
  <si>
    <t>Big Creek Waterworks</t>
  </si>
  <si>
    <t>Norman Ross Burgess</t>
  </si>
  <si>
    <t>Three Forks Water Power Project</t>
  </si>
  <si>
    <t>San Jose Water Company</t>
  </si>
  <si>
    <t>Saratoga</t>
  </si>
  <si>
    <t>Cox Ave Hydro</t>
  </si>
  <si>
    <t>Jackson Valley Irrigation District</t>
  </si>
  <si>
    <t>Amador</t>
  </si>
  <si>
    <t>Ione</t>
  </si>
  <si>
    <t>Utica Water and Power Authority</t>
  </si>
  <si>
    <t>Calaveras</t>
  </si>
  <si>
    <t>Murphys</t>
  </si>
  <si>
    <t>Murphys Powerhouse</t>
  </si>
  <si>
    <t>Snow Mountain Hydro LLC</t>
  </si>
  <si>
    <t>Manton</t>
  </si>
  <si>
    <t>Ponderosa Bailey Hydroelectric Project</t>
  </si>
  <si>
    <t>Angels Camp</t>
  </si>
  <si>
    <t>Angels Powerhouse</t>
  </si>
  <si>
    <t>L.V.NA BLOCKCHAIN, LLC</t>
  </si>
  <si>
    <t>Shingletown</t>
  </si>
  <si>
    <t>Sutters Mill Hydroelectric Plant</t>
  </si>
  <si>
    <t>Yuba County Water Agency</t>
  </si>
  <si>
    <t>Yuba</t>
  </si>
  <si>
    <t>Dobbins</t>
  </si>
  <si>
    <t>Mini Hydro</t>
  </si>
  <si>
    <t>Silver Springs</t>
  </si>
  <si>
    <t>Emmerson Investments, Inc.</t>
  </si>
  <si>
    <t>Big Bend</t>
  </si>
  <si>
    <t>Grasshopper Flat</t>
  </si>
  <si>
    <t>Arbuckle Mountain Hydro, LLC</t>
  </si>
  <si>
    <t>Humboldt Bay Municipal Water District</t>
  </si>
  <si>
    <t>Matthews Dam Hydro</t>
  </si>
  <si>
    <t>Lassen Station Hydroelectric, LP</t>
  </si>
  <si>
    <t>Pulga</t>
  </si>
  <si>
    <t>Lassen Station Hydro</t>
  </si>
  <si>
    <t>Goose Valley Farming LLC</t>
  </si>
  <si>
    <t>Goose Valley Hydro</t>
  </si>
  <si>
    <t>Calaveras Public Utility District</t>
  </si>
  <si>
    <t>Mokelumne Hill</t>
  </si>
  <si>
    <t>Calaveras PUD-Hydro #3</t>
  </si>
  <si>
    <t>Calaveras PUD-Hydro #2</t>
  </si>
  <si>
    <t>Glencoe</t>
  </si>
  <si>
    <t>Calaveras PUD-Hydro #1</t>
  </si>
  <si>
    <t>Madera Chowchilla Water &amp; Power Authority</t>
  </si>
  <si>
    <t>Site 1302 (Madera Chowchilla)</t>
  </si>
  <si>
    <t>Site 1923 (Madera Chowchilla)</t>
  </si>
  <si>
    <t>Site 980 (Madera Chowchilla)</t>
  </si>
  <si>
    <t>Site 1174 (Madera Chowchilla)</t>
  </si>
  <si>
    <t>Dinsmore</t>
  </si>
  <si>
    <t>Mill Sulphur Creek Project</t>
  </si>
  <si>
    <t>Salmon Creek Hydroelectric Project</t>
  </si>
  <si>
    <t>Water Wheel Ranch</t>
  </si>
  <si>
    <t>Round Mountain</t>
  </si>
  <si>
    <t>Baker Station Associates, L.P.</t>
  </si>
  <si>
    <t>Baker Creek Hydroelectric Project</t>
  </si>
  <si>
    <t>Eugene J M McFadden</t>
  </si>
  <si>
    <t>McFadden Hydroelectric Facility</t>
  </si>
  <si>
    <t>Constantino Clover Creek Hydro Plant, LLC</t>
  </si>
  <si>
    <t>Oak Run</t>
  </si>
  <si>
    <t>Clover Leaf</t>
  </si>
  <si>
    <t>Hudson Power LLC</t>
  </si>
  <si>
    <t>Burnt Ranch</t>
  </si>
  <si>
    <t>Cedar Flat</t>
  </si>
  <si>
    <t>Ken Link</t>
  </si>
  <si>
    <t>Digger Creek Hydro</t>
  </si>
  <si>
    <t>STS Hydropower, LLC</t>
  </si>
  <si>
    <t>Kekawaka Creek Hydroelectric Facility</t>
  </si>
  <si>
    <t>The Metropolitan Water District of Southern California</t>
  </si>
  <si>
    <t>Rancho Cucamonga</t>
  </si>
  <si>
    <t>Etiwanda - Metropolitan Water District (MWD)</t>
  </si>
  <si>
    <t>Mammoth One LLC</t>
  </si>
  <si>
    <t>Mammoth Lakes</t>
  </si>
  <si>
    <t>Mammoth G3</t>
  </si>
  <si>
    <t>Mammoth Three LLC</t>
  </si>
  <si>
    <t>Mammoth G1</t>
  </si>
  <si>
    <t>Ortigalita Power Company LLC</t>
  </si>
  <si>
    <t>Ortigalita Power Company</t>
  </si>
  <si>
    <t>DTE Stockton, LLC</t>
  </si>
  <si>
    <t>Stockton</t>
  </si>
  <si>
    <t>DTE Stockton</t>
  </si>
  <si>
    <t>Mt. Poso Cogeneration Company, LLC</t>
  </si>
  <si>
    <t>Mt. Poso</t>
  </si>
  <si>
    <t>Blue Mountain Electric Company LLC</t>
  </si>
  <si>
    <t>Wilseyville</t>
  </si>
  <si>
    <t>Blue Mountain Electric Company</t>
  </si>
  <si>
    <t>FIT - SB1122 (FIT - BioMAT)</t>
  </si>
  <si>
    <t>Engeman SVRC Green Energy, LP</t>
  </si>
  <si>
    <t>Colusa</t>
  </si>
  <si>
    <t>Arbuckle</t>
  </si>
  <si>
    <t>Engeman SVRC Energy</t>
  </si>
  <si>
    <t>Forest Biomass Business Center, Inc.</t>
  </si>
  <si>
    <t>Camptonville Biopower 1</t>
  </si>
  <si>
    <t>Woodland Biomass Power, LLC</t>
  </si>
  <si>
    <t>Woodland</t>
  </si>
  <si>
    <t>Woodland Biomass</t>
  </si>
  <si>
    <t>Shasta - Sustainable Resource Management, Inc.</t>
  </si>
  <si>
    <t>Wheelabrator Shasta Energy Co, Inc</t>
  </si>
  <si>
    <t>Burney Forest Products, A Joint Venture</t>
  </si>
  <si>
    <t>Burney Forest Products</t>
  </si>
  <si>
    <t>Hat Creek Bioenergy, LLC</t>
  </si>
  <si>
    <t>North Fork Community Power, LLC</t>
  </si>
  <si>
    <t>North Fork</t>
  </si>
  <si>
    <t>North Fork Community Power</t>
  </si>
  <si>
    <t>Sunshine Gas Producers, LLC</t>
  </si>
  <si>
    <t>Sylmar</t>
  </si>
  <si>
    <t>Sunshine Landfill</t>
  </si>
  <si>
    <t>Potrero Hills Energy Producers, LLC</t>
  </si>
  <si>
    <t>Suisun</t>
  </si>
  <si>
    <t>Potrero Hills Landfill</t>
  </si>
  <si>
    <t>ABEC Bidart-Old River LLC</t>
  </si>
  <si>
    <t>Digester gas</t>
  </si>
  <si>
    <t>ABEC Bidart-Old River</t>
  </si>
  <si>
    <t>J&amp;A Santa Maria II, LLC</t>
  </si>
  <si>
    <t>Santa Maria</t>
  </si>
  <si>
    <t>Santa Maria II</t>
  </si>
  <si>
    <t>Toro Energy of California - SLO, LLC</t>
  </si>
  <si>
    <t>Toro SLO Landfill</t>
  </si>
  <si>
    <t>PatMar Land Co., LLC</t>
  </si>
  <si>
    <t>Riverdale</t>
  </si>
  <si>
    <t>Ruann Dairy Digester</t>
  </si>
  <si>
    <t>Combined Solar Technologies, Inc</t>
  </si>
  <si>
    <t>Tracy Desalination Project</t>
  </si>
  <si>
    <t>West Coast Waste Co., Inc.</t>
  </si>
  <si>
    <t>WCW Generator 1</t>
  </si>
  <si>
    <t>Collins Pine Company</t>
  </si>
  <si>
    <t>Plumas</t>
  </si>
  <si>
    <t>Chester</t>
  </si>
  <si>
    <t>ACC Renewable Resources, LLC</t>
  </si>
  <si>
    <t>Williams</t>
  </si>
  <si>
    <t>Abel Road Bioenergy</t>
  </si>
  <si>
    <t>Madera DP 2, LLC</t>
  </si>
  <si>
    <t>Diamond H Dairy Power</t>
  </si>
  <si>
    <t>Madera Renewable Energy LLC</t>
  </si>
  <si>
    <t>Verwey Madera Dairy Digester Genset #2</t>
  </si>
  <si>
    <t>Hanford Renewable Energy LLC</t>
  </si>
  <si>
    <t>Hanford</t>
  </si>
  <si>
    <t>Verwey-Hanford Dairy Digester III</t>
  </si>
  <si>
    <t>Verwey-Hanford Dairy Digester Genset #2</t>
  </si>
  <si>
    <t>ABEC #4 LLC</t>
  </si>
  <si>
    <t>ABEC #3 LLC</t>
  </si>
  <si>
    <t>ABEC #2 LLC</t>
  </si>
  <si>
    <t>Buttonwillow</t>
  </si>
  <si>
    <t>Kompogas SLO LLC</t>
  </si>
  <si>
    <t>San Luis Obispo AD</t>
  </si>
  <si>
    <t>Zero Waste Energy Development Company LLC</t>
  </si>
  <si>
    <t>Zero Waste Energy Development Company</t>
  </si>
  <si>
    <t>Cameron Ridge II, LLC (f/k/a 6091)</t>
  </si>
  <si>
    <t>Voyager Wind I, LLC</t>
  </si>
  <si>
    <t>Tule Wind LLC</t>
  </si>
  <si>
    <t>Iberdrola</t>
  </si>
  <si>
    <t>NM</t>
  </si>
  <si>
    <t>Torrance</t>
  </si>
  <si>
    <t>Near City of Estancia</t>
  </si>
  <si>
    <t>El Cabo Wind, LLC</t>
  </si>
  <si>
    <t>San Gorgonio Westwinds II- Windustries, LLC (f/k/a 6058)</t>
  </si>
  <si>
    <t>Dillon Wind LLC</t>
  </si>
  <si>
    <t>Dillon Wind LLC (A&amp;R)</t>
  </si>
  <si>
    <t>D.E. Shaw</t>
  </si>
  <si>
    <t>Willow Springs Solar, LLC</t>
  </si>
  <si>
    <t>Portal Ridge Solar B, LLC</t>
  </si>
  <si>
    <t>Kona Solar LLC</t>
  </si>
  <si>
    <t>Rancho Cucamonga Distribution Center 1</t>
  </si>
  <si>
    <t>Ontario</t>
  </si>
  <si>
    <t>Terra Francesco 1</t>
  </si>
  <si>
    <t>Park Meridian 1</t>
  </si>
  <si>
    <t>Morgan Lancaster I, LLC</t>
  </si>
  <si>
    <t>California Water Service Company</t>
  </si>
  <si>
    <t>Rancho Palos Verdes</t>
  </si>
  <si>
    <t>California Water Service Company (PV Station 37)</t>
  </si>
  <si>
    <t>Terra-Gen Dixie Valley, LLC</t>
  </si>
  <si>
    <t>Churchill County</t>
  </si>
  <si>
    <t>Fallon</t>
  </si>
  <si>
    <t>Terra-Gen Dixie Valley, LLC (f/k/a 3011)</t>
  </si>
  <si>
    <t>Santa Barbara County Public Works</t>
  </si>
  <si>
    <t>Goleta</t>
  </si>
  <si>
    <t>Biogas</t>
  </si>
  <si>
    <t>Central CA Fuel Cell 2, LLC</t>
  </si>
  <si>
    <t>Central CA Fuel Cell 2</t>
  </si>
  <si>
    <t>Long Beach Trigen, LLC</t>
  </si>
  <si>
    <t>Long Beach</t>
  </si>
  <si>
    <t>RE Garland LLC</t>
  </si>
  <si>
    <t>RE Garland, LLC</t>
  </si>
  <si>
    <t>Recurrent Energy</t>
  </si>
  <si>
    <t>RE Garland A, LLC</t>
  </si>
  <si>
    <t>RE Tranquillity LLC</t>
  </si>
  <si>
    <t>Tranquillity</t>
  </si>
  <si>
    <t>SunE W12DG-C, LLC</t>
  </si>
  <si>
    <t>Corona</t>
  </si>
  <si>
    <t>Vega Solar, LLC</t>
  </si>
  <si>
    <t>Orion Solar II, LLC</t>
  </si>
  <si>
    <t>Arvin</t>
  </si>
  <si>
    <t>Adobe Solar, LLC</t>
  </si>
  <si>
    <t>American Kings Solar, LLC</t>
  </si>
  <si>
    <t>Southern Power Company</t>
  </si>
  <si>
    <t>RE Gaskell West 1, LLC</t>
  </si>
  <si>
    <t>Desert Stateline, LLC</t>
  </si>
  <si>
    <t>Ivanpah</t>
  </si>
  <si>
    <t>Desert Stateline</t>
  </si>
  <si>
    <t>Solar Partners I, LLC</t>
  </si>
  <si>
    <t>Solar Partners I, LLC (Ivanpah)</t>
  </si>
  <si>
    <t>Calleguas Municipal Water District</t>
  </si>
  <si>
    <t>Walnut Valley Water District</t>
  </si>
  <si>
    <t>Chatsworth</t>
  </si>
  <si>
    <t>Calleguas MWD (East Portal Hydroelectric Generating Station, f/k/a 4022)</t>
  </si>
  <si>
    <t>Calleguas MWD (Springville Hydro) (f/k/a 4152)</t>
  </si>
  <si>
    <t>Desert Water Agency</t>
  </si>
  <si>
    <t>Desert Water Agency (Snow Creek)</t>
  </si>
  <si>
    <t>Desert Water Agency (Whitewater) (f/k/a 4025)</t>
  </si>
  <si>
    <t>Calleguas MWD (Conejos, f/k/a 4010)</t>
  </si>
  <si>
    <t>City Santa Ana</t>
  </si>
  <si>
    <t>Santa Ana</t>
  </si>
  <si>
    <t>City of Santa Ana</t>
  </si>
  <si>
    <t>ORNI 18, LLC</t>
  </si>
  <si>
    <t>Brawley</t>
  </si>
  <si>
    <t>Salton Sea IV</t>
  </si>
  <si>
    <t>Mammoth Pacific L P II</t>
  </si>
  <si>
    <t>Mammoth Pacific L P II (MP2)</t>
  </si>
  <si>
    <t>MM Tulare, Energy, LLC</t>
  </si>
  <si>
    <t>Visalia</t>
  </si>
  <si>
    <t>MM Tulare Energy, LLC</t>
  </si>
  <si>
    <t>Alta Wind VIII, LLC</t>
  </si>
  <si>
    <t>Alta Windpower VIII</t>
  </si>
  <si>
    <t>Windstar Energy, LLC</t>
  </si>
  <si>
    <t>DG Solar Lessee II, LLC</t>
  </si>
  <si>
    <t>Pico Rivera</t>
  </si>
  <si>
    <t>DG Solar Lessee II, LLC - Pico Rivera</t>
  </si>
  <si>
    <t>DG Solar Lessee II, LLC - E Philadelphia</t>
  </si>
  <si>
    <t>SunE Solar XVI Lessor, LLC</t>
  </si>
  <si>
    <t>PVN Milliken LLC</t>
  </si>
  <si>
    <t>DG Solar Lesse, LLC</t>
  </si>
  <si>
    <t>Phelan</t>
  </si>
  <si>
    <t>DG Solar Lessee, LLC (Snowline-White Road South)</t>
  </si>
  <si>
    <t>Madelyn, Solar, LLC</t>
  </si>
  <si>
    <t>Silver Lakes</t>
  </si>
  <si>
    <t>CD US Solar MT 3</t>
  </si>
  <si>
    <t>Rudy Solar, LLC</t>
  </si>
  <si>
    <t>Mitchell Solar, LLC</t>
  </si>
  <si>
    <t>DG Solar Lessee, LLC (Snowline-White Road Central)</t>
  </si>
  <si>
    <t>DG Solar Lessee, LLC (Snowline-White Road North)</t>
  </si>
  <si>
    <t>DG Solar Lessee, LLC (Snowline-Duncan Road South)</t>
  </si>
  <si>
    <t>DG Solar Lessee, LLC (Snowline-Duncan Road North)</t>
  </si>
  <si>
    <t>California PV Energy, LLC</t>
  </si>
  <si>
    <t>California PV Energy, LLC (Jurupa Ave)</t>
  </si>
  <si>
    <t>California PV Energy, LLC (Champagne Ave)</t>
  </si>
  <si>
    <t>Hesperia</t>
  </si>
  <si>
    <t>DG Solar Lessee, LLC (Hesperia)</t>
  </si>
  <si>
    <t>Toro Power 2, LLC</t>
  </si>
  <si>
    <t>Adelanto</t>
  </si>
  <si>
    <t>TerraForm Phoenix 1 CD Holding, LLC</t>
  </si>
  <si>
    <t>Toro Power 1, LLC</t>
  </si>
  <si>
    <t>Becca Solar, LLC</t>
  </si>
  <si>
    <t>Voyager Solar 3, LLC</t>
  </si>
  <si>
    <t>Palmdale</t>
  </si>
  <si>
    <t>Voyager Solar 2, LLC</t>
  </si>
  <si>
    <t>Voyager Solar 1, LLC</t>
  </si>
  <si>
    <t>Drew Energy, LLC</t>
  </si>
  <si>
    <t>Apple Valley</t>
  </si>
  <si>
    <t>Dreamer Solar, LLC</t>
  </si>
  <si>
    <t>Sandra Energy, LLC</t>
  </si>
  <si>
    <t>JRam Solar 3, LLC</t>
  </si>
  <si>
    <t>JRam Solar 2, LLC</t>
  </si>
  <si>
    <t>JRam Solar 1, LLC</t>
  </si>
  <si>
    <t>Annie Power, LLC</t>
  </si>
  <si>
    <t>Treen Solar 2, LLC</t>
  </si>
  <si>
    <t>Treen Solar 1, LLC</t>
  </si>
  <si>
    <t>West Hills Construction, Inc.</t>
  </si>
  <si>
    <t>Little Rock - Pham Solar PV, LLC</t>
  </si>
  <si>
    <t>Industry Metrolink PV 1, LLC</t>
  </si>
  <si>
    <t>City of Industry</t>
  </si>
  <si>
    <t>Industry Metrolink PV 1</t>
  </si>
  <si>
    <t>Regulus Solar, LLC</t>
  </si>
  <si>
    <t>Lamont</t>
  </si>
  <si>
    <t>OC Sanit Distr</t>
  </si>
  <si>
    <t>Huntington Beach</t>
  </si>
  <si>
    <t>Orange County Sanitation District (f/k/a 1098)</t>
  </si>
  <si>
    <t>Atlas Solar X, LLC</t>
  </si>
  <si>
    <t>La Paz</t>
  </si>
  <si>
    <t>Salome</t>
  </si>
  <si>
    <t>Atlas Solar VI, LLC</t>
  </si>
  <si>
    <t>Atlas Solar V, LLC</t>
  </si>
  <si>
    <t>Mustang Hills, LLC (Alta Wind VI, LLC)</t>
  </si>
  <si>
    <t>Mustang Hills, LLC</t>
  </si>
  <si>
    <t>Consolidated Edison Renewables</t>
  </si>
  <si>
    <t>CED Wistaria Solar, LLC</t>
  </si>
  <si>
    <t>CED Ducor Solar 3, LLC</t>
  </si>
  <si>
    <t>Ducor</t>
  </si>
  <si>
    <t>CED Ducor 3, LLC</t>
  </si>
  <si>
    <t>CED Ducor Solar 4, LLC</t>
  </si>
  <si>
    <t>CED Ducor 4, LLC</t>
  </si>
  <si>
    <t>CED Ducor Solar 2, LLC</t>
  </si>
  <si>
    <t>CED Ducor 2, LLC</t>
  </si>
  <si>
    <t>CED Ducor Solar 1, LLC</t>
  </si>
  <si>
    <t>CED Ducor 1, LLC</t>
  </si>
  <si>
    <t>Paicines</t>
  </si>
  <si>
    <t>Panoche Valley Solar, LLC</t>
  </si>
  <si>
    <t>93LF 8me LLC</t>
  </si>
  <si>
    <t>Imperial Valley Solar 3, LLC (Mount Signal V)</t>
  </si>
  <si>
    <t>SPS Atwell Island West, LLC</t>
  </si>
  <si>
    <t>PsomasFMG Lancaster Solar CREST, LLC</t>
  </si>
  <si>
    <t>Lancaster Solar 2</t>
  </si>
  <si>
    <t>Lancaster Solar 1</t>
  </si>
  <si>
    <t>DHS Solar I, LLC</t>
  </si>
  <si>
    <t>Desert Hot Springs</t>
  </si>
  <si>
    <t>Desert Hot Springs 2</t>
  </si>
  <si>
    <t>Desert Hot Springs 1</t>
  </si>
  <si>
    <t>Sequoia PV 2, LLC</t>
  </si>
  <si>
    <t>Sequoia PV2, LLC (Hanford 2)</t>
  </si>
  <si>
    <t>Sequoia PV2, LLC (Hanford 1)</t>
  </si>
  <si>
    <t>Sequoia PV 3 LLC</t>
  </si>
  <si>
    <t>Porterville</t>
  </si>
  <si>
    <t>Sequoia PV3 LLC (Porterville 7)</t>
  </si>
  <si>
    <t>Sequoia PV3 LLC (Porterville 6)</t>
  </si>
  <si>
    <t>Sequoia PV 1 LLC</t>
  </si>
  <si>
    <t>Farmersville</t>
  </si>
  <si>
    <t>Sequoia PV1, LLC (Farmersville 3)</t>
  </si>
  <si>
    <t>Coronal Lost Hills, LLC</t>
  </si>
  <si>
    <t>Sequoia PV1, LLC (Farmersville 2)</t>
  </si>
  <si>
    <t>Sequoia PV1, LLC (Farmersville 1)</t>
  </si>
  <si>
    <t>Sequoia PV 1, LLC</t>
  </si>
  <si>
    <t>Sequoia PV1, LLC (Tulare 2)</t>
  </si>
  <si>
    <t>Sequoia PV1, LLC (Tulare 1)</t>
  </si>
  <si>
    <t>One Ten Partners, LLC</t>
  </si>
  <si>
    <t>Tropico, LLC</t>
  </si>
  <si>
    <t>Delano</t>
  </si>
  <si>
    <t>Tropico, LLC (Great Lakes)</t>
  </si>
  <si>
    <t>Nicolis, LLC</t>
  </si>
  <si>
    <t>Nicolis, LLC (Weldon Solar)</t>
  </si>
  <si>
    <t>Solar Star California XIII, LLC</t>
  </si>
  <si>
    <t>Solar Star California XIII, LLC (Quinto)</t>
  </si>
  <si>
    <t>SPS Corcoran West, LLC</t>
  </si>
  <si>
    <t>Trona Solar III, LLC</t>
  </si>
  <si>
    <t>Trona</t>
  </si>
  <si>
    <t>Gibralter Conduit Hydroelectric Plant</t>
  </si>
  <si>
    <t>Gibralter Conduit Hydroelectric Plant (f/k/a 4012)</t>
  </si>
  <si>
    <t>Broadview Energy JN</t>
  </si>
  <si>
    <t>NM/TX</t>
  </si>
  <si>
    <t>Curry/Deaf Smith</t>
  </si>
  <si>
    <t>Grady</t>
  </si>
  <si>
    <t>Broadview Energy JN, LLC</t>
  </si>
  <si>
    <t>Broadview Energy KW</t>
  </si>
  <si>
    <t>Curry</t>
  </si>
  <si>
    <t>Broadview Energy KW, LLC</t>
  </si>
  <si>
    <t>AEP Renewables</t>
  </si>
  <si>
    <t>Jacumba</t>
  </si>
  <si>
    <t>Jacumba Solar, LLC</t>
  </si>
  <si>
    <t>Algonquin SKIC 10 Solar, LLC</t>
  </si>
  <si>
    <t>Coronus Adelanto West 2 LLC</t>
  </si>
  <si>
    <t>Adelanto West 2</t>
  </si>
  <si>
    <t>Coronus Adelanto West 1 LLC</t>
  </si>
  <si>
    <t>Adelanto West 1</t>
  </si>
  <si>
    <t>Marinos Ventures, LLC</t>
  </si>
  <si>
    <t>Three Rivers</t>
  </si>
  <si>
    <t>Diamond Valley Solar LLC (being formed)</t>
  </si>
  <si>
    <t>Winchester</t>
  </si>
  <si>
    <t>Diamond Valley Solar, LLC</t>
  </si>
  <si>
    <t>Tulare PV I, LLC</t>
  </si>
  <si>
    <t>Tulare PV1, LLC (Porterville 5)</t>
  </si>
  <si>
    <t>Tulare PV1, LLC (Porterville 2)</t>
  </si>
  <si>
    <t>Tulare PV1, LLC (Porterville 1)</t>
  </si>
  <si>
    <t>Clean Power Alliance of Southern California</t>
  </si>
  <si>
    <t>Tulare PV1, LLC (Ivanhoe 3)</t>
  </si>
  <si>
    <t>Tulare PV1, LLC (Ivanhoe 2)</t>
  </si>
  <si>
    <t>Tulare PV1, LLC (Ivanhoe 1)</t>
  </si>
  <si>
    <t>Lindsay</t>
  </si>
  <si>
    <t>Tulare PV1, LLC (Lindsay 4)</t>
  </si>
  <si>
    <t>Tulare PV1, LLC (Lindsay 3)</t>
  </si>
  <si>
    <t>Tulare PV1, LLC (Lindsay 1)</t>
  </si>
  <si>
    <t>Exeter</t>
  </si>
  <si>
    <t>Tulare PV1, LLC (Exeter 3)</t>
  </si>
  <si>
    <t>Tulare PV1, LLC (Exeter 2)</t>
  </si>
  <si>
    <t>Tulare PV1, LLC (Exeter 1)</t>
  </si>
  <si>
    <t>Radiance Solar 4 LLC</t>
  </si>
  <si>
    <t>Radiance Solar 5 LLC</t>
  </si>
  <si>
    <t>Heliocentric, LLC</t>
  </si>
  <si>
    <t>L-8 Solar Project, LLC</t>
  </si>
  <si>
    <t>Newberry Solar 1 LLC</t>
  </si>
  <si>
    <t>Newberry Springs</t>
  </si>
  <si>
    <t>Newberry Solar 1, LLC</t>
  </si>
  <si>
    <t>One Miracle Property, LLC</t>
  </si>
  <si>
    <t>Oxnard</t>
  </si>
  <si>
    <t>SUNRAY ENERGY 3 LLC</t>
  </si>
  <si>
    <t>SUNRAY SEGS I</t>
  </si>
  <si>
    <t>SEPV2, LLC</t>
  </si>
  <si>
    <t>Twentynine Palms</t>
  </si>
  <si>
    <t>SEPV1, LLC</t>
  </si>
  <si>
    <t>White Mountain Ranch LLC</t>
  </si>
  <si>
    <t>Inyo</t>
  </si>
  <si>
    <t>White Mountain Ranch LLC (f/k/a 4006)</t>
  </si>
  <si>
    <t>Monte Vista Water District</t>
  </si>
  <si>
    <t>Montclair</t>
  </si>
  <si>
    <t>Monte Vista Water District (f/k/a 4147)</t>
  </si>
  <si>
    <t>Isabella Fish Flow</t>
  </si>
  <si>
    <t>Lake Isabella</t>
  </si>
  <si>
    <t>Isabella Fishflow Hydroelectric Project LLC</t>
  </si>
  <si>
    <t>Bishop Tungsten Development, LLC</t>
  </si>
  <si>
    <t>Alta Wind I. LLC</t>
  </si>
  <si>
    <t>Alta Windpower I</t>
  </si>
  <si>
    <t>Golden Solar, LLC</t>
  </si>
  <si>
    <t>Jurupa Valley</t>
  </si>
  <si>
    <t>Dulles</t>
  </si>
  <si>
    <t>Freeway Springs, LLC</t>
  </si>
  <si>
    <t>Santa Fe Springs</t>
  </si>
  <si>
    <t>Freeway Springs</t>
  </si>
  <si>
    <t>Golden Springs Development Company, LLC</t>
  </si>
  <si>
    <t>Golden Springs Building L</t>
  </si>
  <si>
    <t>Golden Springs Building G</t>
  </si>
  <si>
    <t>Golden Springs Building F, LLC</t>
  </si>
  <si>
    <t>Golden Springs Building F</t>
  </si>
  <si>
    <t>Golden Springs Bldg M</t>
  </si>
  <si>
    <t>Golden Springs Bldg H</t>
  </si>
  <si>
    <t>Solar Oasis LLC</t>
  </si>
  <si>
    <t>RE Columbia Three LLC</t>
  </si>
  <si>
    <t>Alta Wind V, LLC</t>
  </si>
  <si>
    <t>Alta Windpower V</t>
  </si>
  <si>
    <t>Solar Star 2, LLC</t>
  </si>
  <si>
    <t>Solar Star California XX, LLC (AVPV II)</t>
  </si>
  <si>
    <t>Solar Star 1, LLC</t>
  </si>
  <si>
    <t>Solar Star California XIX, LLC (AVPV I)</t>
  </si>
  <si>
    <t>Golden Solar, LLC (Bldg. D)</t>
  </si>
  <si>
    <t>Golden Springs, LLC, (Building D)</t>
  </si>
  <si>
    <t>Golden Solar, LLC (Bldg. C1)</t>
  </si>
  <si>
    <t>Golden Springs, LLC, (Building C1)</t>
  </si>
  <si>
    <t>TA - High Desert, LLC</t>
  </si>
  <si>
    <t>TA - High Desert LLC (Antelope)</t>
  </si>
  <si>
    <t>RE Victor Phelan Solar One, LLC</t>
  </si>
  <si>
    <t>RE Rosamond Two, LLC</t>
  </si>
  <si>
    <t>RE Rio Grande, LLC</t>
  </si>
  <si>
    <t>Solar Blythe LLC</t>
  </si>
  <si>
    <t>BMT Corral, LLC</t>
  </si>
  <si>
    <t>Helendale</t>
  </si>
  <si>
    <t>5131 RB INYOKERN SOLAR WDT 1281, LLC</t>
  </si>
  <si>
    <t>Inyokern</t>
  </si>
  <si>
    <t>Alta Wind IV, LLC</t>
  </si>
  <si>
    <t>Alta Windpower IV</t>
  </si>
  <si>
    <t>5130 RB INYOKERN SOLAR WDT 1203, LLC</t>
  </si>
  <si>
    <t>Mesquite Solar 2, LLC</t>
  </si>
  <si>
    <t>Mesquite Solar 2</t>
  </si>
  <si>
    <t>Imperial Valley Solar 2, LLC</t>
  </si>
  <si>
    <t>Imperial Valley Solar 2, LLC (Mount Signal II)</t>
  </si>
  <si>
    <t>Copper Mountain Solar 4, LLC</t>
  </si>
  <si>
    <t>Great Valley Solar 3, LLC (a/k/a RE Tranquillity 8 Azul)</t>
  </si>
  <si>
    <t>Vialia CSG LLC</t>
  </si>
  <si>
    <t>Visalia CSG LLC</t>
  </si>
  <si>
    <t>Rising Tree Wind Farm LLC</t>
  </si>
  <si>
    <t>Rising Tree Wind Farm, LLC</t>
  </si>
  <si>
    <t>Rising Tree Wind Farm III LLC</t>
  </si>
  <si>
    <t>Rising Tree Wind Farm III, LLC (f/k/a Alta XIII)</t>
  </si>
  <si>
    <t>EDP Renewables</t>
  </si>
  <si>
    <t>Amargosa Valley</t>
  </si>
  <si>
    <t>Sunshine Valley Solar, LLC</t>
  </si>
  <si>
    <t>EDP Renewables North America LLC</t>
  </si>
  <si>
    <t>Sun Streams, LLC</t>
  </si>
  <si>
    <t>Wildwood Solar II, LLC</t>
  </si>
  <si>
    <t>Rio Bravo Solar II, LLC</t>
  </si>
  <si>
    <t>McKittrick</t>
  </si>
  <si>
    <t>Rio Bravo Solar I, LLC</t>
  </si>
  <si>
    <t>Longboat Solar, LLC</t>
  </si>
  <si>
    <t>Barstow</t>
  </si>
  <si>
    <t>North Rosamond Solar, LLC</t>
  </si>
  <si>
    <t>Wildwood Solar I, LLC</t>
  </si>
  <si>
    <t>Pumpjack Solar I, LLC</t>
  </si>
  <si>
    <t>Lone Valley Solar Park I, LLC</t>
  </si>
  <si>
    <t>Lucerne Valley</t>
  </si>
  <si>
    <t>Lone Valley Solar Park I, LLC (f/k/a Agincourt)</t>
  </si>
  <si>
    <t>Highlander Solar 2 LLC</t>
  </si>
  <si>
    <t>Highlander Solar 2 (f/k/a SEPV9)</t>
  </si>
  <si>
    <t>Highlander Solar 1 LLC</t>
  </si>
  <si>
    <t>Highlander Solar 1 (f/k/a SEPV8)</t>
  </si>
  <si>
    <t>Windhub Solar A, LLC</t>
  </si>
  <si>
    <t>Windhub Solar A Solar Project</t>
  </si>
  <si>
    <t>San B. MWD</t>
  </si>
  <si>
    <t>San Bernardino MWD (Unit 3)</t>
  </si>
  <si>
    <t>Deep Springs College</t>
  </si>
  <si>
    <t>Big Pine</t>
  </si>
  <si>
    <t>United Water Conservation District</t>
  </si>
  <si>
    <t>Piru</t>
  </si>
  <si>
    <t>San Bernardino MWD</t>
  </si>
  <si>
    <t>Gettysburg Solar Farm, LLC</t>
  </si>
  <si>
    <t>Lone Valley Solar Park II, LLC</t>
  </si>
  <si>
    <t>Lone Valley Solar Park II, LLC (f/k/a Marathon)</t>
  </si>
  <si>
    <t>Goshen Phase II, LLC.</t>
  </si>
  <si>
    <t>ID</t>
  </si>
  <si>
    <t>Bonneville</t>
  </si>
  <si>
    <t>Idaho Falls</t>
  </si>
  <si>
    <t>Goshen Phase II, LLC</t>
  </si>
  <si>
    <t>CalCity Solar I, LLC</t>
  </si>
  <si>
    <t>California City</t>
  </si>
  <si>
    <t>DG West 2021, LLC</t>
  </si>
  <si>
    <t>Blythe Solar III, LLC</t>
  </si>
  <si>
    <t>Blythe Solar II, LLC</t>
  </si>
  <si>
    <t>41MB 8ME LLC</t>
  </si>
  <si>
    <t>Adelanto Solar II, LLC</t>
  </si>
  <si>
    <t>Adelanto Solar 2</t>
  </si>
  <si>
    <t>Three Valleys MWD (Fulton Road)</t>
  </si>
  <si>
    <t>Adelanto Solar, LLC</t>
  </si>
  <si>
    <t>Venable Solar, LLC</t>
  </si>
  <si>
    <t>Venable #2 South</t>
  </si>
  <si>
    <t>Venable #1 North</t>
  </si>
  <si>
    <t>McCoy Solar, LLC</t>
  </si>
  <si>
    <t>Silver State Solar Power South, LLC</t>
  </si>
  <si>
    <t>Primm</t>
  </si>
  <si>
    <t>Silver State Solar Power, LLC</t>
  </si>
  <si>
    <t>Desert Sunlight, LLC</t>
  </si>
  <si>
    <t>Desert Sunlight 250, LLC</t>
  </si>
  <si>
    <t>Phelan Solar LLC</t>
  </si>
  <si>
    <t>El Mirage</t>
  </si>
  <si>
    <t>TKO Power Inc.</t>
  </si>
  <si>
    <t>TKO Power Inc. (South Bear Creek)</t>
  </si>
  <si>
    <t>REPUBLIC SERVICES OF SONOMA COUNTY ENERGY PRODUCERS, INC.</t>
  </si>
  <si>
    <t>Petaluma</t>
  </si>
  <si>
    <t>Sonoma County Landfill LFGTE Project</t>
  </si>
  <si>
    <t>Valentine Solar, LLC</t>
  </si>
  <si>
    <t>Catalina Solar 2, LLC</t>
  </si>
  <si>
    <t>AVS Phase 2, LLC</t>
  </si>
  <si>
    <t>AVS Phase 2</t>
  </si>
  <si>
    <t>RE Adams East LLC</t>
  </si>
  <si>
    <t>RE Adams East</t>
  </si>
  <si>
    <t>Maverick Solar, LLC</t>
  </si>
  <si>
    <t>Caliente Springs</t>
  </si>
  <si>
    <t>Caliente Springs, LLC</t>
  </si>
  <si>
    <t>Mound Solar Partnership XI, LLC</t>
  </si>
  <si>
    <t>US Topco Energy, Inc. (Soccer Center)</t>
  </si>
  <si>
    <t>Division 3</t>
  </si>
  <si>
    <t>Division 3 (f/k/a Ever CT Solar Farm, LLC - Site 2C)</t>
  </si>
  <si>
    <t>Division 2</t>
  </si>
  <si>
    <t>Division 2 (f/k/a Ever CT Solar Farm, LLC - Site 2B)</t>
  </si>
  <si>
    <t>Division 1</t>
  </si>
  <si>
    <t>Division 1 (f/k/a Ever CT Solar Farm, LLC - Site 2A)</t>
  </si>
  <si>
    <t>Kettering 2</t>
  </si>
  <si>
    <t>Kettering 2 (f/k/a Ever CT Solar Farm, LLC - Site 1B)</t>
  </si>
  <si>
    <t>Goleta Water District</t>
  </si>
  <si>
    <t>Goleta Water District (Van Horne) (f/k/a 4055)</t>
  </si>
  <si>
    <t>Kettering 1</t>
  </si>
  <si>
    <t>Kettering 1 (f/k/a Ever CT Solar Farm, LLC - Site 1A)</t>
  </si>
  <si>
    <t>Garnet Solar Power Generation Station, 1 LLC</t>
  </si>
  <si>
    <t>North Palm Springs</t>
  </si>
  <si>
    <t>North Palm Springs Investments, LLC</t>
  </si>
  <si>
    <t>North Palm Springs #4A</t>
  </si>
  <si>
    <t>North Palm Springs #1A</t>
  </si>
  <si>
    <t>SS San Antonio West, LLC</t>
  </si>
  <si>
    <t>SS San Antonio West LLC (Chino South Building E)</t>
  </si>
  <si>
    <t>Temescal Canyon RV, LLC</t>
  </si>
  <si>
    <t>Temescal Canyon</t>
  </si>
  <si>
    <t>Mountain View Power Partners IV, LLC</t>
  </si>
  <si>
    <t>Adera Solar, LLC</t>
  </si>
  <si>
    <t>Adera Solar</t>
  </si>
  <si>
    <t>SEPV Mojave West, LLC</t>
  </si>
  <si>
    <t>Lancaster Little Rock C LLC</t>
  </si>
  <si>
    <t>Central Antelope Dry Ranch B, LLC</t>
  </si>
  <si>
    <t>67RK 8ME LLC</t>
  </si>
  <si>
    <t>Edison</t>
  </si>
  <si>
    <t>67RK 8ME, LLC</t>
  </si>
  <si>
    <t>Citizen Solar B LLC</t>
  </si>
  <si>
    <t>Citizen Solar B, LLC</t>
  </si>
  <si>
    <t>Lancaster WAD B</t>
  </si>
  <si>
    <t>Lancaster WAD B, LLC</t>
  </si>
  <si>
    <t>SEPV Palmdale East LLC</t>
  </si>
  <si>
    <t>SEPV Palmdale East, LLC</t>
  </si>
  <si>
    <t>sPower</t>
  </si>
  <si>
    <t>Victorville</t>
  </si>
  <si>
    <t>Victor Mesa Linda E2 LLC</t>
  </si>
  <si>
    <t>Victor Mesa Linda D2 LLC</t>
  </si>
  <si>
    <t>Victor Mesa Linda C2 LLC</t>
  </si>
  <si>
    <t>Victor Mesa Linda B2 LLC</t>
  </si>
  <si>
    <t>FTS Master Tenant 2, LLC</t>
  </si>
  <si>
    <t>FTS Master Tenant 2, LLC (SEPV18)</t>
  </si>
  <si>
    <t>Expressway Solar C2, LLC</t>
  </si>
  <si>
    <t>Rodeo Solar D2, LLC</t>
  </si>
  <si>
    <t>Rodeo Solar C2, LLC</t>
  </si>
  <si>
    <t>Summer Solar B2, LLC</t>
  </si>
  <si>
    <t>Summer Solar A2, LLC</t>
  </si>
  <si>
    <t>Summer Solar D2, LLC</t>
  </si>
  <si>
    <t>Summer Solar C2, LLC</t>
  </si>
  <si>
    <t>Industry Solar Power Generation Station 1 LLC</t>
  </si>
  <si>
    <t>Industry Solar Power Generation Station 1, LLC</t>
  </si>
  <si>
    <t>Expressway Solar B LLC</t>
  </si>
  <si>
    <t>Expressway Solar B</t>
  </si>
  <si>
    <t>Expressway Solar A LLC</t>
  </si>
  <si>
    <t>Expressway Solar A</t>
  </si>
  <si>
    <t>American Solar Greenworks, LLC</t>
  </si>
  <si>
    <t>American Solar Greenworks, LLC (A&amp;R)</t>
  </si>
  <si>
    <t>Sierra Solar Greenworks, LLC</t>
  </si>
  <si>
    <t>Sierra Solar Greenworks, LLC (A&amp;R)</t>
  </si>
  <si>
    <t>North Lancaster Ranch, LLC</t>
  </si>
  <si>
    <t>North Lancaster Ranch, LLC (A&amp;R)</t>
  </si>
  <si>
    <t>Central Antelope Dry Ranch C, LLC</t>
  </si>
  <si>
    <t>Central Antelope Dry Ranch C, LLC (A&amp;R)</t>
  </si>
  <si>
    <t>Victor Dry Farm Ranch B, LLC</t>
  </si>
  <si>
    <t>Victor Dry Farm Ranch A, LLC</t>
  </si>
  <si>
    <t>Lancaster Dry Farm Ranch B, LLC</t>
  </si>
  <si>
    <t>Navajo Solar Power Generation Station 1 LLC</t>
  </si>
  <si>
    <t>Navajo Solar Power Generation Station 1, LLC</t>
  </si>
  <si>
    <t>Otoe Solar Power Generation Station 1 LLC</t>
  </si>
  <si>
    <t>Otoe Solar Power Generation Station 1, LLC</t>
  </si>
  <si>
    <t>Two Fiets</t>
  </si>
  <si>
    <t>Tipton</t>
  </si>
  <si>
    <t>Powhatan Solar Power Generation Station 1 LLC</t>
  </si>
  <si>
    <t>Powhatan Solar Power Generation Station 1, LLC</t>
  </si>
  <si>
    <t>Green Beanworks D, LLC</t>
  </si>
  <si>
    <t>Green Beanworks D LLC</t>
  </si>
  <si>
    <t>Antelope DSR 3, LLC</t>
  </si>
  <si>
    <t>Green Beanworks C, LLC</t>
  </si>
  <si>
    <t>Green Beanworks B, LLC</t>
  </si>
  <si>
    <t>Green Beanworks B LLC</t>
  </si>
  <si>
    <t>Green Ridge Power LLC (5.9 MW)</t>
  </si>
  <si>
    <t>Altamont Power LLC (4-4)</t>
  </si>
  <si>
    <t>Energy Development &amp; Construction Corp Corporation</t>
  </si>
  <si>
    <t xml:space="preserve"> CA</t>
  </si>
  <si>
    <t>Energy Development &amp; Const. Corp. (f/k/a 6062)</t>
  </si>
  <si>
    <t>SEPV Boulevard LLC</t>
  </si>
  <si>
    <t>SEPV Boulevard 2</t>
  </si>
  <si>
    <t>Lundy</t>
  </si>
  <si>
    <t>Lee Vining</t>
  </si>
  <si>
    <t>CE Leathers Company</t>
  </si>
  <si>
    <t>Salton Sea Power Generation Co #3</t>
  </si>
  <si>
    <t>EUI</t>
  </si>
  <si>
    <t>Painted Hills</t>
  </si>
  <si>
    <t>Salton Sea Power Generation L.P. #1</t>
  </si>
  <si>
    <t>Pomona</t>
  </si>
  <si>
    <t>Green Ridge Power LLC (100 MW - D)</t>
  </si>
  <si>
    <t>RuAnn Dairy Digester</t>
  </si>
  <si>
    <t>Victory Garden Phase IV Partner - 6102</t>
  </si>
  <si>
    <t>Refresh Wind 2, LLC</t>
  </si>
  <si>
    <t>Kern County</t>
  </si>
  <si>
    <t>Refresh Wind, LLC</t>
  </si>
  <si>
    <t>Brookfield</t>
  </si>
  <si>
    <t>Coram Energy, LLC</t>
  </si>
  <si>
    <t>Alameda Grant Line Solar 1, LLC</t>
  </si>
  <si>
    <t>Unincorporated Alameda County (near Tracy)</t>
  </si>
  <si>
    <t>Alameda Grant Line Solar 1</t>
  </si>
  <si>
    <t>Curtis, Edwin</t>
  </si>
  <si>
    <t>Sky River Partnership (Wilderness I)</t>
  </si>
  <si>
    <t>Lake Perris Solar LLC (being formed)</t>
  </si>
  <si>
    <t>Nuevo</t>
  </si>
  <si>
    <t>Lake Perris Solar</t>
  </si>
  <si>
    <t>Boomer Solar 18 LLC</t>
  </si>
  <si>
    <t>Boomer Solar 18</t>
  </si>
  <si>
    <t>Rock Creek Hydro, LLC</t>
  </si>
  <si>
    <t>San Diego Community College District</t>
  </si>
  <si>
    <t>SDCCD - Skills Center</t>
  </si>
  <si>
    <t>Summer Solar H2, LLC</t>
  </si>
  <si>
    <t>Madera Canal (1923)</t>
  </si>
  <si>
    <t>Axio Power Holdings, LLC</t>
  </si>
  <si>
    <t>SunEdison-Cameron</t>
  </si>
  <si>
    <t>ImMODO California 1, LLC</t>
  </si>
  <si>
    <t>imMODO- Lemoore 4</t>
  </si>
  <si>
    <t>FTS Project Owner 1, LLC</t>
  </si>
  <si>
    <t>FTS Project Owner 1, LLC (Summer North)</t>
  </si>
  <si>
    <t>BCE Los Alamitos_x000D_
(Bright Canyon)</t>
  </si>
  <si>
    <t>Fresno County</t>
  </si>
  <si>
    <t>ORNI33, LLC (Wister)</t>
  </si>
  <si>
    <t>Victory Garden Phase IV Partner - 6104</t>
  </si>
  <si>
    <t>US Gov't</t>
  </si>
  <si>
    <t>San Dimas</t>
  </si>
  <si>
    <t>USFS San Dimas Technology and Development Center</t>
  </si>
  <si>
    <t>Fairfield Power Plant (Papazian)</t>
  </si>
  <si>
    <t>OCI Solar Lakeside LLC</t>
  </si>
  <si>
    <t>Lakeside</t>
  </si>
  <si>
    <t>OCI Solar Lakeside</t>
  </si>
  <si>
    <t>Imperial Valley Solar 2 LLC</t>
  </si>
  <si>
    <t>LanWest Solar Farm</t>
  </si>
  <si>
    <t>5149 Lancaster Energy LLC</t>
  </si>
  <si>
    <t>Fresh Air Energy II, LLC</t>
  </si>
  <si>
    <t>Descanso</t>
  </si>
  <si>
    <t>Viejas Blvd PV 1</t>
  </si>
  <si>
    <t>Maricopa East Solar PV2, LLC</t>
  </si>
  <si>
    <t>RE Yakima LLC</t>
  </si>
  <si>
    <t>RE Yakima, LLC</t>
  </si>
  <si>
    <t>Hatchet Ridge</t>
  </si>
  <si>
    <t>Desmon Power LLC</t>
  </si>
  <si>
    <t>Johnson Valley</t>
  </si>
  <si>
    <t>Desmon Power Products LLC #5712</t>
  </si>
  <si>
    <t>SunEdison Utility Solutions, LLC</t>
  </si>
  <si>
    <t>Fontana</t>
  </si>
  <si>
    <t>SunE- Fontana</t>
  </si>
  <si>
    <t>SunE- Elm Fontana</t>
  </si>
  <si>
    <t>First Solar</t>
  </si>
  <si>
    <t>Laughlin</t>
  </si>
  <si>
    <t>Tribal Solar, LLC</t>
  </si>
  <si>
    <t>SunE- Victorville</t>
  </si>
  <si>
    <t>Boomer Solar 6 LLC</t>
  </si>
  <si>
    <t>La Mirada</t>
  </si>
  <si>
    <t>Boomer Solar 6</t>
  </si>
  <si>
    <t>SUNE RAPID5223 LLC</t>
  </si>
  <si>
    <t>Tustin</t>
  </si>
  <si>
    <t>SunE (Red Hill)</t>
  </si>
  <si>
    <t>San Jacinto Solar LLC (being formed)</t>
  </si>
  <si>
    <t>San Jacinto Solar</t>
  </si>
  <si>
    <t>Yucca Valley</t>
  </si>
  <si>
    <t>Desmon Power Products LLC #5706</t>
  </si>
  <si>
    <t>Summer Solar G2, LLC</t>
  </si>
  <si>
    <t>Terra-Gen 251 Wind, LLC  (Monolith XI)</t>
  </si>
  <si>
    <t>Coronus Apple Valley East 1, LLC</t>
  </si>
  <si>
    <t>Milestone Wildomar, LLC</t>
  </si>
  <si>
    <t>Wildomar</t>
  </si>
  <si>
    <t>ca</t>
  </si>
  <si>
    <t>Little Bear Solar 2, LLC</t>
  </si>
  <si>
    <t>Coronus Apple Valley East 2, LLC</t>
  </si>
  <si>
    <t>Sky River Partnership (Wilderness III)</t>
  </si>
  <si>
    <t>Summer Solar F2, LLC</t>
  </si>
  <si>
    <t>Boomer Solar 17 LLC</t>
  </si>
  <si>
    <t>Montebello</t>
  </si>
  <si>
    <t>Boomer Solar 17</t>
  </si>
  <si>
    <t>Boomer Solar 15 LLC</t>
  </si>
  <si>
    <t>Carson</t>
  </si>
  <si>
    <t>Boomer Solar 15</t>
  </si>
  <si>
    <t>Boomer Solar 12 LLC</t>
  </si>
  <si>
    <t>Boomer Solar 12</t>
  </si>
  <si>
    <t>Smoke Tree Wind, LLC</t>
  </si>
  <si>
    <t>Desmon Power Products LLC #5705</t>
  </si>
  <si>
    <t>Lancaster Solar Works 4, LLC</t>
  </si>
  <si>
    <t>Lancaster Solar Works 4</t>
  </si>
  <si>
    <t>Twenty Nine Palms</t>
  </si>
  <si>
    <t>SunEdison Origination 3, LLC</t>
  </si>
  <si>
    <t>HL Power Company</t>
  </si>
  <si>
    <t xml:space="preserve">Desmon Power Products LLC </t>
  </si>
  <si>
    <t xml:space="preserve">Global Renewable Energy dba Con Dios Solar 33 </t>
  </si>
  <si>
    <t>Boomer Solar 22 LLC</t>
  </si>
  <si>
    <t>Boomer Solar 22</t>
  </si>
  <si>
    <t>Viejas Blvd. PV2</t>
  </si>
  <si>
    <t>SunE - Oxnard</t>
  </si>
  <si>
    <t>Zuni Solar, LLC</t>
  </si>
  <si>
    <t>Zamora Zuni Road North</t>
  </si>
  <si>
    <t>LanEast Solar Farm</t>
  </si>
  <si>
    <t>Little Bear Solar 1, LLC</t>
  </si>
  <si>
    <t>San Jacinto</t>
  </si>
  <si>
    <t>San Jacinto Solar 14.5, LLC</t>
  </si>
  <si>
    <t>Alpha-Gamma Technologies, Inc.</t>
  </si>
  <si>
    <t>Lakeside Biogas LLC</t>
  </si>
  <si>
    <t xml:space="preserve">97WI 8ME LLC </t>
  </si>
  <si>
    <t xml:space="preserve">Calipatria </t>
  </si>
  <si>
    <t>Helen Solar, LLC</t>
  </si>
  <si>
    <t>Gales A West</t>
  </si>
  <si>
    <t>Mega Renewables (Silver Springs)</t>
  </si>
  <si>
    <t>SUNE RAPID5222 LLC</t>
  </si>
  <si>
    <t>SunE (Bell Tustin)</t>
  </si>
  <si>
    <t>Rugged Solar</t>
  </si>
  <si>
    <t>SunE Solar XVIII Project 1, LLC</t>
  </si>
  <si>
    <t>SunE - Redlands</t>
  </si>
  <si>
    <t>Desmon Power Products LLC #5709</t>
  </si>
  <si>
    <t>Tierra del Sol  Solar Farm</t>
  </si>
  <si>
    <t>Summer Solar E2, LLC</t>
  </si>
  <si>
    <t>Coronus Yucca Valley East 3 LLC</t>
  </si>
  <si>
    <t>Joshua Tree</t>
  </si>
  <si>
    <t>SunE- Santa Ana</t>
  </si>
  <si>
    <t>Wheelabrator Shasta Energy Company, Inc.</t>
  </si>
  <si>
    <t>Wheelabrator Shasta</t>
  </si>
  <si>
    <t>SP Indigo Ranch C2, LLC</t>
  </si>
  <si>
    <t>SunE- Quarry Corona</t>
  </si>
  <si>
    <t>Neenach Solar 1B South, LLC</t>
  </si>
  <si>
    <t>SP Indigo Ranch B2, LLC</t>
  </si>
  <si>
    <t>SP Indigo Ranch A2, LLC</t>
  </si>
  <si>
    <t>Coronus 29-Palms North 2 LLC</t>
  </si>
  <si>
    <t>Coronus 29-Palms North 2</t>
  </si>
  <si>
    <t xml:space="preserve">Pine Valley </t>
  </si>
  <si>
    <t>Buckman Springs PV 2</t>
  </si>
  <si>
    <t>Zamora Zuni Road South</t>
  </si>
  <si>
    <t>SunE DB21, LLC</t>
  </si>
  <si>
    <t>Mira Loma</t>
  </si>
  <si>
    <t>SunE - Mira Loma</t>
  </si>
  <si>
    <t>SunE - Jurupa Fontana</t>
  </si>
  <si>
    <t>Calleguas MWD - Unit 2 (East Portal)</t>
  </si>
  <si>
    <t>SunE- Jurupa Ontario</t>
  </si>
  <si>
    <t>San Jacinto Solar 5.5, LLC</t>
  </si>
  <si>
    <t>Lakeside BioGas</t>
  </si>
  <si>
    <t>FFP CA Community Solar, LLC</t>
  </si>
  <si>
    <t>Campo</t>
  </si>
  <si>
    <t>Cameron (SB43)</t>
  </si>
  <si>
    <t>Boomer Solar 7 LLC</t>
  </si>
  <si>
    <t>Compton</t>
  </si>
  <si>
    <t>Boomer Solar 7</t>
  </si>
  <si>
    <t>Ecos Energy, LLC</t>
  </si>
  <si>
    <t>Julian</t>
  </si>
  <si>
    <t>Calico Ranch Solar Project</t>
  </si>
  <si>
    <t>Desmon Power Products LLC #5711</t>
  </si>
  <si>
    <t>SunE- Cucamonga Ontario West</t>
  </si>
  <si>
    <t>Coronus Joshua Tree East 5 LLC</t>
  </si>
  <si>
    <t>Buckman Springs PV 1</t>
  </si>
  <si>
    <t>Gales B East</t>
  </si>
  <si>
    <t>WM Energy Solutions, Inc.</t>
  </si>
  <si>
    <t>Simi Valley</t>
  </si>
  <si>
    <t>WMES Simi Valley</t>
  </si>
  <si>
    <t>GASNA 60P, LLC</t>
  </si>
  <si>
    <t>Gustine</t>
  </si>
  <si>
    <t>Gustine 1</t>
  </si>
  <si>
    <t>Ignite Solar, LLC</t>
  </si>
  <si>
    <t>Garces (Oswell A)</t>
  </si>
  <si>
    <t>Pristine Sun Fund 2, LLC</t>
  </si>
  <si>
    <t>Pristine Sun- 2045 Layton</t>
  </si>
  <si>
    <t>Jackson</t>
  </si>
  <si>
    <t>2243 Fuller (SB32)</t>
  </si>
  <si>
    <t>Pristine Sun Fund 6, LLC</t>
  </si>
  <si>
    <t>2207 Ritchie</t>
  </si>
  <si>
    <t>Pristine Sun 2267 Estrella (SB32/ReMAT)</t>
  </si>
  <si>
    <t>Victorville Landfill Solar L.P.</t>
  </si>
  <si>
    <t>Sun Edison Victorville Solar</t>
  </si>
  <si>
    <t>Pristine Sun 2265 Caughran (SB32/ReMAT)</t>
  </si>
  <si>
    <t>Desmon Power Products LLC #5710</t>
  </si>
  <si>
    <t>Pristine Power LLC</t>
  </si>
  <si>
    <t>2241 Alavi (SB32)</t>
  </si>
  <si>
    <t>Gestamp Asetym Solar North America, Inc.</t>
  </si>
  <si>
    <t>Solano County</t>
  </si>
  <si>
    <t>Peabody RBJ - RAM 2</t>
  </si>
  <si>
    <t>Chico</t>
  </si>
  <si>
    <t>Pristine Sun- 2143 Dacy</t>
  </si>
  <si>
    <t>WSF PV2, LLC</t>
  </si>
  <si>
    <t>Westlands Solar - WSF PV 1.5</t>
  </si>
  <si>
    <t>Sand Hill Wind, LLC</t>
  </si>
  <si>
    <t>Sand Hill Wind II - Dyer Road</t>
  </si>
  <si>
    <t>Coronus 29-Palms North 3 LLC</t>
  </si>
  <si>
    <t>Coronus 29 Palms North 3</t>
  </si>
  <si>
    <t>Sand Hill Wind II - Altamont</t>
  </si>
  <si>
    <t>Shasta Renewable Resources, LLC</t>
  </si>
  <si>
    <t>Shasta Renewable Resources (fka Anderson Biomass Plant and Kiara Biomass)</t>
  </si>
  <si>
    <t>Maricopa West Solar PV 2, LLC</t>
  </si>
  <si>
    <t>Maricopa West Solar</t>
  </si>
  <si>
    <t>Desert Winds II Pwr Purch Trst</t>
  </si>
  <si>
    <t>Pristine Sun - 2272 McCall (SB32)</t>
  </si>
  <si>
    <t>WMES El Sobrante</t>
  </si>
  <si>
    <t>Western Wind Energy Corp (Windridge)</t>
  </si>
  <si>
    <t>Terra-Gen 251 Wind, LLC  (Monolith X)</t>
  </si>
  <si>
    <t>Murrieta</t>
  </si>
  <si>
    <t>Mirasol Murrieta 1</t>
  </si>
  <si>
    <t>2245 Gentry</t>
  </si>
  <si>
    <t>2235 Leong</t>
  </si>
  <si>
    <t>VPI Enterprises, Inc.</t>
  </si>
  <si>
    <t>Altech III</t>
  </si>
  <si>
    <t>Sand Hill Wind, LLC - RAM 3</t>
  </si>
  <si>
    <t>imMODO- Lemoore 3</t>
  </si>
  <si>
    <t>imMODO- Lemoore 2</t>
  </si>
  <si>
    <t>Mega Renewables (Hatchet Crk)</t>
  </si>
  <si>
    <t>Apex Natural Renewable Generation LLC</t>
  </si>
  <si>
    <t>Cutler</t>
  </si>
  <si>
    <t>APEX 615-408</t>
  </si>
  <si>
    <t>Foothill Farmington Solar Project, LLC</t>
  </si>
  <si>
    <t>Farmington</t>
  </si>
  <si>
    <t>Foothill Farmington - PV 2</t>
  </si>
  <si>
    <t>Tehachapi (Oswell B)</t>
  </si>
  <si>
    <t>Pristine Sun Fund 8, LLC</t>
  </si>
  <si>
    <t>2257 Campbell</t>
  </si>
  <si>
    <t>Rice Solar Energy, LLC</t>
  </si>
  <si>
    <t>Rice (Rice Airfield)</t>
  </si>
  <si>
    <t>Solar Thermal - With Storage (molten salt)</t>
  </si>
  <si>
    <t>Rice Solar Energy Amended and Restated</t>
  </si>
  <si>
    <t>Lone Oak Energy LLC</t>
  </si>
  <si>
    <t>Lone Oak Dairy Digester</t>
  </si>
  <si>
    <t>Apex Natural Renewable Generation, LLC</t>
  </si>
  <si>
    <t>Solar Partners XXIII, LLC</t>
  </si>
  <si>
    <t>Solar Partners XXIII (Palen SEGS, BrightSource PPA 7)</t>
  </si>
  <si>
    <t>Solar Partners XXII, LLC</t>
  </si>
  <si>
    <t>Solar Partners XXII (Palen SEGS, BrightSource PPA 6)</t>
  </si>
  <si>
    <t>GASNA 30P, LLC (Camden FiT 1)</t>
  </si>
  <si>
    <t>Camden 1</t>
  </si>
  <si>
    <t>Central Valley Ag Power, LLC</t>
  </si>
  <si>
    <t>Stanislaus</t>
  </si>
  <si>
    <t>Oakdale</t>
  </si>
  <si>
    <t>Central Valley Ag Power</t>
  </si>
  <si>
    <t>Pristine Sun- 2076 Maas</t>
  </si>
  <si>
    <t>Auberry</t>
  </si>
  <si>
    <t>RGA2 Solar</t>
  </si>
  <si>
    <t>Napa Recycling &amp; Waste Services, LLC</t>
  </si>
  <si>
    <t>Napa Recycling Biomass Plant</t>
  </si>
  <si>
    <t>Pristine Sun Fund 2 LLC</t>
  </si>
  <si>
    <t>Pristine Sun Fund 2126 Lovell (SB32)</t>
  </si>
  <si>
    <t>Shamrock Utilities, LLC</t>
  </si>
  <si>
    <t>Sutter's Mill</t>
  </si>
  <si>
    <t>Green Light Energy Corporation</t>
  </si>
  <si>
    <t>Greenlight Energy- Iota Solar Project</t>
  </si>
  <si>
    <t>Pristine Sun- 2189 Gabrych</t>
  </si>
  <si>
    <t>Sequoia (Bena C)</t>
  </si>
  <si>
    <t>Joshua Tree Solar Farm, LLC</t>
  </si>
  <si>
    <t>Sonoma Clean Power</t>
  </si>
  <si>
    <t>Calpine Energy Services, L. P.</t>
  </si>
  <si>
    <t>Calpine Geysers</t>
  </si>
  <si>
    <t>Difwind Farms Limited V</t>
  </si>
  <si>
    <t>GASNA 36P LLC</t>
  </si>
  <si>
    <t>San Joaquin 1B Fit 1 (GASNA 36P)</t>
  </si>
  <si>
    <t>Patterson Pass Wind Farm, LLC</t>
  </si>
  <si>
    <t>SunE - San Bernardino</t>
  </si>
  <si>
    <t>Rival Power &amp; Energy LLC</t>
  </si>
  <si>
    <t>Peterson Rd. Solar I</t>
  </si>
  <si>
    <t>SDG&amp;E</t>
  </si>
  <si>
    <t>Pala Solar Energy Project (SDG&amp;E)</t>
  </si>
  <si>
    <t>Kern River (Bena B)</t>
  </si>
  <si>
    <t>SEPV Boulevard, LLC</t>
  </si>
  <si>
    <t>SunE DB22, LLC</t>
  </si>
  <si>
    <t>SunE - Dupont Ontario</t>
  </si>
  <si>
    <t>SunEdison Origination3, LLC</t>
  </si>
  <si>
    <t>Sun Edison Brown Field</t>
  </si>
  <si>
    <t>Mammoth Pool Fish Water Generator</t>
  </si>
  <si>
    <t xml:space="preserve">Burney Forest Products </t>
  </si>
  <si>
    <t>AES Tehachapi Wind, LLC</t>
  </si>
  <si>
    <t>AES Tehachapi Wind</t>
  </si>
  <si>
    <t>Bottle Rock Power, LLC</t>
  </si>
  <si>
    <t>Cobb</t>
  </si>
  <si>
    <t>Bottle Rock Power (2nd Amended &amp; Restated)</t>
  </si>
  <si>
    <t>Sierra Pacific Industries</t>
  </si>
  <si>
    <t>Sierra Pacific Ind. (Anderson)</t>
  </si>
  <si>
    <t>Rocklin</t>
  </si>
  <si>
    <t>Greenlight - Vega Solar Project</t>
  </si>
  <si>
    <t>LA San. District</t>
  </si>
  <si>
    <t>L.A. Co. Sanitation Dist  Spadra</t>
  </si>
  <si>
    <t>Westwind Trust</t>
  </si>
  <si>
    <t>SunE - Torrance</t>
  </si>
  <si>
    <t>Sonora</t>
  </si>
  <si>
    <t>Sierra Pacific Ind.(Sonora)</t>
  </si>
  <si>
    <t>Desmon Power Products LLC #5713</t>
  </si>
  <si>
    <t>Section 20 Trust</t>
  </si>
  <si>
    <t>CalRENEW-1 LLC</t>
  </si>
  <si>
    <t>CalRenew-1</t>
  </si>
  <si>
    <t>David O. Harde</t>
  </si>
  <si>
    <t>Somerset</t>
  </si>
  <si>
    <t>Whittier</t>
  </si>
  <si>
    <t>L.A. Co. Sanitation Dist (Puente Hills)</t>
  </si>
  <si>
    <t>Sierra Pacific Ind. (Lincoln)</t>
  </si>
  <si>
    <t>Luz Solar Partners Ltd. IV</t>
  </si>
  <si>
    <t>Claremont</t>
  </si>
  <si>
    <t>Three Valleys MWD (Miramar)</t>
  </si>
  <si>
    <t>Agua Caliente (Bena A)</t>
  </si>
  <si>
    <t>Sierra Pacific Ind. (Burney)</t>
  </si>
  <si>
    <t>Boomer Solar 2 LLC</t>
  </si>
  <si>
    <t>Boomer Solar 2</t>
  </si>
  <si>
    <t>San Diego County Water Authority (SDCWA)</t>
  </si>
  <si>
    <t>SDCWA - Rancho Penasquitos Hydro</t>
  </si>
  <si>
    <t>Green Light Energy Corp.</t>
  </si>
  <si>
    <t>Merced 2 - (SB32)</t>
  </si>
  <si>
    <t>WOF CA LBH PROJECT LLC</t>
  </si>
  <si>
    <t>Lisa Boone Harris</t>
  </si>
  <si>
    <t>Ormesa LLC</t>
  </si>
  <si>
    <t>Holtville</t>
  </si>
  <si>
    <t>Ormesa Geothermal I, II, GEM</t>
  </si>
  <si>
    <t>Coronus Hesperia West 2 LLC</t>
  </si>
  <si>
    <t>Coronus Hesperia West 2</t>
  </si>
  <si>
    <t>Phelan Park</t>
  </si>
  <si>
    <t>Phelan Park I, LLC</t>
  </si>
  <si>
    <t>Van Der Kooi Dairy Power LLC</t>
  </si>
  <si>
    <t>Van Der Kooi Dairy Digester</t>
  </si>
  <si>
    <t>NLP Porter Ranch G18, LLC</t>
  </si>
  <si>
    <t>Bradley</t>
  </si>
  <si>
    <t>NLP Porter Ranch G18, LLC (SB32)</t>
  </si>
  <si>
    <t>FIT-SB1122 (FIT-BioMAT)</t>
  </si>
  <si>
    <t>Organic Energy Solutions, LLC</t>
  </si>
  <si>
    <t>San Bernardino Biogas Power Facility</t>
  </si>
  <si>
    <t>various facilities</t>
  </si>
  <si>
    <t>San Diego Community Power (“SDCP”) - REC sales</t>
  </si>
  <si>
    <t>Clean Energy Alliance</t>
  </si>
  <si>
    <t>Clean Energy Alliance (“CEA”) - REC sales</t>
  </si>
  <si>
    <t>2275 Hattesen</t>
  </si>
  <si>
    <t>CarriereTech Energy Partners LLC</t>
  </si>
  <si>
    <t>Carriere Family Farms</t>
  </si>
  <si>
    <t>SREC Trade</t>
  </si>
  <si>
    <t xml:space="preserve">Santa Fe Irrigation District </t>
  </si>
  <si>
    <t>Santa Fe Irrigation District (Badger Filtration Plant)</t>
  </si>
  <si>
    <t>Amylin Pharmaceuticals, Inc.</t>
  </si>
  <si>
    <t>Amylin Pharmaceuticals</t>
  </si>
  <si>
    <t>Ecos Energy LLC</t>
  </si>
  <si>
    <t>Ecos Energy, LLC (Utah-Mesa Solar)</t>
  </si>
  <si>
    <t>Tres Vaqueros Wind Farms, LLC</t>
  </si>
  <si>
    <t>Altamont Pass</t>
  </si>
  <si>
    <t>Geysers Power Company, LLC (f/k/a 3052)</t>
  </si>
  <si>
    <t>White Water</t>
  </si>
  <si>
    <t>EUI Management PH Inc.</t>
  </si>
  <si>
    <t>NEENACH SOLAR _x000D_
1B SOUTH, LLC</t>
  </si>
  <si>
    <t>Fairmont</t>
  </si>
  <si>
    <t xml:space="preserve">NEENACH SOLAR </t>
  </si>
  <si>
    <t>Hat Creek Hereford Ranch Power</t>
  </si>
  <si>
    <t>Hat Creek</t>
  </si>
  <si>
    <t>Yuba County Water Agency (Fish Release)</t>
  </si>
  <si>
    <t>SunE- Mission Pomona</t>
  </si>
  <si>
    <t>Buena Vista Energy, LLC</t>
  </si>
  <si>
    <t>Byron</t>
  </si>
  <si>
    <t>Buena Vista Wind Project</t>
  </si>
  <si>
    <t>Lakeport</t>
  </si>
  <si>
    <t>2042 Baldwin</t>
  </si>
  <si>
    <t>Starlight Solar</t>
  </si>
  <si>
    <t>Rugraw LLC</t>
  </si>
  <si>
    <t xml:space="preserve">Mineral </t>
  </si>
  <si>
    <t xml:space="preserve">Rugraw Inc.  (Lassen Lodge Hydro) </t>
  </si>
  <si>
    <t>Cabazon</t>
  </si>
  <si>
    <t>FPL Energy Cabazon Wind, LLC</t>
  </si>
  <si>
    <t>Tehachapi Power Purchase Contract Trust</t>
  </si>
  <si>
    <t>On Wind Energy LLC</t>
  </si>
  <si>
    <t>ON Wind Energy LLC</t>
  </si>
  <si>
    <t>Madera Canal Station 1302</t>
  </si>
  <si>
    <t>Exelon Generation Company, LLC</t>
  </si>
  <si>
    <t>SunE- Cherry Fontana</t>
  </si>
  <si>
    <t>Enfinity CAFIT 1 jacobscorner LLC</t>
  </si>
  <si>
    <t>Oak Leaf Solar X</t>
  </si>
  <si>
    <t>Sanford-Burnhan Medical Research Institute</t>
  </si>
  <si>
    <t>Sanford-Burnhan Medical Research Institute I</t>
  </si>
  <si>
    <t>Altamont Power LLC (6-4)</t>
  </si>
  <si>
    <t>Altamont Power (6-4)</t>
  </si>
  <si>
    <t>Shamrock Utilities (Cedar Flat)</t>
  </si>
  <si>
    <t>BURNT RANCH</t>
  </si>
  <si>
    <t>Amedee Geothermal Venture 1</t>
  </si>
  <si>
    <t>SCAQMD</t>
  </si>
  <si>
    <t>Diamond Bar</t>
  </si>
  <si>
    <t>SCAQMD Solar Port</t>
  </si>
  <si>
    <t>CHESTER</t>
  </si>
  <si>
    <t>Collins Pine</t>
  </si>
  <si>
    <t>American Energy, Inc. (Fullerton Hydro)</t>
  </si>
  <si>
    <t xml:space="preserve">Orange </t>
  </si>
  <si>
    <t>La Habra</t>
  </si>
  <si>
    <t>Open Sky Power LLC</t>
  </si>
  <si>
    <t>Open Sky Dairy Digester #2</t>
  </si>
  <si>
    <t>Coso Clean Power, LLC</t>
  </si>
  <si>
    <t>Little Lake</t>
  </si>
  <si>
    <t>Wind Stream Operations LLC</t>
  </si>
  <si>
    <t>Wind Stream Operations, LLC (VG # 3)</t>
  </si>
  <si>
    <t>Humboldt Redwood Company LLC</t>
  </si>
  <si>
    <t>Scotia</t>
  </si>
  <si>
    <t>Humboldt Redwood Company</t>
  </si>
  <si>
    <t>Coso Energy Developers</t>
  </si>
  <si>
    <t>Organic Energy Solutions</t>
  </si>
  <si>
    <t>Water Facilities Authority</t>
  </si>
  <si>
    <t>Upland</t>
  </si>
  <si>
    <t>Rock Creek Hydro</t>
  </si>
  <si>
    <t>Luz Solar Partners Ltd. V</t>
  </si>
  <si>
    <t>Northwind Energy</t>
  </si>
  <si>
    <t>Altamont Midway Ltd.</t>
  </si>
  <si>
    <t>Flying Goose Solar, LLC</t>
  </si>
  <si>
    <t>Flying Goose Solar</t>
  </si>
  <si>
    <t>Green Ridge Power LLC (110 MW)</t>
  </si>
  <si>
    <t>Decade Energy LLC</t>
  </si>
  <si>
    <t>Tulare County</t>
  </si>
  <si>
    <t>ORGANIC ENERGY SOLUTIONS, LLC</t>
  </si>
  <si>
    <t>San Bernardino County</t>
  </si>
  <si>
    <t>Riverside County Waste Management Dept</t>
  </si>
  <si>
    <t>Moreno Valley</t>
  </si>
  <si>
    <t>L.A. Co. Sanitation Dist CSD 2610</t>
  </si>
  <si>
    <t>Ventura Regional Sanitation District</t>
  </si>
  <si>
    <t>Santa Paula</t>
  </si>
  <si>
    <t>MM Tajiguas Energy LLC</t>
  </si>
  <si>
    <t>los angeles</t>
  </si>
  <si>
    <t>Mirasol Pomona 1</t>
  </si>
  <si>
    <t>Sky River Partnership (Wilderness II)</t>
  </si>
  <si>
    <t>Mesa Consolidated Water District</t>
  </si>
  <si>
    <t>Costa Mesa</t>
  </si>
  <si>
    <t>Forebay Wind LLC - Taxvest</t>
  </si>
  <si>
    <t>AES Tehachapi Wind, LLC   85-B</t>
  </si>
  <si>
    <t>Monterey One Water (M1W)</t>
  </si>
  <si>
    <t>Marina</t>
  </si>
  <si>
    <t>Monterey One Water</t>
  </si>
  <si>
    <t>Hydro Sierra Energy LLC</t>
  </si>
  <si>
    <t>Challenge</t>
  </si>
  <si>
    <t>Deadwood Creek</t>
  </si>
  <si>
    <t>Five Bears Hydro, LLC</t>
  </si>
  <si>
    <t>Genesee Valley</t>
  </si>
  <si>
    <t>Five Bears Hydroelectric</t>
  </si>
  <si>
    <t>Desert Winds I PPC Trust</t>
  </si>
  <si>
    <t>Water Wheel Ranch QF</t>
  </si>
  <si>
    <t>City of San Jose</t>
  </si>
  <si>
    <t>SPVP012 - Ontario</t>
  </si>
  <si>
    <t>34.04248888888889</t>
  </si>
  <si>
    <t>Altamont Power LLC (3-4 )</t>
  </si>
  <si>
    <t>Altamont Power LLC (3-4)</t>
  </si>
  <si>
    <t>Cameron Ridge LLC (III)</t>
  </si>
  <si>
    <t>Desert Water</t>
  </si>
  <si>
    <t>ABEC Bidart-Stockdale LLC</t>
  </si>
  <si>
    <t>ABEC Bidart-Stockdale</t>
  </si>
  <si>
    <t>Westside Solar Station</t>
  </si>
  <si>
    <t>Five Points</t>
  </si>
  <si>
    <t>West Gates Solar Station</t>
  </si>
  <si>
    <t>Vaca Dixon Solar Station</t>
  </si>
  <si>
    <t>SF Service Center Solar Array 2</t>
  </si>
  <si>
    <t>San Francisco</t>
  </si>
  <si>
    <t>SF Service Center Solar Array 1</t>
  </si>
  <si>
    <t>Stroud Solar Station</t>
  </si>
  <si>
    <t>Helm</t>
  </si>
  <si>
    <t>Huron Solar Station</t>
  </si>
  <si>
    <t>Guernsey Solar Station</t>
  </si>
  <si>
    <t>Giffen Solar Station</t>
  </si>
  <si>
    <t>Gates Solar Station</t>
  </si>
  <si>
    <t>Five Points Solar Station</t>
  </si>
  <si>
    <t>Quincy</t>
  </si>
  <si>
    <t>Sierra Pacific Ind. (Quincy)</t>
  </si>
  <si>
    <t>Cantua Solar Station</t>
  </si>
  <si>
    <t>AT&amp;T Park Solar Arrays</t>
  </si>
  <si>
    <t>Wishon Powerhouse</t>
  </si>
  <si>
    <t>Wise #2 Powerhouse</t>
  </si>
  <si>
    <t>Auburn</t>
  </si>
  <si>
    <t>Wise Powerhouse</t>
  </si>
  <si>
    <t>West Point Powerhouse</t>
  </si>
  <si>
    <t>Pioneer</t>
  </si>
  <si>
    <t>Volta 2 Powerhouse</t>
  </si>
  <si>
    <t>Volta 1 Powerhouse</t>
  </si>
  <si>
    <t>Tule Powerhouse</t>
  </si>
  <si>
    <t>Springville</t>
  </si>
  <si>
    <t>Toadtown Powerhouse</t>
  </si>
  <si>
    <t>Magalia</t>
  </si>
  <si>
    <t>Spring Gap Powerhouse</t>
  </si>
  <si>
    <t>Long Barn</t>
  </si>
  <si>
    <t>Spaulding #3 Powerhouse</t>
  </si>
  <si>
    <t>Emigrant Gap</t>
  </si>
  <si>
    <t>Spaulding #2 Powerhouse</t>
  </si>
  <si>
    <t>Spaulding #1 Powerhouse</t>
  </si>
  <si>
    <t>South Powerhouse</t>
  </si>
  <si>
    <t>San Joaquin #2 Powerhouse</t>
  </si>
  <si>
    <t>San Joaquin #1-A Powerhouse</t>
  </si>
  <si>
    <t>Rock Creek Powerhouse - RPS</t>
  </si>
  <si>
    <t>Storrie</t>
  </si>
  <si>
    <t>Potter Valley Powerhouse</t>
  </si>
  <si>
    <t>Phoenix Powerhouse</t>
  </si>
  <si>
    <t>Oak Flat Powerhouse</t>
  </si>
  <si>
    <t>Belden</t>
  </si>
  <si>
    <t>Narrows #1 Powerhouse</t>
  </si>
  <si>
    <t>Lime Saddle Powerhouse</t>
  </si>
  <si>
    <t>Kilarc Powerhouse</t>
  </si>
  <si>
    <t>Kern Canyon Powerhouse</t>
  </si>
  <si>
    <t>San Joaquin #3 Powerhouse</t>
  </si>
  <si>
    <t>Kerckhoff Powerhouse</t>
  </si>
  <si>
    <t>Aubery</t>
  </si>
  <si>
    <t>Inskip Powerhouse</t>
  </si>
  <si>
    <t>Hat Creek #2 Powerhouse</t>
  </si>
  <si>
    <t>Hat Creek #1 Powerhouse</t>
  </si>
  <si>
    <t>Hamilton Branch Powerhouse</t>
  </si>
  <si>
    <t>Peninsula Village</t>
  </si>
  <si>
    <t>Halsey Powerhouse</t>
  </si>
  <si>
    <t>Dutch Flat #1 Powerhouse</t>
  </si>
  <si>
    <t>Alta</t>
  </si>
  <si>
    <t>DeSabla Powerhouse</t>
  </si>
  <si>
    <t>Deer Creek Powerhouse</t>
  </si>
  <si>
    <t>Crane Valley Powerhouse</t>
  </si>
  <si>
    <t>Cow Creek Powerhouse</t>
  </si>
  <si>
    <t>Millville</t>
  </si>
  <si>
    <t>Coleman Powerhouse</t>
  </si>
  <si>
    <t>Chili Bar Powerhouse</t>
  </si>
  <si>
    <t>Centerville Powerhouse</t>
  </si>
  <si>
    <t>Alta Powerhouse</t>
  </si>
  <si>
    <t>BMW of North America, LLC</t>
  </si>
  <si>
    <t>Peninsula Clean Energy Authority</t>
  </si>
  <si>
    <t>Shasta - Sustainable Resource Management</t>
  </si>
  <si>
    <t>Browns Valley Irrigation District</t>
  </si>
  <si>
    <t>Oregon House</t>
  </si>
  <si>
    <t>South Sutter Water District</t>
  </si>
  <si>
    <t>Sheridan</t>
  </si>
  <si>
    <t>South Sutter Water</t>
  </si>
  <si>
    <t>Central California Irrigation District (CCID)</t>
  </si>
  <si>
    <t>San Luis Bypass</t>
  </si>
  <si>
    <t>Wolfsen Bypass</t>
  </si>
  <si>
    <t>Blake's Landing Farms, Inc.</t>
  </si>
  <si>
    <t>Marin</t>
  </si>
  <si>
    <t>Marshall</t>
  </si>
  <si>
    <t>Blake's Landing</t>
  </si>
  <si>
    <t>NID - Scotts Flat</t>
  </si>
  <si>
    <t>Snow Mountain Hydro</t>
  </si>
  <si>
    <t>Snow Mountain Hydro (Lost Creek 2)</t>
  </si>
  <si>
    <t>Snow Mountain Hydro (Lost Creek 1)</t>
  </si>
  <si>
    <t>Combie South</t>
  </si>
  <si>
    <t>Woodland Biomass Power, LTD</t>
  </si>
  <si>
    <t>Castelanelli Bros</t>
  </si>
  <si>
    <t>Castelanelli Bros. Biogas</t>
  </si>
  <si>
    <t>Klondike Wind Power III LLC</t>
  </si>
  <si>
    <t>Sherman</t>
  </si>
  <si>
    <t>Klondike IIIA</t>
  </si>
  <si>
    <t>Wadham Energy Limited Partnership</t>
  </si>
  <si>
    <t>Wadham Energy LP</t>
  </si>
  <si>
    <t>Klondike Wind Power III Project</t>
  </si>
  <si>
    <t>Global Ampersand, LLC</t>
  </si>
  <si>
    <t>Chowchilla Biomass Facility</t>
  </si>
  <si>
    <t>El Nido Biomass Facility</t>
  </si>
  <si>
    <t>Shiloh Wind Project 1, LLC</t>
  </si>
  <si>
    <t>Shiloh I Wind Project</t>
  </si>
  <si>
    <t>International Turbine Research</t>
  </si>
  <si>
    <t>Pacheco Pass</t>
  </si>
  <si>
    <t>Kings River Hydro Co.</t>
  </si>
  <si>
    <t>Orange Cove Irrigation Dist.</t>
  </si>
  <si>
    <t>Greenleaf Power</t>
  </si>
  <si>
    <t>Thermal Energy Dev. Corp.</t>
  </si>
  <si>
    <t>Rock Creek Water District</t>
  </si>
  <si>
    <t>Schaads Hydro</t>
  </si>
  <si>
    <t>Eben Knight Smart IV &amp; Everett Allen Smart</t>
  </si>
  <si>
    <t>Goodyears Bar</t>
  </si>
  <si>
    <t>Wright Ranch Hydroelectric</t>
  </si>
  <si>
    <t>Swiss America</t>
  </si>
  <si>
    <t>Charcoal Ravine</t>
  </si>
  <si>
    <t>Eagle Hydro</t>
  </si>
  <si>
    <t>Greenwood</t>
  </si>
  <si>
    <t>EIF Haypress, LLC</t>
  </si>
  <si>
    <t>EIF Haypress (Mdl)</t>
  </si>
  <si>
    <t>Forebay Wind LLC - Viking</t>
  </si>
  <si>
    <t>Santa Clara Valley Water Dist.</t>
  </si>
  <si>
    <t>Morgan Hill</t>
  </si>
  <si>
    <t>City Of Watsonville</t>
  </si>
  <si>
    <t>Santa Cruz</t>
  </si>
  <si>
    <t>Watsonville</t>
  </si>
  <si>
    <t>City of Watsonville</t>
  </si>
  <si>
    <t>EDF Renewable Windfarm V, Inc. (70 MW - D)</t>
  </si>
  <si>
    <t>Donald R. Chenoweth</t>
  </si>
  <si>
    <t>Waste Management, Inc.</t>
  </si>
  <si>
    <t>Waste Management Renewable Energy</t>
  </si>
  <si>
    <t>Community Solar Lancaster 1</t>
  </si>
  <si>
    <t>James B. Peter</t>
  </si>
  <si>
    <t>Greenville</t>
  </si>
  <si>
    <t>EDF Renewable Windfarm V, Inc. (70 MW - C)</t>
  </si>
  <si>
    <t>Marin Clean Energy</t>
  </si>
  <si>
    <t>Dutch Wind, LLC</t>
  </si>
  <si>
    <t>Ridgetop Energy, LLC (II)</t>
  </si>
  <si>
    <t>William Shelton</t>
  </si>
  <si>
    <t>Gansner Hydroelectric Project</t>
  </si>
  <si>
    <t>NextEra Energy Marketing, LLC</t>
  </si>
  <si>
    <t>various</t>
  </si>
  <si>
    <t>Tehachapi Cummings Co. Water District</t>
  </si>
  <si>
    <t>Central Hydroelectric Corp.</t>
  </si>
  <si>
    <t>Mecca</t>
  </si>
  <si>
    <t>Desert View Power, Inc.</t>
  </si>
  <si>
    <t>Silicon Valley Clean Energy Authority</t>
  </si>
  <si>
    <t>City of Lancaster</t>
  </si>
  <si>
    <t>Orange County Power Authority</t>
  </si>
  <si>
    <t>Second Imperial Geothermal Co.</t>
  </si>
  <si>
    <t>Heber</t>
  </si>
  <si>
    <t>CA, NV</t>
  </si>
  <si>
    <t>Lower Tule River Irrigation District</t>
  </si>
  <si>
    <t>Lower Tule River Irrigation Dist. (f/k/a 4028)</t>
  </si>
  <si>
    <t>Direct Energy Business Marketing, LLC</t>
  </si>
  <si>
    <t>Kaweah River Power Authority</t>
  </si>
  <si>
    <t>Lemon Cove</t>
  </si>
  <si>
    <t>Daniel M. Bates</t>
  </si>
  <si>
    <t>California Hot Springs</t>
  </si>
  <si>
    <t>Hi Head Hydro Incorporated</t>
  </si>
  <si>
    <t>Shell Energy North America (US), L.P.</t>
  </si>
  <si>
    <t>Yellowjacket Venture, LLC</t>
  </si>
  <si>
    <t>Terra-Gen 251 Wind, LLC  (Monolith XII)</t>
  </si>
  <si>
    <t>WDG Capital Partners IV, LP</t>
  </si>
  <si>
    <t>The Energy Authority, Inc.</t>
  </si>
  <si>
    <t>Central Coast Community Energy</t>
  </si>
  <si>
    <t>Edom Hills Project 1, LLC</t>
  </si>
  <si>
    <t>Cathedral City</t>
  </si>
  <si>
    <t>The City and County of San Francisco, acting by and through its Public Utilities Commission, CleanPowerSF</t>
  </si>
  <si>
    <t>Windland</t>
  </si>
  <si>
    <t>Windland Inc. (Boxcar II)</t>
  </si>
  <si>
    <t>SPVP042 - Porterville</t>
  </si>
  <si>
    <t>SPVP033 - Ontario</t>
  </si>
  <si>
    <t>34.033230555555555</t>
  </si>
  <si>
    <t>SPVP032 - Ontario</t>
  </si>
  <si>
    <t>34.03306944444444</t>
  </si>
  <si>
    <t>SPVP028 - San Bernardino</t>
  </si>
  <si>
    <t>34.08058055555556</t>
  </si>
  <si>
    <t>SPVP011 - Redlands</t>
  </si>
  <si>
    <t>34.07669444444445</t>
  </si>
  <si>
    <t>SPVP010 - Fontana</t>
  </si>
  <si>
    <t>34.07666666666667</t>
  </si>
  <si>
    <t>SPVP009 - Ontario</t>
  </si>
  <si>
    <t>34.043283333333335</t>
  </si>
  <si>
    <t>SPVP008 - Ontario</t>
  </si>
  <si>
    <t>34.04293055555555</t>
  </si>
  <si>
    <t>Elmore Company</t>
  </si>
  <si>
    <t>EDF Trading North America, LLC</t>
  </si>
  <si>
    <t>Mountain View Power Partners, LLC</t>
  </si>
  <si>
    <t>San Gorgonio Pass</t>
  </si>
  <si>
    <t>Mogul Energy Partnership I, LLC</t>
  </si>
  <si>
    <t>SPVP007 - Redlands</t>
  </si>
  <si>
    <t>Mega Hydro</t>
  </si>
  <si>
    <t>Mega Hydro #1 (Clover Creek)</t>
  </si>
  <si>
    <t>Lofton Ranch</t>
  </si>
  <si>
    <t>Malacha Hydro L.P</t>
  </si>
  <si>
    <t>Pitville</t>
  </si>
  <si>
    <t>Malacha Hydro</t>
  </si>
  <si>
    <t>Nelson Creek Power Inc. (AKA Grasshopper Flats)</t>
  </si>
  <si>
    <t>Snow Mountain Hydro LLC (Ponderosa Bailey Creek)</t>
  </si>
  <si>
    <t>Snow Mountain Hydro (Ponderosa Bailey Creek)</t>
  </si>
  <si>
    <t>Friant Power Authority</t>
  </si>
  <si>
    <t>Snow Mountain Hydro LLC (cove)</t>
  </si>
  <si>
    <t>Snow Mountain Hydro (Cove)</t>
  </si>
  <si>
    <t>El Dorado Hydro (Montgomery Creek)</t>
  </si>
  <si>
    <t>STS Hydropower (Kanaka)</t>
  </si>
  <si>
    <t>Santa Ana No. 1</t>
  </si>
  <si>
    <t>Highland</t>
  </si>
  <si>
    <t>Rush Creek</t>
  </si>
  <si>
    <t>June Lake</t>
  </si>
  <si>
    <t>Portal</t>
  </si>
  <si>
    <t>Shaver Lake</t>
  </si>
  <si>
    <t>Royal Farms</t>
  </si>
  <si>
    <t>Borel</t>
  </si>
  <si>
    <t>Bishop Creek No. 3</t>
  </si>
  <si>
    <t>Bishop Creek No. 2</t>
  </si>
  <si>
    <t>Calwind Resources, Inc.</t>
  </si>
  <si>
    <t>Wind Resource I</t>
  </si>
  <si>
    <t>Del Ranch Company (Niland #2)</t>
  </si>
  <si>
    <t>SPVP006 - Ontario</t>
  </si>
  <si>
    <t>SPVP005 - Redlands</t>
  </si>
  <si>
    <t>SPVP003 - Rialto</t>
  </si>
  <si>
    <t>Rialto</t>
  </si>
  <si>
    <t>EIF Haypress (Lwr)</t>
  </si>
  <si>
    <t>SPVP002 - Chino</t>
  </si>
  <si>
    <t>Tule River</t>
  </si>
  <si>
    <t>Santa Ana No. 3</t>
  </si>
  <si>
    <t>Steve &amp; Bonnie Tetrick</t>
  </si>
  <si>
    <t>Hydro Partners</t>
  </si>
  <si>
    <t>Hydro Partners (Clover Creek)</t>
  </si>
  <si>
    <t>Hat Creek Hereford Ranch</t>
  </si>
  <si>
    <t>James Crane Hydro</t>
  </si>
  <si>
    <t>Forest Ranch</t>
  </si>
  <si>
    <t>Ontario No. 2</t>
  </si>
  <si>
    <t>Ontario No. 1</t>
  </si>
  <si>
    <t>Texico</t>
  </si>
  <si>
    <t>SPVP027 - Rialto</t>
  </si>
  <si>
    <t>34.12789444444444</t>
  </si>
  <si>
    <t>SPVP026 - Rialto</t>
  </si>
  <si>
    <t>SPVP023 - Fontana</t>
  </si>
  <si>
    <t>SPVP022 - Redlands</t>
  </si>
  <si>
    <t>Bishop Creek No. 4</t>
  </si>
  <si>
    <t>Mill Creek No. 3</t>
  </si>
  <si>
    <t>Mentone</t>
  </si>
  <si>
    <t>EDF Renewable Energy  Inc</t>
  </si>
  <si>
    <t>Oasis Power Partners LLC</t>
  </si>
  <si>
    <t>SPVP018 - Fontana</t>
  </si>
  <si>
    <t>34.08468888888889</t>
  </si>
  <si>
    <t>Kern River No. 1</t>
  </si>
  <si>
    <t>Kaweah No. 3</t>
  </si>
  <si>
    <t>Kaweah No. 1</t>
  </si>
  <si>
    <t>SPVP017 - Fontana</t>
  </si>
  <si>
    <t>34.074288888888894</t>
  </si>
  <si>
    <t>Bishop Creek No. 6</t>
  </si>
  <si>
    <t>Bishop Creek No. 5</t>
  </si>
  <si>
    <t>EDF Renewable Windfarm V, Inc. (10 MW)</t>
  </si>
  <si>
    <t>Covanta Delano, Inc</t>
  </si>
  <si>
    <t>Covanta Delano Inc (formerly AES Delano)</t>
  </si>
  <si>
    <t>Salton Sea Power Generation Co #2</t>
  </si>
  <si>
    <t>SPVP016 - Redlands</t>
  </si>
  <si>
    <t>34.069383333333334</t>
  </si>
  <si>
    <t>Tri-Dam Power Authority</t>
  </si>
  <si>
    <t>Strawberry</t>
  </si>
  <si>
    <t>Otay Landfill Gas LLC</t>
  </si>
  <si>
    <t>Chula Vista</t>
  </si>
  <si>
    <t>Otay Landfill 3</t>
  </si>
  <si>
    <t>Lassen Station Hydroelectric LP</t>
  </si>
  <si>
    <t>SPVP015 - Fontana</t>
  </si>
  <si>
    <t>34.08186111111112</t>
  </si>
  <si>
    <t>SPVP013 - Redlands</t>
  </si>
  <si>
    <t>34.08465833333334</t>
  </si>
  <si>
    <t>NNN Land and Energy Advisors</t>
  </si>
  <si>
    <t>3N Energy Woodland</t>
  </si>
  <si>
    <t>AES Tehachapi Wind, LLC     85-A</t>
  </si>
  <si>
    <t>Wind Resource II</t>
  </si>
  <si>
    <t>Forebay Wind LLC - Cwes</t>
  </si>
  <si>
    <t>Still Water Power LLC</t>
  </si>
  <si>
    <t>Still Water Power</t>
  </si>
  <si>
    <t>Tesseron Vineyards, Inc</t>
  </si>
  <si>
    <t>Villa Sorriso Solar</t>
  </si>
  <si>
    <t>LA CO Flood Control District</t>
  </si>
  <si>
    <t>Azusa</t>
  </si>
  <si>
    <t>CA, NV, NM</t>
  </si>
  <si>
    <t>Heber Geothermal Company</t>
  </si>
  <si>
    <t>Alta Mesa Pwr Purch Contract Trust</t>
  </si>
  <si>
    <t>Wind Stream Operations, LLC (VG # 2)</t>
  </si>
  <si>
    <t>Wind Stream Operations, LLC (Northwind)</t>
  </si>
  <si>
    <t>Wintec Energy, Ltd</t>
  </si>
  <si>
    <t>Bank of New York Mellon Trust Company, N.A.</t>
  </si>
  <si>
    <t>Snow Mountain Hydro (Burney Creek)</t>
  </si>
  <si>
    <t>Newcastle Powerhouse</t>
  </si>
  <si>
    <t>Kaweah No. 2</t>
  </si>
  <si>
    <t>Far West Power Corporation</t>
  </si>
  <si>
    <t>Poole</t>
  </si>
  <si>
    <t>Mill Creek No. 1</t>
  </si>
  <si>
    <t>Lytle Creek</t>
  </si>
  <si>
    <t>Section 22 Trust  (San Jacinto)</t>
  </si>
  <si>
    <t>Covanta Power Pacific, Inc.</t>
  </si>
  <si>
    <t>Covanta Mendota L. P.</t>
  </si>
  <si>
    <t>BP Alt Energy</t>
  </si>
  <si>
    <t>Desert Wind III PPC Trust</t>
  </si>
  <si>
    <t>Victory Garden Phase IV Partner - 6103</t>
  </si>
  <si>
    <t>Hypower, Inc</t>
  </si>
  <si>
    <t>De Sabla</t>
  </si>
  <si>
    <t>Hypower, Inc.</t>
  </si>
  <si>
    <t>Terra-Gen 251 Wind, LLC  (Monolith XIII)</t>
  </si>
  <si>
    <t>Luz Solar Partners Ltd. VIII</t>
  </si>
  <si>
    <t>Luz Solar Partners Ltd. VII</t>
  </si>
  <si>
    <t>Luz Solar Partners Ltd. VI</t>
  </si>
  <si>
    <t>CTV Power Purchase Contract Trust</t>
  </si>
  <si>
    <t>Termination Date</t>
  </si>
  <si>
    <t>Amendment Date - Resolution</t>
  </si>
  <si>
    <t>Amendment Date - Advice Letter</t>
  </si>
  <si>
    <t>Resolution / Decision Meeting Date</t>
  </si>
  <si>
    <t>AL / Application Filing Date</t>
  </si>
  <si>
    <t>RAM Auction Round</t>
  </si>
  <si>
    <t>Expected Annual Generation</t>
  </si>
  <si>
    <t>Contract Capacity</t>
  </si>
  <si>
    <t>Expected PCC Classification</t>
  </si>
  <si>
    <t>Contract Length (Years)</t>
  </si>
  <si>
    <t>Contract Counterparty</t>
  </si>
  <si>
    <t>Longitude</t>
  </si>
  <si>
    <t>Latitude</t>
  </si>
  <si>
    <t>Zip Code</t>
  </si>
  <si>
    <t>State</t>
  </si>
  <si>
    <t>County</t>
  </si>
  <si>
    <t>City</t>
  </si>
  <si>
    <t>Overall Project Status</t>
  </si>
  <si>
    <t>Technology Type</t>
  </si>
  <si>
    <t>Origination Year</t>
  </si>
  <si>
    <t>Program Origination</t>
  </si>
  <si>
    <t>Reporting LSE</t>
  </si>
  <si>
    <t>MW</t>
  </si>
  <si>
    <t>GWh</t>
  </si>
  <si>
    <t>Capacity Factor</t>
  </si>
  <si>
    <t>kWh</t>
  </si>
  <si>
    <t>Date</t>
  </si>
  <si>
    <t>MT CO2e / MWh</t>
  </si>
  <si>
    <t>Excavators</t>
  </si>
  <si>
    <t>Fire Engine</t>
  </si>
  <si>
    <t>https://www.caleemod.com/documents/handbook/full_handbook.pdf</t>
  </si>
  <si>
    <t>Total bakersfield population</t>
  </si>
  <si>
    <t>Increased ebike percent</t>
  </si>
  <si>
    <t>Value</t>
  </si>
  <si>
    <t>Unit</t>
  </si>
  <si>
    <t>Source</t>
  </si>
  <si>
    <t>Year</t>
  </si>
  <si>
    <t>miles per trip</t>
  </si>
  <si>
    <t>Table T-10.1</t>
  </si>
  <si>
    <t>FHWA 2017</t>
  </si>
  <si>
    <t>Project Number</t>
  </si>
  <si>
    <t>Total Cost</t>
  </si>
  <si>
    <t>Project E-Bike</t>
  </si>
  <si>
    <t>Complete Streets</t>
  </si>
  <si>
    <t>Enhanced Street Trees</t>
  </si>
  <si>
    <t>Recyclables processing equipment</t>
  </si>
  <si>
    <t>https://ww2.arb.ca.gov/sites/default/files/auction-proceeds/csd_liwp_finalqm_022823.pdf</t>
  </si>
  <si>
    <t>https://lede-admin.cal.streetsblog.org/wp-content/uploads/sites/52/2017/10/BakersfieldBicycle-and-Pedestrian-Safety-Report.pdf</t>
  </si>
  <si>
    <t>Metropolitan Bakersfield has approximately 260 miles of existing bikeways</t>
  </si>
  <si>
    <t>Per-month rate of change of emissions factor</t>
  </si>
  <si>
    <t>Midpoint day</t>
  </si>
  <si>
    <t>Rate of change</t>
  </si>
  <si>
    <t>Period</t>
  </si>
  <si>
    <t>test</t>
  </si>
  <si>
    <t>Cost ($)</t>
  </si>
  <si>
    <t>Annual kWh savings</t>
  </si>
  <si>
    <t>Monthly kWh savings</t>
  </si>
  <si>
    <t>Variable</t>
  </si>
  <si>
    <t>Output</t>
  </si>
  <si>
    <t>Percent reduction in GHG emissions from employee commute vehicle travel in plan/community</t>
  </si>
  <si>
    <t>0–0.5</t>
  </si>
  <si>
    <t>%</t>
  </si>
  <si>
    <t>Calculated</t>
  </si>
  <si>
    <t>User Inputs</t>
  </si>
  <si>
    <t>B</t>
  </si>
  <si>
    <t>Existing bikeway miles in plan/community</t>
  </si>
  <si>
    <t>[ ]</t>
  </si>
  <si>
    <t>miles</t>
  </si>
  <si>
    <t>User input</t>
  </si>
  <si>
    <t>C</t>
  </si>
  <si>
    <t>Bikeway miles in plan/community with measure</t>
  </si>
  <si>
    <t>Constants, Assumptions, and Available Defaults</t>
  </si>
  <si>
    <t>D</t>
  </si>
  <si>
    <t>Bicycle mode share in plan/community</t>
  </si>
  <si>
    <t>Table T-20.1</t>
  </si>
  <si>
    <t>E</t>
  </si>
  <si>
    <t>Vehicle mode share in plan/community</t>
  </si>
  <si>
    <t>Table T-3.1</t>
  </si>
  <si>
    <t>F</t>
  </si>
  <si>
    <t>Average one-way bicycle trip length in plan/community</t>
  </si>
  <si>
    <t>G</t>
  </si>
  <si>
    <t>Average one-way vehicle trip length in plan/community</t>
  </si>
  <si>
    <t>H</t>
  </si>
  <si>
    <t>Elasticity of bike commuters with respect to bikeway miles per 10,000 population</t>
  </si>
  <si>
    <t>unitless</t>
  </si>
  <si>
    <t>Pucher &amp; Buehler 2011</t>
  </si>
  <si>
    <t>18th/19th</t>
  </si>
  <si>
    <t>34th Street</t>
  </si>
  <si>
    <t>Niles and Monterey</t>
  </si>
  <si>
    <t>g co2e/mi</t>
  </si>
  <si>
    <t>vmt reductions</t>
  </si>
  <si>
    <t>Carbon reduciton</t>
  </si>
  <si>
    <t>MT CO2e savings</t>
  </si>
  <si>
    <t>Dollars per MT CO2e</t>
  </si>
  <si>
    <t>Lifetime MT CO2e/MWh</t>
  </si>
  <si>
    <t>lbs / MWh</t>
  </si>
  <si>
    <t>Passenger VMT</t>
  </si>
  <si>
    <t>MT CO2e reduced</t>
  </si>
  <si>
    <t>kWh produced</t>
  </si>
  <si>
    <t>Dwelling Type Annual Reduction in kWh Annual Reduction in therms Single-Family 2,430 per dwelling 74.0 per dwelling Multi-Family 1,947 per dwelling 98.1 per dwelling</t>
  </si>
  <si>
    <t>SF</t>
  </si>
  <si>
    <t>MF</t>
  </si>
  <si>
    <t>therms</t>
  </si>
  <si>
    <t>Converted from gallons to acre-feet</t>
  </si>
  <si>
    <t>Low-income energy efficiency</t>
  </si>
  <si>
    <t>South Oswell</t>
  </si>
  <si>
    <t>Antonio Giovanni</t>
  </si>
  <si>
    <t>Berkshire Park</t>
  </si>
  <si>
    <t>Coffee and Etchart</t>
  </si>
  <si>
    <t>Budget</t>
  </si>
  <si>
    <t>2025-2030 annual reductions</t>
  </si>
  <si>
    <t>Capacity factor</t>
  </si>
  <si>
    <t>2025-2050 annual reductions</t>
  </si>
  <si>
    <t>$ per MT CO2e 2025-2030</t>
  </si>
  <si>
    <t>Photovoltaic array size (AC kW)</t>
  </si>
  <si>
    <t>Dollars per voucher (includes overhead)</t>
  </si>
  <si>
    <t>Total Voucher Cost</t>
  </si>
  <si>
    <t>Current residents with E-bikes</t>
  </si>
  <si>
    <t>Proposed residents with e-bikes</t>
  </si>
  <si>
    <t>Annual</t>
  </si>
  <si>
    <t>Cumulative reductions, MT CO2e</t>
  </si>
  <si>
    <t>Item</t>
  </si>
  <si>
    <t>Quantity</t>
  </si>
  <si>
    <t>Park</t>
  </si>
  <si>
    <t>Miles of Bike Lane</t>
  </si>
  <si>
    <t>With trees</t>
  </si>
  <si>
    <t>Building square footage</t>
  </si>
  <si>
    <t>LEED Certified MT CO2e per square foot per year</t>
  </si>
  <si>
    <t>LEED Silver MT CO2e per square foot per year</t>
  </si>
  <si>
    <t>MT CO2e reduction (per square foot per year)</t>
  </si>
  <si>
    <t>MT CO2e reduction (per year)</t>
  </si>
  <si>
    <t>Reduction per home per year from weatherization (therms)</t>
  </si>
  <si>
    <t>2025-2030 annual emissions reductions</t>
  </si>
  <si>
    <t>2025-2050 annual emissions reductions</t>
  </si>
  <si>
    <t>Reduction per home per year from weatherization (MWh)</t>
  </si>
  <si>
    <t>Natural gas emissions factor, MT CO2e per therm</t>
  </si>
  <si>
    <t>Emissions Factor</t>
  </si>
  <si>
    <t>Population</t>
  </si>
  <si>
    <t>Average one-way bike trip length (miles)</t>
  </si>
  <si>
    <t>Displaced VMT per person per year</t>
  </si>
  <si>
    <t>Average round-trip length (miles)</t>
  </si>
  <si>
    <t>Uses of E-bike per day</t>
  </si>
  <si>
    <t>g / VMT</t>
  </si>
  <si>
    <t>Number of residents receiving e-bike voucher</t>
  </si>
  <si>
    <t>City of Bakersfield</t>
  </si>
  <si>
    <t>Fitch, Mohiuddin, and Handy 2021; used median trip frequency of 5 trips per 28 days</t>
  </si>
  <si>
    <t>Calculated; assumed 347 travel days per year</t>
  </si>
  <si>
    <t>Uses of E-bike per year</t>
  </si>
  <si>
    <t>Project Type</t>
  </si>
  <si>
    <t>Acres</t>
  </si>
  <si>
    <t>Street Trees</t>
  </si>
  <si>
    <t>Buena Vista Ranch</t>
  </si>
  <si>
    <t>Hershel Moore</t>
  </si>
  <si>
    <t>Estimated annual water savings (gallons per year)</t>
  </si>
  <si>
    <t>Estimated annual water savings (acre-feet per year)</t>
  </si>
  <si>
    <t>Energy intensity for City-Owned Water supply (kWh per acre-foot)</t>
  </si>
  <si>
    <t>Energy savings from water savings (kWh per year)</t>
  </si>
  <si>
    <t>Bakersfield CAP</t>
  </si>
  <si>
    <t>2025-2030 average emissions factor (MT CO2e / MWh)</t>
  </si>
  <si>
    <t>Assumed online date</t>
  </si>
  <si>
    <t>Project Number -&gt;</t>
  </si>
  <si>
    <t>Citywide Solar PV Facilities</t>
  </si>
  <si>
    <t>RPS data</t>
  </si>
  <si>
    <t>2025-2050 average emissions factor (MT CO2e / MWh)</t>
  </si>
  <si>
    <t>Solid Waste Collection Vehicles (CNG)</t>
  </si>
  <si>
    <t>CNG</t>
  </si>
  <si>
    <t>CAT Loaders</t>
  </si>
  <si>
    <t>Dump Truck</t>
  </si>
  <si>
    <t>Police SUV Interceptor</t>
  </si>
  <si>
    <t>Compact Vehicle</t>
  </si>
  <si>
    <t>Pickup Truck</t>
  </si>
  <si>
    <t>Utility Truck</t>
  </si>
  <si>
    <t>Bucket Truck</t>
  </si>
  <si>
    <t>Vehicles electrified</t>
  </si>
  <si>
    <t>Natural Gas</t>
  </si>
  <si>
    <t>UBUS</t>
  </si>
  <si>
    <t>Electricity</t>
  </si>
  <si>
    <t>T7IS</t>
  </si>
  <si>
    <t>T7 Utility Class 8</t>
  </si>
  <si>
    <t>T7 Tractor Class 8</t>
  </si>
  <si>
    <t>T7 SWCV Class 8</t>
  </si>
  <si>
    <t>T7 Single Other Class 8</t>
  </si>
  <si>
    <t>T7 Single Dump Class 8</t>
  </si>
  <si>
    <t>T7 Single Concrete/Transit Mix Class 8</t>
  </si>
  <si>
    <t>T7 Public Class 8</t>
  </si>
  <si>
    <t>T7 POLA Class 8</t>
  </si>
  <si>
    <t>T7 POAK Class 8</t>
  </si>
  <si>
    <t>T7 Other Port Class 8</t>
  </si>
  <si>
    <t>T7 NOOS Class 8</t>
  </si>
  <si>
    <t>T7 NNOOS Class 8</t>
  </si>
  <si>
    <t>T7 CAIRP Class 8</t>
  </si>
  <si>
    <t>T6TS</t>
  </si>
  <si>
    <t>T6 Utility Class 7</t>
  </si>
  <si>
    <t>T6 Utility Class 6</t>
  </si>
  <si>
    <t>T6 Utility Class 5</t>
  </si>
  <si>
    <t>T6 Public Class 7</t>
  </si>
  <si>
    <t>T6 Public Class 6</t>
  </si>
  <si>
    <t>T6 Public Class 5</t>
  </si>
  <si>
    <t>T6 Public Class 4</t>
  </si>
  <si>
    <t>T6 OOS Class 7</t>
  </si>
  <si>
    <t>T6 OOS Class 6</t>
  </si>
  <si>
    <t>T6 OOS Class 5</t>
  </si>
  <si>
    <t>T6 OOS Class 4</t>
  </si>
  <si>
    <t>T6 Instate Tractor Class 7</t>
  </si>
  <si>
    <t>T6 Instate Tractor Class 6</t>
  </si>
  <si>
    <t>T6 Instate Other Class 7</t>
  </si>
  <si>
    <t>T6 Instate Other Class 6</t>
  </si>
  <si>
    <t>T6 Instate Other Class 5</t>
  </si>
  <si>
    <t>T6 Instate Other Class 4</t>
  </si>
  <si>
    <t>T6 Instate Delivery Class 7</t>
  </si>
  <si>
    <t>T6 Instate Delivery Class 6</t>
  </si>
  <si>
    <t>T6 Instate Delivery Class 5</t>
  </si>
  <si>
    <t>T6 Instate Delivery Class 4</t>
  </si>
  <si>
    <t>T6 CAIRP Class 7</t>
  </si>
  <si>
    <t>T6 CAIRP Class 6</t>
  </si>
  <si>
    <t>T6 CAIRP Class 5</t>
  </si>
  <si>
    <t>T6 CAIRP Class 4</t>
  </si>
  <si>
    <t>SBUS</t>
  </si>
  <si>
    <t>PTO</t>
  </si>
  <si>
    <t>OBUS</t>
  </si>
  <si>
    <t>Motor Coach</t>
  </si>
  <si>
    <t>MH</t>
  </si>
  <si>
    <t>Plug-in Hybrid</t>
  </si>
  <si>
    <t>MDV</t>
  </si>
  <si>
    <t>MCY</t>
  </si>
  <si>
    <t>LHD2</t>
  </si>
  <si>
    <t>LHD1</t>
  </si>
  <si>
    <t>LDT2</t>
  </si>
  <si>
    <t>LDT1</t>
  </si>
  <si>
    <t>LDA</t>
  </si>
  <si>
    <t>All Other Buses</t>
  </si>
  <si>
    <t>NH3_RUNEX</t>
  </si>
  <si>
    <t>SOx_TOTEX</t>
  </si>
  <si>
    <t>SOx_STREX</t>
  </si>
  <si>
    <t>SOx_IDLEX</t>
  </si>
  <si>
    <t>SOx_RUNEX</t>
  </si>
  <si>
    <t>CO_TOTEX</t>
  </si>
  <si>
    <t>CO_STREX</t>
  </si>
  <si>
    <t>CO_IDLEX</t>
  </si>
  <si>
    <t>CO_RUNEX</t>
  </si>
  <si>
    <t>TOG_TOTAL</t>
  </si>
  <si>
    <t>TOG_RUNLOSS</t>
  </si>
  <si>
    <t>TOG_HOTSOAK</t>
  </si>
  <si>
    <t>TOG_DIURN</t>
  </si>
  <si>
    <t>TOG_TOTEX</t>
  </si>
  <si>
    <t>TOG_STREX</t>
  </si>
  <si>
    <t>TOG_IDLEX</t>
  </si>
  <si>
    <t>TOG_RUNEX</t>
  </si>
  <si>
    <t>ROG_TOTAL</t>
  </si>
  <si>
    <t>ROG_RUNLOSS</t>
  </si>
  <si>
    <t>ROG_HOTSOAK</t>
  </si>
  <si>
    <t>ROG_DIURN</t>
  </si>
  <si>
    <t>ROG_TOTEX</t>
  </si>
  <si>
    <t>ROG_STREX</t>
  </si>
  <si>
    <t>ROG_IDLEX</t>
  </si>
  <si>
    <t>ROG_RUNEX</t>
  </si>
  <si>
    <t>N2O_TOTEX</t>
  </si>
  <si>
    <t>N2O_STREX</t>
  </si>
  <si>
    <t>N2O_IDLEX</t>
  </si>
  <si>
    <t>N2O_RUNEX</t>
  </si>
  <si>
    <t>CH4_TOTEX</t>
  </si>
  <si>
    <t>CH4_STREX</t>
  </si>
  <si>
    <t>CH4_IDLEX</t>
  </si>
  <si>
    <t>CH4_RUNEX</t>
  </si>
  <si>
    <t>CO2_TOTEX</t>
  </si>
  <si>
    <t>CO2_STREX</t>
  </si>
  <si>
    <t>CO2_IDLEX</t>
  </si>
  <si>
    <t>CO2_RUNEX</t>
  </si>
  <si>
    <t>PM10_TOTAL</t>
  </si>
  <si>
    <t>PM10_PMBW</t>
  </si>
  <si>
    <t>PM10_PMTW</t>
  </si>
  <si>
    <t>PM10_TOTEX</t>
  </si>
  <si>
    <t>PM10_STREX</t>
  </si>
  <si>
    <t>PM10_IDLEX</t>
  </si>
  <si>
    <t>PM10_RUNEX</t>
  </si>
  <si>
    <t>PM2.5_TOTAL</t>
  </si>
  <si>
    <t>PM2.5_PMBW</t>
  </si>
  <si>
    <t>PM2.5_PMTW</t>
  </si>
  <si>
    <t>PM2.5_TOTEX</t>
  </si>
  <si>
    <t>PM2.5_STREX</t>
  </si>
  <si>
    <t>PM2.5_IDLEX</t>
  </si>
  <si>
    <t>PM2.5_RUNEX</t>
  </si>
  <si>
    <t>NOx_TOTEX</t>
  </si>
  <si>
    <t>NOx_STREX</t>
  </si>
  <si>
    <t>NOx_IDLEX</t>
  </si>
  <si>
    <t>NOx_RUNEX</t>
  </si>
  <si>
    <t>Energy Consumption</t>
  </si>
  <si>
    <t>Trips</t>
  </si>
  <si>
    <t>EVMT</t>
  </si>
  <si>
    <t>CVMT</t>
  </si>
  <si>
    <t>Total VMT</t>
  </si>
  <si>
    <t>Speed</t>
  </si>
  <si>
    <t>Units:  miles/day for CVMT and EVMT, trips/day for Trips, kWh/day for Energy Consumption, tons/day for Emissions, 1000 gallons/day for Fuel Consumption</t>
  </si>
  <si>
    <t>Vehicle Classification: EMFAC202x Categories</t>
  </si>
  <si>
    <t>Season: Annual</t>
  </si>
  <si>
    <t>Source: EMFAC2021 (v1.0.2) Emissions Inventory</t>
  </si>
  <si>
    <t>EMFAC type</t>
  </si>
  <si>
    <t>2025-2030 reductions</t>
  </si>
  <si>
    <t>Total annual Emissions (MT CO2e) from complete electrification</t>
  </si>
  <si>
    <t>Yr 1</t>
  </si>
  <si>
    <t>Yr 2</t>
  </si>
  <si>
    <t>Yr 3</t>
  </si>
  <si>
    <t>Yr 4</t>
  </si>
  <si>
    <t>Yr 0</t>
  </si>
  <si>
    <t>2025-2050 reductions</t>
  </si>
  <si>
    <t>Cost per ton reduced per year 2025-2030</t>
  </si>
  <si>
    <t>$M expenditures per year</t>
  </si>
  <si>
    <t>lbs CO2e per gallon</t>
  </si>
  <si>
    <t>Vehicle Type</t>
  </si>
  <si>
    <t>Gallons fuel used, per vehicle per year</t>
  </si>
  <si>
    <t>Emissions Factor (pounds CO2e per gallon)</t>
  </si>
  <si>
    <t>Vehicle Purchase Cost</t>
  </si>
  <si>
    <t>Emissions Reduction from Electrification (MT CO2e/year)</t>
  </si>
  <si>
    <t>Complete Street Porject Details</t>
  </si>
  <si>
    <t>Apply CAPCOA Formula</t>
  </si>
  <si>
    <t>MT CO2e per year 2025-2030</t>
  </si>
  <si>
    <t>MT CO2e per year 2025-2050</t>
  </si>
  <si>
    <t>Emissions reductions per year</t>
  </si>
  <si>
    <t>Truxtun Avenue, Millcreek and Central Park</t>
  </si>
  <si>
    <t>&lt;--yrs in period</t>
  </si>
  <si>
    <t>Proration factor</t>
  </si>
  <si>
    <t>Calculate proration factor</t>
  </si>
  <si>
    <t>Total days after project completion</t>
  </si>
  <si>
    <t>Start date</t>
  </si>
  <si>
    <t>End date</t>
  </si>
  <si>
    <t>Average annual reductions, MT CO2e</t>
  </si>
  <si>
    <t>Tree sequestration rate, MT CO2e per tree per year for 20 years</t>
  </si>
  <si>
    <t>Period 1</t>
  </si>
  <si>
    <t>Period 2</t>
  </si>
  <si>
    <t>Years</t>
  </si>
  <si>
    <t>Total Years after project completion</t>
  </si>
  <si>
    <t>Start date for timelines</t>
  </si>
  <si>
    <t>Adjust based on timeline in plan</t>
  </si>
  <si>
    <t>Months until end 2030</t>
  </si>
  <si>
    <t>Months until end 2050</t>
  </si>
  <si>
    <t>-&gt; months to complete</t>
  </si>
  <si>
    <t>Incremental homes weatherized</t>
  </si>
  <si>
    <t>Reduction per weatherized home</t>
  </si>
  <si>
    <t>Cumulative homes weatherized</t>
  </si>
  <si>
    <t>2025-2030 average emissions reductions</t>
  </si>
  <si>
    <t>2025-2050 average emissions reductions</t>
  </si>
  <si>
    <t>Percent rolled out</t>
  </si>
  <si>
    <t>2025-2030 average</t>
  </si>
  <si>
    <t>2025-2050 average</t>
  </si>
  <si>
    <t>2025-2030 prorated reductions</t>
  </si>
  <si>
    <t>Assumes 3 years until end 2030</t>
  </si>
  <si>
    <t>Assumes 23 years until end 2050</t>
  </si>
  <si>
    <t>Project Num</t>
  </si>
  <si>
    <t>Mt.Vernon Organics Facility</t>
  </si>
  <si>
    <t>City Materials Recovery Facility</t>
  </si>
  <si>
    <t>Each avoided ton sent to a landfill reduces CO2e by this many pounds per year</t>
  </si>
  <si>
    <t>Additional tons per year able to be processed</t>
  </si>
  <si>
    <t>Facility</t>
  </si>
  <si>
    <t>Reduced MT CO2e</t>
  </si>
  <si>
    <t>Additional tons per year avoiding landfill in 2029</t>
  </si>
  <si>
    <t>All</t>
  </si>
  <si>
    <t>MLK Community Center: energy efficiency</t>
  </si>
  <si>
    <t>Solar on low-income housing</t>
  </si>
  <si>
    <t>Weatherization for low-income Residents</t>
  </si>
  <si>
    <t>Citywide solar PV System</t>
  </si>
  <si>
    <t>Low-income energy efficiency program</t>
  </si>
  <si>
    <t>EV charging and Vehicles</t>
  </si>
  <si>
    <t>Tree plantings and sod for undeveloped parks</t>
  </si>
  <si>
    <t>Median xeriscaping</t>
  </si>
  <si>
    <t>Organic material processing equipment and vehicles</t>
  </si>
  <si>
    <t>2025-2030 total emissions reductions (MT CO2e)</t>
  </si>
  <si>
    <t>2025-2050 total emissions reductions (MT CO2e)</t>
  </si>
  <si>
    <t>2025-2030 average annual emissions reductions (prorated) MT CO2e</t>
  </si>
  <si>
    <t>2025-2050 average annual emissions reductions (prorated) MT CO2e</t>
  </si>
  <si>
    <t>Metric tons of reductions</t>
  </si>
  <si>
    <t>CO2</t>
  </si>
  <si>
    <t>CH4</t>
  </si>
  <si>
    <t>N2O</t>
  </si>
  <si>
    <t>Annual reduction</t>
  </si>
  <si>
    <t>Reduction Type</t>
  </si>
  <si>
    <t>Natural Gas (gallons of fuel)</t>
  </si>
  <si>
    <t>Gasoline (gallons of fuel)</t>
  </si>
  <si>
    <t>Diesel (gallons of fuel)</t>
  </si>
  <si>
    <t>Vehicle-miles traveled</t>
  </si>
  <si>
    <t>Reduced gallons</t>
  </si>
  <si>
    <t>Reduced gallons per year</t>
  </si>
  <si>
    <t>pounds emissions per VMT</t>
  </si>
  <si>
    <t>lbs CO2e per VMT</t>
  </si>
  <si>
    <t>g co2e per VMT</t>
  </si>
  <si>
    <t>pounds emissions per gallon</t>
  </si>
  <si>
    <t>g co2e per gallon</t>
  </si>
  <si>
    <t>Assumed construction completion date</t>
  </si>
  <si>
    <t>Total days in period</t>
  </si>
  <si>
    <t>Average emissions factors until end 2030 (MT CO2e / MWh)</t>
  </si>
  <si>
    <t>Average emissions factors until 2050 (MT CO2e / MWh)</t>
  </si>
  <si>
    <t>2025-2030 prorated</t>
  </si>
  <si>
    <t>2025-2050 prorated</t>
  </si>
  <si>
    <t>Extra waste processing due to new equipment (tons)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</si>
</sst>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0.000"/>
    <numFmt numFmtId="167" formatCode="0.00000"/>
    <numFmt numFmtId="168" formatCode="0.000000"/>
    <numFmt numFmtId="169" formatCode="0.0%"/>
    <numFmt numFmtId="170" formatCode="0.000%"/>
    <numFmt numFmtId="171" formatCode="0.0000%"/>
    <numFmt numFmtId="172" formatCode="0.000000000000000000%"/>
    <numFmt numFmtId="173" formatCode="_(* #,##0.000_);_(* \(#,##0.000\);_(* &quot;-&quot;???_);_(@_)"/>
    <numFmt numFmtId="174" formatCode="0.0"/>
    <numFmt numFmtId="175" formatCode="_(* #,##0.0_);_(* \(#,##0.0\);_(* &quot;-&quot;??_);_(@_)"/>
    <numFmt numFmtId="176" formatCode="#,##0.0"/>
    <numFmt numFmtId="177" formatCode="&quot;$&quot;#,##0"/>
  </numFmts>
  <fonts count="15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9"/>
      <color rgb="FF000000"/>
      <name val="Segoe UI Semilight"/>
      <family val="2"/>
    </font>
    <font>
      <sz val="1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0"/>
      <color rgb="FFFFFFFF"/>
      <name val="Arial"/>
      <family val="2"/>
    </font>
    <font>
      <b/>
      <sz val="10"/>
      <color rgb="FF000000"/>
      <name val="Arial"/>
      <family val="2"/>
    </font>
    <font>
      <i/>
      <sz val="11"/>
      <color rgb="FFA5A5A5"/>
      <name val="Calibri"/>
      <family val="2"/>
    </font>
    <font>
      <u/>
      <sz val="11"/>
      <color theme="10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0" tint="-0.34998626667073579"/>
      <name val="Aptos Narrow"/>
      <family val="2"/>
      <scheme val="minor"/>
    </font>
    <font>
      <u/>
      <sz val="11"/>
      <color rgb="FFFF000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5B0F00"/>
        <bgColor indexed="64"/>
      </patternFill>
    </fill>
    <fill>
      <patternFill patternType="solid">
        <fgColor rgb="FF9FC5E8"/>
        <bgColor indexed="64"/>
      </patternFill>
    </fill>
    <fill>
      <patternFill patternType="solid">
        <fgColor rgb="FFEA9999"/>
        <bgColor indexed="64"/>
      </patternFill>
    </fill>
    <fill>
      <patternFill patternType="solid">
        <fgColor rgb="FF99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/>
    <xf numFmtId="0" fontId="11" fillId="0" borderId="0" applyNumberFormat="0" applyFill="0" applyBorder="0" applyAlignment="0" applyProtection="0"/>
  </cellStyleXfs>
  <cellXfs count="111">
    <xf numFmtId="0" fontId="0" fillId="0" borderId="0" xfId="0"/>
    <xf numFmtId="0" fontId="1" fillId="0" borderId="0" xfId="0" applyFont="1"/>
    <xf numFmtId="43" fontId="0" fillId="0" borderId="0" xfId="1" applyFont="1"/>
    <xf numFmtId="164" fontId="0" fillId="0" borderId="0" xfId="1" applyNumberFormat="1" applyFont="1"/>
    <xf numFmtId="165" fontId="0" fillId="0" borderId="0" xfId="2" applyNumberFormat="1" applyFont="1"/>
    <xf numFmtId="0" fontId="0" fillId="3" borderId="0" xfId="0" applyFill="1"/>
    <xf numFmtId="166" fontId="0" fillId="0" borderId="0" xfId="0" applyNumberFormat="1"/>
    <xf numFmtId="2" fontId="0" fillId="0" borderId="0" xfId="0" applyNumberFormat="1"/>
    <xf numFmtId="1" fontId="0" fillId="0" borderId="0" xfId="0" applyNumberFormat="1"/>
    <xf numFmtId="0" fontId="6" fillId="0" borderId="0" xfId="0" applyFont="1"/>
    <xf numFmtId="44" fontId="0" fillId="0" borderId="0" xfId="0" applyNumberFormat="1"/>
    <xf numFmtId="165" fontId="0" fillId="0" borderId="0" xfId="0" applyNumberFormat="1"/>
    <xf numFmtId="167" fontId="0" fillId="0" borderId="0" xfId="0" applyNumberFormat="1"/>
    <xf numFmtId="168" fontId="0" fillId="0" borderId="0" xfId="0" applyNumberFormat="1"/>
    <xf numFmtId="43" fontId="0" fillId="0" borderId="0" xfId="0" applyNumberFormat="1"/>
    <xf numFmtId="0" fontId="0" fillId="0" borderId="0" xfId="0" applyAlignment="1">
      <alignment wrapText="1"/>
    </xf>
    <xf numFmtId="14" fontId="0" fillId="0" borderId="0" xfId="0" applyNumberFormat="1"/>
    <xf numFmtId="6" fontId="0" fillId="0" borderId="0" xfId="0" applyNumberFormat="1"/>
    <xf numFmtId="22" fontId="0" fillId="0" borderId="0" xfId="0" applyNumberFormat="1"/>
    <xf numFmtId="0" fontId="0" fillId="0" borderId="0" xfId="0" quotePrefix="1"/>
    <xf numFmtId="0" fontId="8" fillId="4" borderId="0" xfId="4" applyFont="1" applyFill="1" applyAlignment="1">
      <alignment horizontal="center" vertical="center" wrapText="1"/>
    </xf>
    <xf numFmtId="0" fontId="9" fillId="5" borderId="0" xfId="4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9" fontId="0" fillId="0" borderId="0" xfId="3" applyFont="1"/>
    <xf numFmtId="164" fontId="0" fillId="0" borderId="0" xfId="0" applyNumberFormat="1"/>
    <xf numFmtId="3" fontId="0" fillId="0" borderId="0" xfId="0" applyNumberFormat="1"/>
    <xf numFmtId="9" fontId="0" fillId="0" borderId="0" xfId="0" applyNumberFormat="1"/>
    <xf numFmtId="169" fontId="0" fillId="0" borderId="0" xfId="3" applyNumberFormat="1" applyFont="1"/>
    <xf numFmtId="10" fontId="0" fillId="0" borderId="0" xfId="3" applyNumberFormat="1" applyFont="1"/>
    <xf numFmtId="169" fontId="0" fillId="0" borderId="0" xfId="0" applyNumberFormat="1"/>
    <xf numFmtId="3" fontId="0" fillId="0" borderId="0" xfId="0" applyNumberFormat="1" applyAlignment="1">
      <alignment wrapText="1"/>
    </xf>
    <xf numFmtId="170" fontId="1" fillId="0" borderId="0" xfId="3" applyNumberFormat="1" applyFont="1"/>
    <xf numFmtId="1" fontId="0" fillId="0" borderId="0" xfId="1" applyNumberFormat="1" applyFont="1"/>
    <xf numFmtId="171" fontId="0" fillId="0" borderId="0" xfId="3" applyNumberFormat="1" applyFont="1"/>
    <xf numFmtId="10" fontId="1" fillId="0" borderId="0" xfId="0" applyNumberFormat="1" applyFont="1"/>
    <xf numFmtId="171" fontId="1" fillId="0" borderId="0" xfId="3" applyNumberFormat="1" applyFont="1"/>
    <xf numFmtId="171" fontId="0" fillId="0" borderId="0" xfId="0" applyNumberFormat="1"/>
    <xf numFmtId="173" fontId="0" fillId="0" borderId="0" xfId="0" applyNumberFormat="1"/>
    <xf numFmtId="169" fontId="0" fillId="3" borderId="0" xfId="3" applyNumberFormat="1" applyFont="1" applyFill="1"/>
    <xf numFmtId="0" fontId="11" fillId="0" borderId="0" xfId="5"/>
    <xf numFmtId="174" fontId="0" fillId="0" borderId="0" xfId="0" applyNumberFormat="1"/>
    <xf numFmtId="175" fontId="0" fillId="0" borderId="0" xfId="1" applyNumberFormat="1" applyFont="1"/>
    <xf numFmtId="176" fontId="0" fillId="0" borderId="0" xfId="0" applyNumberFormat="1"/>
    <xf numFmtId="0" fontId="0" fillId="0" borderId="1" xfId="0" applyBorder="1"/>
    <xf numFmtId="1" fontId="0" fillId="0" borderId="1" xfId="0" applyNumberFormat="1" applyBorder="1"/>
    <xf numFmtId="0" fontId="0" fillId="0" borderId="2" xfId="0" applyBorder="1"/>
    <xf numFmtId="164" fontId="0" fillId="0" borderId="2" xfId="1" applyNumberFormat="1" applyFont="1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3" fontId="0" fillId="0" borderId="0" xfId="3" applyNumberFormat="1" applyFont="1"/>
    <xf numFmtId="164" fontId="0" fillId="0" borderId="0" xfId="1" applyNumberFormat="1" applyFont="1" applyFill="1"/>
    <xf numFmtId="0" fontId="0" fillId="0" borderId="6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0" fontId="0" fillId="0" borderId="8" xfId="0" applyNumberFormat="1" applyBorder="1"/>
    <xf numFmtId="171" fontId="0" fillId="0" borderId="8" xfId="3" applyNumberFormat="1" applyFont="1" applyBorder="1"/>
    <xf numFmtId="172" fontId="0" fillId="0" borderId="8" xfId="0" applyNumberForma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6" fillId="0" borderId="6" xfId="0" applyFont="1" applyBorder="1"/>
    <xf numFmtId="1" fontId="0" fillId="0" borderId="8" xfId="0" applyNumberFormat="1" applyBorder="1"/>
    <xf numFmtId="1" fontId="0" fillId="0" borderId="10" xfId="0" applyNumberFormat="1" applyBorder="1"/>
    <xf numFmtId="164" fontId="0" fillId="0" borderId="8" xfId="1" quotePrefix="1" applyNumberFormat="1" applyFont="1" applyBorder="1"/>
    <xf numFmtId="164" fontId="0" fillId="0" borderId="0" xfId="1" applyNumberFormat="1" applyFont="1" applyBorder="1"/>
    <xf numFmtId="164" fontId="0" fillId="0" borderId="9" xfId="1" applyNumberFormat="1" applyFont="1" applyBorder="1"/>
    <xf numFmtId="164" fontId="0" fillId="0" borderId="10" xfId="1" quotePrefix="1" applyNumberFormat="1" applyFont="1" applyBorder="1"/>
    <xf numFmtId="164" fontId="0" fillId="0" borderId="11" xfId="1" applyNumberFormat="1" applyFont="1" applyBorder="1"/>
    <xf numFmtId="164" fontId="0" fillId="0" borderId="12" xfId="1" applyNumberFormat="1" applyFont="1" applyBorder="1"/>
    <xf numFmtId="0" fontId="0" fillId="0" borderId="1" xfId="0" quotePrefix="1" applyBorder="1"/>
    <xf numFmtId="0" fontId="13" fillId="0" borderId="0" xfId="0" applyFont="1"/>
    <xf numFmtId="14" fontId="0" fillId="0" borderId="1" xfId="0" applyNumberFormat="1" applyBorder="1"/>
    <xf numFmtId="14" fontId="0" fillId="0" borderId="8" xfId="0" applyNumberFormat="1" applyBorder="1"/>
    <xf numFmtId="9" fontId="0" fillId="0" borderId="9" xfId="3" applyFont="1" applyBorder="1"/>
    <xf numFmtId="14" fontId="0" fillId="3" borderId="8" xfId="0" applyNumberFormat="1" applyFill="1" applyBorder="1"/>
    <xf numFmtId="2" fontId="13" fillId="0" borderId="0" xfId="0" applyNumberFormat="1" applyFont="1"/>
    <xf numFmtId="14" fontId="0" fillId="0" borderId="0" xfId="0" quotePrefix="1" applyNumberFormat="1"/>
    <xf numFmtId="165" fontId="3" fillId="0" borderId="0" xfId="0" applyNumberFormat="1" applyFont="1"/>
    <xf numFmtId="2" fontId="0" fillId="0" borderId="0" xfId="3" applyNumberFormat="1" applyFont="1"/>
    <xf numFmtId="6" fontId="0" fillId="0" borderId="6" xfId="0" quotePrefix="1" applyNumberFormat="1" applyBorder="1"/>
    <xf numFmtId="1" fontId="0" fillId="0" borderId="4" xfId="0" applyNumberFormat="1" applyBorder="1"/>
    <xf numFmtId="1" fontId="0" fillId="0" borderId="7" xfId="0" applyNumberFormat="1" applyBorder="1"/>
    <xf numFmtId="6" fontId="6" fillId="0" borderId="8" xfId="0" applyNumberFormat="1" applyFont="1" applyBorder="1"/>
    <xf numFmtId="2" fontId="0" fillId="0" borderId="9" xfId="0" applyNumberFormat="1" applyBorder="1"/>
    <xf numFmtId="14" fontId="0" fillId="0" borderId="10" xfId="2" applyNumberFormat="1" applyFont="1" applyBorder="1"/>
    <xf numFmtId="14" fontId="0" fillId="0" borderId="11" xfId="3" applyNumberFormat="1" applyFont="1" applyBorder="1"/>
    <xf numFmtId="14" fontId="0" fillId="0" borderId="12" xfId="3" applyNumberFormat="1" applyFont="1" applyBorder="1"/>
    <xf numFmtId="1" fontId="6" fillId="0" borderId="0" xfId="0" applyNumberFormat="1" applyFont="1"/>
    <xf numFmtId="14" fontId="0" fillId="0" borderId="0" xfId="3" applyNumberFormat="1" applyFont="1" applyBorder="1"/>
    <xf numFmtId="6" fontId="0" fillId="0" borderId="0" xfId="0" quotePrefix="1" applyNumberFormat="1"/>
    <xf numFmtId="6" fontId="6" fillId="0" borderId="0" xfId="0" applyNumberFormat="1" applyFont="1"/>
    <xf numFmtId="14" fontId="0" fillId="0" borderId="0" xfId="2" applyNumberFormat="1" applyFont="1" applyBorder="1"/>
    <xf numFmtId="9" fontId="0" fillId="0" borderId="10" xfId="3" applyFont="1" applyBorder="1"/>
    <xf numFmtId="9" fontId="0" fillId="0" borderId="11" xfId="3" applyFont="1" applyBorder="1"/>
    <xf numFmtId="164" fontId="0" fillId="3" borderId="0" xfId="0" applyNumberFormat="1" applyFill="1"/>
    <xf numFmtId="3" fontId="0" fillId="0" borderId="11" xfId="0" applyNumberFormat="1" applyBorder="1"/>
    <xf numFmtId="0" fontId="6" fillId="0" borderId="8" xfId="0" applyFont="1" applyBorder="1"/>
    <xf numFmtId="0" fontId="6" fillId="0" borderId="9" xfId="0" applyFont="1" applyBorder="1"/>
    <xf numFmtId="1" fontId="0" fillId="0" borderId="9" xfId="0" applyNumberFormat="1" applyBorder="1"/>
    <xf numFmtId="167" fontId="0" fillId="0" borderId="11" xfId="0" applyNumberFormat="1" applyBorder="1"/>
    <xf numFmtId="2" fontId="0" fillId="0" borderId="11" xfId="0" applyNumberFormat="1" applyBorder="1"/>
    <xf numFmtId="1" fontId="0" fillId="0" borderId="12" xfId="0" applyNumberFormat="1" applyBorder="1"/>
    <xf numFmtId="17" fontId="0" fillId="0" borderId="0" xfId="0" applyNumberFormat="1"/>
    <xf numFmtId="0" fontId="0" fillId="0" borderId="13" xfId="0" applyBorder="1"/>
    <xf numFmtId="6" fontId="10" fillId="0" borderId="14" xfId="0" applyNumberFormat="1" applyFont="1" applyBorder="1" applyAlignment="1">
      <alignment wrapText="1"/>
    </xf>
    <xf numFmtId="177" fontId="0" fillId="0" borderId="0" xfId="2" applyNumberFormat="1" applyFont="1"/>
    <xf numFmtId="0" fontId="14" fillId="0" borderId="0" xfId="5" applyFont="1" applyFill="1" applyBorder="1"/>
    <xf numFmtId="6" fontId="3" fillId="0" borderId="0" xfId="0" applyNumberFormat="1" applyFont="1"/>
  </cellXfs>
  <cellStyles count="6">
    <cellStyle name="Comma" xfId="1" builtinId="3"/>
    <cellStyle name="Currency" xfId="2" builtinId="4"/>
    <cellStyle name="Hyperlink" xfId="5" builtinId="8"/>
    <cellStyle name="Normal" xfId="0" builtinId="0"/>
    <cellStyle name="Normal 2" xfId="4" xr:uid="{4F3796E5-4A65-49FA-BD80-B26AB1A292ED}"/>
    <cellStyle name="Percent" xfId="3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microsoft.com/office/2017/10/relationships/person" Target="persons/perso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'Electricity Emissions Factors'!$P$4</c:f>
              <c:strCache>
                <c:ptCount val="1"/>
                <c:pt idx="0">
                  <c:v>MT CO2e / MWh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'Electricity Emissions Factors'!$P$5:$P$382</c:f>
              <c:numCache>
                <c:formatCode>0.000</c:formatCode>
                <c:ptCount val="378"/>
                <c:pt idx="0">
                  <c:v>9.0900871486901777E-2</c:v>
                </c:pt>
                <c:pt idx="1">
                  <c:v>9.0782841305364917E-2</c:v>
                </c:pt>
                <c:pt idx="2">
                  <c:v>9.0664811123828057E-2</c:v>
                </c:pt>
                <c:pt idx="3">
                  <c:v>9.0546780942291197E-2</c:v>
                </c:pt>
                <c:pt idx="4">
                  <c:v>9.0428750760754337E-2</c:v>
                </c:pt>
                <c:pt idx="5">
                  <c:v>9.0310720579217477E-2</c:v>
                </c:pt>
                <c:pt idx="6">
                  <c:v>9.0192690397680617E-2</c:v>
                </c:pt>
                <c:pt idx="7">
                  <c:v>9.0074660216143757E-2</c:v>
                </c:pt>
                <c:pt idx="8">
                  <c:v>8.9956630034606896E-2</c:v>
                </c:pt>
                <c:pt idx="9">
                  <c:v>8.9838599853070036E-2</c:v>
                </c:pt>
                <c:pt idx="10">
                  <c:v>8.9720569671533176E-2</c:v>
                </c:pt>
                <c:pt idx="11">
                  <c:v>8.9602539489996316E-2</c:v>
                </c:pt>
                <c:pt idx="12">
                  <c:v>8.9484509308459456E-2</c:v>
                </c:pt>
                <c:pt idx="13">
                  <c:v>8.9366479126922596E-2</c:v>
                </c:pt>
                <c:pt idx="14">
                  <c:v>8.9248448945385736E-2</c:v>
                </c:pt>
                <c:pt idx="15">
                  <c:v>8.9130418763848876E-2</c:v>
                </c:pt>
                <c:pt idx="16">
                  <c:v>8.901238858231203E-2</c:v>
                </c:pt>
                <c:pt idx="17">
                  <c:v>8.889435840077517E-2</c:v>
                </c:pt>
                <c:pt idx="18">
                  <c:v>8.877632821923831E-2</c:v>
                </c:pt>
                <c:pt idx="19">
                  <c:v>8.865829803770145E-2</c:v>
                </c:pt>
                <c:pt idx="20">
                  <c:v>8.8540267856164589E-2</c:v>
                </c:pt>
                <c:pt idx="21">
                  <c:v>8.8422237674627729E-2</c:v>
                </c:pt>
                <c:pt idx="22">
                  <c:v>8.8304207493090869E-2</c:v>
                </c:pt>
                <c:pt idx="23">
                  <c:v>8.8186177311554009E-2</c:v>
                </c:pt>
                <c:pt idx="24">
                  <c:v>8.8068147130017149E-2</c:v>
                </c:pt>
                <c:pt idx="25">
                  <c:v>8.7950116948480289E-2</c:v>
                </c:pt>
                <c:pt idx="26">
                  <c:v>8.7832086766943429E-2</c:v>
                </c:pt>
                <c:pt idx="27">
                  <c:v>8.7714056585406569E-2</c:v>
                </c:pt>
                <c:pt idx="28">
                  <c:v>8.7596026403869709E-2</c:v>
                </c:pt>
                <c:pt idx="29">
                  <c:v>8.7477996222332849E-2</c:v>
                </c:pt>
                <c:pt idx="30">
                  <c:v>8.7359966040795989E-2</c:v>
                </c:pt>
                <c:pt idx="31">
                  <c:v>8.7241935859259129E-2</c:v>
                </c:pt>
                <c:pt idx="32">
                  <c:v>8.7123905677722269E-2</c:v>
                </c:pt>
                <c:pt idx="33">
                  <c:v>8.7005875496185409E-2</c:v>
                </c:pt>
                <c:pt idx="34">
                  <c:v>8.6887845314648549E-2</c:v>
                </c:pt>
                <c:pt idx="35">
                  <c:v>8.6769815133111688E-2</c:v>
                </c:pt>
                <c:pt idx="36">
                  <c:v>8.6651784951574828E-2</c:v>
                </c:pt>
                <c:pt idx="37">
                  <c:v>8.6533754770037968E-2</c:v>
                </c:pt>
                <c:pt idx="38">
                  <c:v>8.6415724588501108E-2</c:v>
                </c:pt>
                <c:pt idx="39">
                  <c:v>8.6297694406964248E-2</c:v>
                </c:pt>
                <c:pt idx="40">
                  <c:v>8.6179664225427388E-2</c:v>
                </c:pt>
                <c:pt idx="41">
                  <c:v>8.6061634043890528E-2</c:v>
                </c:pt>
                <c:pt idx="42">
                  <c:v>8.5943603862353668E-2</c:v>
                </c:pt>
                <c:pt idx="43">
                  <c:v>8.5825573680816808E-2</c:v>
                </c:pt>
                <c:pt idx="44">
                  <c:v>8.5707543499279948E-2</c:v>
                </c:pt>
                <c:pt idx="45">
                  <c:v>8.5589513317743088E-2</c:v>
                </c:pt>
                <c:pt idx="46">
                  <c:v>8.5471483136206228E-2</c:v>
                </c:pt>
                <c:pt idx="47">
                  <c:v>8.5353452954669368E-2</c:v>
                </c:pt>
                <c:pt idx="48">
                  <c:v>8.5235422773132508E-2</c:v>
                </c:pt>
                <c:pt idx="49">
                  <c:v>8.5117392591595648E-2</c:v>
                </c:pt>
                <c:pt idx="50">
                  <c:v>8.4999362410058787E-2</c:v>
                </c:pt>
                <c:pt idx="51">
                  <c:v>8.4881332228521927E-2</c:v>
                </c:pt>
                <c:pt idx="52">
                  <c:v>8.4763302046985067E-2</c:v>
                </c:pt>
                <c:pt idx="53">
                  <c:v>8.4645271865448207E-2</c:v>
                </c:pt>
                <c:pt idx="54">
                  <c:v>8.4527241683911347E-2</c:v>
                </c:pt>
                <c:pt idx="55">
                  <c:v>8.4409211502374487E-2</c:v>
                </c:pt>
                <c:pt idx="56">
                  <c:v>8.4291181320837627E-2</c:v>
                </c:pt>
                <c:pt idx="57">
                  <c:v>8.4173151139300767E-2</c:v>
                </c:pt>
                <c:pt idx="58">
                  <c:v>8.4055120957763907E-2</c:v>
                </c:pt>
                <c:pt idx="59">
                  <c:v>8.3937090776227047E-2</c:v>
                </c:pt>
                <c:pt idx="60">
                  <c:v>8.3819060594690187E-2</c:v>
                </c:pt>
                <c:pt idx="61">
                  <c:v>8.3701030413153327E-2</c:v>
                </c:pt>
                <c:pt idx="62">
                  <c:v>8.3583000231616467E-2</c:v>
                </c:pt>
                <c:pt idx="63">
                  <c:v>8.3464970050079607E-2</c:v>
                </c:pt>
                <c:pt idx="64">
                  <c:v>8.3346939868542746E-2</c:v>
                </c:pt>
                <c:pt idx="65">
                  <c:v>8.3228909687005886E-2</c:v>
                </c:pt>
                <c:pt idx="66">
                  <c:v>8.3110879505469026E-2</c:v>
                </c:pt>
                <c:pt idx="67">
                  <c:v>8.2992849323932166E-2</c:v>
                </c:pt>
                <c:pt idx="68">
                  <c:v>8.2874819142395306E-2</c:v>
                </c:pt>
                <c:pt idx="69">
                  <c:v>8.2756788960858446E-2</c:v>
                </c:pt>
                <c:pt idx="70">
                  <c:v>8.2638758779321586E-2</c:v>
                </c:pt>
                <c:pt idx="71">
                  <c:v>8.2520728597784726E-2</c:v>
                </c:pt>
                <c:pt idx="72">
                  <c:v>8.2402698416247866E-2</c:v>
                </c:pt>
                <c:pt idx="73">
                  <c:v>8.2284668234711006E-2</c:v>
                </c:pt>
                <c:pt idx="74">
                  <c:v>8.2166638053174146E-2</c:v>
                </c:pt>
                <c:pt idx="75">
                  <c:v>8.2048607871637286E-2</c:v>
                </c:pt>
                <c:pt idx="76">
                  <c:v>8.1930577690100426E-2</c:v>
                </c:pt>
                <c:pt idx="77">
                  <c:v>8.1812547508563566E-2</c:v>
                </c:pt>
                <c:pt idx="78">
                  <c:v>8.1694517327026706E-2</c:v>
                </c:pt>
                <c:pt idx="79">
                  <c:v>8.1576487145489845E-2</c:v>
                </c:pt>
                <c:pt idx="80">
                  <c:v>8.1458456963952985E-2</c:v>
                </c:pt>
                <c:pt idx="81">
                  <c:v>8.1340426782416125E-2</c:v>
                </c:pt>
                <c:pt idx="82">
                  <c:v>8.1222396600879265E-2</c:v>
                </c:pt>
                <c:pt idx="83">
                  <c:v>8.1104366419342405E-2</c:v>
                </c:pt>
                <c:pt idx="84">
                  <c:v>8.0986336237805545E-2</c:v>
                </c:pt>
                <c:pt idx="85">
                  <c:v>8.0868306056268685E-2</c:v>
                </c:pt>
                <c:pt idx="86">
                  <c:v>8.0750275874731825E-2</c:v>
                </c:pt>
                <c:pt idx="87">
                  <c:v>8.0632245693194965E-2</c:v>
                </c:pt>
                <c:pt idx="88">
                  <c:v>8.0514215511658105E-2</c:v>
                </c:pt>
                <c:pt idx="89">
                  <c:v>8.0396185330121245E-2</c:v>
                </c:pt>
                <c:pt idx="90">
                  <c:v>8.0278155148584385E-2</c:v>
                </c:pt>
                <c:pt idx="91">
                  <c:v>8.0160124967047525E-2</c:v>
                </c:pt>
                <c:pt idx="92">
                  <c:v>8.0042094785510665E-2</c:v>
                </c:pt>
                <c:pt idx="93">
                  <c:v>7.9924064603973805E-2</c:v>
                </c:pt>
                <c:pt idx="94">
                  <c:v>7.9806034422436944E-2</c:v>
                </c:pt>
                <c:pt idx="95">
                  <c:v>7.9688004240900084E-2</c:v>
                </c:pt>
                <c:pt idx="96">
                  <c:v>7.9569974059363224E-2</c:v>
                </c:pt>
                <c:pt idx="97">
                  <c:v>7.9451943877826364E-2</c:v>
                </c:pt>
                <c:pt idx="98">
                  <c:v>7.9333913696289504E-2</c:v>
                </c:pt>
                <c:pt idx="99">
                  <c:v>7.9215883514752644E-2</c:v>
                </c:pt>
                <c:pt idx="100">
                  <c:v>7.9097853333215784E-2</c:v>
                </c:pt>
                <c:pt idx="101">
                  <c:v>7.8979823151678924E-2</c:v>
                </c:pt>
                <c:pt idx="102">
                  <c:v>7.8861792970142064E-2</c:v>
                </c:pt>
                <c:pt idx="103">
                  <c:v>7.8743762788605204E-2</c:v>
                </c:pt>
                <c:pt idx="104">
                  <c:v>7.8625732607068344E-2</c:v>
                </c:pt>
                <c:pt idx="105">
                  <c:v>7.8507702425531484E-2</c:v>
                </c:pt>
                <c:pt idx="106">
                  <c:v>7.8389672243994624E-2</c:v>
                </c:pt>
                <c:pt idx="107">
                  <c:v>7.8271642062457764E-2</c:v>
                </c:pt>
                <c:pt idx="108">
                  <c:v>7.8153611880920903E-2</c:v>
                </c:pt>
                <c:pt idx="109">
                  <c:v>7.8035581699384043E-2</c:v>
                </c:pt>
                <c:pt idx="110">
                  <c:v>7.7917551517847183E-2</c:v>
                </c:pt>
                <c:pt idx="111">
                  <c:v>7.7799521336310323E-2</c:v>
                </c:pt>
                <c:pt idx="112">
                  <c:v>7.7681491154773463E-2</c:v>
                </c:pt>
                <c:pt idx="113">
                  <c:v>7.7563460973236603E-2</c:v>
                </c:pt>
                <c:pt idx="114">
                  <c:v>7.7445430791699743E-2</c:v>
                </c:pt>
                <c:pt idx="115">
                  <c:v>7.7327400610162883E-2</c:v>
                </c:pt>
                <c:pt idx="116">
                  <c:v>7.7209370428626023E-2</c:v>
                </c:pt>
                <c:pt idx="117">
                  <c:v>7.7091340247089163E-2</c:v>
                </c:pt>
                <c:pt idx="118">
                  <c:v>7.6973310065552303E-2</c:v>
                </c:pt>
                <c:pt idx="119">
                  <c:v>7.6855279884015443E-2</c:v>
                </c:pt>
                <c:pt idx="120">
                  <c:v>7.6737249702478583E-2</c:v>
                </c:pt>
                <c:pt idx="121">
                  <c:v>7.6619219520941723E-2</c:v>
                </c:pt>
                <c:pt idx="122">
                  <c:v>7.6501189339404863E-2</c:v>
                </c:pt>
                <c:pt idx="123">
                  <c:v>7.6383159157868002E-2</c:v>
                </c:pt>
                <c:pt idx="124">
                  <c:v>7.6265128976331142E-2</c:v>
                </c:pt>
                <c:pt idx="125">
                  <c:v>7.6147098794794282E-2</c:v>
                </c:pt>
                <c:pt idx="126">
                  <c:v>7.6029068613257422E-2</c:v>
                </c:pt>
                <c:pt idx="127">
                  <c:v>7.5911038431720562E-2</c:v>
                </c:pt>
                <c:pt idx="128">
                  <c:v>7.5793008250183702E-2</c:v>
                </c:pt>
                <c:pt idx="129">
                  <c:v>7.5674978068646842E-2</c:v>
                </c:pt>
                <c:pt idx="130">
                  <c:v>7.5556947887109982E-2</c:v>
                </c:pt>
                <c:pt idx="131">
                  <c:v>7.5438917705573122E-2</c:v>
                </c:pt>
                <c:pt idx="132">
                  <c:v>7.5091501637192193E-2</c:v>
                </c:pt>
                <c:pt idx="133">
                  <c:v>7.4744085568811264E-2</c:v>
                </c:pt>
                <c:pt idx="134">
                  <c:v>7.4396669500430335E-2</c:v>
                </c:pt>
                <c:pt idx="135">
                  <c:v>7.4049253432049406E-2</c:v>
                </c:pt>
                <c:pt idx="136">
                  <c:v>7.3701837363668476E-2</c:v>
                </c:pt>
                <c:pt idx="137">
                  <c:v>7.3354421295287547E-2</c:v>
                </c:pt>
                <c:pt idx="138">
                  <c:v>7.3007005226906618E-2</c:v>
                </c:pt>
                <c:pt idx="139">
                  <c:v>7.2659589158525689E-2</c:v>
                </c:pt>
                <c:pt idx="140">
                  <c:v>7.231217309014476E-2</c:v>
                </c:pt>
                <c:pt idx="141">
                  <c:v>7.1964757021763831E-2</c:v>
                </c:pt>
                <c:pt idx="142">
                  <c:v>7.1617340953382902E-2</c:v>
                </c:pt>
                <c:pt idx="143">
                  <c:v>7.1269924885001973E-2</c:v>
                </c:pt>
                <c:pt idx="144">
                  <c:v>7.0922508816621044E-2</c:v>
                </c:pt>
                <c:pt idx="145">
                  <c:v>7.0575092748240115E-2</c:v>
                </c:pt>
                <c:pt idx="146">
                  <c:v>7.0227676679859186E-2</c:v>
                </c:pt>
                <c:pt idx="147">
                  <c:v>6.9880260611478257E-2</c:v>
                </c:pt>
                <c:pt idx="148">
                  <c:v>6.9532844543097327E-2</c:v>
                </c:pt>
                <c:pt idx="149">
                  <c:v>6.9185428474716398E-2</c:v>
                </c:pt>
                <c:pt idx="150">
                  <c:v>6.8838012406335469E-2</c:v>
                </c:pt>
                <c:pt idx="151">
                  <c:v>6.849059633795454E-2</c:v>
                </c:pt>
                <c:pt idx="152">
                  <c:v>6.8143180269573611E-2</c:v>
                </c:pt>
                <c:pt idx="153">
                  <c:v>6.7795764201192682E-2</c:v>
                </c:pt>
                <c:pt idx="154">
                  <c:v>6.7448348132811753E-2</c:v>
                </c:pt>
                <c:pt idx="155">
                  <c:v>6.7100932064430824E-2</c:v>
                </c:pt>
                <c:pt idx="156">
                  <c:v>6.6753515996049895E-2</c:v>
                </c:pt>
                <c:pt idx="157">
                  <c:v>6.6406099927668966E-2</c:v>
                </c:pt>
                <c:pt idx="158">
                  <c:v>6.6058683859288037E-2</c:v>
                </c:pt>
                <c:pt idx="159">
                  <c:v>6.5711267790907107E-2</c:v>
                </c:pt>
                <c:pt idx="160">
                  <c:v>6.5363851722526178E-2</c:v>
                </c:pt>
                <c:pt idx="161">
                  <c:v>6.5016435654145249E-2</c:v>
                </c:pt>
                <c:pt idx="162">
                  <c:v>6.466901958576432E-2</c:v>
                </c:pt>
                <c:pt idx="163">
                  <c:v>6.4321603517383391E-2</c:v>
                </c:pt>
                <c:pt idx="164">
                  <c:v>6.3974187449002462E-2</c:v>
                </c:pt>
                <c:pt idx="165">
                  <c:v>6.3626771380621533E-2</c:v>
                </c:pt>
                <c:pt idx="166">
                  <c:v>6.3279355312240604E-2</c:v>
                </c:pt>
                <c:pt idx="167">
                  <c:v>6.2931939243859675E-2</c:v>
                </c:pt>
                <c:pt idx="168">
                  <c:v>6.2584523175478746E-2</c:v>
                </c:pt>
                <c:pt idx="169">
                  <c:v>6.2237107107097817E-2</c:v>
                </c:pt>
                <c:pt idx="170">
                  <c:v>6.1889691038716887E-2</c:v>
                </c:pt>
                <c:pt idx="171">
                  <c:v>6.1542274970335958E-2</c:v>
                </c:pt>
                <c:pt idx="172">
                  <c:v>6.1194858901955029E-2</c:v>
                </c:pt>
                <c:pt idx="173">
                  <c:v>6.08474428335741E-2</c:v>
                </c:pt>
                <c:pt idx="174">
                  <c:v>6.0500026765193171E-2</c:v>
                </c:pt>
                <c:pt idx="175">
                  <c:v>6.0152610696812242E-2</c:v>
                </c:pt>
                <c:pt idx="176">
                  <c:v>5.9805194628431313E-2</c:v>
                </c:pt>
                <c:pt idx="177">
                  <c:v>5.9457778560050384E-2</c:v>
                </c:pt>
                <c:pt idx="178">
                  <c:v>5.9110362491669455E-2</c:v>
                </c:pt>
                <c:pt idx="179">
                  <c:v>5.8762946423288526E-2</c:v>
                </c:pt>
                <c:pt idx="180">
                  <c:v>5.8415530354907597E-2</c:v>
                </c:pt>
                <c:pt idx="181">
                  <c:v>5.8068114286526668E-2</c:v>
                </c:pt>
                <c:pt idx="182">
                  <c:v>5.7720698218145738E-2</c:v>
                </c:pt>
                <c:pt idx="183">
                  <c:v>5.7373282149764809E-2</c:v>
                </c:pt>
                <c:pt idx="184">
                  <c:v>5.702586608138388E-2</c:v>
                </c:pt>
                <c:pt idx="185">
                  <c:v>5.6678450013002951E-2</c:v>
                </c:pt>
                <c:pt idx="186">
                  <c:v>5.6331033944622022E-2</c:v>
                </c:pt>
                <c:pt idx="187">
                  <c:v>5.5983617876241093E-2</c:v>
                </c:pt>
                <c:pt idx="188">
                  <c:v>5.5636201807860164E-2</c:v>
                </c:pt>
                <c:pt idx="189">
                  <c:v>5.5288785739479235E-2</c:v>
                </c:pt>
                <c:pt idx="190">
                  <c:v>5.4941369671098306E-2</c:v>
                </c:pt>
                <c:pt idx="191">
                  <c:v>5.4593953602717377E-2</c:v>
                </c:pt>
                <c:pt idx="192">
                  <c:v>5.4246537534336448E-2</c:v>
                </c:pt>
                <c:pt idx="193">
                  <c:v>5.3899121465955518E-2</c:v>
                </c:pt>
                <c:pt idx="194">
                  <c:v>5.3551705397574589E-2</c:v>
                </c:pt>
                <c:pt idx="195">
                  <c:v>5.320428932919366E-2</c:v>
                </c:pt>
                <c:pt idx="196">
                  <c:v>5.2856873260812731E-2</c:v>
                </c:pt>
                <c:pt idx="197">
                  <c:v>5.2509457192431802E-2</c:v>
                </c:pt>
                <c:pt idx="198">
                  <c:v>5.2162041124050873E-2</c:v>
                </c:pt>
                <c:pt idx="199">
                  <c:v>5.1814625055669944E-2</c:v>
                </c:pt>
                <c:pt idx="200">
                  <c:v>5.1467208987289015E-2</c:v>
                </c:pt>
                <c:pt idx="201">
                  <c:v>5.1119792918908086E-2</c:v>
                </c:pt>
                <c:pt idx="202">
                  <c:v>5.0772376850527157E-2</c:v>
                </c:pt>
                <c:pt idx="203">
                  <c:v>5.0424960782146228E-2</c:v>
                </c:pt>
                <c:pt idx="204">
                  <c:v>5.0077544713765298E-2</c:v>
                </c:pt>
                <c:pt idx="205">
                  <c:v>4.9730128645384369E-2</c:v>
                </c:pt>
                <c:pt idx="206">
                  <c:v>4.938271257700344E-2</c:v>
                </c:pt>
                <c:pt idx="207">
                  <c:v>4.9035296508622511E-2</c:v>
                </c:pt>
                <c:pt idx="208">
                  <c:v>4.8687880440241582E-2</c:v>
                </c:pt>
                <c:pt idx="209">
                  <c:v>4.8340464371860653E-2</c:v>
                </c:pt>
                <c:pt idx="210">
                  <c:v>4.7993048303479724E-2</c:v>
                </c:pt>
                <c:pt idx="211">
                  <c:v>4.7645632235098795E-2</c:v>
                </c:pt>
                <c:pt idx="212">
                  <c:v>4.7298216166717866E-2</c:v>
                </c:pt>
                <c:pt idx="213">
                  <c:v>4.6950800098336937E-2</c:v>
                </c:pt>
                <c:pt idx="214">
                  <c:v>4.6603384029956008E-2</c:v>
                </c:pt>
                <c:pt idx="215">
                  <c:v>4.6255967961575079E-2</c:v>
                </c:pt>
                <c:pt idx="216">
                  <c:v>4.5908551893194149E-2</c:v>
                </c:pt>
                <c:pt idx="217">
                  <c:v>4.556113582481322E-2</c:v>
                </c:pt>
                <c:pt idx="218">
                  <c:v>4.5213719756432291E-2</c:v>
                </c:pt>
                <c:pt idx="219">
                  <c:v>4.4866303688051362E-2</c:v>
                </c:pt>
                <c:pt idx="220">
                  <c:v>4.4518887619670433E-2</c:v>
                </c:pt>
                <c:pt idx="221">
                  <c:v>4.4171471551289504E-2</c:v>
                </c:pt>
                <c:pt idx="222">
                  <c:v>4.3824055482908575E-2</c:v>
                </c:pt>
                <c:pt idx="223">
                  <c:v>4.3476639414527646E-2</c:v>
                </c:pt>
                <c:pt idx="224">
                  <c:v>4.3129223346146717E-2</c:v>
                </c:pt>
                <c:pt idx="225">
                  <c:v>4.2781807277765788E-2</c:v>
                </c:pt>
                <c:pt idx="226">
                  <c:v>4.2434391209384859E-2</c:v>
                </c:pt>
                <c:pt idx="227">
                  <c:v>4.2086975141003929E-2</c:v>
                </c:pt>
                <c:pt idx="228">
                  <c:v>4.1739559072623E-2</c:v>
                </c:pt>
                <c:pt idx="229">
                  <c:v>4.1392143004242071E-2</c:v>
                </c:pt>
                <c:pt idx="230">
                  <c:v>4.1044726935861142E-2</c:v>
                </c:pt>
                <c:pt idx="231">
                  <c:v>4.0697310867480213E-2</c:v>
                </c:pt>
                <c:pt idx="232">
                  <c:v>4.0349894799099284E-2</c:v>
                </c:pt>
                <c:pt idx="233">
                  <c:v>4.0002478730718355E-2</c:v>
                </c:pt>
                <c:pt idx="234">
                  <c:v>3.9655062662337426E-2</c:v>
                </c:pt>
                <c:pt idx="235">
                  <c:v>3.9307646593956497E-2</c:v>
                </c:pt>
                <c:pt idx="236">
                  <c:v>3.8960230525575568E-2</c:v>
                </c:pt>
                <c:pt idx="237">
                  <c:v>3.8612814457194639E-2</c:v>
                </c:pt>
                <c:pt idx="238">
                  <c:v>3.8265398388813709E-2</c:v>
                </c:pt>
                <c:pt idx="239">
                  <c:v>3.791798232043278E-2</c:v>
                </c:pt>
                <c:pt idx="240">
                  <c:v>3.7570566252051851E-2</c:v>
                </c:pt>
                <c:pt idx="241">
                  <c:v>3.7223150183670922E-2</c:v>
                </c:pt>
                <c:pt idx="242">
                  <c:v>3.6875734115289993E-2</c:v>
                </c:pt>
                <c:pt idx="243">
                  <c:v>3.6528318046909064E-2</c:v>
                </c:pt>
                <c:pt idx="244">
                  <c:v>3.6180901978528135E-2</c:v>
                </c:pt>
                <c:pt idx="245">
                  <c:v>3.5833485910147206E-2</c:v>
                </c:pt>
                <c:pt idx="246">
                  <c:v>3.5486069841766277E-2</c:v>
                </c:pt>
                <c:pt idx="247">
                  <c:v>3.5138653773385348E-2</c:v>
                </c:pt>
                <c:pt idx="248">
                  <c:v>3.4791237705004419E-2</c:v>
                </c:pt>
                <c:pt idx="249">
                  <c:v>3.444382163662349E-2</c:v>
                </c:pt>
                <c:pt idx="250">
                  <c:v>3.409640556824256E-2</c:v>
                </c:pt>
                <c:pt idx="251">
                  <c:v>3.3748989499861631E-2</c:v>
                </c:pt>
                <c:pt idx="252">
                  <c:v>3.31865063415306E-2</c:v>
                </c:pt>
                <c:pt idx="253">
                  <c:v>3.2624023183199569E-2</c:v>
                </c:pt>
                <c:pt idx="254">
                  <c:v>3.2061540024868537E-2</c:v>
                </c:pt>
                <c:pt idx="255">
                  <c:v>3.1499056866537506E-2</c:v>
                </c:pt>
                <c:pt idx="256">
                  <c:v>3.0936573708206475E-2</c:v>
                </c:pt>
                <c:pt idx="257">
                  <c:v>3.0374090549875443E-2</c:v>
                </c:pt>
                <c:pt idx="258">
                  <c:v>2.9811607391544412E-2</c:v>
                </c:pt>
                <c:pt idx="259">
                  <c:v>2.9249124233213381E-2</c:v>
                </c:pt>
                <c:pt idx="260">
                  <c:v>2.8686641074882349E-2</c:v>
                </c:pt>
                <c:pt idx="261">
                  <c:v>2.8124157916551318E-2</c:v>
                </c:pt>
                <c:pt idx="262">
                  <c:v>2.7561674758220286E-2</c:v>
                </c:pt>
                <c:pt idx="263">
                  <c:v>2.6999191599889255E-2</c:v>
                </c:pt>
                <c:pt idx="264">
                  <c:v>2.6436708441558224E-2</c:v>
                </c:pt>
                <c:pt idx="265">
                  <c:v>2.5874225283227192E-2</c:v>
                </c:pt>
                <c:pt idx="266">
                  <c:v>2.5311742124896161E-2</c:v>
                </c:pt>
                <c:pt idx="267">
                  <c:v>2.474925896656513E-2</c:v>
                </c:pt>
                <c:pt idx="268">
                  <c:v>2.4186775808234098E-2</c:v>
                </c:pt>
                <c:pt idx="269">
                  <c:v>2.3624292649903067E-2</c:v>
                </c:pt>
                <c:pt idx="270">
                  <c:v>2.3061809491572036E-2</c:v>
                </c:pt>
                <c:pt idx="271">
                  <c:v>2.2499326333241004E-2</c:v>
                </c:pt>
                <c:pt idx="272">
                  <c:v>2.1936843174909973E-2</c:v>
                </c:pt>
                <c:pt idx="273">
                  <c:v>2.1374360016578942E-2</c:v>
                </c:pt>
                <c:pt idx="274">
                  <c:v>2.081187685824791E-2</c:v>
                </c:pt>
                <c:pt idx="275">
                  <c:v>2.0249393699916879E-2</c:v>
                </c:pt>
                <c:pt idx="276">
                  <c:v>1.9686910541585848E-2</c:v>
                </c:pt>
                <c:pt idx="277">
                  <c:v>1.9124427383254816E-2</c:v>
                </c:pt>
                <c:pt idx="278">
                  <c:v>1.8561944224923785E-2</c:v>
                </c:pt>
                <c:pt idx="279">
                  <c:v>1.7999461066592753E-2</c:v>
                </c:pt>
                <c:pt idx="280">
                  <c:v>1.7436977908261722E-2</c:v>
                </c:pt>
                <c:pt idx="281">
                  <c:v>1.6874494749930691E-2</c:v>
                </c:pt>
                <c:pt idx="282">
                  <c:v>1.6312011591599659E-2</c:v>
                </c:pt>
                <c:pt idx="283">
                  <c:v>1.5749528433268628E-2</c:v>
                </c:pt>
                <c:pt idx="284">
                  <c:v>1.5187045274937597E-2</c:v>
                </c:pt>
                <c:pt idx="285">
                  <c:v>1.4624562116606565E-2</c:v>
                </c:pt>
                <c:pt idx="286">
                  <c:v>1.4062078958275534E-2</c:v>
                </c:pt>
                <c:pt idx="287">
                  <c:v>1.3499595799944503E-2</c:v>
                </c:pt>
                <c:pt idx="288">
                  <c:v>1.2937112641613471E-2</c:v>
                </c:pt>
                <c:pt idx="289">
                  <c:v>1.237462948328244E-2</c:v>
                </c:pt>
                <c:pt idx="290">
                  <c:v>1.1812146324951409E-2</c:v>
                </c:pt>
                <c:pt idx="291">
                  <c:v>1.1249663166620377E-2</c:v>
                </c:pt>
                <c:pt idx="292">
                  <c:v>1.0687180008289346E-2</c:v>
                </c:pt>
                <c:pt idx="293">
                  <c:v>1.0124696849958315E-2</c:v>
                </c:pt>
                <c:pt idx="294">
                  <c:v>9.5622136916272832E-3</c:v>
                </c:pt>
                <c:pt idx="295">
                  <c:v>8.9997305332962518E-3</c:v>
                </c:pt>
                <c:pt idx="296">
                  <c:v>8.4372473749652205E-3</c:v>
                </c:pt>
                <c:pt idx="297">
                  <c:v>7.8747642166341891E-3</c:v>
                </c:pt>
                <c:pt idx="298">
                  <c:v>7.3122810583031578E-3</c:v>
                </c:pt>
                <c:pt idx="299">
                  <c:v>6.7497978999721264E-3</c:v>
                </c:pt>
                <c:pt idx="300">
                  <c:v>6.1873147416410951E-3</c:v>
                </c:pt>
                <c:pt idx="301">
                  <c:v>5.6248315833100637E-3</c:v>
                </c:pt>
                <c:pt idx="302">
                  <c:v>5.0623484249790324E-3</c:v>
                </c:pt>
                <c:pt idx="303">
                  <c:v>4.499865266648001E-3</c:v>
                </c:pt>
                <c:pt idx="304">
                  <c:v>3.9373821083169697E-3</c:v>
                </c:pt>
                <c:pt idx="305">
                  <c:v>3.3748989499859383E-3</c:v>
                </c:pt>
                <c:pt idx="306">
                  <c:v>2.812415791654907E-3</c:v>
                </c:pt>
                <c:pt idx="307">
                  <c:v>2.2499326333238756E-3</c:v>
                </c:pt>
                <c:pt idx="308">
                  <c:v>1.6874494749928443E-3</c:v>
                </c:pt>
                <c:pt idx="309">
                  <c:v>1.1249663166618129E-3</c:v>
                </c:pt>
                <c:pt idx="310">
                  <c:v>5.6248315833078155E-4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A-404B-90B3-F847A7B0C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40458447"/>
        <c:axId val="1440458927"/>
      </c:lineChart>
      <c:catAx>
        <c:axId val="144045844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0458927"/>
        <c:crosses val="autoZero"/>
        <c:auto val="1"/>
        <c:lblAlgn val="ctr"/>
        <c:lblOffset val="100"/>
        <c:noMultiLvlLbl val="0"/>
      </c:catAx>
      <c:valAx>
        <c:axId val="1440458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04584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225425</xdr:colOff>
      <xdr:row>9</xdr:row>
      <xdr:rowOff>73025</xdr:rowOff>
    </xdr:from>
    <xdr:to>
      <xdr:col>39</xdr:col>
      <xdr:colOff>533400</xdr:colOff>
      <xdr:row>24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01E6C4C-9A97-A3CB-ED91-CCB2446760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scentenvinc.sharepoint.com/sites/Projects/Projects/2021/20210051.01%20-%20Bakersfield,%20City%20of%20-%20CAP/4_Deliverables%20in%20progress/1_GHG/x_Measures/Bakersfield%20CAP%20Measures%20quantification.xlsx" TargetMode="External"/><Relationship Id="rId1" Type="http://schemas.openxmlformats.org/officeDocument/2006/relationships/externalLinkPath" Target="https://ascentenvinc.sharepoint.com/sites/Projects/Projects/2021/20210051.01%20-%20Bakersfield,%20City%20of%20-%20CAP/4_Deliverables%20in%20progress/1_GHG/x_Measures/Bakersfield%20CAP%20Measures%20quantification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scentenvinc.sharepoint.com/sites/Projects/Projects/2021/20210051.01%20-%20Bakersfield,%20City%20of%20-%20CAP/4_Deliverables%20in%20progress/1_GHG/Bakersfield%20Inventory%20Forecasts.xlsx" TargetMode="External"/><Relationship Id="rId1" Type="http://schemas.openxmlformats.org/officeDocument/2006/relationships/externalLinkPath" Target="https://ascentenvinc.sharepoint.com/sites/Projects/Projects/2021/20210051.01%20-%20Bakersfield,%20City%20of%20-%20CAP/4_Deliverables%20in%20progress/1_GHG/Bakersfield%20Inventory%20Foreca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lts"/>
      <sheetName val="Summary"/>
      <sheetName val="BE-1.1a"/>
      <sheetName val="BE-1.1b"/>
      <sheetName val="BE-1.1c"/>
      <sheetName val="BE-1.2a"/>
      <sheetName val="BE-1.2b"/>
      <sheetName val="BE-1.2c"/>
      <sheetName val="IN-1.1"/>
      <sheetName val="IN-2.1"/>
      <sheetName val="IN-3.1"/>
      <sheetName val="IN-3.2"/>
      <sheetName val="IN-3.3"/>
      <sheetName val="IN-3.4"/>
      <sheetName val="IN-4.1"/>
      <sheetName val="IN-5.1"/>
      <sheetName val="LU-1.1 &amp; 3.1"/>
      <sheetName val="LU-4.1 - 4.4"/>
      <sheetName val="LU-2.1"/>
      <sheetName val="VMT Check"/>
      <sheetName val="MW-2.1"/>
      <sheetName val="Buildings"/>
      <sheetName val="Buildings calcs"/>
      <sheetName val="Sheet1"/>
      <sheetName val="BE-1.1b (old)"/>
      <sheetName val="BE-1.2b old"/>
      <sheetName val="Infrastructure"/>
      <sheetName val="Infrastructure calcs"/>
      <sheetName val="Land Use &amp; Mobility"/>
      <sheetName val="Land Use &amp; Mobility Calcs"/>
      <sheetName val="LU-all"/>
      <sheetName val="LU-2.1 and 1.4"/>
      <sheetName val="LU-4.1 to 4.4 &amp; 5.1"/>
      <sheetName val="LU-RTP"/>
      <sheetName val="TR-5.1, T-5.2"/>
      <sheetName val="Materials &amp; Waste"/>
      <sheetName val="Materials &amp; Waste Calcs"/>
      <sheetName val="MW-2.1a"/>
      <sheetName val="MW-2.1b"/>
      <sheetName val="MW-2.1c"/>
      <sheetName val="MW-2.1d"/>
      <sheetName val="Health &amp; Resiliency"/>
      <sheetName val="Natural &amp; Urban Landscapes"/>
      <sheetName val="Natural &amp; Urban Landscapes Calc"/>
      <sheetName val="N-1.1"/>
      <sheetName val="N-1.2"/>
      <sheetName val="Green Econom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9">
          <cell r="C9">
            <v>2.8495189155675998E-4</v>
          </cell>
          <cell r="D9">
            <v>2.4335860292745598E-4</v>
          </cell>
          <cell r="E9">
            <v>2.359929478104104E-4</v>
          </cell>
        </row>
      </sheetData>
      <sheetData sheetId="18"/>
      <sheetData sheetId="19">
        <row r="3">
          <cell r="B3">
            <v>2030</v>
          </cell>
          <cell r="C3">
            <v>2040</v>
          </cell>
          <cell r="D3">
            <v>2045</v>
          </cell>
        </row>
        <row r="9">
          <cell r="B9">
            <v>2461505090.855484</v>
          </cell>
          <cell r="C9">
            <v>2844970205.8442602</v>
          </cell>
          <cell r="D9">
            <v>2954977196.1739702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 driveId="b!DGkBxTe6eEyzr_SMv97W9CsVu7Cvn1RJrxvj0sdk6lTsjTgPzbvwS4RP5PrlPgXt" itemId="01LXKKHDA5NNLRQZKB55DLGWK4R7T5FXWU">
      <xxl21:absoluteUrl r:id="rId2"/>
    </xxl21:alternateUrls>
    <sheetNames>
      <sheetName val="Summary"/>
      <sheetName val="Leg-Adj Building Energy"/>
      <sheetName val="Results"/>
      <sheetName val="Building Energy"/>
      <sheetName val="On-Road"/>
      <sheetName val="Off-Road"/>
      <sheetName val="Ag-Other"/>
      <sheetName val="Water"/>
      <sheetName val="Wastewater"/>
      <sheetName val="Waste Generation"/>
      <sheetName val="Oil and Gas"/>
      <sheetName val="Assumptions"/>
      <sheetName val="Demographics"/>
      <sheetName val="EnergyEFs"/>
      <sheetName val="Inventory Input Summary"/>
      <sheetName val="Off-Road - Inv"/>
      <sheetName val="Ag-Livestock"/>
      <sheetName val="Waste-in-Place"/>
      <sheetName val="Water Factors"/>
      <sheetName val="LivestockEFs"/>
      <sheetName val="Wastewater Equations"/>
      <sheetName val="Oil and Gas Calculations"/>
      <sheetName val="OFFROAD2021"/>
      <sheetName val="OFFROAD2007"/>
      <sheetName val="OFFROAD Category Lookup"/>
      <sheetName val="EMFAC Category Lookup"/>
      <sheetName val="EMFAC2021"/>
      <sheetName val="Drop Down Lookups"/>
      <sheetName val="Bakersfield Inventory Forecasts"/>
    </sheetNames>
    <sheetDataSet>
      <sheetData sheetId="0">
        <row r="7">
          <cell r="C7" t="str">
            <v>City of Bakersfield</v>
          </cell>
        </row>
      </sheetData>
      <sheetData sheetId="1">
        <row r="2">
          <cell r="B2" t="str">
            <v>2019 Energy Code - Per Building</v>
          </cell>
        </row>
      </sheetData>
      <sheetData sheetId="2">
        <row r="11">
          <cell r="B11" t="str">
            <v>Citywide</v>
          </cell>
        </row>
      </sheetData>
      <sheetData sheetId="3">
        <row r="4">
          <cell r="I4">
            <v>866242240</v>
          </cell>
          <cell r="P4">
            <v>78844.417263608018</v>
          </cell>
        </row>
        <row r="5">
          <cell r="I5">
            <v>1110233766</v>
          </cell>
          <cell r="P5">
            <v>101052.25797653431</v>
          </cell>
        </row>
      </sheetData>
      <sheetData sheetId="4">
        <row r="9">
          <cell r="I9">
            <v>3709245921.7050004</v>
          </cell>
        </row>
      </sheetData>
      <sheetData sheetId="5">
        <row r="3">
          <cell r="N3">
            <v>3036.4660345727543</v>
          </cell>
        </row>
      </sheetData>
      <sheetData sheetId="6">
        <row r="6">
          <cell r="N6">
            <v>153.02990189541177</v>
          </cell>
        </row>
      </sheetData>
      <sheetData sheetId="7">
        <row r="3">
          <cell r="H3">
            <v>13637.782319248001</v>
          </cell>
          <cell r="L3">
            <v>14804669.513799999</v>
          </cell>
        </row>
      </sheetData>
      <sheetData sheetId="8">
        <row r="11">
          <cell r="B11" t="str">
            <v>Wastewater</v>
          </cell>
        </row>
      </sheetData>
      <sheetData sheetId="9">
        <row r="11">
          <cell r="B11" t="str">
            <v>Solid Waste</v>
          </cell>
        </row>
      </sheetData>
      <sheetData sheetId="10"/>
      <sheetData sheetId="11">
        <row r="3">
          <cell r="B3">
            <v>1000000</v>
          </cell>
        </row>
      </sheetData>
      <sheetData sheetId="12">
        <row r="6">
          <cell r="B6">
            <v>397857.8</v>
          </cell>
        </row>
      </sheetData>
      <sheetData sheetId="13">
        <row r="11">
          <cell r="B11" t="str">
            <v>Electricity</v>
          </cell>
        </row>
        <row r="87">
          <cell r="I87">
            <v>7.5438917705573164E-2</v>
          </cell>
        </row>
        <row r="97">
          <cell r="I97">
            <v>3.3748989499861694E-2</v>
          </cell>
        </row>
        <row r="102">
          <cell r="I102">
            <v>0</v>
          </cell>
        </row>
      </sheetData>
      <sheetData sheetId="14"/>
      <sheetData sheetId="15">
        <row r="11">
          <cell r="B11" t="str">
            <v>Building Energy</v>
          </cell>
        </row>
      </sheetData>
      <sheetData sheetId="16"/>
      <sheetData sheetId="17">
        <row r="11">
          <cell r="B11" t="str">
            <v>Solid Waste</v>
          </cell>
        </row>
      </sheetData>
      <sheetData sheetId="18">
        <row r="11">
          <cell r="B11" t="str">
            <v>Central Valley Project and Other
Federal Deliveries</v>
          </cell>
        </row>
      </sheetData>
      <sheetData sheetId="19">
        <row r="11">
          <cell r="B11" t="str">
            <v>Agriculture &amp; Forestry</v>
          </cell>
        </row>
      </sheetData>
      <sheetData sheetId="20">
        <row r="2">
          <cell r="A2" t="str">
            <v>ICLEI Wastewater Equation</v>
          </cell>
        </row>
      </sheetData>
      <sheetData sheetId="21">
        <row r="11">
          <cell r="B11" t="str">
            <v>Storage</v>
          </cell>
        </row>
      </sheetData>
      <sheetData sheetId="22">
        <row r="11">
          <cell r="B11" t="str">
            <v>Kern</v>
          </cell>
        </row>
      </sheetData>
      <sheetData sheetId="23">
        <row r="11">
          <cell r="B11" t="str">
            <v>Gasoline</v>
          </cell>
        </row>
      </sheetData>
      <sheetData sheetId="24">
        <row r="11">
          <cell r="B11" t="str">
            <v>Lawn and Garden Equipment</v>
          </cell>
        </row>
      </sheetData>
      <sheetData sheetId="25"/>
      <sheetData sheetId="26">
        <row r="11">
          <cell r="B11">
            <v>2019</v>
          </cell>
        </row>
      </sheetData>
      <sheetData sheetId="27">
        <row r="2">
          <cell r="A2" t="str">
            <v>kWh</v>
          </cell>
        </row>
      </sheetData>
      <sheetData sheetId="28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Fred Hochberg" id="{BF5FCA17-6D13-4B35-8925-68BEF8DE344F}" userId="S::Fred.Hochberg@ascent.inc::15212b12-715b-4327-b012-675ab517d60f" providerId="AD"/>
  <person displayName="Fred Hochberg" id="{E6420B89-12E7-4662-9497-086296844027}" userId="S::Fred.Hochberg@ascentenvironmental.com::15212b12-715b-4327-b012-675ab517d60f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O7" dT="2024-03-28T21:08:39.79" personId="{BF5FCA17-6D13-4B35-8925-68BEF8DE344F}" id="{73224171-986B-4D95-A832-E66B1824A1CF}">
    <text>Assuming half of 60 month phase-in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7" dT="2024-03-29T21:15:16.12" personId="{E6420B89-12E7-4662-9497-086296844027}" id="{A1EC6F08-D5D5-4961-B964-D6A1E2A249C4}">
    <text>Test case to confirm I can match CAPCOA.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I3" dT="2024-03-29T21:12:39.21" personId="{E6420B89-12E7-4662-9497-086296844027}" id="{A449E6EE-F8FF-4990-AC03-E838CB078C81}">
    <text>Trees only grow for 20 out of these 25 years.</text>
  </threadedComment>
</ThreadedComment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ww2.arb.ca.gov/sites/default/files/auction-proceeds/csd_liwp_finalqm_022823.pd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8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400E0-1B7F-496F-A95C-E1054995AB39}">
  <sheetPr>
    <tabColor rgb="FF00B050"/>
  </sheetPr>
  <dimension ref="A1:M21"/>
  <sheetViews>
    <sheetView tabSelected="1" workbookViewId="0">
      <selection activeCell="D27" sqref="D27"/>
    </sheetView>
  </sheetViews>
  <sheetFormatPr defaultRowHeight="15" x14ac:dyDescent="0.25"/>
  <cols>
    <col min="3" max="3" width="14.140625" bestFit="1" customWidth="1"/>
    <col min="4" max="4" width="49.28515625" customWidth="1"/>
    <col min="5" max="5" width="14.85546875" bestFit="1" customWidth="1"/>
    <col min="6" max="6" width="18.5703125" customWidth="1"/>
    <col min="7" max="7" width="21.5703125" customWidth="1"/>
    <col min="8" max="8" width="12.140625" customWidth="1"/>
    <col min="9" max="9" width="12.28515625" customWidth="1"/>
    <col min="10" max="10" width="22.140625" bestFit="1" customWidth="1"/>
    <col min="11" max="11" width="38.42578125" bestFit="1" customWidth="1"/>
  </cols>
  <sheetData>
    <row r="1" spans="1:13" x14ac:dyDescent="0.25">
      <c r="A1" s="105">
        <v>45658</v>
      </c>
    </row>
    <row r="2" spans="1:13" x14ac:dyDescent="0.25">
      <c r="A2" s="16"/>
    </row>
    <row r="4" spans="1:13" x14ac:dyDescent="0.25">
      <c r="H4" s="78">
        <f>Parameters!I7</f>
        <v>6</v>
      </c>
      <c r="I4" s="78">
        <f>Parameters!I8</f>
        <v>26.013698630136986</v>
      </c>
      <c r="J4" s="73" t="s">
        <v>2527</v>
      </c>
    </row>
    <row r="6" spans="1:13" x14ac:dyDescent="0.25">
      <c r="F6" s="9" t="s">
        <v>2533</v>
      </c>
      <c r="H6" s="9" t="s">
        <v>2328</v>
      </c>
      <c r="I6" s="9"/>
    </row>
    <row r="7" spans="1:13" x14ac:dyDescent="0.25">
      <c r="C7" t="s">
        <v>2248</v>
      </c>
      <c r="D7" t="s">
        <v>4</v>
      </c>
      <c r="E7" t="s">
        <v>2317</v>
      </c>
      <c r="F7" s="19" t="s">
        <v>8</v>
      </c>
      <c r="G7" s="19" t="s">
        <v>9</v>
      </c>
      <c r="H7" s="19" t="s">
        <v>8</v>
      </c>
      <c r="I7" s="19" t="s">
        <v>9</v>
      </c>
      <c r="J7" t="s">
        <v>2321</v>
      </c>
      <c r="L7" s="9"/>
      <c r="M7" s="11"/>
    </row>
    <row r="8" spans="1:13" x14ac:dyDescent="0.25">
      <c r="C8">
        <v>1</v>
      </c>
      <c r="D8" t="s">
        <v>2564</v>
      </c>
      <c r="E8" s="4">
        <v>15000000</v>
      </c>
      <c r="F8" s="3">
        <f>'Proj 1 MLK'!B9</f>
        <v>94.170296803652931</v>
      </c>
      <c r="G8" s="3">
        <f>'Proj 1 MLK'!B10</f>
        <v>142.93161664033696</v>
      </c>
      <c r="H8" s="51">
        <f>F8*H$4</f>
        <v>565.02178082191756</v>
      </c>
      <c r="I8" s="51">
        <f t="shared" ref="I8:I20" si="0">G8*I$4</f>
        <v>3718.1799999999985</v>
      </c>
      <c r="J8" s="80">
        <f>E8/H8</f>
        <v>26547.649151117716</v>
      </c>
      <c r="K8" s="81"/>
      <c r="L8" s="24"/>
      <c r="M8" s="24"/>
    </row>
    <row r="9" spans="1:13" x14ac:dyDescent="0.25">
      <c r="C9">
        <v>2</v>
      </c>
      <c r="D9" t="s">
        <v>2565</v>
      </c>
      <c r="E9" s="4">
        <f>'Proj 2 4 5 Solar'!D5</f>
        <v>460800</v>
      </c>
      <c r="F9" s="3">
        <f>INDEX('Proj 2 4 5 Solar'!$D$16:$F$16,MATCH($C9,'Proj 2 4 5 Solar'!$D$2:$F$2,0))</f>
        <v>7.8788287918581021</v>
      </c>
      <c r="G9" s="3">
        <f>INDEX('Proj 2 4 5 Solar'!$D$17:$F$17,MATCH($C9,'Proj 2 4 5 Solar'!$D$2:$F$2,0))</f>
        <v>7.2578158249938198</v>
      </c>
      <c r="H9" s="51">
        <f t="shared" ref="H9:H20" si="1">F9*H$4</f>
        <v>47.272972751148615</v>
      </c>
      <c r="I9" s="51">
        <f t="shared" si="0"/>
        <v>188.80263358442826</v>
      </c>
      <c r="J9" s="80">
        <f t="shared" ref="J9:J20" si="2">E9/H9</f>
        <v>9747.6416900141685</v>
      </c>
      <c r="K9" s="24"/>
      <c r="L9" s="24"/>
      <c r="M9" s="24"/>
    </row>
    <row r="10" spans="1:13" x14ac:dyDescent="0.25">
      <c r="C10">
        <v>3</v>
      </c>
      <c r="D10" t="s">
        <v>2566</v>
      </c>
      <c r="E10" s="4">
        <v>2975175</v>
      </c>
      <c r="F10" s="3">
        <f>'Proj 3 Low-Income Weatherizatio'!V8</f>
        <v>40.492336310232581</v>
      </c>
      <c r="G10" s="3">
        <f>'Proj 3 Low-Income Weatherizatio'!V9</f>
        <v>47.28153011065362</v>
      </c>
      <c r="H10" s="51">
        <f t="shared" si="1"/>
        <v>242.95401786139547</v>
      </c>
      <c r="I10" s="51">
        <f t="shared" si="0"/>
        <v>1229.9674750702907</v>
      </c>
      <c r="J10" s="80">
        <f t="shared" si="2"/>
        <v>12245.835760153299</v>
      </c>
      <c r="K10" s="24"/>
      <c r="L10" s="24"/>
      <c r="M10" s="24"/>
    </row>
    <row r="11" spans="1:13" x14ac:dyDescent="0.25">
      <c r="C11">
        <v>4</v>
      </c>
      <c r="D11" t="s">
        <v>2567</v>
      </c>
      <c r="E11" s="4">
        <f>'Proj 2 4 5 Solar'!E5</f>
        <v>25650000</v>
      </c>
      <c r="F11" s="3">
        <f>INDEX('Proj 2 4 5 Solar'!$D$16:$F$16,MATCH($C11,'Proj 2 4 5 Solar'!$D$2:$F$2,0))</f>
        <v>639.13201781272971</v>
      </c>
      <c r="G11" s="3">
        <f>INDEX('Proj 2 4 5 Solar'!$D$17:$F$17,MATCH($C11,'Proj 2 4 5 Solar'!$D$2:$F$2,0))</f>
        <v>421.40445578654106</v>
      </c>
      <c r="H11" s="51">
        <f t="shared" si="1"/>
        <v>3834.7921068763781</v>
      </c>
      <c r="I11" s="51">
        <f t="shared" si="0"/>
        <v>10962.288514227965</v>
      </c>
      <c r="J11" s="80">
        <f t="shared" si="2"/>
        <v>6688.7589431525021</v>
      </c>
      <c r="K11" s="24"/>
      <c r="L11" s="24"/>
      <c r="M11" s="24"/>
    </row>
    <row r="12" spans="1:13" x14ac:dyDescent="0.25">
      <c r="C12">
        <v>5</v>
      </c>
      <c r="D12" t="s">
        <v>2568</v>
      </c>
      <c r="E12" s="4">
        <f>'Proj 2 4 5 Solar'!F5</f>
        <v>6859868</v>
      </c>
      <c r="F12" s="3">
        <f>INDEX('Proj 2 4 5 Solar'!$D$16:$F$16,MATCH($C12,'Proj 2 4 5 Solar'!$D$2:$F$2,0))</f>
        <v>53.987226466307497</v>
      </c>
      <c r="G12" s="3">
        <f>INDEX('Proj 2 4 5 Solar'!$D$17:$F$17,MATCH($C12,'Proj 2 4 5 Solar'!$D$2:$F$2,0))</f>
        <v>38.937229383726262</v>
      </c>
      <c r="H12" s="51">
        <f t="shared" si="1"/>
        <v>323.92335879784497</v>
      </c>
      <c r="I12" s="51">
        <f t="shared" si="0"/>
        <v>1012.9013506807695</v>
      </c>
      <c r="J12" s="80">
        <f t="shared" si="2"/>
        <v>21177.441557344206</v>
      </c>
      <c r="K12" s="24"/>
      <c r="L12" s="24"/>
      <c r="M12" s="11"/>
    </row>
    <row r="13" spans="1:13" x14ac:dyDescent="0.25">
      <c r="C13">
        <v>6</v>
      </c>
      <c r="D13" t="s">
        <v>2569</v>
      </c>
      <c r="E13" s="4">
        <v>40950000</v>
      </c>
      <c r="F13" s="3">
        <f>'Proj 6 EV Chargers And Vehicles'!P12</f>
        <v>719.43239253253796</v>
      </c>
      <c r="G13" s="3">
        <f>'Proj 6 EV Chargers And Vehicles'!P13</f>
        <v>1347.2242455665137</v>
      </c>
      <c r="H13" s="51">
        <f t="shared" si="1"/>
        <v>4316.5943551952278</v>
      </c>
      <c r="I13" s="51">
        <f t="shared" si="0"/>
        <v>35046.285511380949</v>
      </c>
      <c r="J13" s="80">
        <f t="shared" si="2"/>
        <v>9486.6454038505417</v>
      </c>
      <c r="K13" s="24"/>
      <c r="L13" s="24"/>
      <c r="M13" s="11"/>
    </row>
    <row r="14" spans="1:13" x14ac:dyDescent="0.25">
      <c r="C14">
        <v>7</v>
      </c>
      <c r="D14" t="s">
        <v>2250</v>
      </c>
      <c r="E14" s="4">
        <v>5000000</v>
      </c>
      <c r="F14" s="3">
        <f>'Proj 7 eBike'!S3</f>
        <v>211.01715339527155</v>
      </c>
      <c r="G14" s="3">
        <f>'Proj 7 eBike'!S4</f>
        <v>233.7029133956915</v>
      </c>
      <c r="H14" s="51">
        <f t="shared" si="1"/>
        <v>1266.1029203716294</v>
      </c>
      <c r="I14" s="51">
        <f t="shared" si="0"/>
        <v>6079.4771580605229</v>
      </c>
      <c r="J14" s="80">
        <f t="shared" si="2"/>
        <v>3949.1260303960034</v>
      </c>
      <c r="K14" s="24"/>
      <c r="L14" s="24"/>
      <c r="M14" s="11"/>
    </row>
    <row r="15" spans="1:13" x14ac:dyDescent="0.25">
      <c r="C15">
        <v>8</v>
      </c>
      <c r="D15" t="s">
        <v>2251</v>
      </c>
      <c r="E15" s="4">
        <f>'Proj 8 Complete Streets'!D6</f>
        <v>61330130</v>
      </c>
      <c r="F15" s="3">
        <f>'Proj 8 Complete Streets'!O32</f>
        <v>5.9122095762312101</v>
      </c>
      <c r="G15" s="3">
        <f>'Proj 8 Complete Streets'!O33</f>
        <v>10.878465620265429</v>
      </c>
      <c r="H15" s="51">
        <f t="shared" si="1"/>
        <v>35.473257457387263</v>
      </c>
      <c r="I15" s="51">
        <f t="shared" si="0"/>
        <v>282.98912620389109</v>
      </c>
      <c r="J15" s="80">
        <f t="shared" si="2"/>
        <v>1728911.7040822557</v>
      </c>
      <c r="K15" s="24"/>
      <c r="L15" s="24"/>
      <c r="M15" s="11"/>
    </row>
    <row r="16" spans="1:13" x14ac:dyDescent="0.25">
      <c r="C16">
        <v>9</v>
      </c>
      <c r="D16" t="s">
        <v>2252</v>
      </c>
      <c r="E16" s="4">
        <f>SUMIFS('Proj 9 and 10 Trees and Parks'!F:F,'Proj 9 and 10 Trees and Parks'!B:B,C16)</f>
        <v>665000</v>
      </c>
      <c r="F16" s="3">
        <f>'Proj 9 and 10 Trees and Parks'!Q8</f>
        <v>3.9374627945205476</v>
      </c>
      <c r="G16" s="3">
        <f>'Proj 9 and 10 Trees and Parks'!R8</f>
        <v>4.873593124802527</v>
      </c>
      <c r="H16" s="51">
        <f t="shared" si="1"/>
        <v>23.624776767123286</v>
      </c>
      <c r="I16" s="51">
        <f t="shared" si="0"/>
        <v>126.78018279452053</v>
      </c>
      <c r="J16" s="80">
        <f t="shared" si="2"/>
        <v>28148.414122813105</v>
      </c>
      <c r="K16" s="24"/>
      <c r="L16" s="24"/>
      <c r="M16" s="11"/>
    </row>
    <row r="17" spans="3:13" x14ac:dyDescent="0.25">
      <c r="C17">
        <v>10</v>
      </c>
      <c r="D17" t="s">
        <v>2570</v>
      </c>
      <c r="E17" s="4">
        <f>SUMIFS('Proj 9 and 10 Trees and Parks'!F:F,'Proj 9 and 10 Trees and Parks'!B:B,C17)</f>
        <v>18483500</v>
      </c>
      <c r="F17" s="3">
        <f>'Proj 9 and 10 Trees and Parks'!Q9</f>
        <v>11.42513242739726</v>
      </c>
      <c r="G17" s="3">
        <f>'Proj 9 and 10 Trees and Parks'!R9</f>
        <v>14.141453457187994</v>
      </c>
      <c r="H17" s="51">
        <f t="shared" si="1"/>
        <v>68.550794564383565</v>
      </c>
      <c r="I17" s="51">
        <f t="shared" si="0"/>
        <v>367.87150842739726</v>
      </c>
      <c r="J17" s="80">
        <f t="shared" si="2"/>
        <v>269632.17738694651</v>
      </c>
      <c r="K17" s="24"/>
      <c r="L17" s="24"/>
      <c r="M17" s="11"/>
    </row>
    <row r="18" spans="3:13" x14ac:dyDescent="0.25">
      <c r="C18">
        <v>11</v>
      </c>
      <c r="D18" t="s">
        <v>2571</v>
      </c>
      <c r="E18" s="4">
        <v>500000</v>
      </c>
      <c r="F18" s="3">
        <f>'Proj 11 Xeriscaping'!D8</f>
        <v>0.92470193663740186</v>
      </c>
      <c r="G18" s="3">
        <f>'Proj 11 Xeriscaping'!D9</f>
        <v>0.47952614360269002</v>
      </c>
      <c r="H18" s="51">
        <f t="shared" si="1"/>
        <v>5.5482116198244107</v>
      </c>
      <c r="I18" s="51">
        <f t="shared" si="0"/>
        <v>12.47424858495217</v>
      </c>
      <c r="J18" s="80">
        <f t="shared" si="2"/>
        <v>90119.129236787106</v>
      </c>
      <c r="K18" s="24"/>
      <c r="L18" s="24"/>
      <c r="M18" s="11"/>
    </row>
    <row r="19" spans="3:13" x14ac:dyDescent="0.25">
      <c r="C19">
        <v>12</v>
      </c>
      <c r="D19" t="s">
        <v>2572</v>
      </c>
      <c r="E19" s="4">
        <v>3085000</v>
      </c>
      <c r="F19" s="3">
        <f>'Proj 12 13 Waste'!G5</f>
        <v>49.233464522482592</v>
      </c>
      <c r="G19" s="3">
        <f>'Proj 12 13 Waste'!H5</f>
        <v>63.799578286530682</v>
      </c>
      <c r="H19" s="51">
        <f t="shared" si="1"/>
        <v>295.40078713489555</v>
      </c>
      <c r="I19" s="51">
        <f t="shared" si="0"/>
        <v>1659.6630022756406</v>
      </c>
      <c r="J19" s="80">
        <f t="shared" si="2"/>
        <v>10443.43865810766</v>
      </c>
      <c r="K19" s="17"/>
      <c r="L19" s="17"/>
      <c r="M19" s="11"/>
    </row>
    <row r="20" spans="3:13" x14ac:dyDescent="0.25">
      <c r="C20">
        <v>13</v>
      </c>
      <c r="D20" t="s">
        <v>2253</v>
      </c>
      <c r="E20" s="4">
        <v>7050000</v>
      </c>
      <c r="F20" s="3">
        <f>'Proj 12 13 Waste'!G6</f>
        <v>4.0066983072920603</v>
      </c>
      <c r="G20" s="3">
        <f>'Proj 12 13 Waste'!H6</f>
        <v>5.1921120076743259</v>
      </c>
      <c r="H20" s="51">
        <f t="shared" si="1"/>
        <v>24.040189843752362</v>
      </c>
      <c r="I20" s="51">
        <f t="shared" si="0"/>
        <v>135.06603702155542</v>
      </c>
      <c r="J20" s="80">
        <f t="shared" si="2"/>
        <v>293258.91541710001</v>
      </c>
      <c r="K20" s="17"/>
      <c r="L20" s="17"/>
      <c r="M20" s="11"/>
    </row>
    <row r="21" spans="3:13" x14ac:dyDescent="0.25">
      <c r="C21" s="9" t="s">
        <v>1</v>
      </c>
      <c r="D21" s="9" t="s">
        <v>2563</v>
      </c>
      <c r="E21" s="11">
        <f>SUM(E8:E20)</f>
        <v>188009473</v>
      </c>
      <c r="F21" s="3">
        <f>SUM(F8:F20)</f>
        <v>1841.5499216771514</v>
      </c>
      <c r="G21" s="3">
        <f>SUM(G8:G20)</f>
        <v>2338.1045353485206</v>
      </c>
      <c r="H21" s="3">
        <f>SUM(H8:H20)</f>
        <v>11049.299530062906</v>
      </c>
      <c r="I21" s="3">
        <f>SUM(I8:I20)</f>
        <v>60822.746748312886</v>
      </c>
      <c r="J21" s="80">
        <f t="shared" ref="J21" si="3">E21/H21</f>
        <v>17015.510574988424</v>
      </c>
    </row>
  </sheetData>
  <pageMargins left="0.7" right="0.7" top="0.75" bottom="0.75" header="0.3" footer="0.3"/>
  <cellWatches>
    <cellWatch r="E21"/>
    <cellWatch r="F21"/>
    <cellWatch r="G21"/>
  </cellWatch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A075F-423C-4FE0-8599-4B308AC0E028}">
  <dimension ref="A3:Q31"/>
  <sheetViews>
    <sheetView workbookViewId="0">
      <selection activeCell="D14" sqref="D14"/>
    </sheetView>
  </sheetViews>
  <sheetFormatPr defaultRowHeight="15" x14ac:dyDescent="0.25"/>
  <cols>
    <col min="2" max="2" width="53" customWidth="1"/>
    <col min="11" max="11" width="61.42578125" bestFit="1" customWidth="1"/>
    <col min="12" max="12" width="11.140625" bestFit="1" customWidth="1"/>
    <col min="14" max="14" width="35.7109375" bestFit="1" customWidth="1"/>
    <col min="15" max="15" width="39.5703125" bestFit="1" customWidth="1"/>
  </cols>
  <sheetData>
    <row r="3" spans="1:17" ht="30" x14ac:dyDescent="0.25">
      <c r="A3" s="31"/>
      <c r="B3" s="26" t="s">
        <v>2600</v>
      </c>
      <c r="C3" s="31" t="s">
        <v>2561</v>
      </c>
      <c r="J3" s="5">
        <v>0.85</v>
      </c>
      <c r="K3" t="s">
        <v>2558</v>
      </c>
    </row>
    <row r="4" spans="1:17" x14ac:dyDescent="0.25">
      <c r="A4">
        <v>2023</v>
      </c>
      <c r="B4" s="25">
        <f>$O$10*(A4-2023)</f>
        <v>0</v>
      </c>
      <c r="C4" s="14">
        <f>B4*$J$3/2204.62</f>
        <v>0</v>
      </c>
      <c r="E4" t="s">
        <v>3</v>
      </c>
      <c r="F4" t="s">
        <v>2560</v>
      </c>
      <c r="G4" s="19" t="s">
        <v>8</v>
      </c>
      <c r="H4" s="19" t="s">
        <v>9</v>
      </c>
      <c r="J4" s="6"/>
    </row>
    <row r="5" spans="1:17" x14ac:dyDescent="0.25">
      <c r="A5">
        <f>A4+1</f>
        <v>2024</v>
      </c>
      <c r="B5" s="25">
        <f t="shared" ref="B5:B10" si="0">$O$10*(A5-2023)</f>
        <v>31866.333333333332</v>
      </c>
      <c r="C5" s="14">
        <f t="shared" ref="C5:C31" si="1">B5*$J$3/2204.62</f>
        <v>12.286191422255687</v>
      </c>
      <c r="E5">
        <v>12</v>
      </c>
      <c r="F5" t="str">
        <f>K8</f>
        <v>Mt.Vernon Organics Facility</v>
      </c>
      <c r="G5" s="14">
        <f>G$7*$O8/$O$10</f>
        <v>49.233464522482592</v>
      </c>
      <c r="H5" s="14">
        <f t="shared" ref="H5:H6" si="2">H$7*$O8/$O$10</f>
        <v>63.799578286530682</v>
      </c>
      <c r="I5" s="14"/>
    </row>
    <row r="6" spans="1:17" x14ac:dyDescent="0.25">
      <c r="A6">
        <f t="shared" ref="A6:A29" si="3">A5+1</f>
        <v>2025</v>
      </c>
      <c r="B6" s="25">
        <f t="shared" si="0"/>
        <v>63732.666666666664</v>
      </c>
      <c r="C6" s="14">
        <f t="shared" si="1"/>
        <v>24.572382844511374</v>
      </c>
      <c r="E6">
        <v>13</v>
      </c>
      <c r="F6" t="str">
        <f>K9</f>
        <v>City Materials Recovery Facility</v>
      </c>
      <c r="G6" s="14">
        <f t="shared" ref="G6" si="4">G$7*$O9/$O$10</f>
        <v>4.0066983072920603</v>
      </c>
      <c r="H6" s="14">
        <f t="shared" si="2"/>
        <v>5.1921120076743259</v>
      </c>
      <c r="I6" s="14"/>
    </row>
    <row r="7" spans="1:17" x14ac:dyDescent="0.25">
      <c r="A7">
        <f t="shared" si="3"/>
        <v>2026</v>
      </c>
      <c r="B7" s="25">
        <f t="shared" si="0"/>
        <v>95599</v>
      </c>
      <c r="C7" s="14">
        <f t="shared" si="1"/>
        <v>36.858574266767064</v>
      </c>
      <c r="F7" s="9" t="s">
        <v>1</v>
      </c>
      <c r="G7" s="14">
        <f>AVERAGE(C6:C11)</f>
        <v>53.240162829774647</v>
      </c>
      <c r="H7" s="14">
        <f>AVERAGE(C6:C31)</f>
        <v>68.991690294205</v>
      </c>
      <c r="K7" s="52" t="s">
        <v>2560</v>
      </c>
      <c r="L7" s="53">
        <v>2023</v>
      </c>
      <c r="M7" s="53">
        <v>2029</v>
      </c>
      <c r="N7" s="53" t="s">
        <v>2562</v>
      </c>
      <c r="O7" s="54" t="s">
        <v>2559</v>
      </c>
    </row>
    <row r="8" spans="1:17" x14ac:dyDescent="0.25">
      <c r="A8">
        <f t="shared" si="3"/>
        <v>2027</v>
      </c>
      <c r="B8" s="25">
        <f t="shared" si="0"/>
        <v>127465.33333333333</v>
      </c>
      <c r="C8" s="14">
        <f t="shared" si="1"/>
        <v>49.144765689022748</v>
      </c>
      <c r="K8" s="55" t="s">
        <v>2556</v>
      </c>
      <c r="L8" s="26">
        <v>235745</v>
      </c>
      <c r="M8" s="26">
        <v>412554</v>
      </c>
      <c r="N8" s="26">
        <f>M8-L8</f>
        <v>176809</v>
      </c>
      <c r="O8" s="68">
        <f t="shared" ref="O8:O9" si="5">SLOPE(L8:M8,$L$7:$M$7)</f>
        <v>29468.166666666668</v>
      </c>
    </row>
    <row r="9" spans="1:17" x14ac:dyDescent="0.25">
      <c r="A9">
        <f t="shared" si="3"/>
        <v>2028</v>
      </c>
      <c r="B9" s="25">
        <f t="shared" si="0"/>
        <v>159331.66666666666</v>
      </c>
      <c r="C9" s="14">
        <f t="shared" si="1"/>
        <v>61.430957111278438</v>
      </c>
      <c r="K9" s="55" t="s">
        <v>2557</v>
      </c>
      <c r="L9" s="26">
        <v>15146</v>
      </c>
      <c r="M9" s="26">
        <v>29535</v>
      </c>
      <c r="N9" s="26">
        <f t="shared" ref="N9:N10" si="6">M9-L9</f>
        <v>14389</v>
      </c>
      <c r="O9" s="68">
        <f t="shared" si="5"/>
        <v>2398.1666666666665</v>
      </c>
    </row>
    <row r="10" spans="1:17" x14ac:dyDescent="0.25">
      <c r="A10">
        <f t="shared" si="3"/>
        <v>2029</v>
      </c>
      <c r="B10" s="97">
        <f t="shared" si="0"/>
        <v>191198</v>
      </c>
      <c r="C10" s="14">
        <f t="shared" si="1"/>
        <v>73.717148533534129</v>
      </c>
      <c r="K10" s="60" t="s">
        <v>1</v>
      </c>
      <c r="L10" s="98">
        <f>SUM(L8:L9)</f>
        <v>250891</v>
      </c>
      <c r="M10" s="98">
        <f>SUM(M8:M9)</f>
        <v>442089</v>
      </c>
      <c r="N10" s="98">
        <f t="shared" si="6"/>
        <v>191198</v>
      </c>
      <c r="O10" s="71">
        <f>SLOPE(L10:M10,$L$7:$M$7)</f>
        <v>31866.333333333332</v>
      </c>
      <c r="Q10" s="26"/>
    </row>
    <row r="11" spans="1:17" x14ac:dyDescent="0.25">
      <c r="A11">
        <f t="shared" si="3"/>
        <v>2030</v>
      </c>
      <c r="B11" s="97">
        <f t="shared" ref="B11:B19" si="7">B10</f>
        <v>191198</v>
      </c>
      <c r="C11" s="14">
        <f t="shared" si="1"/>
        <v>73.717148533534129</v>
      </c>
    </row>
    <row r="12" spans="1:17" x14ac:dyDescent="0.25">
      <c r="A12">
        <f t="shared" si="3"/>
        <v>2031</v>
      </c>
      <c r="B12" s="97">
        <f t="shared" si="7"/>
        <v>191198</v>
      </c>
      <c r="C12" s="14">
        <f t="shared" si="1"/>
        <v>73.717148533534129</v>
      </c>
    </row>
    <row r="13" spans="1:17" x14ac:dyDescent="0.25">
      <c r="A13">
        <f t="shared" si="3"/>
        <v>2032</v>
      </c>
      <c r="B13" s="97">
        <f t="shared" si="7"/>
        <v>191198</v>
      </c>
      <c r="C13" s="14">
        <f t="shared" si="1"/>
        <v>73.717148533534129</v>
      </c>
    </row>
    <row r="14" spans="1:17" x14ac:dyDescent="0.25">
      <c r="A14">
        <f t="shared" si="3"/>
        <v>2033</v>
      </c>
      <c r="B14" s="97">
        <f t="shared" si="7"/>
        <v>191198</v>
      </c>
      <c r="C14" s="14">
        <f t="shared" si="1"/>
        <v>73.717148533534129</v>
      </c>
    </row>
    <row r="15" spans="1:17" x14ac:dyDescent="0.25">
      <c r="A15">
        <f t="shared" si="3"/>
        <v>2034</v>
      </c>
      <c r="B15" s="97">
        <f t="shared" si="7"/>
        <v>191198</v>
      </c>
      <c r="C15" s="14">
        <f t="shared" si="1"/>
        <v>73.717148533534129</v>
      </c>
    </row>
    <row r="16" spans="1:17" x14ac:dyDescent="0.25">
      <c r="A16">
        <f t="shared" si="3"/>
        <v>2035</v>
      </c>
      <c r="B16" s="97">
        <f t="shared" si="7"/>
        <v>191198</v>
      </c>
      <c r="C16" s="14">
        <f t="shared" si="1"/>
        <v>73.717148533534129</v>
      </c>
    </row>
    <row r="17" spans="1:3" x14ac:dyDescent="0.25">
      <c r="A17">
        <f t="shared" si="3"/>
        <v>2036</v>
      </c>
      <c r="B17" s="97">
        <f t="shared" si="7"/>
        <v>191198</v>
      </c>
      <c r="C17" s="14">
        <f t="shared" si="1"/>
        <v>73.717148533534129</v>
      </c>
    </row>
    <row r="18" spans="1:3" x14ac:dyDescent="0.25">
      <c r="A18">
        <f t="shared" si="3"/>
        <v>2037</v>
      </c>
      <c r="B18" s="97">
        <f t="shared" si="7"/>
        <v>191198</v>
      </c>
      <c r="C18" s="14">
        <f t="shared" si="1"/>
        <v>73.717148533534129</v>
      </c>
    </row>
    <row r="19" spans="1:3" x14ac:dyDescent="0.25">
      <c r="A19">
        <f t="shared" si="3"/>
        <v>2038</v>
      </c>
      <c r="B19" s="97">
        <f t="shared" si="7"/>
        <v>191198</v>
      </c>
      <c r="C19" s="14">
        <f t="shared" si="1"/>
        <v>73.717148533534129</v>
      </c>
    </row>
    <row r="20" spans="1:3" x14ac:dyDescent="0.25">
      <c r="A20">
        <f t="shared" si="3"/>
        <v>2039</v>
      </c>
      <c r="B20" s="97">
        <f t="shared" ref="B20:B29" si="8">B19</f>
        <v>191198</v>
      </c>
      <c r="C20" s="14">
        <f t="shared" si="1"/>
        <v>73.717148533534129</v>
      </c>
    </row>
    <row r="21" spans="1:3" x14ac:dyDescent="0.25">
      <c r="A21">
        <f t="shared" si="3"/>
        <v>2040</v>
      </c>
      <c r="B21" s="97">
        <f t="shared" si="8"/>
        <v>191198</v>
      </c>
      <c r="C21" s="14">
        <f t="shared" si="1"/>
        <v>73.717148533534129</v>
      </c>
    </row>
    <row r="22" spans="1:3" x14ac:dyDescent="0.25">
      <c r="A22">
        <f t="shared" si="3"/>
        <v>2041</v>
      </c>
      <c r="B22" s="97">
        <f t="shared" si="8"/>
        <v>191198</v>
      </c>
      <c r="C22" s="14">
        <f t="shared" si="1"/>
        <v>73.717148533534129</v>
      </c>
    </row>
    <row r="23" spans="1:3" x14ac:dyDescent="0.25">
      <c r="A23">
        <f t="shared" si="3"/>
        <v>2042</v>
      </c>
      <c r="B23" s="97">
        <f t="shared" si="8"/>
        <v>191198</v>
      </c>
      <c r="C23" s="14">
        <f t="shared" si="1"/>
        <v>73.717148533534129</v>
      </c>
    </row>
    <row r="24" spans="1:3" x14ac:dyDescent="0.25">
      <c r="A24">
        <f t="shared" si="3"/>
        <v>2043</v>
      </c>
      <c r="B24" s="97">
        <f t="shared" si="8"/>
        <v>191198</v>
      </c>
      <c r="C24" s="14">
        <f t="shared" si="1"/>
        <v>73.717148533534129</v>
      </c>
    </row>
    <row r="25" spans="1:3" x14ac:dyDescent="0.25">
      <c r="A25">
        <f t="shared" si="3"/>
        <v>2044</v>
      </c>
      <c r="B25" s="97">
        <f t="shared" si="8"/>
        <v>191198</v>
      </c>
      <c r="C25" s="14">
        <f t="shared" si="1"/>
        <v>73.717148533534129</v>
      </c>
    </row>
    <row r="26" spans="1:3" x14ac:dyDescent="0.25">
      <c r="A26">
        <f t="shared" si="3"/>
        <v>2045</v>
      </c>
      <c r="B26" s="97">
        <f t="shared" si="8"/>
        <v>191198</v>
      </c>
      <c r="C26" s="14">
        <f t="shared" si="1"/>
        <v>73.717148533534129</v>
      </c>
    </row>
    <row r="27" spans="1:3" x14ac:dyDescent="0.25">
      <c r="A27">
        <f t="shared" si="3"/>
        <v>2046</v>
      </c>
      <c r="B27" s="97">
        <f t="shared" si="8"/>
        <v>191198</v>
      </c>
      <c r="C27" s="14">
        <f t="shared" si="1"/>
        <v>73.717148533534129</v>
      </c>
    </row>
    <row r="28" spans="1:3" x14ac:dyDescent="0.25">
      <c r="A28">
        <f t="shared" si="3"/>
        <v>2047</v>
      </c>
      <c r="B28" s="97">
        <f t="shared" si="8"/>
        <v>191198</v>
      </c>
      <c r="C28" s="14">
        <f t="shared" si="1"/>
        <v>73.717148533534129</v>
      </c>
    </row>
    <row r="29" spans="1:3" x14ac:dyDescent="0.25">
      <c r="A29">
        <f t="shared" si="3"/>
        <v>2048</v>
      </c>
      <c r="B29" s="97">
        <f t="shared" si="8"/>
        <v>191198</v>
      </c>
      <c r="C29" s="14">
        <f t="shared" si="1"/>
        <v>73.717148533534129</v>
      </c>
    </row>
    <row r="30" spans="1:3" x14ac:dyDescent="0.25">
      <c r="A30">
        <f t="shared" ref="A30:A31" si="9">A29+1</f>
        <v>2049</v>
      </c>
      <c r="B30" s="97">
        <f t="shared" ref="B30:B31" si="10">B29</f>
        <v>191198</v>
      </c>
      <c r="C30" s="14">
        <f t="shared" si="1"/>
        <v>73.717148533534129</v>
      </c>
    </row>
    <row r="31" spans="1:3" x14ac:dyDescent="0.25">
      <c r="A31">
        <f t="shared" si="9"/>
        <v>2050</v>
      </c>
      <c r="B31" s="97">
        <f t="shared" si="10"/>
        <v>191198</v>
      </c>
      <c r="C31" s="14">
        <f t="shared" si="1"/>
        <v>73.717148533534129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0E6DE-5CD7-4D4C-9B2C-BE4735B528E7}">
  <sheetPr>
    <tabColor rgb="FFFFFF00"/>
  </sheetPr>
  <dimension ref="A1:BQ140"/>
  <sheetViews>
    <sheetView topLeftCell="AZ1" workbookViewId="0">
      <selection activeCell="BQ10" sqref="BQ10"/>
    </sheetView>
  </sheetViews>
  <sheetFormatPr defaultRowHeight="15" x14ac:dyDescent="0.25"/>
  <cols>
    <col min="1" max="1" width="135.140625" bestFit="1" customWidth="1"/>
    <col min="2" max="2" width="15.42578125" bestFit="1" customWidth="1"/>
    <col min="3" max="3" width="33.85546875" bestFit="1" customWidth="1"/>
    <col min="4" max="4" width="12.5703125" bestFit="1" customWidth="1"/>
    <col min="5" max="5" width="9.140625" bestFit="1" customWidth="1"/>
    <col min="6" max="6" width="13.140625" bestFit="1" customWidth="1"/>
    <col min="7" max="7" width="12.5703125" bestFit="1" customWidth="1"/>
    <col min="8" max="11" width="11.85546875" bestFit="1" customWidth="1"/>
    <col min="12" max="12" width="21.140625" bestFit="1" customWidth="1"/>
    <col min="13" max="13" width="13.42578125" bestFit="1" customWidth="1"/>
    <col min="14" max="14" width="12.5703125" bestFit="1" customWidth="1"/>
    <col min="15" max="15" width="12.85546875" bestFit="1" customWidth="1"/>
    <col min="16" max="16" width="13.140625" bestFit="1" customWidth="1"/>
    <col min="17" max="17" width="15.140625" bestFit="1" customWidth="1"/>
    <col min="18" max="18" width="14" bestFit="1" customWidth="1"/>
    <col min="19" max="19" width="14.42578125" bestFit="1" customWidth="1"/>
    <col min="20" max="20" width="14.5703125" bestFit="1" customWidth="1"/>
    <col min="21" max="21" width="14.28515625" bestFit="1" customWidth="1"/>
    <col min="22" max="24" width="14.42578125" bestFit="1" customWidth="1"/>
    <col min="25" max="25" width="13.42578125" bestFit="1" customWidth="1"/>
    <col min="26" max="26" width="13.85546875" bestFit="1" customWidth="1"/>
    <col min="27" max="27" width="14" bestFit="1" customWidth="1"/>
    <col min="28" max="28" width="13.7109375" bestFit="1" customWidth="1"/>
    <col min="29" max="30" width="13.85546875" bestFit="1" customWidth="1"/>
    <col min="31" max="31" width="13.5703125" bestFit="1" customWidth="1"/>
    <col min="32" max="32" width="12.5703125" bestFit="1" customWidth="1"/>
    <col min="33" max="34" width="13.140625" bestFit="1" customWidth="1"/>
    <col min="35" max="35" width="13.5703125" bestFit="1" customWidth="1"/>
    <col min="36" max="36" width="12.5703125" bestFit="1" customWidth="1"/>
    <col min="37" max="38" width="13.140625" bestFit="1" customWidth="1"/>
    <col min="39" max="39" width="13.5703125" bestFit="1" customWidth="1"/>
    <col min="40" max="40" width="12.5703125" bestFit="1" customWidth="1"/>
    <col min="41" max="42" width="13.140625" bestFit="1" customWidth="1"/>
    <col min="43" max="43" width="13.7109375" bestFit="1" customWidth="1"/>
    <col min="44" max="44" width="12.85546875" bestFit="1" customWidth="1"/>
    <col min="45" max="45" width="13.140625" bestFit="1" customWidth="1"/>
    <col min="46" max="47" width="13.42578125" bestFit="1" customWidth="1"/>
    <col min="48" max="48" width="16.42578125" bestFit="1" customWidth="1"/>
    <col min="49" max="49" width="16.140625" bestFit="1" customWidth="1"/>
    <col min="50" max="50" width="13.140625" bestFit="1" customWidth="1"/>
    <col min="51" max="51" width="13.5703125" bestFit="1" customWidth="1"/>
    <col min="52" max="52" width="12.5703125" bestFit="1" customWidth="1"/>
    <col min="53" max="55" width="13.140625" bestFit="1" customWidth="1"/>
    <col min="56" max="57" width="16.140625" bestFit="1" customWidth="1"/>
    <col min="58" max="58" width="13.140625" bestFit="1" customWidth="1"/>
    <col min="59" max="59" width="12.5703125" bestFit="1" customWidth="1"/>
    <col min="60" max="60" width="11.85546875" bestFit="1" customWidth="1"/>
    <col min="61" max="61" width="12.140625" bestFit="1" customWidth="1"/>
    <col min="62" max="62" width="12.28515625" bestFit="1" customWidth="1"/>
    <col min="63" max="63" width="13.140625" bestFit="1" customWidth="1"/>
    <col min="64" max="64" width="12.28515625" bestFit="1" customWidth="1"/>
    <col min="65" max="65" width="12.5703125" bestFit="1" customWidth="1"/>
    <col min="66" max="66" width="12.85546875" bestFit="1" customWidth="1"/>
    <col min="67" max="67" width="13.5703125" bestFit="1" customWidth="1"/>
    <col min="68" max="68" width="19.140625" bestFit="1" customWidth="1"/>
  </cols>
  <sheetData>
    <row r="1" spans="1:69" x14ac:dyDescent="0.25">
      <c r="A1" t="s">
        <v>2503</v>
      </c>
    </row>
    <row r="2" spans="1:69" x14ac:dyDescent="0.25">
      <c r="A2" t="s">
        <v>22</v>
      </c>
    </row>
    <row r="3" spans="1:69" x14ac:dyDescent="0.25">
      <c r="A3" t="s">
        <v>21</v>
      </c>
    </row>
    <row r="4" spans="1:69" x14ac:dyDescent="0.25">
      <c r="A4" t="s">
        <v>20</v>
      </c>
    </row>
    <row r="5" spans="1:69" x14ac:dyDescent="0.25">
      <c r="A5" t="s">
        <v>2502</v>
      </c>
    </row>
    <row r="6" spans="1:69" x14ac:dyDescent="0.25">
      <c r="A6" t="s">
        <v>2501</v>
      </c>
    </row>
    <row r="7" spans="1:69" x14ac:dyDescent="0.25">
      <c r="A7" t="s">
        <v>2500</v>
      </c>
    </row>
    <row r="9" spans="1:69" x14ac:dyDescent="0.25">
      <c r="A9" t="s">
        <v>19</v>
      </c>
      <c r="B9" t="s">
        <v>18</v>
      </c>
      <c r="C9" t="s">
        <v>17</v>
      </c>
      <c r="D9" t="s">
        <v>16</v>
      </c>
      <c r="E9" t="s">
        <v>2499</v>
      </c>
      <c r="F9" t="s">
        <v>15</v>
      </c>
      <c r="G9" t="s">
        <v>2345</v>
      </c>
      <c r="H9" t="s">
        <v>2498</v>
      </c>
      <c r="I9" t="s">
        <v>2497</v>
      </c>
      <c r="J9" t="s">
        <v>2496</v>
      </c>
      <c r="K9" t="s">
        <v>2495</v>
      </c>
      <c r="L9" t="s">
        <v>2494</v>
      </c>
      <c r="M9" t="s">
        <v>2493</v>
      </c>
      <c r="N9" t="s">
        <v>2492</v>
      </c>
      <c r="O9" t="s">
        <v>2491</v>
      </c>
      <c r="P9" t="s">
        <v>2490</v>
      </c>
      <c r="Q9" t="s">
        <v>2489</v>
      </c>
      <c r="R9" t="s">
        <v>2488</v>
      </c>
      <c r="S9" t="s">
        <v>2487</v>
      </c>
      <c r="T9" t="s">
        <v>2486</v>
      </c>
      <c r="U9" t="s">
        <v>2485</v>
      </c>
      <c r="V9" t="s">
        <v>2484</v>
      </c>
      <c r="W9" t="s">
        <v>2483</v>
      </c>
      <c r="X9" t="s">
        <v>2482</v>
      </c>
      <c r="Y9" t="s">
        <v>2481</v>
      </c>
      <c r="Z9" t="s">
        <v>2480</v>
      </c>
      <c r="AA9" t="s">
        <v>2479</v>
      </c>
      <c r="AB9" t="s">
        <v>2478</v>
      </c>
      <c r="AC9" t="s">
        <v>2477</v>
      </c>
      <c r="AD9" t="s">
        <v>2476</v>
      </c>
      <c r="AE9" t="s">
        <v>2475</v>
      </c>
      <c r="AF9" t="s">
        <v>2474</v>
      </c>
      <c r="AG9" t="s">
        <v>2473</v>
      </c>
      <c r="AH9" t="s">
        <v>2472</v>
      </c>
      <c r="AI9" t="s">
        <v>2471</v>
      </c>
      <c r="AJ9" t="s">
        <v>2470</v>
      </c>
      <c r="AK9" t="s">
        <v>2469</v>
      </c>
      <c r="AL9" t="s">
        <v>2468</v>
      </c>
      <c r="AM9" t="s">
        <v>2467</v>
      </c>
      <c r="AN9" t="s">
        <v>2466</v>
      </c>
      <c r="AO9" t="s">
        <v>2465</v>
      </c>
      <c r="AP9" t="s">
        <v>2464</v>
      </c>
      <c r="AQ9" t="s">
        <v>2463</v>
      </c>
      <c r="AR9" t="s">
        <v>2462</v>
      </c>
      <c r="AS9" t="s">
        <v>2461</v>
      </c>
      <c r="AT9" t="s">
        <v>2460</v>
      </c>
      <c r="AU9" t="s">
        <v>2459</v>
      </c>
      <c r="AV9" t="s">
        <v>2458</v>
      </c>
      <c r="AW9" t="s">
        <v>2457</v>
      </c>
      <c r="AX9" t="s">
        <v>2456</v>
      </c>
      <c r="AY9" t="s">
        <v>2455</v>
      </c>
      <c r="AZ9" t="s">
        <v>2454</v>
      </c>
      <c r="BA9" t="s">
        <v>2453</v>
      </c>
      <c r="BB9" t="s">
        <v>2452</v>
      </c>
      <c r="BC9" t="s">
        <v>2451</v>
      </c>
      <c r="BD9" t="s">
        <v>2450</v>
      </c>
      <c r="BE9" t="s">
        <v>2449</v>
      </c>
      <c r="BF9" t="s">
        <v>2448</v>
      </c>
      <c r="BG9" t="s">
        <v>2447</v>
      </c>
      <c r="BH9" t="s">
        <v>2446</v>
      </c>
      <c r="BI9" t="s">
        <v>2445</v>
      </c>
      <c r="BJ9" t="s">
        <v>2444</v>
      </c>
      <c r="BK9" t="s">
        <v>2443</v>
      </c>
      <c r="BL9" t="s">
        <v>2442</v>
      </c>
      <c r="BM9" t="s">
        <v>2441</v>
      </c>
      <c r="BN9" t="s">
        <v>2440</v>
      </c>
      <c r="BO9" t="s">
        <v>2439</v>
      </c>
      <c r="BP9" t="s">
        <v>14</v>
      </c>
      <c r="BQ9" t="s">
        <v>2344</v>
      </c>
    </row>
    <row r="10" spans="1:69" x14ac:dyDescent="0.25">
      <c r="A10" t="s">
        <v>12</v>
      </c>
      <c r="B10">
        <v>2024</v>
      </c>
      <c r="C10" t="s">
        <v>2438</v>
      </c>
      <c r="D10" t="s">
        <v>11</v>
      </c>
      <c r="E10" t="s">
        <v>11</v>
      </c>
      <c r="F10" t="s">
        <v>10</v>
      </c>
      <c r="G10">
        <v>104.233752478816</v>
      </c>
      <c r="H10">
        <v>5491.8732872625997</v>
      </c>
      <c r="I10">
        <v>5491.8732872625997</v>
      </c>
      <c r="J10">
        <v>0</v>
      </c>
      <c r="K10">
        <v>927.68039706146806</v>
      </c>
      <c r="L10">
        <v>0</v>
      </c>
      <c r="M10">
        <v>1.52619692886921E-2</v>
      </c>
      <c r="N10">
        <v>4.7242491569529302E-4</v>
      </c>
      <c r="O10">
        <v>1.2817966246441901E-3</v>
      </c>
      <c r="P10">
        <v>1.7016190829031601E-2</v>
      </c>
      <c r="Q10">
        <v>4.13910856059442E-4</v>
      </c>
      <c r="R10">
        <v>2.7910402565737301E-6</v>
      </c>
      <c r="S10">
        <v>0</v>
      </c>
      <c r="T10">
        <v>4.1670189631601599E-4</v>
      </c>
      <c r="U10">
        <v>1.81612621283447E-5</v>
      </c>
      <c r="V10">
        <v>9.7756333725363903E-5</v>
      </c>
      <c r="W10">
        <v>5.3261949216972405E-4</v>
      </c>
      <c r="X10">
        <v>4.3262606826822899E-4</v>
      </c>
      <c r="Y10">
        <v>2.91723871191828E-6</v>
      </c>
      <c r="Z10">
        <v>0</v>
      </c>
      <c r="AA10">
        <v>4.3554330698014702E-4</v>
      </c>
      <c r="AB10">
        <v>7.2645048513379003E-5</v>
      </c>
      <c r="AC10">
        <v>2.7930381064389701E-4</v>
      </c>
      <c r="AD10">
        <v>7.8749216613742303E-4</v>
      </c>
      <c r="AE10">
        <v>7.0113977437681498</v>
      </c>
      <c r="AF10">
        <v>7.3249067790544797E-2</v>
      </c>
      <c r="AG10">
        <v>0</v>
      </c>
      <c r="AH10">
        <v>7.0846468115586898</v>
      </c>
      <c r="AI10">
        <v>5.4728083596326098E-5</v>
      </c>
      <c r="AJ10">
        <v>6.23425858319887E-7</v>
      </c>
      <c r="AK10">
        <v>0</v>
      </c>
      <c r="AL10">
        <v>5.5351509454646003E-5</v>
      </c>
      <c r="AM10">
        <v>1.1046485698463001E-3</v>
      </c>
      <c r="AN10">
        <v>1.15404204602882E-5</v>
      </c>
      <c r="AO10">
        <v>0</v>
      </c>
      <c r="AP10">
        <v>1.1161889903065899E-3</v>
      </c>
      <c r="AQ10">
        <v>1.17828063219577E-3</v>
      </c>
      <c r="AR10">
        <v>1.3422187772671401E-5</v>
      </c>
      <c r="AS10">
        <v>0</v>
      </c>
      <c r="AT10">
        <v>1.1917028199684399E-3</v>
      </c>
      <c r="AU10">
        <v>0</v>
      </c>
      <c r="AV10">
        <v>0</v>
      </c>
      <c r="AW10">
        <v>0</v>
      </c>
      <c r="AX10">
        <v>1.1917028199684399E-3</v>
      </c>
      <c r="AY10">
        <v>1.3413828075147199E-3</v>
      </c>
      <c r="AZ10">
        <v>1.5280139064955999E-5</v>
      </c>
      <c r="BA10">
        <v>0</v>
      </c>
      <c r="BB10">
        <v>1.3566629465796699E-3</v>
      </c>
      <c r="BC10">
        <v>0</v>
      </c>
      <c r="BD10">
        <v>0</v>
      </c>
      <c r="BE10">
        <v>0</v>
      </c>
      <c r="BF10">
        <v>1.3566629465796699E-3</v>
      </c>
      <c r="BG10">
        <v>3.25909641248195E-3</v>
      </c>
      <c r="BH10">
        <v>2.6104133072311903E-4</v>
      </c>
      <c r="BI10">
        <v>0</v>
      </c>
      <c r="BJ10">
        <v>3.52013774320507E-3</v>
      </c>
      <c r="BK10">
        <v>6.6393743893837303E-5</v>
      </c>
      <c r="BL10">
        <v>6.9362486983003196E-7</v>
      </c>
      <c r="BM10">
        <v>0</v>
      </c>
      <c r="BN10">
        <v>6.7087368763667297E-5</v>
      </c>
      <c r="BO10">
        <v>1.20091461146256E-3</v>
      </c>
      <c r="BP10">
        <v>0.63286869323205597</v>
      </c>
      <c r="BQ10">
        <f>(AH10+AL10*27.9+AP10*273)/(BP10*1000)*2000</f>
        <v>23.356853616129577</v>
      </c>
    </row>
    <row r="11" spans="1:69" x14ac:dyDescent="0.25">
      <c r="A11" t="s">
        <v>12</v>
      </c>
      <c r="B11">
        <v>2024</v>
      </c>
      <c r="C11" t="s">
        <v>2438</v>
      </c>
      <c r="D11" t="s">
        <v>11</v>
      </c>
      <c r="E11" t="s">
        <v>11</v>
      </c>
      <c r="F11" t="s">
        <v>2382</v>
      </c>
      <c r="G11">
        <v>2.0969703002539299</v>
      </c>
      <c r="H11">
        <v>112.30264498961</v>
      </c>
      <c r="I11">
        <v>112.30264498961</v>
      </c>
      <c r="J11">
        <v>0</v>
      </c>
      <c r="K11">
        <v>18.663035672260001</v>
      </c>
      <c r="L11">
        <v>0</v>
      </c>
      <c r="M11">
        <v>2.7030694284452199E-5</v>
      </c>
      <c r="N11">
        <v>3.53564139313454E-6</v>
      </c>
      <c r="O11">
        <v>0</v>
      </c>
      <c r="P11">
        <v>3.0566335677586799E-5</v>
      </c>
      <c r="Q11">
        <v>1.1564174237988E-7</v>
      </c>
      <c r="R11">
        <v>9.4450552400763603E-9</v>
      </c>
      <c r="S11">
        <v>0</v>
      </c>
      <c r="T11">
        <v>1.2508679761995601E-7</v>
      </c>
      <c r="U11">
        <v>3.7137742746052299E-7</v>
      </c>
      <c r="V11">
        <v>1.9990073090920602E-6</v>
      </c>
      <c r="W11">
        <v>2.4954715341725401E-6</v>
      </c>
      <c r="X11">
        <v>1.2577094609198599E-7</v>
      </c>
      <c r="Y11">
        <v>1.0272359348696101E-8</v>
      </c>
      <c r="Z11">
        <v>0</v>
      </c>
      <c r="AA11">
        <v>1.3604330544068201E-7</v>
      </c>
      <c r="AB11">
        <v>1.4855097098420901E-6</v>
      </c>
      <c r="AC11">
        <v>5.7114494545487504E-6</v>
      </c>
      <c r="AD11">
        <v>7.33300246983153E-6</v>
      </c>
      <c r="AE11">
        <v>0.12827584261833</v>
      </c>
      <c r="AF11">
        <v>2.8672055016641701E-3</v>
      </c>
      <c r="AG11">
        <v>0</v>
      </c>
      <c r="AH11">
        <v>0.131143048119994</v>
      </c>
      <c r="AI11">
        <v>9.5979579557204105E-5</v>
      </c>
      <c r="AJ11">
        <v>9.5700211891717499E-6</v>
      </c>
      <c r="AK11">
        <v>0</v>
      </c>
      <c r="AL11">
        <v>1.05549600746375E-4</v>
      </c>
      <c r="AM11">
        <v>2.6149869666018199E-5</v>
      </c>
      <c r="AN11">
        <v>5.8449859805087298E-7</v>
      </c>
      <c r="AO11">
        <v>0</v>
      </c>
      <c r="AP11">
        <v>2.6734368264069001E-5</v>
      </c>
      <c r="AQ11">
        <v>1.3713588111662699E-6</v>
      </c>
      <c r="AR11">
        <v>1.3673671984566999E-7</v>
      </c>
      <c r="AS11">
        <v>0</v>
      </c>
      <c r="AT11">
        <v>1.50809553101194E-6</v>
      </c>
      <c r="AU11">
        <v>0</v>
      </c>
      <c r="AV11">
        <v>0</v>
      </c>
      <c r="AW11">
        <v>0</v>
      </c>
      <c r="AX11">
        <v>1.50809553101194E-6</v>
      </c>
      <c r="AY11">
        <v>9.7954200797591097E-5</v>
      </c>
      <c r="AZ11">
        <v>9.7669085604050107E-6</v>
      </c>
      <c r="BA11">
        <v>0</v>
      </c>
      <c r="BB11">
        <v>1.07721109357996E-4</v>
      </c>
      <c r="BC11">
        <v>0</v>
      </c>
      <c r="BD11">
        <v>0</v>
      </c>
      <c r="BE11">
        <v>0</v>
      </c>
      <c r="BF11">
        <v>1.07721109357996E-4</v>
      </c>
      <c r="BG11">
        <v>3.9803506804741902E-4</v>
      </c>
      <c r="BH11">
        <v>1.79707529406053E-5</v>
      </c>
      <c r="BI11">
        <v>0</v>
      </c>
      <c r="BJ11">
        <v>4.1600582098802501E-4</v>
      </c>
      <c r="BK11">
        <v>0</v>
      </c>
      <c r="BL11">
        <v>0</v>
      </c>
      <c r="BM11">
        <v>0</v>
      </c>
      <c r="BN11">
        <v>0</v>
      </c>
      <c r="BO11">
        <v>1.31219986760128E-4</v>
      </c>
      <c r="BP11">
        <v>1.51581361710246E-2</v>
      </c>
      <c r="BQ11">
        <f t="shared" ref="BQ11:BQ74" si="0">(AH11+AL11*27.9+AP11*273)/(BP11*1000)*2000</f>
        <v>18.654848184722677</v>
      </c>
    </row>
    <row r="12" spans="1:69" x14ac:dyDescent="0.25">
      <c r="A12" t="s">
        <v>12</v>
      </c>
      <c r="B12">
        <v>2024</v>
      </c>
      <c r="C12" t="s">
        <v>2437</v>
      </c>
      <c r="D12" t="s">
        <v>11</v>
      </c>
      <c r="E12" t="s">
        <v>11</v>
      </c>
      <c r="F12" t="s">
        <v>13</v>
      </c>
      <c r="G12">
        <v>333871.56110752001</v>
      </c>
      <c r="H12" s="3">
        <v>12960800.161300801</v>
      </c>
      <c r="I12">
        <v>12960800.161300801</v>
      </c>
      <c r="J12">
        <v>0</v>
      </c>
      <c r="K12" s="3">
        <v>1550330.0012192801</v>
      </c>
      <c r="L12">
        <v>0</v>
      </c>
      <c r="M12">
        <v>0.60182257916822901</v>
      </c>
      <c r="N12">
        <v>0</v>
      </c>
      <c r="O12">
        <v>0.42671494407168098</v>
      </c>
      <c r="P12">
        <v>1.0285375232399101</v>
      </c>
      <c r="Q12">
        <v>1.5802213191692401E-2</v>
      </c>
      <c r="R12">
        <v>0</v>
      </c>
      <c r="S12">
        <v>3.26748071927909E-3</v>
      </c>
      <c r="T12">
        <v>1.9069693910971498E-2</v>
      </c>
      <c r="U12">
        <v>2.85736732328651E-2</v>
      </c>
      <c r="V12">
        <v>3.0494249578312101E-2</v>
      </c>
      <c r="W12">
        <v>7.8137616722148903E-2</v>
      </c>
      <c r="X12">
        <v>1.7186348653738501E-2</v>
      </c>
      <c r="Y12">
        <v>0</v>
      </c>
      <c r="Z12">
        <v>3.5536834100188702E-3</v>
      </c>
      <c r="AA12">
        <v>2.0740032063757401E-2</v>
      </c>
      <c r="AB12">
        <v>0.11429469293146</v>
      </c>
      <c r="AC12">
        <v>8.7126427366606099E-2</v>
      </c>
      <c r="AD12">
        <v>0.22216115236182399</v>
      </c>
      <c r="AE12">
        <v>4050.4383996715201</v>
      </c>
      <c r="AF12">
        <v>0</v>
      </c>
      <c r="AG12">
        <v>119.31449991671499</v>
      </c>
      <c r="AH12">
        <v>4169.7528995882403</v>
      </c>
      <c r="AI12">
        <v>3.2831278907332798E-2</v>
      </c>
      <c r="AJ12">
        <v>0</v>
      </c>
      <c r="AK12">
        <v>0.11892232619393101</v>
      </c>
      <c r="AL12">
        <v>0.15175360510126301</v>
      </c>
      <c r="AM12">
        <v>6.67836375178648E-2</v>
      </c>
      <c r="AN12">
        <v>0</v>
      </c>
      <c r="AO12">
        <v>5.6035116220074198E-2</v>
      </c>
      <c r="AP12">
        <v>0.122818753737939</v>
      </c>
      <c r="AQ12">
        <v>0.12453330672021801</v>
      </c>
      <c r="AR12">
        <v>0</v>
      </c>
      <c r="AS12">
        <v>0.53490580719292502</v>
      </c>
      <c r="AT12">
        <v>0.65943911391314403</v>
      </c>
      <c r="AU12">
        <v>0.587394377924911</v>
      </c>
      <c r="AV12">
        <v>0.15796071583580801</v>
      </c>
      <c r="AW12">
        <v>0.399415481968524</v>
      </c>
      <c r="AX12">
        <v>1.80420968964238</v>
      </c>
      <c r="AY12">
        <v>0.18171870883452701</v>
      </c>
      <c r="AZ12">
        <v>0</v>
      </c>
      <c r="BA12">
        <v>0.58565452910331595</v>
      </c>
      <c r="BB12">
        <v>0.76737323793784296</v>
      </c>
      <c r="BC12">
        <v>0.587394377924911</v>
      </c>
      <c r="BD12">
        <v>0.157960715835743</v>
      </c>
      <c r="BE12">
        <v>0.39941548196836002</v>
      </c>
      <c r="BF12">
        <v>1.91214381366686</v>
      </c>
      <c r="BG12">
        <v>11.023624298523799</v>
      </c>
      <c r="BH12">
        <v>0</v>
      </c>
      <c r="BI12">
        <v>5.2573901909691303</v>
      </c>
      <c r="BJ12">
        <v>16.2810144894929</v>
      </c>
      <c r="BK12">
        <v>4.00427072450227E-2</v>
      </c>
      <c r="BL12">
        <v>0</v>
      </c>
      <c r="BM12">
        <v>1.1795453032044101E-3</v>
      </c>
      <c r="BN12">
        <v>4.1222252548227097E-2</v>
      </c>
      <c r="BO12">
        <v>0.49500713551958903</v>
      </c>
      <c r="BP12">
        <v>439.69523327642401</v>
      </c>
      <c r="BQ12">
        <f t="shared" si="0"/>
        <v>19.138330491274058</v>
      </c>
    </row>
    <row r="13" spans="1:69" x14ac:dyDescent="0.25">
      <c r="A13" t="s">
        <v>12</v>
      </c>
      <c r="B13">
        <v>2024</v>
      </c>
      <c r="C13" t="s">
        <v>2437</v>
      </c>
      <c r="D13" t="s">
        <v>11</v>
      </c>
      <c r="E13" t="s">
        <v>11</v>
      </c>
      <c r="F13" t="s">
        <v>10</v>
      </c>
      <c r="G13">
        <v>1034.5270425363501</v>
      </c>
      <c r="H13" s="3">
        <v>33619.599181613499</v>
      </c>
      <c r="I13">
        <v>33619.599181613499</v>
      </c>
      <c r="J13">
        <v>0</v>
      </c>
      <c r="K13" s="3">
        <v>4454.49458263206</v>
      </c>
      <c r="L13">
        <v>0</v>
      </c>
      <c r="M13">
        <v>8.3262227912139497E-3</v>
      </c>
      <c r="N13">
        <v>0</v>
      </c>
      <c r="O13">
        <v>0</v>
      </c>
      <c r="P13">
        <v>8.3262227912139497E-3</v>
      </c>
      <c r="Q13">
        <v>5.9629174618801403E-4</v>
      </c>
      <c r="R13">
        <v>0</v>
      </c>
      <c r="S13">
        <v>0</v>
      </c>
      <c r="T13">
        <v>5.9629174618801403E-4</v>
      </c>
      <c r="U13">
        <v>7.4118528893273901E-5</v>
      </c>
      <c r="V13">
        <v>8.1474097293281504E-5</v>
      </c>
      <c r="W13">
        <v>7.5188437237456898E-4</v>
      </c>
      <c r="X13">
        <v>6.2325341294520097E-4</v>
      </c>
      <c r="Y13">
        <v>0</v>
      </c>
      <c r="Z13">
        <v>0</v>
      </c>
      <c r="AA13">
        <v>6.2325341294520097E-4</v>
      </c>
      <c r="AB13">
        <v>2.9647411557309501E-4</v>
      </c>
      <c r="AC13">
        <v>2.3278313512366101E-4</v>
      </c>
      <c r="AD13">
        <v>1.15251066364195E-3</v>
      </c>
      <c r="AE13">
        <v>8.5393039542287603</v>
      </c>
      <c r="AF13">
        <v>0</v>
      </c>
      <c r="AG13">
        <v>0</v>
      </c>
      <c r="AH13">
        <v>8.5393039542287603</v>
      </c>
      <c r="AI13">
        <v>4.4467621441993398E-5</v>
      </c>
      <c r="AJ13">
        <v>0</v>
      </c>
      <c r="AK13">
        <v>0</v>
      </c>
      <c r="AL13">
        <v>4.4467621441993398E-5</v>
      </c>
      <c r="AM13">
        <v>1.3453708155275899E-3</v>
      </c>
      <c r="AN13">
        <v>0</v>
      </c>
      <c r="AO13">
        <v>0</v>
      </c>
      <c r="AP13">
        <v>1.3453708155275899E-3</v>
      </c>
      <c r="AQ13">
        <v>9.57361708756992E-4</v>
      </c>
      <c r="AR13">
        <v>0</v>
      </c>
      <c r="AS13">
        <v>0</v>
      </c>
      <c r="AT13">
        <v>9.57361708756992E-4</v>
      </c>
      <c r="AU13">
        <v>0</v>
      </c>
      <c r="AV13">
        <v>0</v>
      </c>
      <c r="AW13">
        <v>0</v>
      </c>
      <c r="AX13">
        <v>9.57361708756992E-4</v>
      </c>
      <c r="AY13">
        <v>1.0898926556887399E-3</v>
      </c>
      <c r="AZ13">
        <v>0</v>
      </c>
      <c r="BA13">
        <v>0</v>
      </c>
      <c r="BB13">
        <v>1.0898926556887399E-3</v>
      </c>
      <c r="BC13">
        <v>0</v>
      </c>
      <c r="BD13">
        <v>0</v>
      </c>
      <c r="BE13">
        <v>0</v>
      </c>
      <c r="BF13">
        <v>1.0898926556887399E-3</v>
      </c>
      <c r="BG13">
        <v>1.1574697349384801E-2</v>
      </c>
      <c r="BH13">
        <v>0</v>
      </c>
      <c r="BI13">
        <v>0</v>
      </c>
      <c r="BJ13">
        <v>1.1574697349384801E-2</v>
      </c>
      <c r="BK13">
        <v>8.0914244662230896E-5</v>
      </c>
      <c r="BL13">
        <v>0</v>
      </c>
      <c r="BM13">
        <v>0</v>
      </c>
      <c r="BN13">
        <v>8.0914244662230896E-5</v>
      </c>
      <c r="BO13">
        <v>1.14883686858801E-4</v>
      </c>
      <c r="BP13">
        <v>0.76281263955275302</v>
      </c>
      <c r="BQ13">
        <f t="shared" si="0"/>
        <v>23.355226097797228</v>
      </c>
    </row>
    <row r="14" spans="1:69" x14ac:dyDescent="0.25">
      <c r="A14" t="s">
        <v>12</v>
      </c>
      <c r="B14">
        <v>2024</v>
      </c>
      <c r="C14" t="s">
        <v>2437</v>
      </c>
      <c r="D14" t="s">
        <v>11</v>
      </c>
      <c r="E14" t="s">
        <v>11</v>
      </c>
      <c r="F14" t="s">
        <v>2384</v>
      </c>
      <c r="G14">
        <v>14562.646834777401</v>
      </c>
      <c r="H14" s="3">
        <v>698890.83263989096</v>
      </c>
      <c r="I14">
        <v>0</v>
      </c>
      <c r="J14">
        <v>698890.83263989096</v>
      </c>
      <c r="K14" s="3">
        <v>73176.785845914594</v>
      </c>
      <c r="L14">
        <v>269829.54399845802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1.5407905398406199E-3</v>
      </c>
      <c r="V14">
        <v>1.17717313166917E-3</v>
      </c>
      <c r="W14">
        <v>2.7179636715097999E-3</v>
      </c>
      <c r="X14">
        <v>0</v>
      </c>
      <c r="Y14">
        <v>0</v>
      </c>
      <c r="Z14">
        <v>0</v>
      </c>
      <c r="AA14">
        <v>0</v>
      </c>
      <c r="AB14">
        <v>6.16316215936251E-3</v>
      </c>
      <c r="AC14">
        <v>3.36335180476908E-3</v>
      </c>
      <c r="AD14">
        <v>9.5265139641315891E-3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 t="e">
        <f t="shared" si="0"/>
        <v>#DIV/0!</v>
      </c>
    </row>
    <row r="15" spans="1:69" x14ac:dyDescent="0.25">
      <c r="A15" t="s">
        <v>12</v>
      </c>
      <c r="B15">
        <v>2024</v>
      </c>
      <c r="C15" t="s">
        <v>2437</v>
      </c>
      <c r="D15" t="s">
        <v>11</v>
      </c>
      <c r="E15" t="s">
        <v>11</v>
      </c>
      <c r="F15" t="s">
        <v>2430</v>
      </c>
      <c r="G15">
        <v>9055.0590138920597</v>
      </c>
      <c r="H15" s="3">
        <v>416528.79610023298</v>
      </c>
      <c r="I15">
        <v>205868.941176063</v>
      </c>
      <c r="J15">
        <v>210659.85492417001</v>
      </c>
      <c r="K15" s="3">
        <v>37442.669023752103</v>
      </c>
      <c r="L15">
        <v>63625.554856187802</v>
      </c>
      <c r="M15">
        <v>1.3628759381896401E-3</v>
      </c>
      <c r="N15">
        <v>0</v>
      </c>
      <c r="O15">
        <v>4.6525963914677698E-3</v>
      </c>
      <c r="P15">
        <v>6.0154723296574099E-3</v>
      </c>
      <c r="Q15">
        <v>2.5506038899547102E-4</v>
      </c>
      <c r="R15">
        <v>0</v>
      </c>
      <c r="S15">
        <v>8.2117905010049404E-5</v>
      </c>
      <c r="T15">
        <v>3.3717829400552098E-4</v>
      </c>
      <c r="U15">
        <v>9.1828880653401E-4</v>
      </c>
      <c r="V15">
        <v>5.8731322197229103E-4</v>
      </c>
      <c r="W15">
        <v>1.84278032251182E-3</v>
      </c>
      <c r="X15">
        <v>2.7740144496587701E-4</v>
      </c>
      <c r="Y15">
        <v>0</v>
      </c>
      <c r="Z15">
        <v>8.9310714208009896E-5</v>
      </c>
      <c r="AA15">
        <v>3.6671215917388701E-4</v>
      </c>
      <c r="AB15">
        <v>3.67315522613604E-3</v>
      </c>
      <c r="AC15">
        <v>1.67803777706368E-3</v>
      </c>
      <c r="AD15">
        <v>5.7179051623736099E-3</v>
      </c>
      <c r="AE15">
        <v>61.162673685121199</v>
      </c>
      <c r="AF15">
        <v>0</v>
      </c>
      <c r="AG15">
        <v>2.6716178110726401</v>
      </c>
      <c r="AH15">
        <v>63.834291496193899</v>
      </c>
      <c r="AI15">
        <v>1.80778761020758E-4</v>
      </c>
      <c r="AJ15">
        <v>0</v>
      </c>
      <c r="AK15">
        <v>1.6985871506901E-3</v>
      </c>
      <c r="AL15">
        <v>1.87936591171086E-3</v>
      </c>
      <c r="AM15">
        <v>2.5053093447929701E-4</v>
      </c>
      <c r="AN15">
        <v>0</v>
      </c>
      <c r="AO15">
        <v>8.5379262326371898E-4</v>
      </c>
      <c r="AP15">
        <v>1.1043235577430099E-3</v>
      </c>
      <c r="AQ15">
        <v>5.67487411409007E-4</v>
      </c>
      <c r="AR15">
        <v>0</v>
      </c>
      <c r="AS15">
        <v>6.8556142103767303E-3</v>
      </c>
      <c r="AT15">
        <v>7.4231016217857397E-3</v>
      </c>
      <c r="AU15">
        <v>5.23849126404549E-3</v>
      </c>
      <c r="AV15">
        <v>1.7298400525952501E-3</v>
      </c>
      <c r="AW15">
        <v>1.56871776164387E-3</v>
      </c>
      <c r="AX15">
        <v>1.59601507000703E-2</v>
      </c>
      <c r="AY15">
        <v>8.2807629859836605E-4</v>
      </c>
      <c r="AZ15">
        <v>0</v>
      </c>
      <c r="BA15">
        <v>7.5060346290913901E-3</v>
      </c>
      <c r="BB15">
        <v>8.3341109276897606E-3</v>
      </c>
      <c r="BC15">
        <v>5.23849126404549E-3</v>
      </c>
      <c r="BD15">
        <v>1.7298400525945399E-3</v>
      </c>
      <c r="BE15">
        <v>1.5687177616432299E-3</v>
      </c>
      <c r="BF15">
        <v>1.6871160005973E-2</v>
      </c>
      <c r="BG15">
        <v>0.100195044912467</v>
      </c>
      <c r="BH15">
        <v>0</v>
      </c>
      <c r="BI15">
        <v>5.2592477329368899E-2</v>
      </c>
      <c r="BJ15">
        <v>0.152787522241836</v>
      </c>
      <c r="BK15">
        <v>6.0465529778079802E-4</v>
      </c>
      <c r="BL15">
        <v>0</v>
      </c>
      <c r="BM15">
        <v>2.64116619791196E-5</v>
      </c>
      <c r="BN15">
        <v>6.3106695975991803E-4</v>
      </c>
      <c r="BO15">
        <v>8.8697234290399107E-3</v>
      </c>
      <c r="BP15">
        <v>6.7312462791802101</v>
      </c>
      <c r="BQ15">
        <f t="shared" si="0"/>
        <v>19.071715243855813</v>
      </c>
    </row>
    <row r="16" spans="1:69" x14ac:dyDescent="0.25">
      <c r="A16" t="s">
        <v>12</v>
      </c>
      <c r="B16">
        <v>2024</v>
      </c>
      <c r="C16" t="s">
        <v>2436</v>
      </c>
      <c r="D16" t="s">
        <v>11</v>
      </c>
      <c r="E16" t="s">
        <v>11</v>
      </c>
      <c r="F16" t="s">
        <v>13</v>
      </c>
      <c r="G16">
        <v>33997.032857107697</v>
      </c>
      <c r="H16" s="3">
        <v>1124266.85063519</v>
      </c>
      <c r="I16">
        <v>1124266.85063519</v>
      </c>
      <c r="J16">
        <v>0</v>
      </c>
      <c r="K16" s="3">
        <v>146588.91255600599</v>
      </c>
      <c r="L16">
        <v>0</v>
      </c>
      <c r="M16">
        <v>0.22661835912987899</v>
      </c>
      <c r="N16">
        <v>0</v>
      </c>
      <c r="O16">
        <v>7.7662823614175702E-2</v>
      </c>
      <c r="P16">
        <v>0.30428118274405402</v>
      </c>
      <c r="Q16">
        <v>2.3677611243678701E-3</v>
      </c>
      <c r="R16">
        <v>0</v>
      </c>
      <c r="S16">
        <v>5.3136577172752098E-4</v>
      </c>
      <c r="T16">
        <v>2.8991268960953899E-3</v>
      </c>
      <c r="U16">
        <v>2.4785841319050301E-3</v>
      </c>
      <c r="V16">
        <v>3.24602730483002E-3</v>
      </c>
      <c r="W16">
        <v>8.6237383328304495E-3</v>
      </c>
      <c r="X16">
        <v>2.5750923991678999E-3</v>
      </c>
      <c r="Y16">
        <v>0</v>
      </c>
      <c r="Z16">
        <v>5.7788946356165504E-4</v>
      </c>
      <c r="AA16">
        <v>3.1529818627295601E-3</v>
      </c>
      <c r="AB16">
        <v>9.91433652762015E-3</v>
      </c>
      <c r="AC16">
        <v>9.2743637280857903E-3</v>
      </c>
      <c r="AD16">
        <v>2.2341682118435499E-2</v>
      </c>
      <c r="AE16">
        <v>421.16448743443499</v>
      </c>
      <c r="AF16">
        <v>0</v>
      </c>
      <c r="AG16">
        <v>14.6816396913494</v>
      </c>
      <c r="AH16">
        <v>435.84612712578502</v>
      </c>
      <c r="AI16">
        <v>1.04282589026267E-2</v>
      </c>
      <c r="AJ16">
        <v>0</v>
      </c>
      <c r="AK16">
        <v>2.13034974899542E-2</v>
      </c>
      <c r="AL16">
        <v>3.1731756392580898E-2</v>
      </c>
      <c r="AM16">
        <v>1.55527973861176E-2</v>
      </c>
      <c r="AN16">
        <v>0</v>
      </c>
      <c r="AO16">
        <v>6.9663836091620902E-3</v>
      </c>
      <c r="AP16">
        <v>2.2519180995279699E-2</v>
      </c>
      <c r="AQ16">
        <v>4.6995547888251499E-2</v>
      </c>
      <c r="AR16">
        <v>0</v>
      </c>
      <c r="AS16">
        <v>0.114008152956606</v>
      </c>
      <c r="AT16">
        <v>0.16100370084485799</v>
      </c>
      <c r="AU16">
        <v>0.157502572732234</v>
      </c>
      <c r="AV16">
        <v>3.82415365503797E-2</v>
      </c>
      <c r="AW16">
        <v>0.11404129463948701</v>
      </c>
      <c r="AX16">
        <v>0.47078910476695901</v>
      </c>
      <c r="AY16">
        <v>6.8566857707428E-2</v>
      </c>
      <c r="AZ16">
        <v>0</v>
      </c>
      <c r="BA16">
        <v>0.12482443022510099</v>
      </c>
      <c r="BB16">
        <v>0.19339128793252899</v>
      </c>
      <c r="BC16">
        <v>0.157502572732234</v>
      </c>
      <c r="BD16">
        <v>3.82415365503639E-2</v>
      </c>
      <c r="BE16">
        <v>0.11404129463944</v>
      </c>
      <c r="BF16">
        <v>0.50317669185456704</v>
      </c>
      <c r="BG16">
        <v>2.3880391895947599</v>
      </c>
      <c r="BH16">
        <v>0</v>
      </c>
      <c r="BI16">
        <v>1.0876002381399299</v>
      </c>
      <c r="BJ16">
        <v>3.47563942773469</v>
      </c>
      <c r="BK16">
        <v>4.1636397368010397E-3</v>
      </c>
      <c r="BL16">
        <v>0</v>
      </c>
      <c r="BM16">
        <v>1.45142955410774E-4</v>
      </c>
      <c r="BN16">
        <v>4.3087826922118102E-3</v>
      </c>
      <c r="BO16">
        <v>4.7045481170902202E-2</v>
      </c>
      <c r="BP16">
        <v>45.959429528335399</v>
      </c>
      <c r="BQ16">
        <f t="shared" si="0"/>
        <v>19.272614307268579</v>
      </c>
    </row>
    <row r="17" spans="1:69" x14ac:dyDescent="0.25">
      <c r="A17" t="s">
        <v>12</v>
      </c>
      <c r="B17">
        <v>2024</v>
      </c>
      <c r="C17" t="s">
        <v>2436</v>
      </c>
      <c r="D17" t="s">
        <v>11</v>
      </c>
      <c r="E17" t="s">
        <v>11</v>
      </c>
      <c r="F17" t="s">
        <v>10</v>
      </c>
      <c r="G17">
        <v>15.170895157914901</v>
      </c>
      <c r="H17" s="3">
        <v>205.965680070768</v>
      </c>
      <c r="I17">
        <v>205.965680070768</v>
      </c>
      <c r="J17">
        <v>0</v>
      </c>
      <c r="K17" s="3">
        <v>43.5917694419417</v>
      </c>
      <c r="L17">
        <v>0</v>
      </c>
      <c r="M17">
        <v>3.84549746646723E-4</v>
      </c>
      <c r="N17">
        <v>0</v>
      </c>
      <c r="O17">
        <v>0</v>
      </c>
      <c r="P17">
        <v>3.84549746646723E-4</v>
      </c>
      <c r="Q17">
        <v>4.9884847476229403E-5</v>
      </c>
      <c r="R17">
        <v>0</v>
      </c>
      <c r="S17">
        <v>0</v>
      </c>
      <c r="T17">
        <v>4.9884847476229403E-5</v>
      </c>
      <c r="U17">
        <v>4.54076597608484E-7</v>
      </c>
      <c r="V17">
        <v>6.7302957913707597E-7</v>
      </c>
      <c r="W17">
        <v>5.1011953652974897E-5</v>
      </c>
      <c r="X17">
        <v>5.2140418918372199E-5</v>
      </c>
      <c r="Y17">
        <v>0</v>
      </c>
      <c r="Z17">
        <v>0</v>
      </c>
      <c r="AA17">
        <v>5.2140418918372199E-5</v>
      </c>
      <c r="AB17">
        <v>1.8163063904339301E-6</v>
      </c>
      <c r="AC17">
        <v>1.9229416546773599E-6</v>
      </c>
      <c r="AD17">
        <v>5.5879666963483498E-5</v>
      </c>
      <c r="AE17">
        <v>9.4584812913170793E-2</v>
      </c>
      <c r="AF17">
        <v>0</v>
      </c>
      <c r="AG17">
        <v>0</v>
      </c>
      <c r="AH17">
        <v>9.4584812913170793E-2</v>
      </c>
      <c r="AI17">
        <v>2.9041132886180501E-6</v>
      </c>
      <c r="AJ17">
        <v>0</v>
      </c>
      <c r="AK17">
        <v>0</v>
      </c>
      <c r="AL17">
        <v>2.9041132886180501E-6</v>
      </c>
      <c r="AM17">
        <v>1.4901875793108499E-5</v>
      </c>
      <c r="AN17">
        <v>0</v>
      </c>
      <c r="AO17">
        <v>0</v>
      </c>
      <c r="AP17">
        <v>1.4901875793108499E-5</v>
      </c>
      <c r="AQ17">
        <v>6.25238492695648E-5</v>
      </c>
      <c r="AR17">
        <v>0</v>
      </c>
      <c r="AS17">
        <v>0</v>
      </c>
      <c r="AT17">
        <v>6.25238492695648E-5</v>
      </c>
      <c r="AU17">
        <v>0</v>
      </c>
      <c r="AV17">
        <v>0</v>
      </c>
      <c r="AW17">
        <v>0</v>
      </c>
      <c r="AX17">
        <v>6.25238492695648E-5</v>
      </c>
      <c r="AY17">
        <v>7.1179245525460901E-5</v>
      </c>
      <c r="AZ17">
        <v>0</v>
      </c>
      <c r="BA17">
        <v>0</v>
      </c>
      <c r="BB17">
        <v>7.1179245525460901E-5</v>
      </c>
      <c r="BC17">
        <v>0</v>
      </c>
      <c r="BD17">
        <v>0</v>
      </c>
      <c r="BE17">
        <v>0</v>
      </c>
      <c r="BF17">
        <v>7.1179245525460901E-5</v>
      </c>
      <c r="BG17">
        <v>3.9004480413792301E-4</v>
      </c>
      <c r="BH17">
        <v>0</v>
      </c>
      <c r="BI17">
        <v>0</v>
      </c>
      <c r="BJ17">
        <v>3.9004480413792301E-4</v>
      </c>
      <c r="BK17">
        <v>8.9623917059395199E-7</v>
      </c>
      <c r="BL17">
        <v>0</v>
      </c>
      <c r="BM17">
        <v>0</v>
      </c>
      <c r="BN17">
        <v>8.9623917059395199E-7</v>
      </c>
      <c r="BO17">
        <v>7.0381852457809904E-7</v>
      </c>
      <c r="BP17">
        <v>8.4492238696069998E-3</v>
      </c>
      <c r="BQ17">
        <f t="shared" si="0"/>
        <v>23.371152496172243</v>
      </c>
    </row>
    <row r="18" spans="1:69" x14ac:dyDescent="0.25">
      <c r="A18" t="s">
        <v>12</v>
      </c>
      <c r="B18">
        <v>2024</v>
      </c>
      <c r="C18" t="s">
        <v>2436</v>
      </c>
      <c r="D18" t="s">
        <v>11</v>
      </c>
      <c r="E18" t="s">
        <v>11</v>
      </c>
      <c r="F18" t="s">
        <v>2384</v>
      </c>
      <c r="G18">
        <v>46.301917931283398</v>
      </c>
      <c r="H18" s="3">
        <v>2145.7656296944701</v>
      </c>
      <c r="I18">
        <v>0</v>
      </c>
      <c r="J18">
        <v>2145.7656296944701</v>
      </c>
      <c r="K18" s="3">
        <v>229.22804874712199</v>
      </c>
      <c r="L18">
        <v>828.44263273711101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4.7306034484100104E-6</v>
      </c>
      <c r="V18">
        <v>3.6162268299666302E-6</v>
      </c>
      <c r="W18">
        <v>8.3468302783766393E-6</v>
      </c>
      <c r="X18">
        <v>0</v>
      </c>
      <c r="Y18">
        <v>0</v>
      </c>
      <c r="Z18">
        <v>0</v>
      </c>
      <c r="AA18">
        <v>0</v>
      </c>
      <c r="AB18">
        <v>1.8922413793640001E-5</v>
      </c>
      <c r="AC18">
        <v>1.0332076657047501E-5</v>
      </c>
      <c r="AD18">
        <v>2.92544904506875E-5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 t="e">
        <f t="shared" si="0"/>
        <v>#DIV/0!</v>
      </c>
    </row>
    <row r="19" spans="1:69" x14ac:dyDescent="0.25">
      <c r="A19" t="s">
        <v>12</v>
      </c>
      <c r="B19">
        <v>2024</v>
      </c>
      <c r="C19" t="s">
        <v>2436</v>
      </c>
      <c r="D19" t="s">
        <v>11</v>
      </c>
      <c r="E19" t="s">
        <v>11</v>
      </c>
      <c r="F19" t="s">
        <v>2430</v>
      </c>
      <c r="G19">
        <v>39.3619516146668</v>
      </c>
      <c r="H19" s="3">
        <v>2052.5751302742101</v>
      </c>
      <c r="I19">
        <v>919.24892274969</v>
      </c>
      <c r="J19">
        <v>1133.32620752452</v>
      </c>
      <c r="K19" s="3">
        <v>162.761669932335</v>
      </c>
      <c r="L19">
        <v>342.29829320239202</v>
      </c>
      <c r="M19">
        <v>6.0824684397899897E-6</v>
      </c>
      <c r="N19">
        <v>0</v>
      </c>
      <c r="O19">
        <v>2.0224644672387699E-5</v>
      </c>
      <c r="P19">
        <v>2.6307113112177699E-5</v>
      </c>
      <c r="Q19">
        <v>7.8462099090823202E-7</v>
      </c>
      <c r="R19">
        <v>0</v>
      </c>
      <c r="S19">
        <v>2.47898235187138E-7</v>
      </c>
      <c r="T19">
        <v>1.0325192260953699E-6</v>
      </c>
      <c r="U19">
        <v>4.52515356524673E-6</v>
      </c>
      <c r="V19">
        <v>2.9387287030901302E-6</v>
      </c>
      <c r="W19">
        <v>8.4964014944322403E-6</v>
      </c>
      <c r="X19">
        <v>8.5334691711917202E-7</v>
      </c>
      <c r="Y19">
        <v>0</v>
      </c>
      <c r="Z19">
        <v>2.69611949218128E-7</v>
      </c>
      <c r="AA19">
        <v>1.1229588663372999E-6</v>
      </c>
      <c r="AB19">
        <v>1.81006142609869E-5</v>
      </c>
      <c r="AC19">
        <v>8.3963677231146795E-6</v>
      </c>
      <c r="AD19">
        <v>2.76199408504389E-5</v>
      </c>
      <c r="AE19">
        <v>0.27362402249733098</v>
      </c>
      <c r="AF19">
        <v>0</v>
      </c>
      <c r="AG19">
        <v>1.24303557454004E-2</v>
      </c>
      <c r="AH19">
        <v>0.286054378242731</v>
      </c>
      <c r="AI19">
        <v>8.0935127397800498E-7</v>
      </c>
      <c r="AJ19">
        <v>0</v>
      </c>
      <c r="AK19">
        <v>7.4102868361271897E-6</v>
      </c>
      <c r="AL19">
        <v>8.2196381101052002E-6</v>
      </c>
      <c r="AM19">
        <v>1.1243404649289701E-6</v>
      </c>
      <c r="AN19">
        <v>0</v>
      </c>
      <c r="AO19">
        <v>3.7372871992547499E-6</v>
      </c>
      <c r="AP19">
        <v>4.8616276641837203E-6</v>
      </c>
      <c r="AQ19">
        <v>2.5332037266884302E-6</v>
      </c>
      <c r="AR19">
        <v>0</v>
      </c>
      <c r="AS19">
        <v>2.9801086074964801E-5</v>
      </c>
      <c r="AT19">
        <v>3.2334289801653201E-5</v>
      </c>
      <c r="AU19">
        <v>1.3748806762100301E-5</v>
      </c>
      <c r="AV19">
        <v>4.4427762844478399E-6</v>
      </c>
      <c r="AW19">
        <v>3.8439527104209302E-6</v>
      </c>
      <c r="AX19">
        <v>5.43698255586224E-5</v>
      </c>
      <c r="AY19">
        <v>3.6964449314979901E-6</v>
      </c>
      <c r="AZ19">
        <v>0</v>
      </c>
      <c r="BA19">
        <v>3.26284381236976E-5</v>
      </c>
      <c r="BB19">
        <v>3.6324883055195603E-5</v>
      </c>
      <c r="BC19">
        <v>1.3748806762100301E-5</v>
      </c>
      <c r="BD19">
        <v>4.4427762844460103E-6</v>
      </c>
      <c r="BE19">
        <v>3.8439527104193496E-6</v>
      </c>
      <c r="BF19">
        <v>5.8360418812161299E-5</v>
      </c>
      <c r="BG19">
        <v>4.5016718797040201E-4</v>
      </c>
      <c r="BH19">
        <v>0</v>
      </c>
      <c r="BI19">
        <v>2.2861746551361799E-4</v>
      </c>
      <c r="BJ19">
        <v>6.7878465348402003E-4</v>
      </c>
      <c r="BK19">
        <v>2.70505203312182E-6</v>
      </c>
      <c r="BL19">
        <v>0</v>
      </c>
      <c r="BM19">
        <v>1.22886721621275E-7</v>
      </c>
      <c r="BN19">
        <v>2.82793875474309E-6</v>
      </c>
      <c r="BO19">
        <v>4.2558524176972703E-5</v>
      </c>
      <c r="BP19">
        <v>3.01640767690576E-2</v>
      </c>
      <c r="BQ19">
        <f t="shared" si="0"/>
        <v>19.069765184615711</v>
      </c>
    </row>
    <row r="20" spans="1:69" x14ac:dyDescent="0.25">
      <c r="A20" t="s">
        <v>12</v>
      </c>
      <c r="B20">
        <v>2024</v>
      </c>
      <c r="C20" t="s">
        <v>2435</v>
      </c>
      <c r="D20" t="s">
        <v>11</v>
      </c>
      <c r="E20" t="s">
        <v>11</v>
      </c>
      <c r="F20" t="s">
        <v>13</v>
      </c>
      <c r="G20">
        <v>166078.92106157099</v>
      </c>
      <c r="H20" s="3">
        <v>6605014.5635928595</v>
      </c>
      <c r="I20">
        <v>6605014.5635928595</v>
      </c>
      <c r="J20">
        <v>0</v>
      </c>
      <c r="K20" s="3">
        <v>774739.93455528503</v>
      </c>
      <c r="L20">
        <v>0</v>
      </c>
      <c r="M20">
        <v>0.52603533988579398</v>
      </c>
      <c r="N20">
        <v>0</v>
      </c>
      <c r="O20">
        <v>0.292451930060529</v>
      </c>
      <c r="P20">
        <v>0.81848726994632304</v>
      </c>
      <c r="Q20">
        <v>8.4025103186279905E-3</v>
      </c>
      <c r="R20">
        <v>0</v>
      </c>
      <c r="S20">
        <v>1.6882757801312499E-3</v>
      </c>
      <c r="T20">
        <v>1.00907860987592E-2</v>
      </c>
      <c r="U20">
        <v>1.45615645245374E-2</v>
      </c>
      <c r="V20">
        <v>1.8111621645455701E-2</v>
      </c>
      <c r="W20">
        <v>4.27639722687524E-2</v>
      </c>
      <c r="X20">
        <v>9.1384715897223807E-3</v>
      </c>
      <c r="Y20">
        <v>0</v>
      </c>
      <c r="Z20">
        <v>1.83614664522672E-3</v>
      </c>
      <c r="AA20">
        <v>1.09746182349491E-2</v>
      </c>
      <c r="AB20">
        <v>5.8246258098149803E-2</v>
      </c>
      <c r="AC20">
        <v>5.17474904155878E-2</v>
      </c>
      <c r="AD20">
        <v>0.120968366748686</v>
      </c>
      <c r="AE20">
        <v>2530.0271804620802</v>
      </c>
      <c r="AF20">
        <v>0</v>
      </c>
      <c r="AG20">
        <v>74.834878208873405</v>
      </c>
      <c r="AH20">
        <v>2604.8620586709599</v>
      </c>
      <c r="AI20">
        <v>2.1043821386808201E-2</v>
      </c>
      <c r="AJ20">
        <v>0</v>
      </c>
      <c r="AK20">
        <v>7.1529342338702798E-2</v>
      </c>
      <c r="AL20">
        <v>9.2573163725511096E-2</v>
      </c>
      <c r="AM20">
        <v>4.4664859589120601E-2</v>
      </c>
      <c r="AN20">
        <v>0</v>
      </c>
      <c r="AO20">
        <v>3.2260491412686297E-2</v>
      </c>
      <c r="AP20">
        <v>7.6925351001806905E-2</v>
      </c>
      <c r="AQ20">
        <v>8.2539435564092795E-2</v>
      </c>
      <c r="AR20">
        <v>0</v>
      </c>
      <c r="AS20">
        <v>0.33094076569508002</v>
      </c>
      <c r="AT20">
        <v>0.41348020125917301</v>
      </c>
      <c r="AU20">
        <v>0.301680180397005</v>
      </c>
      <c r="AV20">
        <v>7.6445751117709307E-2</v>
      </c>
      <c r="AW20">
        <v>0.20685444944199699</v>
      </c>
      <c r="AX20">
        <v>0.99846058221588496</v>
      </c>
      <c r="AY20">
        <v>0.12043695126767499</v>
      </c>
      <c r="AZ20">
        <v>0</v>
      </c>
      <c r="BA20">
        <v>0.36233841488330398</v>
      </c>
      <c r="BB20">
        <v>0.48277536615097899</v>
      </c>
      <c r="BC20">
        <v>0.301680180397005</v>
      </c>
      <c r="BD20">
        <v>7.6445751117677901E-2</v>
      </c>
      <c r="BE20">
        <v>0.206854449441911</v>
      </c>
      <c r="BF20">
        <v>1.06775574710757</v>
      </c>
      <c r="BG20">
        <v>6.5245447367376102</v>
      </c>
      <c r="BH20">
        <v>0</v>
      </c>
      <c r="BI20">
        <v>3.1400399416837002</v>
      </c>
      <c r="BJ20">
        <v>9.6645846784213205</v>
      </c>
      <c r="BK20">
        <v>2.5011894445156699E-2</v>
      </c>
      <c r="BL20">
        <v>0</v>
      </c>
      <c r="BM20">
        <v>7.3981895887562695E-4</v>
      </c>
      <c r="BN20">
        <v>2.57517134040323E-2</v>
      </c>
      <c r="BO20">
        <v>0.26564602189905601</v>
      </c>
      <c r="BP20">
        <v>274.67944938735701</v>
      </c>
      <c r="BQ20">
        <f t="shared" si="0"/>
        <v>19.138275372437658</v>
      </c>
    </row>
    <row r="21" spans="1:69" x14ac:dyDescent="0.25">
      <c r="A21" t="s">
        <v>12</v>
      </c>
      <c r="B21">
        <v>2024</v>
      </c>
      <c r="C21" t="s">
        <v>2435</v>
      </c>
      <c r="D21" t="s">
        <v>11</v>
      </c>
      <c r="E21" t="s">
        <v>11</v>
      </c>
      <c r="F21" t="s">
        <v>10</v>
      </c>
      <c r="G21">
        <v>502.52102342462899</v>
      </c>
      <c r="H21" s="3">
        <v>21465.2380778113</v>
      </c>
      <c r="I21">
        <v>21465.2380778113</v>
      </c>
      <c r="J21">
        <v>0</v>
      </c>
      <c r="K21" s="3">
        <v>2404.5565926838699</v>
      </c>
      <c r="L21">
        <v>0</v>
      </c>
      <c r="M21">
        <v>1.33864714149749E-3</v>
      </c>
      <c r="N21">
        <v>0</v>
      </c>
      <c r="O21">
        <v>0</v>
      </c>
      <c r="P21">
        <v>1.33864714149749E-3</v>
      </c>
      <c r="Q21">
        <v>1.33119544875158E-4</v>
      </c>
      <c r="R21">
        <v>0</v>
      </c>
      <c r="S21">
        <v>0</v>
      </c>
      <c r="T21">
        <v>1.33119544875158E-4</v>
      </c>
      <c r="U21">
        <v>4.7322749449712601E-5</v>
      </c>
      <c r="V21">
        <v>5.7581108247298403E-5</v>
      </c>
      <c r="W21">
        <v>2.3802340257216901E-4</v>
      </c>
      <c r="X21">
        <v>1.39138619985181E-4</v>
      </c>
      <c r="Y21">
        <v>0</v>
      </c>
      <c r="Z21">
        <v>0</v>
      </c>
      <c r="AA21">
        <v>1.39138619985181E-4</v>
      </c>
      <c r="AB21">
        <v>1.8929099779885E-4</v>
      </c>
      <c r="AC21">
        <v>1.6451745213513799E-4</v>
      </c>
      <c r="AD21">
        <v>4.9294706991917004E-4</v>
      </c>
      <c r="AE21">
        <v>7.1049375758981297</v>
      </c>
      <c r="AF21">
        <v>0</v>
      </c>
      <c r="AG21">
        <v>0</v>
      </c>
      <c r="AH21">
        <v>7.1049375758981297</v>
      </c>
      <c r="AI21">
        <v>1.40597293299062E-5</v>
      </c>
      <c r="AJ21">
        <v>0</v>
      </c>
      <c r="AK21">
        <v>0</v>
      </c>
      <c r="AL21">
        <v>1.40597293299062E-5</v>
      </c>
      <c r="AM21">
        <v>1.1193858084914601E-3</v>
      </c>
      <c r="AN21">
        <v>0</v>
      </c>
      <c r="AO21">
        <v>0</v>
      </c>
      <c r="AP21">
        <v>1.1193858084914601E-3</v>
      </c>
      <c r="AQ21">
        <v>3.0269769462480201E-4</v>
      </c>
      <c r="AR21">
        <v>0</v>
      </c>
      <c r="AS21">
        <v>0</v>
      </c>
      <c r="AT21">
        <v>3.0269769462480201E-4</v>
      </c>
      <c r="AU21">
        <v>0</v>
      </c>
      <c r="AV21">
        <v>0</v>
      </c>
      <c r="AW21">
        <v>0</v>
      </c>
      <c r="AX21">
        <v>3.0269769462480201E-4</v>
      </c>
      <c r="AY21">
        <v>3.44601200620221E-4</v>
      </c>
      <c r="AZ21">
        <v>0</v>
      </c>
      <c r="BA21">
        <v>0</v>
      </c>
      <c r="BB21">
        <v>3.44601200620221E-4</v>
      </c>
      <c r="BC21">
        <v>0</v>
      </c>
      <c r="BD21">
        <v>0</v>
      </c>
      <c r="BE21">
        <v>0</v>
      </c>
      <c r="BF21">
        <v>3.44601200620221E-4</v>
      </c>
      <c r="BG21">
        <v>2.7995300463982999E-3</v>
      </c>
      <c r="BH21">
        <v>0</v>
      </c>
      <c r="BI21">
        <v>0</v>
      </c>
      <c r="BJ21">
        <v>2.7995300463982999E-3</v>
      </c>
      <c r="BK21">
        <v>6.7322894278919204E-5</v>
      </c>
      <c r="BL21">
        <v>0</v>
      </c>
      <c r="BM21">
        <v>0</v>
      </c>
      <c r="BN21">
        <v>6.7322894278919204E-5</v>
      </c>
      <c r="BO21">
        <v>7.3350240624806505E-5</v>
      </c>
      <c r="BP21">
        <v>0.63468125917270801</v>
      </c>
      <c r="BQ21">
        <f t="shared" si="0"/>
        <v>23.35320938174404</v>
      </c>
    </row>
    <row r="22" spans="1:69" x14ac:dyDescent="0.25">
      <c r="A22" t="s">
        <v>12</v>
      </c>
      <c r="B22">
        <v>2024</v>
      </c>
      <c r="C22" t="s">
        <v>2435</v>
      </c>
      <c r="D22" t="s">
        <v>11</v>
      </c>
      <c r="E22" t="s">
        <v>11</v>
      </c>
      <c r="F22" t="s">
        <v>2384</v>
      </c>
      <c r="G22">
        <v>901.45654158083403</v>
      </c>
      <c r="H22" s="3">
        <v>32634.4472036712</v>
      </c>
      <c r="I22">
        <v>0</v>
      </c>
      <c r="J22">
        <v>32634.4472036712</v>
      </c>
      <c r="K22" s="3">
        <v>4608.4394929432001</v>
      </c>
      <c r="L22">
        <v>12599.5900881212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7.1946640556742894E-5</v>
      </c>
      <c r="V22">
        <v>5.4874595038112598E-5</v>
      </c>
      <c r="W22">
        <v>1.2682123559485501E-4</v>
      </c>
      <c r="X22">
        <v>0</v>
      </c>
      <c r="Y22">
        <v>0</v>
      </c>
      <c r="Z22">
        <v>0</v>
      </c>
      <c r="AA22">
        <v>0</v>
      </c>
      <c r="AB22">
        <v>2.8778656222697098E-4</v>
      </c>
      <c r="AC22">
        <v>1.5678455725174999E-4</v>
      </c>
      <c r="AD22">
        <v>4.44571119478722E-4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 t="e">
        <f t="shared" si="0"/>
        <v>#DIV/0!</v>
      </c>
    </row>
    <row r="23" spans="1:69" x14ac:dyDescent="0.25">
      <c r="A23" t="s">
        <v>12</v>
      </c>
      <c r="B23">
        <v>2024</v>
      </c>
      <c r="C23" t="s">
        <v>2435</v>
      </c>
      <c r="D23" t="s">
        <v>11</v>
      </c>
      <c r="E23" t="s">
        <v>11</v>
      </c>
      <c r="F23" t="s">
        <v>2430</v>
      </c>
      <c r="G23">
        <v>1253.9283102315201</v>
      </c>
      <c r="H23" s="3">
        <v>62600.9956190226</v>
      </c>
      <c r="I23">
        <v>29343.932779007599</v>
      </c>
      <c r="J23">
        <v>33257.0628400149</v>
      </c>
      <c r="K23" s="3">
        <v>5184.9935629885604</v>
      </c>
      <c r="L23">
        <v>10044.6241968824</v>
      </c>
      <c r="M23">
        <v>1.9416807218566301E-4</v>
      </c>
      <c r="N23">
        <v>0</v>
      </c>
      <c r="O23">
        <v>6.4428239621913805E-4</v>
      </c>
      <c r="P23">
        <v>8.3845046840480195E-4</v>
      </c>
      <c r="Q23">
        <v>3.0176851211092E-5</v>
      </c>
      <c r="R23">
        <v>0</v>
      </c>
      <c r="S23">
        <v>9.5033203268769607E-6</v>
      </c>
      <c r="T23">
        <v>3.9680171537969003E-5</v>
      </c>
      <c r="U23">
        <v>1.38011571091953E-4</v>
      </c>
      <c r="V23">
        <v>8.8985882681214202E-5</v>
      </c>
      <c r="W23">
        <v>2.6667762531113598E-4</v>
      </c>
      <c r="X23">
        <v>3.28200790543994E-5</v>
      </c>
      <c r="Y23">
        <v>0</v>
      </c>
      <c r="Z23">
        <v>1.03357279467494E-5</v>
      </c>
      <c r="AA23">
        <v>4.3155807001148797E-5</v>
      </c>
      <c r="AB23">
        <v>5.5204628436781298E-4</v>
      </c>
      <c r="AC23">
        <v>2.5424537908918301E-4</v>
      </c>
      <c r="AD23">
        <v>8.4944747045814502E-4</v>
      </c>
      <c r="AE23">
        <v>8.7282092119579193</v>
      </c>
      <c r="AF23">
        <v>0</v>
      </c>
      <c r="AG23">
        <v>0.431604241173356</v>
      </c>
      <c r="AH23">
        <v>9.1598134531312692</v>
      </c>
      <c r="AI23">
        <v>2.5843395277500299E-5</v>
      </c>
      <c r="AJ23">
        <v>0</v>
      </c>
      <c r="AK23">
        <v>2.3611774232571499E-4</v>
      </c>
      <c r="AL23">
        <v>2.6196113760321599E-4</v>
      </c>
      <c r="AM23">
        <v>3.5910769321797402E-5</v>
      </c>
      <c r="AN23">
        <v>0</v>
      </c>
      <c r="AO23">
        <v>1.19107044089758E-4</v>
      </c>
      <c r="AP23">
        <v>1.5501781341155499E-4</v>
      </c>
      <c r="AQ23">
        <v>8.0865411367240204E-5</v>
      </c>
      <c r="AR23">
        <v>0</v>
      </c>
      <c r="AS23">
        <v>9.4935067947509203E-4</v>
      </c>
      <c r="AT23">
        <v>1.03021609084233E-3</v>
      </c>
      <c r="AU23">
        <v>4.9129106795652803E-4</v>
      </c>
      <c r="AV23">
        <v>1.5178148339046801E-4</v>
      </c>
      <c r="AW23">
        <v>1.3824039494972999E-4</v>
      </c>
      <c r="AX23">
        <v>1.81152903713905E-3</v>
      </c>
      <c r="AY23">
        <v>1.17998618442226E-4</v>
      </c>
      <c r="AZ23">
        <v>0</v>
      </c>
      <c r="BA23">
        <v>1.03941949716273E-3</v>
      </c>
      <c r="BB23">
        <v>1.15741811560496E-3</v>
      </c>
      <c r="BC23">
        <v>4.9129106795652803E-4</v>
      </c>
      <c r="BD23">
        <v>1.5178148339040499E-4</v>
      </c>
      <c r="BE23">
        <v>1.3824039494967299E-4</v>
      </c>
      <c r="BF23">
        <v>1.93873106190157E-3</v>
      </c>
      <c r="BG23">
        <v>1.4338060999301801E-2</v>
      </c>
      <c r="BH23">
        <v>0</v>
      </c>
      <c r="BI23">
        <v>7.2828901510963101E-3</v>
      </c>
      <c r="BJ23">
        <v>2.16209511503981E-2</v>
      </c>
      <c r="BK23">
        <v>8.6287234062388106E-5</v>
      </c>
      <c r="BL23">
        <v>0</v>
      </c>
      <c r="BM23">
        <v>4.2668473309991498E-6</v>
      </c>
      <c r="BN23">
        <v>9.0554081393387297E-5</v>
      </c>
      <c r="BO23">
        <v>1.35644849965841E-3</v>
      </c>
      <c r="BP23">
        <v>0.96589088371178999</v>
      </c>
      <c r="BQ23">
        <f t="shared" si="0"/>
        <v>19.069321777924014</v>
      </c>
    </row>
    <row r="24" spans="1:69" x14ac:dyDescent="0.25">
      <c r="A24" t="s">
        <v>12</v>
      </c>
      <c r="B24">
        <v>2024</v>
      </c>
      <c r="C24" t="s">
        <v>2434</v>
      </c>
      <c r="D24" t="s">
        <v>11</v>
      </c>
      <c r="E24" t="s">
        <v>11</v>
      </c>
      <c r="F24" t="s">
        <v>13</v>
      </c>
      <c r="G24">
        <v>16819.119991603598</v>
      </c>
      <c r="H24">
        <v>604979.72474854696</v>
      </c>
      <c r="I24">
        <v>604979.72474854696</v>
      </c>
      <c r="J24">
        <v>0</v>
      </c>
      <c r="K24">
        <v>250579.82738610599</v>
      </c>
      <c r="L24">
        <v>0</v>
      </c>
      <c r="M24">
        <v>0.14730068431315799</v>
      </c>
      <c r="N24">
        <v>7.0105468001372599E-4</v>
      </c>
      <c r="O24">
        <v>0.18459026437369</v>
      </c>
      <c r="P24">
        <v>0.33259200336686201</v>
      </c>
      <c r="Q24">
        <v>1.07553643310379E-3</v>
      </c>
      <c r="R24">
        <v>0</v>
      </c>
      <c r="S24">
        <v>9.1140846024041105E-5</v>
      </c>
      <c r="T24">
        <v>1.1666772791278301E-3</v>
      </c>
      <c r="U24">
        <v>1.3337519883077601E-3</v>
      </c>
      <c r="V24">
        <v>1.8205714621737701E-2</v>
      </c>
      <c r="W24">
        <v>2.0706143889173301E-2</v>
      </c>
      <c r="X24">
        <v>1.1697440038866099E-3</v>
      </c>
      <c r="Y24">
        <v>0</v>
      </c>
      <c r="Z24">
        <v>9.9123985821767297E-5</v>
      </c>
      <c r="AA24">
        <v>1.26886798970838E-3</v>
      </c>
      <c r="AB24">
        <v>5.3350079532310498E-3</v>
      </c>
      <c r="AC24">
        <v>5.2016327490679103E-2</v>
      </c>
      <c r="AD24">
        <v>5.8620203433618602E-2</v>
      </c>
      <c r="AE24">
        <v>595.45235104440496</v>
      </c>
      <c r="AF24">
        <v>2.2362786748518402</v>
      </c>
      <c r="AG24">
        <v>7.0975146320437004</v>
      </c>
      <c r="AH24">
        <v>604.786144351301</v>
      </c>
      <c r="AI24">
        <v>7.0957109675586797E-3</v>
      </c>
      <c r="AJ24">
        <v>2.1621264307588998E-3</v>
      </c>
      <c r="AK24">
        <v>9.4591129137476596E-3</v>
      </c>
      <c r="AL24">
        <v>1.87169503120652E-2</v>
      </c>
      <c r="AM24">
        <v>8.1037133050317692E-3</v>
      </c>
      <c r="AN24">
        <v>5.5863118768995002E-5</v>
      </c>
      <c r="AO24">
        <v>1.43021638362351E-2</v>
      </c>
      <c r="AP24">
        <v>2.24617402600359E-2</v>
      </c>
      <c r="AQ24">
        <v>3.60145557594145E-2</v>
      </c>
      <c r="AR24">
        <v>8.0295004826931703E-3</v>
      </c>
      <c r="AS24">
        <v>4.73485680976845E-2</v>
      </c>
      <c r="AT24">
        <v>9.13926243397922E-2</v>
      </c>
      <c r="AU24">
        <v>6.45029883008333E-2</v>
      </c>
      <c r="AV24">
        <v>1.52271602431019E-2</v>
      </c>
      <c r="AW24">
        <v>8.4519664242074702E-2</v>
      </c>
      <c r="AX24">
        <v>0.25564243712580198</v>
      </c>
      <c r="AY24">
        <v>5.2552355222953297E-2</v>
      </c>
      <c r="AZ24">
        <v>1.1716628255759001E-2</v>
      </c>
      <c r="BA24">
        <v>5.1840722198336998E-2</v>
      </c>
      <c r="BB24">
        <v>0.11610970567704899</v>
      </c>
      <c r="BC24">
        <v>6.45029883008333E-2</v>
      </c>
      <c r="BD24">
        <v>1.5227160243095599E-2</v>
      </c>
      <c r="BE24">
        <v>8.4519664242039994E-2</v>
      </c>
      <c r="BF24">
        <v>0.28035951846301799</v>
      </c>
      <c r="BG24">
        <v>0.89664857271003195</v>
      </c>
      <c r="BH24">
        <v>6.9533334044484599E-2</v>
      </c>
      <c r="BI24">
        <v>0.83292517911934005</v>
      </c>
      <c r="BJ24">
        <v>1.79910708587385</v>
      </c>
      <c r="BK24">
        <v>5.8866527073131803E-3</v>
      </c>
      <c r="BL24">
        <v>2.2107891408160001E-5</v>
      </c>
      <c r="BM24">
        <v>7.0166157964836394E-5</v>
      </c>
      <c r="BN24">
        <v>5.9789267566861702E-3</v>
      </c>
      <c r="BO24">
        <v>2.9916545204415099E-2</v>
      </c>
      <c r="BP24">
        <v>63.773943259120699</v>
      </c>
      <c r="BQ24">
        <f t="shared" si="0"/>
        <v>19.175242147773307</v>
      </c>
    </row>
    <row r="25" spans="1:69" x14ac:dyDescent="0.25">
      <c r="A25" t="s">
        <v>12</v>
      </c>
      <c r="B25">
        <v>2024</v>
      </c>
      <c r="C25" t="s">
        <v>2434</v>
      </c>
      <c r="D25" t="s">
        <v>11</v>
      </c>
      <c r="E25" t="s">
        <v>11</v>
      </c>
      <c r="F25" t="s">
        <v>10</v>
      </c>
      <c r="G25">
        <v>15345.046045194</v>
      </c>
      <c r="H25">
        <v>550722.29495797795</v>
      </c>
      <c r="I25">
        <v>550722.29495797795</v>
      </c>
      <c r="J25">
        <v>0</v>
      </c>
      <c r="K25">
        <v>193021.37518061601</v>
      </c>
      <c r="L25">
        <v>0</v>
      </c>
      <c r="M25">
        <v>1.2755653082223499</v>
      </c>
      <c r="N25">
        <v>3.7530217340847299E-2</v>
      </c>
      <c r="O25">
        <v>0</v>
      </c>
      <c r="P25">
        <v>1.3130955255632</v>
      </c>
      <c r="Q25">
        <v>2.8795566886436402E-2</v>
      </c>
      <c r="R25">
        <v>4.4701247985673399E-4</v>
      </c>
      <c r="S25">
        <v>0</v>
      </c>
      <c r="T25">
        <v>2.9242579366293101E-2</v>
      </c>
      <c r="U25">
        <v>1.82120224639868E-3</v>
      </c>
      <c r="V25">
        <v>1.6572940427054299E-2</v>
      </c>
      <c r="W25">
        <v>4.7636722039746199E-2</v>
      </c>
      <c r="X25">
        <v>3.0097574642605499E-2</v>
      </c>
      <c r="Y25">
        <v>4.6722440060735298E-4</v>
      </c>
      <c r="Z25">
        <v>0</v>
      </c>
      <c r="AA25">
        <v>3.0564799043212802E-2</v>
      </c>
      <c r="AB25">
        <v>7.2848089855947198E-3</v>
      </c>
      <c r="AC25">
        <v>4.7351258363012502E-2</v>
      </c>
      <c r="AD25">
        <v>8.5200866391819993E-2</v>
      </c>
      <c r="AE25">
        <v>388.818953122864</v>
      </c>
      <c r="AF25">
        <v>2.29149335841038</v>
      </c>
      <c r="AG25">
        <v>0</v>
      </c>
      <c r="AH25">
        <v>391.11044648127398</v>
      </c>
      <c r="AI25">
        <v>6.1135814381940799E-3</v>
      </c>
      <c r="AJ25">
        <v>8.6234909691734499E-5</v>
      </c>
      <c r="AK25">
        <v>0</v>
      </c>
      <c r="AL25">
        <v>6.1998163478858203E-3</v>
      </c>
      <c r="AM25">
        <v>6.1258584406806003E-2</v>
      </c>
      <c r="AN25">
        <v>3.6102571180335601E-4</v>
      </c>
      <c r="AO25">
        <v>0</v>
      </c>
      <c r="AP25">
        <v>6.1619610118609398E-2</v>
      </c>
      <c r="AQ25">
        <v>0.131621808913918</v>
      </c>
      <c r="AR25">
        <v>1.85658683374099E-3</v>
      </c>
      <c r="AS25">
        <v>0</v>
      </c>
      <c r="AT25">
        <v>0.13347839574765899</v>
      </c>
      <c r="AU25">
        <v>0</v>
      </c>
      <c r="AV25">
        <v>0</v>
      </c>
      <c r="AW25">
        <v>0</v>
      </c>
      <c r="AX25">
        <v>0.13347839574765899</v>
      </c>
      <c r="AY25">
        <v>0.14984267863606399</v>
      </c>
      <c r="AZ25">
        <v>2.11360067593465E-3</v>
      </c>
      <c r="BA25">
        <v>0</v>
      </c>
      <c r="BB25">
        <v>0.15195627931199801</v>
      </c>
      <c r="BC25">
        <v>0</v>
      </c>
      <c r="BD25">
        <v>0</v>
      </c>
      <c r="BE25">
        <v>0</v>
      </c>
      <c r="BF25">
        <v>0.15195627931199801</v>
      </c>
      <c r="BG25">
        <v>0.37877772084342698</v>
      </c>
      <c r="BH25">
        <v>1.5388349761397101E-2</v>
      </c>
      <c r="BI25">
        <v>0</v>
      </c>
      <c r="BJ25">
        <v>0.394166070604824</v>
      </c>
      <c r="BK25">
        <v>3.68425717961662E-3</v>
      </c>
      <c r="BL25">
        <v>2.17130641136712E-5</v>
      </c>
      <c r="BM25">
        <v>0</v>
      </c>
      <c r="BN25">
        <v>3.7059702437302901E-3</v>
      </c>
      <c r="BO25">
        <v>9.2672754598304805E-2</v>
      </c>
      <c r="BP25">
        <v>34.9377412534066</v>
      </c>
      <c r="BQ25">
        <f t="shared" si="0"/>
        <v>23.361875168731356</v>
      </c>
    </row>
    <row r="26" spans="1:69" x14ac:dyDescent="0.25">
      <c r="A26" t="s">
        <v>12</v>
      </c>
      <c r="B26">
        <v>2024</v>
      </c>
      <c r="C26" t="s">
        <v>2434</v>
      </c>
      <c r="D26" t="s">
        <v>11</v>
      </c>
      <c r="E26" t="s">
        <v>11</v>
      </c>
      <c r="F26" t="s">
        <v>2384</v>
      </c>
      <c r="G26">
        <v>38.926406141280999</v>
      </c>
      <c r="H26">
        <v>2909.0083765395502</v>
      </c>
      <c r="I26">
        <v>0</v>
      </c>
      <c r="J26">
        <v>2909.0083765395502</v>
      </c>
      <c r="K26">
        <v>543.77724256603005</v>
      </c>
      <c r="L26">
        <v>1892.7751028734699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6.4132656803565196E-6</v>
      </c>
      <c r="V26">
        <v>4.3770538225505E-5</v>
      </c>
      <c r="W26">
        <v>5.0183803905861602E-5</v>
      </c>
      <c r="X26">
        <v>0</v>
      </c>
      <c r="Y26">
        <v>0</v>
      </c>
      <c r="Z26">
        <v>0</v>
      </c>
      <c r="AA26">
        <v>0</v>
      </c>
      <c r="AB26">
        <v>2.5653062721426001E-5</v>
      </c>
      <c r="AC26">
        <v>1.250586806443E-4</v>
      </c>
      <c r="AD26">
        <v>1.50711743365726E-4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 t="e">
        <f t="shared" si="0"/>
        <v>#DIV/0!</v>
      </c>
    </row>
    <row r="27" spans="1:69" x14ac:dyDescent="0.25">
      <c r="A27" t="s">
        <v>12</v>
      </c>
      <c r="B27">
        <v>2024</v>
      </c>
      <c r="C27" t="s">
        <v>2433</v>
      </c>
      <c r="D27" t="s">
        <v>11</v>
      </c>
      <c r="E27" t="s">
        <v>11</v>
      </c>
      <c r="F27" t="s">
        <v>13</v>
      </c>
      <c r="G27">
        <v>3078.06014883642</v>
      </c>
      <c r="H27">
        <v>106060.29544897399</v>
      </c>
      <c r="I27">
        <v>106060.29544897399</v>
      </c>
      <c r="J27">
        <v>0</v>
      </c>
      <c r="K27">
        <v>45858.509908040898</v>
      </c>
      <c r="L27">
        <v>0</v>
      </c>
      <c r="M27">
        <v>1.9898665404275501E-2</v>
      </c>
      <c r="N27">
        <v>1.3120546079871501E-4</v>
      </c>
      <c r="O27">
        <v>3.4396648464320001E-2</v>
      </c>
      <c r="P27">
        <v>5.4426519329394199E-2</v>
      </c>
      <c r="Q27">
        <v>1.4343205632709E-4</v>
      </c>
      <c r="R27">
        <v>0</v>
      </c>
      <c r="S27">
        <v>1.09171390613477E-5</v>
      </c>
      <c r="T27">
        <v>1.5434919538843801E-4</v>
      </c>
      <c r="U27">
        <v>2.3382292686634901E-4</v>
      </c>
      <c r="V27">
        <v>3.72363010653139E-3</v>
      </c>
      <c r="W27">
        <v>4.11180222878617E-3</v>
      </c>
      <c r="X27">
        <v>1.55995448122164E-4</v>
      </c>
      <c r="Y27">
        <v>0</v>
      </c>
      <c r="Z27">
        <v>1.1873384818546099E-5</v>
      </c>
      <c r="AA27">
        <v>1.6786883294071E-4</v>
      </c>
      <c r="AB27">
        <v>9.3529170746539604E-4</v>
      </c>
      <c r="AC27">
        <v>1.06389431615182E-2</v>
      </c>
      <c r="AD27">
        <v>1.17421037019243E-2</v>
      </c>
      <c r="AE27">
        <v>118.19934854482899</v>
      </c>
      <c r="AF27">
        <v>0.47629543554366399</v>
      </c>
      <c r="AG27">
        <v>1.2993180649265801</v>
      </c>
      <c r="AH27">
        <v>119.97496204529899</v>
      </c>
      <c r="AI27">
        <v>7.0608339097918396E-4</v>
      </c>
      <c r="AJ27">
        <v>4.0874965714419298E-4</v>
      </c>
      <c r="AK27">
        <v>1.6936186075845799E-3</v>
      </c>
      <c r="AL27">
        <v>2.8084516557079602E-3</v>
      </c>
      <c r="AM27">
        <v>1.2096364037704099E-3</v>
      </c>
      <c r="AN27">
        <v>1.04932638869379E-5</v>
      </c>
      <c r="AO27">
        <v>2.656283447234E-3</v>
      </c>
      <c r="AP27">
        <v>3.8764131148913499E-3</v>
      </c>
      <c r="AQ27">
        <v>3.2461050444222502E-3</v>
      </c>
      <c r="AR27">
        <v>1.50507883638777E-3</v>
      </c>
      <c r="AS27">
        <v>8.3075385268410792E-3</v>
      </c>
      <c r="AT27">
        <v>1.30587224076511E-2</v>
      </c>
      <c r="AU27">
        <v>9.9224973913437306E-3</v>
      </c>
      <c r="AV27">
        <v>2.3510600393804901E-3</v>
      </c>
      <c r="AW27">
        <v>1.2063553552265099E-2</v>
      </c>
      <c r="AX27">
        <v>3.7395833390640398E-2</v>
      </c>
      <c r="AY27">
        <v>4.7367088608584402E-3</v>
      </c>
      <c r="AZ27">
        <v>2.1962075050092301E-3</v>
      </c>
      <c r="BA27">
        <v>9.0957089987059592E-3</v>
      </c>
      <c r="BB27">
        <v>1.6028625364573602E-2</v>
      </c>
      <c r="BC27">
        <v>9.9224973913437306E-3</v>
      </c>
      <c r="BD27">
        <v>2.3510600393795199E-3</v>
      </c>
      <c r="BE27">
        <v>1.20635535522601E-2</v>
      </c>
      <c r="BF27">
        <v>4.0365736347557003E-2</v>
      </c>
      <c r="BG27">
        <v>0.100458145409984</v>
      </c>
      <c r="BH27">
        <v>1.2781115756892799E-2</v>
      </c>
      <c r="BI27">
        <v>0.14693476495090499</v>
      </c>
      <c r="BJ27">
        <v>0.26017402611778201</v>
      </c>
      <c r="BK27">
        <v>1.1685208965816699E-3</v>
      </c>
      <c r="BL27">
        <v>4.7086652864939803E-6</v>
      </c>
      <c r="BM27">
        <v>1.2845081879592101E-5</v>
      </c>
      <c r="BN27">
        <v>1.18607464374776E-3</v>
      </c>
      <c r="BO27">
        <v>5.25820239057699E-3</v>
      </c>
      <c r="BP27">
        <v>12.651209842445899</v>
      </c>
      <c r="BQ27">
        <f t="shared" si="0"/>
        <v>19.146244530782944</v>
      </c>
    </row>
    <row r="28" spans="1:69" x14ac:dyDescent="0.25">
      <c r="A28" t="s">
        <v>12</v>
      </c>
      <c r="B28">
        <v>2024</v>
      </c>
      <c r="C28" t="s">
        <v>2433</v>
      </c>
      <c r="D28" t="s">
        <v>11</v>
      </c>
      <c r="E28" t="s">
        <v>11</v>
      </c>
      <c r="F28" t="s">
        <v>10</v>
      </c>
      <c r="G28">
        <v>6790.4738327609302</v>
      </c>
      <c r="H28">
        <v>246964.68494304499</v>
      </c>
      <c r="I28">
        <v>246964.68494304499</v>
      </c>
      <c r="J28">
        <v>0</v>
      </c>
      <c r="K28">
        <v>85415.618400050895</v>
      </c>
      <c r="L28">
        <v>0</v>
      </c>
      <c r="M28">
        <v>0.45864830115382899</v>
      </c>
      <c r="N28">
        <v>1.6441989325801001E-2</v>
      </c>
      <c r="O28">
        <v>0</v>
      </c>
      <c r="P28">
        <v>0.47509029047962997</v>
      </c>
      <c r="Q28">
        <v>1.16351545817186E-2</v>
      </c>
      <c r="R28">
        <v>1.96964515706646E-4</v>
      </c>
      <c r="S28">
        <v>0</v>
      </c>
      <c r="T28">
        <v>1.18321190974252E-2</v>
      </c>
      <c r="U28">
        <v>8.1669589758235597E-4</v>
      </c>
      <c r="V28">
        <v>8.6705881047293501E-3</v>
      </c>
      <c r="W28">
        <v>2.13194030997369E-2</v>
      </c>
      <c r="X28">
        <v>1.2161244641670101E-2</v>
      </c>
      <c r="Y28">
        <v>2.05870377089807E-4</v>
      </c>
      <c r="Z28">
        <v>0</v>
      </c>
      <c r="AA28">
        <v>1.23671150187599E-2</v>
      </c>
      <c r="AB28">
        <v>3.26678359032942E-3</v>
      </c>
      <c r="AC28">
        <v>2.4773108870655199E-2</v>
      </c>
      <c r="AD28">
        <v>4.0407007479744697E-2</v>
      </c>
      <c r="AE28">
        <v>211.80266326492699</v>
      </c>
      <c r="AF28">
        <v>1.6259162126153199</v>
      </c>
      <c r="AG28">
        <v>0</v>
      </c>
      <c r="AH28">
        <v>213.428579477543</v>
      </c>
      <c r="AI28">
        <v>2.4818932624999699E-3</v>
      </c>
      <c r="AJ28">
        <v>3.8160582640651099E-5</v>
      </c>
      <c r="AK28">
        <v>0</v>
      </c>
      <c r="AL28">
        <v>2.5200538451406202E-3</v>
      </c>
      <c r="AM28">
        <v>3.3369595851725199E-2</v>
      </c>
      <c r="AN28">
        <v>2.5616376143427501E-4</v>
      </c>
      <c r="AO28">
        <v>0</v>
      </c>
      <c r="AP28">
        <v>3.36257596131595E-2</v>
      </c>
      <c r="AQ28">
        <v>5.3433700694761603E-2</v>
      </c>
      <c r="AR28">
        <v>8.2157487671502701E-4</v>
      </c>
      <c r="AS28">
        <v>0</v>
      </c>
      <c r="AT28">
        <v>5.4255275571476601E-2</v>
      </c>
      <c r="AU28">
        <v>0</v>
      </c>
      <c r="AV28">
        <v>0</v>
      </c>
      <c r="AW28">
        <v>0</v>
      </c>
      <c r="AX28">
        <v>5.4255275571476601E-2</v>
      </c>
      <c r="AY28">
        <v>6.0830715727187602E-2</v>
      </c>
      <c r="AZ28">
        <v>9.3530837513095E-4</v>
      </c>
      <c r="BA28">
        <v>0</v>
      </c>
      <c r="BB28">
        <v>6.1766024102318601E-2</v>
      </c>
      <c r="BC28">
        <v>0</v>
      </c>
      <c r="BD28">
        <v>0</v>
      </c>
      <c r="BE28">
        <v>0</v>
      </c>
      <c r="BF28">
        <v>6.1766024102318601E-2</v>
      </c>
      <c r="BG28">
        <v>0.14628165707125099</v>
      </c>
      <c r="BH28">
        <v>6.8096365482635396E-3</v>
      </c>
      <c r="BI28">
        <v>0</v>
      </c>
      <c r="BJ28">
        <v>0.15309129361951501</v>
      </c>
      <c r="BK28">
        <v>2.0069378730855E-3</v>
      </c>
      <c r="BL28">
        <v>1.54063824092705E-5</v>
      </c>
      <c r="BM28">
        <v>0</v>
      </c>
      <c r="BN28">
        <v>2.02234425549477E-3</v>
      </c>
      <c r="BO28">
        <v>4.5576271091124401E-2</v>
      </c>
      <c r="BP28">
        <v>19.065490459165002</v>
      </c>
      <c r="BQ28">
        <f t="shared" si="0"/>
        <v>23.359348854009756</v>
      </c>
    </row>
    <row r="29" spans="1:69" x14ac:dyDescent="0.25">
      <c r="A29" t="s">
        <v>12</v>
      </c>
      <c r="B29">
        <v>2024</v>
      </c>
      <c r="C29" t="s">
        <v>2433</v>
      </c>
      <c r="D29" t="s">
        <v>11</v>
      </c>
      <c r="E29" t="s">
        <v>11</v>
      </c>
      <c r="F29" t="s">
        <v>2384</v>
      </c>
      <c r="G29">
        <v>10.0753711756374</v>
      </c>
      <c r="H29">
        <v>713.39177683866603</v>
      </c>
      <c r="I29">
        <v>0</v>
      </c>
      <c r="J29">
        <v>713.39177683866603</v>
      </c>
      <c r="K29">
        <v>133.36739561945001</v>
      </c>
      <c r="L29">
        <v>456.93714509318301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1.5727596509470999E-6</v>
      </c>
      <c r="V29">
        <v>1.2523098708820601E-5</v>
      </c>
      <c r="W29">
        <v>1.40958583597677E-5</v>
      </c>
      <c r="X29">
        <v>0</v>
      </c>
      <c r="Y29">
        <v>0</v>
      </c>
      <c r="Z29">
        <v>0</v>
      </c>
      <c r="AA29">
        <v>0</v>
      </c>
      <c r="AB29">
        <v>6.2910386037884199E-6</v>
      </c>
      <c r="AC29">
        <v>3.5780282025201701E-5</v>
      </c>
      <c r="AD29">
        <v>4.2071320628990098E-5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 t="e">
        <f t="shared" si="0"/>
        <v>#DIV/0!</v>
      </c>
    </row>
    <row r="30" spans="1:69" x14ac:dyDescent="0.25">
      <c r="A30" t="s">
        <v>12</v>
      </c>
      <c r="B30">
        <v>2024</v>
      </c>
      <c r="C30" t="s">
        <v>2432</v>
      </c>
      <c r="D30" t="s">
        <v>11</v>
      </c>
      <c r="E30" t="s">
        <v>11</v>
      </c>
      <c r="F30" t="s">
        <v>13</v>
      </c>
      <c r="G30">
        <v>19337.536061848601</v>
      </c>
      <c r="H30" s="3">
        <v>108686.760127678</v>
      </c>
      <c r="I30">
        <v>108686.760127678</v>
      </c>
      <c r="J30">
        <v>0</v>
      </c>
      <c r="K30" s="3">
        <v>38675.072123697297</v>
      </c>
      <c r="L30">
        <v>0</v>
      </c>
      <c r="M30">
        <v>7.5969218333642896E-2</v>
      </c>
      <c r="N30">
        <v>0</v>
      </c>
      <c r="O30">
        <v>6.63553117288919E-3</v>
      </c>
      <c r="P30">
        <v>8.2604749506532099E-2</v>
      </c>
      <c r="Q30">
        <v>1.9639084981826099E-4</v>
      </c>
      <c r="R30">
        <v>0</v>
      </c>
      <c r="S30">
        <v>1.3570816933443299E-4</v>
      </c>
      <c r="T30">
        <v>3.32099019152694E-4</v>
      </c>
      <c r="U30">
        <v>1.1980664503646499E-4</v>
      </c>
      <c r="V30">
        <v>5.0318790915315596E-4</v>
      </c>
      <c r="W30">
        <v>9.5509357334231596E-4</v>
      </c>
      <c r="X30">
        <v>2.09635463809291E-4</v>
      </c>
      <c r="Y30">
        <v>0</v>
      </c>
      <c r="Z30">
        <v>1.4413481251053799E-4</v>
      </c>
      <c r="AA30">
        <v>3.5377027631982899E-4</v>
      </c>
      <c r="AB30">
        <v>4.7922658014586198E-4</v>
      </c>
      <c r="AC30">
        <v>1.43767974043759E-3</v>
      </c>
      <c r="AD30">
        <v>2.27067659690328E-3</v>
      </c>
      <c r="AE30">
        <v>22.665316285346101</v>
      </c>
      <c r="AF30">
        <v>0</v>
      </c>
      <c r="AG30">
        <v>2.2335005375773398</v>
      </c>
      <c r="AH30">
        <v>24.898816822923401</v>
      </c>
      <c r="AI30">
        <v>2.0869581965213199E-2</v>
      </c>
      <c r="AJ30">
        <v>0</v>
      </c>
      <c r="AK30">
        <v>8.3953480625056399E-3</v>
      </c>
      <c r="AL30">
        <v>2.9264930027718801E-2</v>
      </c>
      <c r="AM30">
        <v>5.0581939904452804E-3</v>
      </c>
      <c r="AN30">
        <v>0</v>
      </c>
      <c r="AO30">
        <v>3.8267331392311302E-4</v>
      </c>
      <c r="AP30">
        <v>5.4408673043683901E-3</v>
      </c>
      <c r="AQ30">
        <v>0.140186435048087</v>
      </c>
      <c r="AR30">
        <v>0</v>
      </c>
      <c r="AS30">
        <v>6.2747702594556504E-2</v>
      </c>
      <c r="AT30">
        <v>0.20293413764264301</v>
      </c>
      <c r="AU30">
        <v>0.11565919655183</v>
      </c>
      <c r="AV30">
        <v>0.15372688967352199</v>
      </c>
      <c r="AW30">
        <v>0.16688249764124899</v>
      </c>
      <c r="AX30">
        <v>0.63920272150924695</v>
      </c>
      <c r="AY30">
        <v>0.16652766523033999</v>
      </c>
      <c r="AZ30">
        <v>0</v>
      </c>
      <c r="BA30">
        <v>6.81976345870072E-2</v>
      </c>
      <c r="BB30">
        <v>0.23472529981734699</v>
      </c>
      <c r="BC30">
        <v>0.11565919655183</v>
      </c>
      <c r="BD30">
        <v>0.15372688967345899</v>
      </c>
      <c r="BE30">
        <v>0.16688249764117999</v>
      </c>
      <c r="BF30">
        <v>0.67099388368381796</v>
      </c>
      <c r="BG30">
        <v>1.7034350956944599</v>
      </c>
      <c r="BH30">
        <v>0</v>
      </c>
      <c r="BI30">
        <v>0.35028208176327202</v>
      </c>
      <c r="BJ30">
        <v>2.0537171774577301</v>
      </c>
      <c r="BK30">
        <v>2.2406972655196101E-4</v>
      </c>
      <c r="BL30">
        <v>0</v>
      </c>
      <c r="BM30">
        <v>2.2080426692839799E-5</v>
      </c>
      <c r="BN30">
        <v>2.4615015324479998E-4</v>
      </c>
      <c r="BO30">
        <v>1.03749377357964E-3</v>
      </c>
      <c r="BP30">
        <v>2.6255491236287298</v>
      </c>
      <c r="BQ30">
        <f t="shared" si="0"/>
        <v>20.719981888737784</v>
      </c>
    </row>
    <row r="31" spans="1:69" x14ac:dyDescent="0.25">
      <c r="A31" t="s">
        <v>12</v>
      </c>
      <c r="B31">
        <v>2024</v>
      </c>
      <c r="C31" t="s">
        <v>2431</v>
      </c>
      <c r="D31" t="s">
        <v>11</v>
      </c>
      <c r="E31" t="s">
        <v>11</v>
      </c>
      <c r="F31" t="s">
        <v>13</v>
      </c>
      <c r="G31">
        <v>154444.89107249901</v>
      </c>
      <c r="H31" s="3">
        <v>5559841.1590712396</v>
      </c>
      <c r="I31">
        <v>5559841.1590712396</v>
      </c>
      <c r="J31">
        <v>0</v>
      </c>
      <c r="K31" s="3">
        <v>701197.11270768603</v>
      </c>
      <c r="L31">
        <v>0</v>
      </c>
      <c r="M31">
        <v>0.702796186113962</v>
      </c>
      <c r="N31">
        <v>0</v>
      </c>
      <c r="O31">
        <v>0.36164758609418501</v>
      </c>
      <c r="P31">
        <v>1.0644437722081399</v>
      </c>
      <c r="Q31">
        <v>7.3256664765528898E-3</v>
      </c>
      <c r="R31">
        <v>0</v>
      </c>
      <c r="S31">
        <v>1.6053647470776701E-3</v>
      </c>
      <c r="T31">
        <v>8.9310312236305592E-3</v>
      </c>
      <c r="U31">
        <v>1.2257351593174299E-2</v>
      </c>
      <c r="V31">
        <v>1.58761148593583E-2</v>
      </c>
      <c r="W31">
        <v>3.7064497676163301E-2</v>
      </c>
      <c r="X31">
        <v>7.9670518551681006E-3</v>
      </c>
      <c r="Y31">
        <v>0</v>
      </c>
      <c r="Z31">
        <v>1.74590432867729E-3</v>
      </c>
      <c r="AA31">
        <v>9.7129561838454007E-3</v>
      </c>
      <c r="AB31">
        <v>4.9029406372697502E-2</v>
      </c>
      <c r="AC31">
        <v>4.5360328169595301E-2</v>
      </c>
      <c r="AD31">
        <v>0.10410269072613799</v>
      </c>
      <c r="AE31">
        <v>2655.5405625963699</v>
      </c>
      <c r="AF31">
        <v>0</v>
      </c>
      <c r="AG31">
        <v>85.141535743728397</v>
      </c>
      <c r="AH31">
        <v>2740.6820983400999</v>
      </c>
      <c r="AI31">
        <v>2.60263801887664E-2</v>
      </c>
      <c r="AJ31">
        <v>0</v>
      </c>
      <c r="AK31">
        <v>8.4915238781704205E-2</v>
      </c>
      <c r="AL31">
        <v>0.11094161897047</v>
      </c>
      <c r="AM31">
        <v>5.1985209251550403E-2</v>
      </c>
      <c r="AN31">
        <v>0</v>
      </c>
      <c r="AO31">
        <v>3.3502785416432E-2</v>
      </c>
      <c r="AP31">
        <v>8.5487994667982403E-2</v>
      </c>
      <c r="AQ31">
        <v>0.109688090475502</v>
      </c>
      <c r="AR31">
        <v>0</v>
      </c>
      <c r="AS31">
        <v>0.42652444105079701</v>
      </c>
      <c r="AT31">
        <v>0.5362125315263</v>
      </c>
      <c r="AU31">
        <v>0.37424468515474102</v>
      </c>
      <c r="AV31">
        <v>9.1608082557266296E-2</v>
      </c>
      <c r="AW31">
        <v>0.26328088484053103</v>
      </c>
      <c r="AX31">
        <v>1.26534618407884</v>
      </c>
      <c r="AY31">
        <v>0.15995008334736999</v>
      </c>
      <c r="AZ31">
        <v>0</v>
      </c>
      <c r="BA31">
        <v>0.46698916558196502</v>
      </c>
      <c r="BB31">
        <v>0.62693924892933595</v>
      </c>
      <c r="BC31">
        <v>0.37424468515474102</v>
      </c>
      <c r="BD31">
        <v>9.1608082557228604E-2</v>
      </c>
      <c r="BE31">
        <v>0.263280884840423</v>
      </c>
      <c r="BF31">
        <v>1.3560729014817301</v>
      </c>
      <c r="BG31">
        <v>6.8923747012116703</v>
      </c>
      <c r="BH31">
        <v>0</v>
      </c>
      <c r="BI31">
        <v>3.2485394470195299</v>
      </c>
      <c r="BJ31">
        <v>10.1409141482312</v>
      </c>
      <c r="BK31">
        <v>2.62527220100305E-2</v>
      </c>
      <c r="BL31">
        <v>0</v>
      </c>
      <c r="BM31">
        <v>8.4171076159416205E-4</v>
      </c>
      <c r="BN31">
        <v>2.70944327716247E-2</v>
      </c>
      <c r="BO31">
        <v>0.211223735521432</v>
      </c>
      <c r="BP31">
        <v>289.00150286727302</v>
      </c>
      <c r="BQ31">
        <f t="shared" si="0"/>
        <v>19.149489290542288</v>
      </c>
    </row>
    <row r="32" spans="1:69" x14ac:dyDescent="0.25">
      <c r="A32" t="s">
        <v>12</v>
      </c>
      <c r="B32">
        <v>2024</v>
      </c>
      <c r="C32" t="s">
        <v>2431</v>
      </c>
      <c r="D32" t="s">
        <v>11</v>
      </c>
      <c r="E32" t="s">
        <v>11</v>
      </c>
      <c r="F32" t="s">
        <v>10</v>
      </c>
      <c r="G32">
        <v>2437.05732130039</v>
      </c>
      <c r="H32" s="3">
        <v>91805.854069158799</v>
      </c>
      <c r="I32">
        <v>91805.854069158799</v>
      </c>
      <c r="J32">
        <v>0</v>
      </c>
      <c r="K32" s="3">
        <v>11279.611962041299</v>
      </c>
      <c r="L32">
        <v>0</v>
      </c>
      <c r="M32">
        <v>1.25452011681529E-2</v>
      </c>
      <c r="N32">
        <v>0</v>
      </c>
      <c r="O32">
        <v>0</v>
      </c>
      <c r="P32">
        <v>1.25452011681529E-2</v>
      </c>
      <c r="Q32">
        <v>7.4981720389857398E-4</v>
      </c>
      <c r="R32">
        <v>0</v>
      </c>
      <c r="S32">
        <v>0</v>
      </c>
      <c r="T32">
        <v>7.4981720389857398E-4</v>
      </c>
      <c r="U32">
        <v>2.0239726269901401E-4</v>
      </c>
      <c r="V32">
        <v>2.6313274243907898E-4</v>
      </c>
      <c r="W32">
        <v>1.21534720903666E-3</v>
      </c>
      <c r="X32">
        <v>7.8372061059430397E-4</v>
      </c>
      <c r="Y32">
        <v>0</v>
      </c>
      <c r="Z32">
        <v>0</v>
      </c>
      <c r="AA32">
        <v>7.8372061059430397E-4</v>
      </c>
      <c r="AB32">
        <v>8.0958905079605897E-4</v>
      </c>
      <c r="AC32">
        <v>7.5180783554022702E-4</v>
      </c>
      <c r="AD32">
        <v>2.3451174969305899E-3</v>
      </c>
      <c r="AE32">
        <v>42.025067799369197</v>
      </c>
      <c r="AF32">
        <v>0</v>
      </c>
      <c r="AG32">
        <v>0</v>
      </c>
      <c r="AH32">
        <v>42.025067799369197</v>
      </c>
      <c r="AI32">
        <v>6.5156450427831695E-5</v>
      </c>
      <c r="AJ32">
        <v>0</v>
      </c>
      <c r="AK32">
        <v>0</v>
      </c>
      <c r="AL32">
        <v>6.5156450427831695E-5</v>
      </c>
      <c r="AM32">
        <v>6.6210665460433799E-3</v>
      </c>
      <c r="AN32">
        <v>0</v>
      </c>
      <c r="AO32">
        <v>0</v>
      </c>
      <c r="AP32">
        <v>6.6210665460433799E-3</v>
      </c>
      <c r="AQ32">
        <v>1.4027800160055701E-3</v>
      </c>
      <c r="AR32">
        <v>0</v>
      </c>
      <c r="AS32">
        <v>0</v>
      </c>
      <c r="AT32">
        <v>1.4027800160055701E-3</v>
      </c>
      <c r="AU32">
        <v>0</v>
      </c>
      <c r="AV32">
        <v>0</v>
      </c>
      <c r="AW32">
        <v>0</v>
      </c>
      <c r="AX32">
        <v>1.4027800160055701E-3</v>
      </c>
      <c r="AY32">
        <v>1.5969717850700901E-3</v>
      </c>
      <c r="AZ32">
        <v>0</v>
      </c>
      <c r="BA32">
        <v>0</v>
      </c>
      <c r="BB32">
        <v>1.5969717850700901E-3</v>
      </c>
      <c r="BC32">
        <v>0</v>
      </c>
      <c r="BD32">
        <v>0</v>
      </c>
      <c r="BE32">
        <v>0</v>
      </c>
      <c r="BF32">
        <v>1.5969717850700901E-3</v>
      </c>
      <c r="BG32">
        <v>2.26063245591114E-2</v>
      </c>
      <c r="BH32">
        <v>0</v>
      </c>
      <c r="BI32">
        <v>0</v>
      </c>
      <c r="BJ32">
        <v>2.26063245591114E-2</v>
      </c>
      <c r="BK32">
        <v>3.9820887464499602E-4</v>
      </c>
      <c r="BL32">
        <v>0</v>
      </c>
      <c r="BM32">
        <v>0</v>
      </c>
      <c r="BN32">
        <v>3.9820887464499602E-4</v>
      </c>
      <c r="BO32">
        <v>3.1371566727226701E-4</v>
      </c>
      <c r="BP32">
        <v>3.7540826591077199</v>
      </c>
      <c r="BQ32">
        <f t="shared" si="0"/>
        <v>23.352941749995811</v>
      </c>
    </row>
    <row r="33" spans="1:69" x14ac:dyDescent="0.25">
      <c r="A33" t="s">
        <v>12</v>
      </c>
      <c r="B33">
        <v>2024</v>
      </c>
      <c r="C33" t="s">
        <v>2431</v>
      </c>
      <c r="D33" t="s">
        <v>11</v>
      </c>
      <c r="E33" t="s">
        <v>11</v>
      </c>
      <c r="F33" t="s">
        <v>2384</v>
      </c>
      <c r="G33">
        <v>998.98873841176203</v>
      </c>
      <c r="H33" s="3">
        <v>36110.846570911897</v>
      </c>
      <c r="I33">
        <v>0</v>
      </c>
      <c r="J33">
        <v>36110.846570911897</v>
      </c>
      <c r="K33" s="3">
        <v>5104.5064204512601</v>
      </c>
      <c r="L33">
        <v>13941.76716673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7.9610789244342602E-5</v>
      </c>
      <c r="V33">
        <v>6.0715089596131902E-5</v>
      </c>
      <c r="W33">
        <v>1.4032587884047401E-4</v>
      </c>
      <c r="X33">
        <v>0</v>
      </c>
      <c r="Y33">
        <v>0</v>
      </c>
      <c r="Z33">
        <v>0</v>
      </c>
      <c r="AA33">
        <v>0</v>
      </c>
      <c r="AB33">
        <v>3.1844315697736997E-4</v>
      </c>
      <c r="AC33">
        <v>1.7347168456037599E-4</v>
      </c>
      <c r="AD33">
        <v>4.9191484153774702E-4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 t="e">
        <f t="shared" si="0"/>
        <v>#DIV/0!</v>
      </c>
    </row>
    <row r="34" spans="1:69" x14ac:dyDescent="0.25">
      <c r="A34" t="s">
        <v>12</v>
      </c>
      <c r="B34">
        <v>2024</v>
      </c>
      <c r="C34" t="s">
        <v>2431</v>
      </c>
      <c r="D34" t="s">
        <v>11</v>
      </c>
      <c r="E34" t="s">
        <v>11</v>
      </c>
      <c r="F34" t="s">
        <v>2430</v>
      </c>
      <c r="G34">
        <v>922.38893477769398</v>
      </c>
      <c r="H34" s="3">
        <v>43421.257396344903</v>
      </c>
      <c r="I34">
        <v>21223.107349424801</v>
      </c>
      <c r="J34">
        <v>22198.15004692</v>
      </c>
      <c r="K34" s="3">
        <v>3814.0782454390501</v>
      </c>
      <c r="L34">
        <v>6704.5029249858899</v>
      </c>
      <c r="M34">
        <v>1.4036725971926901E-4</v>
      </c>
      <c r="N34">
        <v>0</v>
      </c>
      <c r="O34">
        <v>4.73827265870876E-4</v>
      </c>
      <c r="P34">
        <v>6.1419452559014496E-4</v>
      </c>
      <c r="Q34">
        <v>2.8434136888759299E-5</v>
      </c>
      <c r="R34">
        <v>0</v>
      </c>
      <c r="S34">
        <v>9.1399992826266099E-6</v>
      </c>
      <c r="T34">
        <v>3.7574136171385897E-5</v>
      </c>
      <c r="U34">
        <v>9.5727486325100498E-5</v>
      </c>
      <c r="V34">
        <v>6.1326845828118498E-5</v>
      </c>
      <c r="W34">
        <v>1.94628468324604E-4</v>
      </c>
      <c r="X34">
        <v>3.0924718222081198E-5</v>
      </c>
      <c r="Y34">
        <v>0</v>
      </c>
      <c r="Z34">
        <v>9.9405831613968302E-6</v>
      </c>
      <c r="AA34">
        <v>4.08653013834781E-5</v>
      </c>
      <c r="AB34">
        <v>3.8290994530040199E-4</v>
      </c>
      <c r="AC34">
        <v>1.7521955950890999E-4</v>
      </c>
      <c r="AD34">
        <v>5.9899480619278998E-4</v>
      </c>
      <c r="AE34">
        <v>6.3055048395477797</v>
      </c>
      <c r="AF34">
        <v>0</v>
      </c>
      <c r="AG34">
        <v>0.402398446915601</v>
      </c>
      <c r="AH34">
        <v>6.7079032864633898</v>
      </c>
      <c r="AI34">
        <v>1.8649166185832999E-5</v>
      </c>
      <c r="AJ34">
        <v>0</v>
      </c>
      <c r="AK34">
        <v>1.7325396178746399E-4</v>
      </c>
      <c r="AL34">
        <v>1.9190312797329699E-4</v>
      </c>
      <c r="AM34">
        <v>2.5861788219251999E-5</v>
      </c>
      <c r="AN34">
        <v>0</v>
      </c>
      <c r="AO34">
        <v>8.7254051438961003E-5</v>
      </c>
      <c r="AP34">
        <v>1.13115839658213E-4</v>
      </c>
      <c r="AQ34">
        <v>5.8470191782524297E-5</v>
      </c>
      <c r="AR34">
        <v>0</v>
      </c>
      <c r="AS34">
        <v>6.9801231241763801E-4</v>
      </c>
      <c r="AT34">
        <v>7.5648250420016203E-4</v>
      </c>
      <c r="AU34">
        <v>4.3704382337314801E-4</v>
      </c>
      <c r="AV34">
        <v>1.4066806288522799E-4</v>
      </c>
      <c r="AW34">
        <v>1.2387629168890399E-4</v>
      </c>
      <c r="AX34">
        <v>1.45807068214744E-3</v>
      </c>
      <c r="AY34">
        <v>8.5319566595131098E-5</v>
      </c>
      <c r="AZ34">
        <v>0</v>
      </c>
      <c r="BA34">
        <v>7.6423562174906005E-4</v>
      </c>
      <c r="BB34">
        <v>8.4955518834419104E-4</v>
      </c>
      <c r="BC34">
        <v>4.3704382337314801E-4</v>
      </c>
      <c r="BD34">
        <v>1.4066806288516999E-4</v>
      </c>
      <c r="BE34">
        <v>1.2387629168885301E-4</v>
      </c>
      <c r="BF34">
        <v>1.5511433662913599E-3</v>
      </c>
      <c r="BG34">
        <v>1.0337497423494201E-2</v>
      </c>
      <c r="BH34">
        <v>0</v>
      </c>
      <c r="BI34">
        <v>5.3543939289213199E-3</v>
      </c>
      <c r="BJ34">
        <v>1.5691891352415499E-2</v>
      </c>
      <c r="BK34">
        <v>6.2336334837869001E-5</v>
      </c>
      <c r="BL34">
        <v>0</v>
      </c>
      <c r="BM34">
        <v>3.9781183209698896E-6</v>
      </c>
      <c r="BN34">
        <v>6.6314453158838798E-5</v>
      </c>
      <c r="BO34">
        <v>9.8256751233303293E-4</v>
      </c>
      <c r="BP34">
        <v>0.70734002022720999</v>
      </c>
      <c r="BQ34">
        <f t="shared" si="0"/>
        <v>19.069012964356808</v>
      </c>
    </row>
    <row r="35" spans="1:69" x14ac:dyDescent="0.25">
      <c r="A35" t="s">
        <v>12</v>
      </c>
      <c r="B35">
        <v>2024</v>
      </c>
      <c r="C35" t="s">
        <v>2429</v>
      </c>
      <c r="D35" t="s">
        <v>11</v>
      </c>
      <c r="E35" t="s">
        <v>11</v>
      </c>
      <c r="F35" t="s">
        <v>13</v>
      </c>
      <c r="G35">
        <v>2817.1881638468399</v>
      </c>
      <c r="H35">
        <v>24310.3689655903</v>
      </c>
      <c r="I35">
        <v>24310.3689655903</v>
      </c>
      <c r="J35">
        <v>0</v>
      </c>
      <c r="K35">
        <v>281.83150391123701</v>
      </c>
      <c r="L35">
        <v>0</v>
      </c>
      <c r="M35">
        <v>1.1953142237327401E-2</v>
      </c>
      <c r="N35">
        <v>0</v>
      </c>
      <c r="O35">
        <v>1.30584816850287E-4</v>
      </c>
      <c r="P35">
        <v>1.2083727054177699E-2</v>
      </c>
      <c r="Q35">
        <v>4.2526484320011998E-5</v>
      </c>
      <c r="R35">
        <v>0</v>
      </c>
      <c r="S35">
        <v>1.1464511642856999E-7</v>
      </c>
      <c r="T35">
        <v>4.2641129436440597E-5</v>
      </c>
      <c r="U35">
        <v>8.0392784055841802E-5</v>
      </c>
      <c r="V35">
        <v>4.2260574573509498E-4</v>
      </c>
      <c r="W35">
        <v>5.4563965922737798E-4</v>
      </c>
      <c r="X35">
        <v>4.62514318516919E-5</v>
      </c>
      <c r="Y35">
        <v>0</v>
      </c>
      <c r="Z35">
        <v>1.24687024436912E-7</v>
      </c>
      <c r="AA35">
        <v>4.6376118876128801E-5</v>
      </c>
      <c r="AB35">
        <v>3.2157113622336699E-4</v>
      </c>
      <c r="AC35">
        <v>1.20744498781455E-3</v>
      </c>
      <c r="AD35">
        <v>1.5753922429140501E-3</v>
      </c>
      <c r="AE35">
        <v>52.262432235761501</v>
      </c>
      <c r="AF35">
        <v>0</v>
      </c>
      <c r="AG35">
        <v>9.7747486971235999E-3</v>
      </c>
      <c r="AH35">
        <v>52.272206984458599</v>
      </c>
      <c r="AI35">
        <v>4.2681049692673101E-4</v>
      </c>
      <c r="AJ35">
        <v>0</v>
      </c>
      <c r="AK35">
        <v>1.1503576275556899E-5</v>
      </c>
      <c r="AL35">
        <v>4.3831407320228801E-4</v>
      </c>
      <c r="AM35">
        <v>7.22710726223919E-4</v>
      </c>
      <c r="AN35">
        <v>0</v>
      </c>
      <c r="AO35">
        <v>1.36679779277311E-5</v>
      </c>
      <c r="AP35">
        <v>7.3637870415164995E-4</v>
      </c>
      <c r="AQ35">
        <v>1.8814012437777701E-3</v>
      </c>
      <c r="AR35">
        <v>0</v>
      </c>
      <c r="AS35">
        <v>4.8502141407286702E-5</v>
      </c>
      <c r="AT35">
        <v>1.92990338518506E-3</v>
      </c>
      <c r="AU35">
        <v>1.6680765133417898E-2</v>
      </c>
      <c r="AV35">
        <v>3.9683682551069797E-3</v>
      </c>
      <c r="AW35">
        <v>9.2505524018844805E-5</v>
      </c>
      <c r="AX35">
        <v>2.2671542297728799E-2</v>
      </c>
      <c r="AY35">
        <v>2.7453362784870699E-3</v>
      </c>
      <c r="AZ35">
        <v>0</v>
      </c>
      <c r="BA35">
        <v>5.3103739769536498E-5</v>
      </c>
      <c r="BB35">
        <v>2.7984400182566099E-3</v>
      </c>
      <c r="BC35">
        <v>1.6680765133417898E-2</v>
      </c>
      <c r="BD35">
        <v>3.9683682551053499E-3</v>
      </c>
      <c r="BE35">
        <v>9.2505524018806696E-5</v>
      </c>
      <c r="BF35">
        <v>2.3540078930798701E-2</v>
      </c>
      <c r="BG35">
        <v>4.5520798074965597E-2</v>
      </c>
      <c r="BH35">
        <v>0</v>
      </c>
      <c r="BI35">
        <v>1.0518922262775399E-3</v>
      </c>
      <c r="BJ35">
        <v>4.6572690301243197E-2</v>
      </c>
      <c r="BK35">
        <v>5.1666734990936998E-4</v>
      </c>
      <c r="BL35">
        <v>0</v>
      </c>
      <c r="BM35">
        <v>9.66333423326053E-8</v>
      </c>
      <c r="BN35">
        <v>5.1676398325170298E-4</v>
      </c>
      <c r="BO35">
        <v>1.2019763738012901E-3</v>
      </c>
      <c r="BP35">
        <v>5.51203891390655</v>
      </c>
      <c r="BQ35">
        <f t="shared" si="0"/>
        <v>19.043939331021996</v>
      </c>
    </row>
    <row r="36" spans="1:69" x14ac:dyDescent="0.25">
      <c r="A36" t="s">
        <v>12</v>
      </c>
      <c r="B36">
        <v>2024</v>
      </c>
      <c r="C36" t="s">
        <v>2429</v>
      </c>
      <c r="D36" t="s">
        <v>11</v>
      </c>
      <c r="E36" t="s">
        <v>11</v>
      </c>
      <c r="F36" t="s">
        <v>10</v>
      </c>
      <c r="G36">
        <v>1295.6355037595199</v>
      </c>
      <c r="H36">
        <v>11142.4945713706</v>
      </c>
      <c r="I36">
        <v>11142.4945713706</v>
      </c>
      <c r="J36">
        <v>0</v>
      </c>
      <c r="K36">
        <v>129.56355037595199</v>
      </c>
      <c r="L36">
        <v>0</v>
      </c>
      <c r="M36">
        <v>6.5271233742584603E-2</v>
      </c>
      <c r="N36">
        <v>0</v>
      </c>
      <c r="O36">
        <v>0</v>
      </c>
      <c r="P36">
        <v>6.5271233742584603E-2</v>
      </c>
      <c r="Q36">
        <v>1.7151096323915901E-3</v>
      </c>
      <c r="R36">
        <v>0</v>
      </c>
      <c r="S36">
        <v>0</v>
      </c>
      <c r="T36">
        <v>1.7151096323915901E-3</v>
      </c>
      <c r="U36">
        <v>4.9129991195101403E-5</v>
      </c>
      <c r="V36">
        <v>1.9263567934565799E-4</v>
      </c>
      <c r="W36">
        <v>1.9568753029323501E-3</v>
      </c>
      <c r="X36">
        <v>1.79265927928206E-3</v>
      </c>
      <c r="Y36">
        <v>0</v>
      </c>
      <c r="Z36">
        <v>0</v>
      </c>
      <c r="AA36">
        <v>1.79265927928206E-3</v>
      </c>
      <c r="AB36">
        <v>1.9651996478040499E-4</v>
      </c>
      <c r="AC36">
        <v>5.5038765527331104E-4</v>
      </c>
      <c r="AD36">
        <v>2.5395668993357799E-3</v>
      </c>
      <c r="AE36">
        <v>13.237484709182199</v>
      </c>
      <c r="AF36">
        <v>0</v>
      </c>
      <c r="AG36">
        <v>0</v>
      </c>
      <c r="AH36">
        <v>13.237484709182199</v>
      </c>
      <c r="AI36">
        <v>8.6204504922731206E-5</v>
      </c>
      <c r="AJ36">
        <v>0</v>
      </c>
      <c r="AK36">
        <v>0</v>
      </c>
      <c r="AL36">
        <v>8.6204504922731206E-5</v>
      </c>
      <c r="AM36">
        <v>2.0855711067536398E-3</v>
      </c>
      <c r="AN36">
        <v>0</v>
      </c>
      <c r="AO36">
        <v>0</v>
      </c>
      <c r="AP36">
        <v>2.0855711067536398E-3</v>
      </c>
      <c r="AQ36">
        <v>1.85593223696556E-3</v>
      </c>
      <c r="AR36">
        <v>0</v>
      </c>
      <c r="AS36">
        <v>0</v>
      </c>
      <c r="AT36">
        <v>1.85593223696556E-3</v>
      </c>
      <c r="AU36">
        <v>0</v>
      </c>
      <c r="AV36">
        <v>0</v>
      </c>
      <c r="AW36">
        <v>0</v>
      </c>
      <c r="AX36">
        <v>1.85593223696556E-3</v>
      </c>
      <c r="AY36">
        <v>2.1128554610263602E-3</v>
      </c>
      <c r="AZ36">
        <v>0</v>
      </c>
      <c r="BA36">
        <v>0</v>
      </c>
      <c r="BB36">
        <v>2.1128554610263602E-3</v>
      </c>
      <c r="BC36">
        <v>0</v>
      </c>
      <c r="BD36">
        <v>0</v>
      </c>
      <c r="BE36">
        <v>0</v>
      </c>
      <c r="BF36">
        <v>2.1128554610263602E-3</v>
      </c>
      <c r="BG36">
        <v>6.4226657651688702E-3</v>
      </c>
      <c r="BH36">
        <v>0</v>
      </c>
      <c r="BI36">
        <v>0</v>
      </c>
      <c r="BJ36">
        <v>6.4226657651688702E-3</v>
      </c>
      <c r="BK36">
        <v>1.25431894942782E-4</v>
      </c>
      <c r="BL36">
        <v>0</v>
      </c>
      <c r="BM36">
        <v>0</v>
      </c>
      <c r="BN36">
        <v>1.25431894942782E-4</v>
      </c>
      <c r="BO36">
        <v>1.4310323095803399E-3</v>
      </c>
      <c r="BP36">
        <v>1.18249926530018</v>
      </c>
      <c r="BQ36">
        <f t="shared" si="0"/>
        <v>23.356041110956259</v>
      </c>
    </row>
    <row r="37" spans="1:69" x14ac:dyDescent="0.25">
      <c r="A37" t="s">
        <v>12</v>
      </c>
      <c r="B37">
        <v>2024</v>
      </c>
      <c r="C37" t="s">
        <v>2428</v>
      </c>
      <c r="D37" t="s">
        <v>11</v>
      </c>
      <c r="E37" t="s">
        <v>11</v>
      </c>
      <c r="F37" t="s">
        <v>10</v>
      </c>
      <c r="G37">
        <v>40.974755268079903</v>
      </c>
      <c r="H37">
        <v>5716.9403905505797</v>
      </c>
      <c r="I37">
        <v>5716.9403905505797</v>
      </c>
      <c r="J37">
        <v>0</v>
      </c>
      <c r="K37">
        <v>941.59987606047798</v>
      </c>
      <c r="L37">
        <v>0</v>
      </c>
      <c r="M37">
        <v>1.10174863044955E-2</v>
      </c>
      <c r="N37">
        <v>2.1346650085802801E-3</v>
      </c>
      <c r="O37">
        <v>2.1668636848870201E-3</v>
      </c>
      <c r="P37">
        <v>1.53190149979628E-2</v>
      </c>
      <c r="Q37">
        <v>1.8271056994237299E-4</v>
      </c>
      <c r="R37">
        <v>7.3469238697500898E-7</v>
      </c>
      <c r="S37">
        <v>0</v>
      </c>
      <c r="T37">
        <v>1.8344526232934801E-4</v>
      </c>
      <c r="U37">
        <v>1.8905544168806501E-5</v>
      </c>
      <c r="V37">
        <v>1.63434732333528E-4</v>
      </c>
      <c r="W37">
        <v>3.6578553883168298E-4</v>
      </c>
      <c r="X37">
        <v>1.9097193114902099E-4</v>
      </c>
      <c r="Y37">
        <v>7.6791191656483599E-7</v>
      </c>
      <c r="Z37">
        <v>0</v>
      </c>
      <c r="AA37">
        <v>1.91739843065585E-4</v>
      </c>
      <c r="AB37">
        <v>7.56221766752261E-5</v>
      </c>
      <c r="AC37">
        <v>4.6695637809579602E-4</v>
      </c>
      <c r="AD37">
        <v>7.3431839783660803E-4</v>
      </c>
      <c r="AE37">
        <v>11.16715289991</v>
      </c>
      <c r="AF37">
        <v>0.47052230718855198</v>
      </c>
      <c r="AG37">
        <v>0</v>
      </c>
      <c r="AH37">
        <v>11.6376752070985</v>
      </c>
      <c r="AI37">
        <v>4.3395830931428304E-6</v>
      </c>
      <c r="AJ37">
        <v>8.3797209283043797E-6</v>
      </c>
      <c r="AK37">
        <v>0</v>
      </c>
      <c r="AL37">
        <v>1.2719304021447201E-5</v>
      </c>
      <c r="AM37">
        <v>1.7593894870826399E-3</v>
      </c>
      <c r="AN37">
        <v>7.4130981112659401E-5</v>
      </c>
      <c r="AO37">
        <v>0</v>
      </c>
      <c r="AP37">
        <v>1.8335204681953E-3</v>
      </c>
      <c r="AQ37">
        <v>9.3430033987114804E-5</v>
      </c>
      <c r="AR37">
        <v>1.8041309368430701E-4</v>
      </c>
      <c r="AS37">
        <v>0</v>
      </c>
      <c r="AT37">
        <v>2.7384312767142201E-4</v>
      </c>
      <c r="AU37">
        <v>0</v>
      </c>
      <c r="AV37">
        <v>0</v>
      </c>
      <c r="AW37">
        <v>0</v>
      </c>
      <c r="AX37">
        <v>2.7384312767142201E-4</v>
      </c>
      <c r="AY37">
        <v>1.0636298167974E-4</v>
      </c>
      <c r="AZ37">
        <v>2.0538657388239601E-4</v>
      </c>
      <c r="BA37">
        <v>0</v>
      </c>
      <c r="BB37">
        <v>3.1174955556213601E-4</v>
      </c>
      <c r="BC37">
        <v>0</v>
      </c>
      <c r="BD37">
        <v>0</v>
      </c>
      <c r="BE37">
        <v>0</v>
      </c>
      <c r="BF37">
        <v>3.1174955556213601E-4</v>
      </c>
      <c r="BG37">
        <v>4.68995355051147E-4</v>
      </c>
      <c r="BH37">
        <v>2.6511488031956501E-3</v>
      </c>
      <c r="BI37">
        <v>0</v>
      </c>
      <c r="BJ37">
        <v>3.1201441582467998E-3</v>
      </c>
      <c r="BK37">
        <v>1.05746260126084E-4</v>
      </c>
      <c r="BL37">
        <v>4.45556488184978E-6</v>
      </c>
      <c r="BM37">
        <v>0</v>
      </c>
      <c r="BN37">
        <v>1.10201825007934E-4</v>
      </c>
      <c r="BO37">
        <v>1.38640617505925E-3</v>
      </c>
      <c r="BP37">
        <v>1.03958891621234</v>
      </c>
      <c r="BQ37">
        <f t="shared" si="0"/>
        <v>23.352655985837128</v>
      </c>
    </row>
    <row r="38" spans="1:69" x14ac:dyDescent="0.25">
      <c r="A38" t="s">
        <v>12</v>
      </c>
      <c r="B38">
        <v>2024</v>
      </c>
      <c r="C38" t="s">
        <v>2427</v>
      </c>
      <c r="D38" t="s">
        <v>11</v>
      </c>
      <c r="E38" t="s">
        <v>11</v>
      </c>
      <c r="F38" t="s">
        <v>13</v>
      </c>
      <c r="G38">
        <v>385.66362474087299</v>
      </c>
      <c r="H38">
        <v>21579.429960678499</v>
      </c>
      <c r="I38">
        <v>21579.429960678499</v>
      </c>
      <c r="J38">
        <v>0</v>
      </c>
      <c r="K38">
        <v>7716.3578038153901</v>
      </c>
      <c r="L38">
        <v>0</v>
      </c>
      <c r="M38">
        <v>1.49648945458384E-2</v>
      </c>
      <c r="N38">
        <v>2.7542820911127E-5</v>
      </c>
      <c r="O38">
        <v>3.47667991302417E-3</v>
      </c>
      <c r="P38">
        <v>1.8469117279773701E-2</v>
      </c>
      <c r="Q38">
        <v>2.3507526990187E-5</v>
      </c>
      <c r="R38">
        <v>0</v>
      </c>
      <c r="S38">
        <v>2.7131886842187799E-6</v>
      </c>
      <c r="T38">
        <v>2.6220715674405799E-5</v>
      </c>
      <c r="U38">
        <v>7.1361749195900004E-5</v>
      </c>
      <c r="V38">
        <v>3.7329345923589298E-4</v>
      </c>
      <c r="W38">
        <v>4.70875924106199E-4</v>
      </c>
      <c r="X38">
        <v>2.55665804491815E-5</v>
      </c>
      <c r="Y38">
        <v>0</v>
      </c>
      <c r="Z38">
        <v>2.95084024779998E-6</v>
      </c>
      <c r="AA38">
        <v>2.8517420696981502E-5</v>
      </c>
      <c r="AB38">
        <v>2.8544699678360001E-4</v>
      </c>
      <c r="AC38">
        <v>1.06655274067398E-3</v>
      </c>
      <c r="AD38">
        <v>1.3805171581545599E-3</v>
      </c>
      <c r="AE38">
        <v>42.488308437386102</v>
      </c>
      <c r="AF38">
        <v>0.16243192957649999</v>
      </c>
      <c r="AG38">
        <v>0.27240164183618898</v>
      </c>
      <c r="AH38">
        <v>42.923142008798798</v>
      </c>
      <c r="AI38">
        <v>4.2989336126305098E-4</v>
      </c>
      <c r="AJ38">
        <v>8.3905343366430697E-5</v>
      </c>
      <c r="AK38">
        <v>3.1456856674397802E-4</v>
      </c>
      <c r="AL38">
        <v>8.2836727137346102E-4</v>
      </c>
      <c r="AM38">
        <v>6.8761870496566004E-4</v>
      </c>
      <c r="AN38">
        <v>2.2728722637497099E-6</v>
      </c>
      <c r="AO38">
        <v>2.6337320902825799E-4</v>
      </c>
      <c r="AP38">
        <v>9.5326478625766802E-4</v>
      </c>
      <c r="AQ38">
        <v>2.1416639777680001E-3</v>
      </c>
      <c r="AR38">
        <v>3.1550184478149599E-4</v>
      </c>
      <c r="AS38">
        <v>1.6618148791231601E-3</v>
      </c>
      <c r="AT38">
        <v>4.1189807016726596E-3</v>
      </c>
      <c r="AU38">
        <v>1.57786469374108E-3</v>
      </c>
      <c r="AV38">
        <v>3.5260093922644998E-4</v>
      </c>
      <c r="AW38">
        <v>1.6549687404333901E-3</v>
      </c>
      <c r="AX38">
        <v>7.7044150750735898E-3</v>
      </c>
      <c r="AY38">
        <v>3.1251110489804198E-3</v>
      </c>
      <c r="AZ38">
        <v>4.60379551290732E-4</v>
      </c>
      <c r="BA38">
        <v>1.8194781163382199E-3</v>
      </c>
      <c r="BB38">
        <v>5.4049687166093704E-3</v>
      </c>
      <c r="BC38">
        <v>1.57786469374108E-3</v>
      </c>
      <c r="BD38">
        <v>3.52600939226304E-4</v>
      </c>
      <c r="BE38">
        <v>1.6549687404327101E-3</v>
      </c>
      <c r="BF38">
        <v>8.9904030900094696E-3</v>
      </c>
      <c r="BG38">
        <v>4.8948025462306297E-2</v>
      </c>
      <c r="BH38">
        <v>2.44439360515565E-3</v>
      </c>
      <c r="BI38">
        <v>3.5178516762812397E-2</v>
      </c>
      <c r="BJ38">
        <v>8.6570935830274295E-2</v>
      </c>
      <c r="BK38">
        <v>4.2004018533708698E-4</v>
      </c>
      <c r="BL38">
        <v>1.6058049923196999E-6</v>
      </c>
      <c r="BM38">
        <v>2.6929675558069501E-6</v>
      </c>
      <c r="BN38">
        <v>4.2433895788521398E-4</v>
      </c>
      <c r="BO38">
        <v>1.0675606889464101E-3</v>
      </c>
      <c r="BP38">
        <v>4.5261916936084097</v>
      </c>
      <c r="BQ38">
        <f t="shared" si="0"/>
        <v>19.091765292809772</v>
      </c>
    </row>
    <row r="39" spans="1:69" x14ac:dyDescent="0.25">
      <c r="A39" t="s">
        <v>12</v>
      </c>
      <c r="B39">
        <v>2024</v>
      </c>
      <c r="C39" t="s">
        <v>2427</v>
      </c>
      <c r="D39" t="s">
        <v>11</v>
      </c>
      <c r="E39" t="s">
        <v>11</v>
      </c>
      <c r="F39" t="s">
        <v>2384</v>
      </c>
      <c r="G39">
        <v>0.597666589767339</v>
      </c>
      <c r="H39">
        <v>66.982931678841794</v>
      </c>
      <c r="I39">
        <v>0</v>
      </c>
      <c r="J39">
        <v>66.982931678841794</v>
      </c>
      <c r="K39">
        <v>11.9581131280649</v>
      </c>
      <c r="L39">
        <v>74.253022256748693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2.21508129713419E-7</v>
      </c>
      <c r="V39">
        <v>5.7935971257819897E-7</v>
      </c>
      <c r="W39">
        <v>8.0086784229161804E-7</v>
      </c>
      <c r="X39">
        <v>0</v>
      </c>
      <c r="Y39">
        <v>0</v>
      </c>
      <c r="Z39">
        <v>0</v>
      </c>
      <c r="AA39">
        <v>0</v>
      </c>
      <c r="AB39">
        <v>8.8603251885367599E-7</v>
      </c>
      <c r="AC39">
        <v>1.6553134645091401E-6</v>
      </c>
      <c r="AD39">
        <v>2.5413459833628098E-6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 t="e">
        <f t="shared" si="0"/>
        <v>#DIV/0!</v>
      </c>
    </row>
    <row r="40" spans="1:69" x14ac:dyDescent="0.25">
      <c r="A40" t="s">
        <v>12</v>
      </c>
      <c r="B40">
        <v>2024</v>
      </c>
      <c r="C40" t="s">
        <v>2426</v>
      </c>
      <c r="D40" t="s">
        <v>11</v>
      </c>
      <c r="E40" t="s">
        <v>11</v>
      </c>
      <c r="F40" t="s">
        <v>10</v>
      </c>
      <c r="G40">
        <v>0</v>
      </c>
      <c r="H40">
        <v>24242.990136848399</v>
      </c>
      <c r="I40">
        <v>24242.990136848399</v>
      </c>
      <c r="J40">
        <v>0</v>
      </c>
      <c r="K40">
        <v>0</v>
      </c>
      <c r="L40">
        <v>0</v>
      </c>
      <c r="M40">
        <v>8.1347616813765594E-2</v>
      </c>
      <c r="N40">
        <v>0</v>
      </c>
      <c r="O40">
        <v>0</v>
      </c>
      <c r="P40">
        <v>8.1347616813765594E-2</v>
      </c>
      <c r="Q40">
        <v>1.2649395472507101E-4</v>
      </c>
      <c r="R40">
        <v>0</v>
      </c>
      <c r="S40">
        <v>0</v>
      </c>
      <c r="T40">
        <v>1.2649395472507101E-4</v>
      </c>
      <c r="U40">
        <v>0</v>
      </c>
      <c r="V40">
        <v>0</v>
      </c>
      <c r="W40">
        <v>1.2649395472507101E-4</v>
      </c>
      <c r="X40">
        <v>1.3221345004912701E-4</v>
      </c>
      <c r="Y40">
        <v>0</v>
      </c>
      <c r="Z40">
        <v>0</v>
      </c>
      <c r="AA40">
        <v>1.3221345004912701E-4</v>
      </c>
      <c r="AB40">
        <v>0</v>
      </c>
      <c r="AC40">
        <v>0</v>
      </c>
      <c r="AD40">
        <v>1.3221345004912701E-4</v>
      </c>
      <c r="AE40">
        <v>55.197025047372399</v>
      </c>
      <c r="AF40">
        <v>0</v>
      </c>
      <c r="AG40">
        <v>0</v>
      </c>
      <c r="AH40">
        <v>55.197025047372399</v>
      </c>
      <c r="AI40">
        <v>2.76652658197862E-5</v>
      </c>
      <c r="AJ40">
        <v>0</v>
      </c>
      <c r="AK40">
        <v>0</v>
      </c>
      <c r="AL40">
        <v>2.76652658197862E-5</v>
      </c>
      <c r="AM40">
        <v>8.6963137746029207E-3</v>
      </c>
      <c r="AN40">
        <v>0</v>
      </c>
      <c r="AO40">
        <v>0</v>
      </c>
      <c r="AP40">
        <v>8.6963137746029207E-3</v>
      </c>
      <c r="AQ40">
        <v>5.9562558668124104E-4</v>
      </c>
      <c r="AR40">
        <v>0</v>
      </c>
      <c r="AS40">
        <v>0</v>
      </c>
      <c r="AT40">
        <v>5.9562558668124104E-4</v>
      </c>
      <c r="AU40">
        <v>0</v>
      </c>
      <c r="AV40">
        <v>0</v>
      </c>
      <c r="AW40">
        <v>0</v>
      </c>
      <c r="AX40">
        <v>5.9562558668124104E-4</v>
      </c>
      <c r="AY40">
        <v>6.7807439064935702E-4</v>
      </c>
      <c r="AZ40">
        <v>0</v>
      </c>
      <c r="BA40">
        <v>0</v>
      </c>
      <c r="BB40">
        <v>6.7807439064935702E-4</v>
      </c>
      <c r="BC40">
        <v>0</v>
      </c>
      <c r="BD40">
        <v>0</v>
      </c>
      <c r="BE40">
        <v>0</v>
      </c>
      <c r="BF40">
        <v>6.7807439064935702E-4</v>
      </c>
      <c r="BG40">
        <v>6.8812965189718996E-3</v>
      </c>
      <c r="BH40">
        <v>0</v>
      </c>
      <c r="BI40">
        <v>0</v>
      </c>
      <c r="BJ40">
        <v>6.8812965189718996E-3</v>
      </c>
      <c r="BK40">
        <v>5.2268281997754995E-4</v>
      </c>
      <c r="BL40">
        <v>0</v>
      </c>
      <c r="BM40">
        <v>0</v>
      </c>
      <c r="BN40">
        <v>5.2268281997754995E-4</v>
      </c>
      <c r="BO40">
        <v>5.8764346973360602E-3</v>
      </c>
      <c r="BP40">
        <v>4.93072838225822</v>
      </c>
      <c r="BQ40">
        <f t="shared" si="0"/>
        <v>23.352286358303949</v>
      </c>
    </row>
    <row r="41" spans="1:69" x14ac:dyDescent="0.25">
      <c r="A41" t="s">
        <v>12</v>
      </c>
      <c r="B41">
        <v>2024</v>
      </c>
      <c r="C41" t="s">
        <v>2426</v>
      </c>
      <c r="D41" t="s">
        <v>11</v>
      </c>
      <c r="E41" t="s">
        <v>11</v>
      </c>
      <c r="F41" t="s">
        <v>2384</v>
      </c>
      <c r="G41">
        <v>0</v>
      </c>
      <c r="H41">
        <v>94.684693040488597</v>
      </c>
      <c r="I41">
        <v>0</v>
      </c>
      <c r="J41">
        <v>94.684693040488597</v>
      </c>
      <c r="K41">
        <v>0</v>
      </c>
      <c r="L41">
        <v>196.14111867569099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 t="e">
        <f t="shared" si="0"/>
        <v>#DIV/0!</v>
      </c>
    </row>
    <row r="42" spans="1:69" x14ac:dyDescent="0.25">
      <c r="A42" t="s">
        <v>12</v>
      </c>
      <c r="B42">
        <v>2024</v>
      </c>
      <c r="C42" t="s">
        <v>2425</v>
      </c>
      <c r="D42" t="s">
        <v>11</v>
      </c>
      <c r="E42" t="s">
        <v>11</v>
      </c>
      <c r="F42" t="s">
        <v>13</v>
      </c>
      <c r="G42">
        <v>185.829267587429</v>
      </c>
      <c r="H42">
        <v>12380.581660727399</v>
      </c>
      <c r="I42">
        <v>12380.581660727399</v>
      </c>
      <c r="J42">
        <v>0</v>
      </c>
      <c r="K42">
        <v>743.31707034971703</v>
      </c>
      <c r="L42">
        <v>0</v>
      </c>
      <c r="M42">
        <v>1.3535166492119799E-2</v>
      </c>
      <c r="N42">
        <v>1.87152394734399E-4</v>
      </c>
      <c r="O42">
        <v>5.9022756440700705E-4</v>
      </c>
      <c r="P42">
        <v>1.4312546451261199E-2</v>
      </c>
      <c r="Q42">
        <v>1.8054183509196801E-5</v>
      </c>
      <c r="R42">
        <v>0</v>
      </c>
      <c r="S42">
        <v>5.0339198383854605E-7</v>
      </c>
      <c r="T42">
        <v>1.85575754930354E-5</v>
      </c>
      <c r="U42">
        <v>2.72945104012037E-5</v>
      </c>
      <c r="V42">
        <v>2.14548406179602E-4</v>
      </c>
      <c r="W42">
        <v>2.6040049207384103E-4</v>
      </c>
      <c r="X42">
        <v>1.9635571845768801E-5</v>
      </c>
      <c r="Y42">
        <v>0</v>
      </c>
      <c r="Z42">
        <v>5.4748471234995195E-7</v>
      </c>
      <c r="AA42">
        <v>2.0183056558118801E-5</v>
      </c>
      <c r="AB42">
        <v>1.09178041604814E-4</v>
      </c>
      <c r="AC42">
        <v>6.1299544622743496E-4</v>
      </c>
      <c r="AD42">
        <v>7.4235654439036905E-4</v>
      </c>
      <c r="AE42">
        <v>11.3602201666982</v>
      </c>
      <c r="AF42">
        <v>0.54117793882858101</v>
      </c>
      <c r="AG42">
        <v>5.2191726847643997E-2</v>
      </c>
      <c r="AH42">
        <v>11.953589832374499</v>
      </c>
      <c r="AI42">
        <v>3.2882731681557498E-4</v>
      </c>
      <c r="AJ42">
        <v>5.0521723194368396E-4</v>
      </c>
      <c r="AK42">
        <v>7.1283602105888302E-5</v>
      </c>
      <c r="AL42">
        <v>9.0532815086514801E-4</v>
      </c>
      <c r="AM42">
        <v>6.2448412811812995E-4</v>
      </c>
      <c r="AN42">
        <v>1.65392756140712E-5</v>
      </c>
      <c r="AO42">
        <v>5.0903271706547801E-5</v>
      </c>
      <c r="AP42">
        <v>6.9192667543874903E-4</v>
      </c>
      <c r="AQ42">
        <v>1.6053230376890299E-3</v>
      </c>
      <c r="AR42">
        <v>2.1412517099492598E-3</v>
      </c>
      <c r="AS42">
        <v>4.07687591860357E-4</v>
      </c>
      <c r="AT42">
        <v>4.1542623394986503E-3</v>
      </c>
      <c r="AU42">
        <v>7.8083375057818899E-4</v>
      </c>
      <c r="AV42">
        <v>1.9013660763628101E-4</v>
      </c>
      <c r="AW42">
        <v>5.3059442047414705E-4</v>
      </c>
      <c r="AX42">
        <v>5.6558271181872703E-3</v>
      </c>
      <c r="AY42">
        <v>2.34248360823308E-3</v>
      </c>
      <c r="AZ42">
        <v>3.12450946874706E-3</v>
      </c>
      <c r="BA42">
        <v>4.4636659655131899E-4</v>
      </c>
      <c r="BB42">
        <v>5.9133596735314702E-3</v>
      </c>
      <c r="BC42">
        <v>7.8083375057818899E-4</v>
      </c>
      <c r="BD42">
        <v>1.90136607636203E-4</v>
      </c>
      <c r="BE42">
        <v>5.3059442047392804E-4</v>
      </c>
      <c r="BF42">
        <v>7.4149244522197901E-3</v>
      </c>
      <c r="BG42">
        <v>3.7533965028159498E-2</v>
      </c>
      <c r="BH42">
        <v>1.6612123867271001E-2</v>
      </c>
      <c r="BI42">
        <v>1.0765396797302301E-2</v>
      </c>
      <c r="BJ42">
        <v>6.4911485692732904E-2</v>
      </c>
      <c r="BK42">
        <v>1.12307341943774E-4</v>
      </c>
      <c r="BL42">
        <v>5.3500948869473201E-6</v>
      </c>
      <c r="BM42">
        <v>5.1596835516419299E-7</v>
      </c>
      <c r="BN42">
        <v>1.18173405185885E-4</v>
      </c>
      <c r="BO42">
        <v>6.1412630801075004E-4</v>
      </c>
      <c r="BP42">
        <v>1.26049111216053</v>
      </c>
      <c r="BQ42">
        <f t="shared" si="0"/>
        <v>19.306355043348837</v>
      </c>
    </row>
    <row r="43" spans="1:69" x14ac:dyDescent="0.25">
      <c r="A43" t="s">
        <v>12</v>
      </c>
      <c r="B43">
        <v>2024</v>
      </c>
      <c r="C43" t="s">
        <v>2425</v>
      </c>
      <c r="D43" t="s">
        <v>11</v>
      </c>
      <c r="E43" t="s">
        <v>11</v>
      </c>
      <c r="F43" t="s">
        <v>10</v>
      </c>
      <c r="G43">
        <v>1052.7331584973899</v>
      </c>
      <c r="H43">
        <v>23573.3585902669</v>
      </c>
      <c r="I43">
        <v>23573.3585902669</v>
      </c>
      <c r="J43">
        <v>0</v>
      </c>
      <c r="K43">
        <v>15243.5761350422</v>
      </c>
      <c r="L43">
        <v>0</v>
      </c>
      <c r="M43">
        <v>0.117838888071293</v>
      </c>
      <c r="N43">
        <v>2.82554458700442E-2</v>
      </c>
      <c r="O43">
        <v>7.6296999416060997E-3</v>
      </c>
      <c r="P43">
        <v>0.15372403388294301</v>
      </c>
      <c r="Q43">
        <v>6.4926130248988496E-4</v>
      </c>
      <c r="R43">
        <v>2.8294555285398399E-5</v>
      </c>
      <c r="S43">
        <v>0</v>
      </c>
      <c r="T43">
        <v>6.77555857775284E-4</v>
      </c>
      <c r="U43">
        <v>7.7955539432491793E-5</v>
      </c>
      <c r="V43">
        <v>4.0851283505405702E-4</v>
      </c>
      <c r="W43">
        <v>1.16402423226183E-3</v>
      </c>
      <c r="X43">
        <v>6.7861801753411801E-4</v>
      </c>
      <c r="Y43">
        <v>2.9573909520174499E-5</v>
      </c>
      <c r="Z43">
        <v>0</v>
      </c>
      <c r="AA43">
        <v>7.0819192705429297E-4</v>
      </c>
      <c r="AB43">
        <v>3.1182215772996701E-4</v>
      </c>
      <c r="AC43">
        <v>1.1671795287258699E-3</v>
      </c>
      <c r="AD43">
        <v>2.1871936135101299E-3</v>
      </c>
      <c r="AE43">
        <v>29.9150154024979</v>
      </c>
      <c r="AF43">
        <v>2.61809281680687</v>
      </c>
      <c r="AG43">
        <v>0</v>
      </c>
      <c r="AH43">
        <v>32.5331082193048</v>
      </c>
      <c r="AI43">
        <v>8.0977602122862604E-5</v>
      </c>
      <c r="AJ43">
        <v>9.2275783787950595E-6</v>
      </c>
      <c r="AK43">
        <v>0</v>
      </c>
      <c r="AL43">
        <v>9.0205180501657696E-5</v>
      </c>
      <c r="AM43">
        <v>4.7131228592289E-3</v>
      </c>
      <c r="AN43">
        <v>4.1248158947780801E-4</v>
      </c>
      <c r="AO43">
        <v>0</v>
      </c>
      <c r="AP43">
        <v>5.1256044487067104E-3</v>
      </c>
      <c r="AQ43">
        <v>1.7434255678820999E-3</v>
      </c>
      <c r="AR43">
        <v>1.9866723209238299E-4</v>
      </c>
      <c r="AS43">
        <v>0</v>
      </c>
      <c r="AT43">
        <v>1.94209279997448E-3</v>
      </c>
      <c r="AU43">
        <v>0</v>
      </c>
      <c r="AV43">
        <v>0</v>
      </c>
      <c r="AW43">
        <v>0</v>
      </c>
      <c r="AX43">
        <v>1.94209279997448E-3</v>
      </c>
      <c r="AY43">
        <v>1.9847572972328002E-3</v>
      </c>
      <c r="AZ43">
        <v>2.2616752093145001E-4</v>
      </c>
      <c r="BA43">
        <v>0</v>
      </c>
      <c r="BB43">
        <v>2.2109248181642598E-3</v>
      </c>
      <c r="BC43">
        <v>0</v>
      </c>
      <c r="BD43">
        <v>0</v>
      </c>
      <c r="BE43">
        <v>0</v>
      </c>
      <c r="BF43">
        <v>2.2109248181642598E-3</v>
      </c>
      <c r="BG43">
        <v>5.3004557510171703E-3</v>
      </c>
      <c r="BH43">
        <v>4.9128976630552204E-3</v>
      </c>
      <c r="BI43">
        <v>0</v>
      </c>
      <c r="BJ43">
        <v>1.0213353414072399E-2</v>
      </c>
      <c r="BK43">
        <v>2.8327730700757699E-4</v>
      </c>
      <c r="BL43">
        <v>2.47917733841115E-5</v>
      </c>
      <c r="BM43">
        <v>0</v>
      </c>
      <c r="BN43">
        <v>3.0806908039168897E-4</v>
      </c>
      <c r="BO43">
        <v>3.49894682647215E-3</v>
      </c>
      <c r="BP43">
        <v>2.9061696698750001</v>
      </c>
      <c r="BQ43">
        <f t="shared" si="0"/>
        <v>23.353705263737979</v>
      </c>
    </row>
    <row r="44" spans="1:69" x14ac:dyDescent="0.25">
      <c r="A44" t="s">
        <v>12</v>
      </c>
      <c r="B44">
        <v>2024</v>
      </c>
      <c r="C44" t="s">
        <v>2425</v>
      </c>
      <c r="D44" t="s">
        <v>11</v>
      </c>
      <c r="E44" t="s">
        <v>11</v>
      </c>
      <c r="F44" t="s">
        <v>2384</v>
      </c>
      <c r="G44">
        <v>3.2887818307838099</v>
      </c>
      <c r="H44">
        <v>85.315645310071005</v>
      </c>
      <c r="I44">
        <v>0</v>
      </c>
      <c r="J44">
        <v>85.315645310071005</v>
      </c>
      <c r="K44">
        <v>44.186651082274103</v>
      </c>
      <c r="L44">
        <v>89.876243478509593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2.5847113968630999E-7</v>
      </c>
      <c r="V44">
        <v>7.3923569283999901E-7</v>
      </c>
      <c r="W44">
        <v>9.9770683252630901E-7</v>
      </c>
      <c r="X44">
        <v>0</v>
      </c>
      <c r="Y44">
        <v>0</v>
      </c>
      <c r="Z44">
        <v>0</v>
      </c>
      <c r="AA44">
        <v>0</v>
      </c>
      <c r="AB44">
        <v>1.03388455874524E-6</v>
      </c>
      <c r="AC44">
        <v>2.11210197954285E-6</v>
      </c>
      <c r="AD44">
        <v>3.14598653828809E-6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 t="e">
        <f t="shared" si="0"/>
        <v>#DIV/0!</v>
      </c>
    </row>
    <row r="45" spans="1:69" x14ac:dyDescent="0.25">
      <c r="A45" t="s">
        <v>12</v>
      </c>
      <c r="B45">
        <v>2024</v>
      </c>
      <c r="C45" t="s">
        <v>2425</v>
      </c>
      <c r="D45" t="s">
        <v>11</v>
      </c>
      <c r="E45" t="s">
        <v>11</v>
      </c>
      <c r="F45" t="s">
        <v>2382</v>
      </c>
      <c r="G45">
        <v>168.94400109383699</v>
      </c>
      <c r="H45">
        <v>4279.5027714318703</v>
      </c>
      <c r="I45">
        <v>4279.5027714318703</v>
      </c>
      <c r="J45">
        <v>0</v>
      </c>
      <c r="K45">
        <v>2446.3091358387601</v>
      </c>
      <c r="L45">
        <v>0</v>
      </c>
      <c r="M45">
        <v>1.6640193515286099E-3</v>
      </c>
      <c r="N45">
        <v>9.5984576087267896E-4</v>
      </c>
      <c r="O45">
        <v>0</v>
      </c>
      <c r="P45">
        <v>2.6238651124012901E-3</v>
      </c>
      <c r="Q45">
        <v>1.59368173267857E-5</v>
      </c>
      <c r="R45">
        <v>2.6337706778032599E-6</v>
      </c>
      <c r="S45">
        <v>0</v>
      </c>
      <c r="T45">
        <v>1.8570588004588901E-5</v>
      </c>
      <c r="U45">
        <v>1.4152032930409701E-5</v>
      </c>
      <c r="V45">
        <v>7.4161337812132702E-5</v>
      </c>
      <c r="W45">
        <v>1.06883958747131E-4</v>
      </c>
      <c r="X45">
        <v>1.7332742932051602E-5</v>
      </c>
      <c r="Y45">
        <v>2.86446591965464E-6</v>
      </c>
      <c r="Z45">
        <v>0</v>
      </c>
      <c r="AA45">
        <v>2.01972088517062E-5</v>
      </c>
      <c r="AB45">
        <v>5.6608131721638897E-5</v>
      </c>
      <c r="AC45">
        <v>2.1188953660609299E-4</v>
      </c>
      <c r="AD45">
        <v>2.8869487717943801E-4</v>
      </c>
      <c r="AE45">
        <v>5.6394492765270101</v>
      </c>
      <c r="AF45">
        <v>0.79526768764395495</v>
      </c>
      <c r="AG45">
        <v>0</v>
      </c>
      <c r="AH45">
        <v>6.4347169641709598</v>
      </c>
      <c r="AI45">
        <v>1.33906873896867E-2</v>
      </c>
      <c r="AJ45">
        <v>2.5727265697010901E-3</v>
      </c>
      <c r="AK45">
        <v>0</v>
      </c>
      <c r="AL45">
        <v>1.5963413959387801E-2</v>
      </c>
      <c r="AM45">
        <v>1.1496386268775799E-3</v>
      </c>
      <c r="AN45">
        <v>1.6212052056724E-4</v>
      </c>
      <c r="AO45">
        <v>0</v>
      </c>
      <c r="AP45">
        <v>1.31175914744482E-3</v>
      </c>
      <c r="AQ45">
        <v>1.9132650115929401E-4</v>
      </c>
      <c r="AR45">
        <v>3.6759186343157503E-5</v>
      </c>
      <c r="AS45">
        <v>0</v>
      </c>
      <c r="AT45">
        <v>2.2808568750245199E-4</v>
      </c>
      <c r="AU45">
        <v>0</v>
      </c>
      <c r="AV45">
        <v>0</v>
      </c>
      <c r="AW45">
        <v>0</v>
      </c>
      <c r="AX45">
        <v>2.2808568750245199E-4</v>
      </c>
      <c r="AY45">
        <v>1.3666178654235301E-2</v>
      </c>
      <c r="AZ45">
        <v>2.6256561673683901E-3</v>
      </c>
      <c r="BA45">
        <v>0</v>
      </c>
      <c r="BB45">
        <v>1.62918348216037E-2</v>
      </c>
      <c r="BC45">
        <v>0</v>
      </c>
      <c r="BD45">
        <v>0</v>
      </c>
      <c r="BE45">
        <v>0</v>
      </c>
      <c r="BF45">
        <v>1.62918348216037E-2</v>
      </c>
      <c r="BG45">
        <v>4.1675752433476099E-2</v>
      </c>
      <c r="BH45">
        <v>5.0332269602055002E-3</v>
      </c>
      <c r="BI45">
        <v>0</v>
      </c>
      <c r="BJ45">
        <v>4.6708979393681599E-2</v>
      </c>
      <c r="BK45">
        <v>0</v>
      </c>
      <c r="BL45">
        <v>0</v>
      </c>
      <c r="BM45">
        <v>0</v>
      </c>
      <c r="BN45">
        <v>0</v>
      </c>
      <c r="BO45">
        <v>5.0003835355718904E-3</v>
      </c>
      <c r="BP45">
        <v>0.74375513885920697</v>
      </c>
      <c r="BQ45">
        <f t="shared" si="0"/>
        <v>19.463950116680834</v>
      </c>
    </row>
    <row r="46" spans="1:69" x14ac:dyDescent="0.25">
      <c r="A46" t="s">
        <v>12</v>
      </c>
      <c r="B46">
        <v>2024</v>
      </c>
      <c r="C46" t="s">
        <v>2424</v>
      </c>
      <c r="D46" t="s">
        <v>11</v>
      </c>
      <c r="E46" t="s">
        <v>11</v>
      </c>
      <c r="F46" t="s">
        <v>10</v>
      </c>
      <c r="G46">
        <v>24.700030195675598</v>
      </c>
      <c r="H46">
        <v>1681.9428363289901</v>
      </c>
      <c r="I46">
        <v>1681.9428363289901</v>
      </c>
      <c r="J46">
        <v>0</v>
      </c>
      <c r="K46">
        <v>567.60669389662701</v>
      </c>
      <c r="L46">
        <v>0</v>
      </c>
      <c r="M46">
        <v>8.02041581686081E-4</v>
      </c>
      <c r="N46">
        <v>7.9708875139723306E-5</v>
      </c>
      <c r="O46">
        <v>3.6988743424890501E-4</v>
      </c>
      <c r="P46">
        <v>1.25163789107471E-3</v>
      </c>
      <c r="Q46">
        <v>1.52539782637937E-5</v>
      </c>
      <c r="R46">
        <v>6.6421354272467401E-8</v>
      </c>
      <c r="S46">
        <v>0</v>
      </c>
      <c r="T46">
        <v>1.5320399618066102E-5</v>
      </c>
      <c r="U46">
        <v>5.5620738383391103E-6</v>
      </c>
      <c r="V46">
        <v>2.7457794261916401E-5</v>
      </c>
      <c r="W46">
        <v>4.8340267718321702E-5</v>
      </c>
      <c r="X46">
        <v>1.5943695472356401E-5</v>
      </c>
      <c r="Y46">
        <v>6.9424633172274094E-8</v>
      </c>
      <c r="Z46">
        <v>0</v>
      </c>
      <c r="AA46">
        <v>1.6013120105528602E-5</v>
      </c>
      <c r="AB46">
        <v>2.2248295353356401E-5</v>
      </c>
      <c r="AC46">
        <v>7.8450840748332806E-5</v>
      </c>
      <c r="AD46">
        <v>1.16712256207217E-4</v>
      </c>
      <c r="AE46">
        <v>2.0923180650131599</v>
      </c>
      <c r="AF46">
        <v>1.6101769486855402E-2</v>
      </c>
      <c r="AG46">
        <v>0</v>
      </c>
      <c r="AH46">
        <v>2.1084198345000198</v>
      </c>
      <c r="AI46">
        <v>8.7460747817570098E-7</v>
      </c>
      <c r="AJ46">
        <v>6.8730866087975699E-8</v>
      </c>
      <c r="AK46">
        <v>0</v>
      </c>
      <c r="AL46">
        <v>9.4333834426367702E-7</v>
      </c>
      <c r="AM46">
        <v>3.2964556321664801E-4</v>
      </c>
      <c r="AN46">
        <v>2.53684033992494E-6</v>
      </c>
      <c r="AO46">
        <v>0</v>
      </c>
      <c r="AP46">
        <v>3.3218240355657302E-4</v>
      </c>
      <c r="AQ46">
        <v>1.88300591686932E-5</v>
      </c>
      <c r="AR46">
        <v>1.4797566993728799E-6</v>
      </c>
      <c r="AS46">
        <v>0</v>
      </c>
      <c r="AT46">
        <v>2.0309815868066101E-5</v>
      </c>
      <c r="AU46">
        <v>0</v>
      </c>
      <c r="AV46">
        <v>0</v>
      </c>
      <c r="AW46">
        <v>0</v>
      </c>
      <c r="AX46">
        <v>2.0309815868066101E-5</v>
      </c>
      <c r="AY46">
        <v>2.14365889951872E-5</v>
      </c>
      <c r="AZ46">
        <v>1.68459036124912E-6</v>
      </c>
      <c r="BA46">
        <v>0</v>
      </c>
      <c r="BB46">
        <v>2.31211793564363E-5</v>
      </c>
      <c r="BC46">
        <v>0</v>
      </c>
      <c r="BD46">
        <v>0</v>
      </c>
      <c r="BE46">
        <v>0</v>
      </c>
      <c r="BF46">
        <v>2.31211793564363E-5</v>
      </c>
      <c r="BG46">
        <v>7.3849195782121598E-5</v>
      </c>
      <c r="BH46">
        <v>5.72005763806123E-5</v>
      </c>
      <c r="BI46">
        <v>0</v>
      </c>
      <c r="BJ46">
        <v>1.31049772162733E-4</v>
      </c>
      <c r="BK46">
        <v>1.9813000892212199E-5</v>
      </c>
      <c r="BL46">
        <v>1.5247412835737001E-7</v>
      </c>
      <c r="BM46">
        <v>0</v>
      </c>
      <c r="BN46">
        <v>1.9965475020569601E-5</v>
      </c>
      <c r="BO46">
        <v>4.0522374129663298E-4</v>
      </c>
      <c r="BP46">
        <v>0.188344308606543</v>
      </c>
      <c r="BQ46">
        <f t="shared" si="0"/>
        <v>23.352252755402585</v>
      </c>
    </row>
    <row r="47" spans="1:69" x14ac:dyDescent="0.25">
      <c r="A47" t="s">
        <v>12</v>
      </c>
      <c r="B47">
        <v>2024</v>
      </c>
      <c r="C47" t="s">
        <v>2424</v>
      </c>
      <c r="D47" t="s">
        <v>11</v>
      </c>
      <c r="E47" t="s">
        <v>11</v>
      </c>
      <c r="F47" t="s">
        <v>2384</v>
      </c>
      <c r="G47">
        <v>0.136868975466856</v>
      </c>
      <c r="H47">
        <v>10.380733879667901</v>
      </c>
      <c r="I47">
        <v>0</v>
      </c>
      <c r="J47">
        <v>10.380733879667901</v>
      </c>
      <c r="K47">
        <v>3.1452490562283599</v>
      </c>
      <c r="L47">
        <v>11.2764201795286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3.43284011131325E-8</v>
      </c>
      <c r="V47">
        <v>8.4732979325783296E-8</v>
      </c>
      <c r="W47">
        <v>1.19061380438915E-7</v>
      </c>
      <c r="X47">
        <v>0</v>
      </c>
      <c r="Y47">
        <v>0</v>
      </c>
      <c r="Z47">
        <v>0</v>
      </c>
      <c r="AA47">
        <v>0</v>
      </c>
      <c r="AB47">
        <v>1.3731360445253E-7</v>
      </c>
      <c r="AC47">
        <v>2.42094226645095E-7</v>
      </c>
      <c r="AD47">
        <v>3.7940783109762499E-7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 t="e">
        <f t="shared" si="0"/>
        <v>#DIV/0!</v>
      </c>
    </row>
    <row r="48" spans="1:69" x14ac:dyDescent="0.25">
      <c r="A48" t="s">
        <v>12</v>
      </c>
      <c r="B48">
        <v>2024</v>
      </c>
      <c r="C48" t="s">
        <v>2423</v>
      </c>
      <c r="D48" t="s">
        <v>11</v>
      </c>
      <c r="E48" t="s">
        <v>11</v>
      </c>
      <c r="F48" t="s">
        <v>10</v>
      </c>
      <c r="G48">
        <v>32.931092394382901</v>
      </c>
      <c r="H48">
        <v>2309.1114512453501</v>
      </c>
      <c r="I48">
        <v>2309.1114512453501</v>
      </c>
      <c r="J48">
        <v>0</v>
      </c>
      <c r="K48">
        <v>756.75650322292097</v>
      </c>
      <c r="L48">
        <v>0</v>
      </c>
      <c r="M48">
        <v>1.0123406913312399E-3</v>
      </c>
      <c r="N48">
        <v>1.04132173795199E-4</v>
      </c>
      <c r="O48">
        <v>4.9888774972812002E-4</v>
      </c>
      <c r="P48">
        <v>1.61536061485456E-3</v>
      </c>
      <c r="Q48">
        <v>1.7012327416447201E-5</v>
      </c>
      <c r="R48">
        <v>3.2803175161906198E-8</v>
      </c>
      <c r="S48">
        <v>0</v>
      </c>
      <c r="T48">
        <v>1.7045130591609101E-5</v>
      </c>
      <c r="U48">
        <v>7.6360790125383294E-6</v>
      </c>
      <c r="V48">
        <v>3.7696350783546002E-5</v>
      </c>
      <c r="W48">
        <v>6.23775603876935E-5</v>
      </c>
      <c r="X48">
        <v>1.7781549371134099E-5</v>
      </c>
      <c r="Y48">
        <v>3.4286389180793599E-8</v>
      </c>
      <c r="Z48">
        <v>0</v>
      </c>
      <c r="AA48">
        <v>1.7815835760314899E-5</v>
      </c>
      <c r="AB48">
        <v>3.0544316050153297E-5</v>
      </c>
      <c r="AC48">
        <v>1.0770385938156E-4</v>
      </c>
      <c r="AD48">
        <v>1.5606401119202799E-4</v>
      </c>
      <c r="AE48">
        <v>2.8727787949488501</v>
      </c>
      <c r="AF48">
        <v>2.1593475351407002E-2</v>
      </c>
      <c r="AG48">
        <v>0</v>
      </c>
      <c r="AH48">
        <v>2.8943722703002499</v>
      </c>
      <c r="AI48">
        <v>8.3590097082364598E-7</v>
      </c>
      <c r="AJ48">
        <v>8.4272835381761098E-8</v>
      </c>
      <c r="AK48">
        <v>0</v>
      </c>
      <c r="AL48">
        <v>9.2017380620540703E-7</v>
      </c>
      <c r="AM48">
        <v>4.5260746905217698E-4</v>
      </c>
      <c r="AN48">
        <v>3.4020608353226602E-6</v>
      </c>
      <c r="AO48">
        <v>0</v>
      </c>
      <c r="AP48">
        <v>4.5600952988749998E-4</v>
      </c>
      <c r="AQ48">
        <v>1.7996718679571301E-5</v>
      </c>
      <c r="AR48">
        <v>1.8143710363214199E-6</v>
      </c>
      <c r="AS48">
        <v>0</v>
      </c>
      <c r="AT48">
        <v>1.9811089715892702E-5</v>
      </c>
      <c r="AU48">
        <v>0</v>
      </c>
      <c r="AV48">
        <v>0</v>
      </c>
      <c r="AW48">
        <v>0</v>
      </c>
      <c r="AX48">
        <v>1.9811089715892702E-5</v>
      </c>
      <c r="AY48">
        <v>2.0487894283273799E-5</v>
      </c>
      <c r="AZ48">
        <v>2.06552331259048E-6</v>
      </c>
      <c r="BA48">
        <v>0</v>
      </c>
      <c r="BB48">
        <v>2.25534175958643E-5</v>
      </c>
      <c r="BC48">
        <v>0</v>
      </c>
      <c r="BD48">
        <v>0</v>
      </c>
      <c r="BE48">
        <v>0</v>
      </c>
      <c r="BF48">
        <v>2.25534175958643E-5</v>
      </c>
      <c r="BG48">
        <v>8.3051568531291098E-5</v>
      </c>
      <c r="BH48">
        <v>7.5608980411898406E-5</v>
      </c>
      <c r="BI48">
        <v>0</v>
      </c>
      <c r="BJ48">
        <v>1.58660548943189E-4</v>
      </c>
      <c r="BK48">
        <v>2.72034972976692E-5</v>
      </c>
      <c r="BL48">
        <v>2.0447729891425399E-7</v>
      </c>
      <c r="BM48">
        <v>0</v>
      </c>
      <c r="BN48">
        <v>2.7407974596583399E-5</v>
      </c>
      <c r="BO48">
        <v>5.5918480799774305E-4</v>
      </c>
      <c r="BP48">
        <v>0.258553128356869</v>
      </c>
      <c r="BQ48">
        <f t="shared" si="0"/>
        <v>23.352171864978537</v>
      </c>
    </row>
    <row r="49" spans="1:69" x14ac:dyDescent="0.25">
      <c r="A49" t="s">
        <v>12</v>
      </c>
      <c r="B49">
        <v>2024</v>
      </c>
      <c r="C49" t="s">
        <v>2423</v>
      </c>
      <c r="D49" t="s">
        <v>11</v>
      </c>
      <c r="E49" t="s">
        <v>11</v>
      </c>
      <c r="F49" t="s">
        <v>2384</v>
      </c>
      <c r="G49">
        <v>0.15673278263830401</v>
      </c>
      <c r="H49">
        <v>12.4521670971393</v>
      </c>
      <c r="I49">
        <v>0</v>
      </c>
      <c r="J49">
        <v>12.4521670971393</v>
      </c>
      <c r="K49">
        <v>3.6017193450282399</v>
      </c>
      <c r="L49">
        <v>13.5265839545378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4.1178493909336398E-8</v>
      </c>
      <c r="V49">
        <v>1.0164110066145401E-7</v>
      </c>
      <c r="W49">
        <v>1.4281959457079101E-7</v>
      </c>
      <c r="X49">
        <v>0</v>
      </c>
      <c r="Y49">
        <v>0</v>
      </c>
      <c r="Z49">
        <v>0</v>
      </c>
      <c r="AA49">
        <v>0</v>
      </c>
      <c r="AB49">
        <v>1.6471397563734501E-7</v>
      </c>
      <c r="AC49">
        <v>2.90403144747014E-7</v>
      </c>
      <c r="AD49">
        <v>4.5511712038435999E-7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 t="e">
        <f t="shared" si="0"/>
        <v>#DIV/0!</v>
      </c>
    </row>
    <row r="50" spans="1:69" x14ac:dyDescent="0.25">
      <c r="A50" t="s">
        <v>12</v>
      </c>
      <c r="B50">
        <v>2024</v>
      </c>
      <c r="C50" t="s">
        <v>2422</v>
      </c>
      <c r="D50" t="s">
        <v>11</v>
      </c>
      <c r="E50" t="s">
        <v>11</v>
      </c>
      <c r="F50" t="s">
        <v>10</v>
      </c>
      <c r="G50">
        <v>108.02630853886799</v>
      </c>
      <c r="H50">
        <v>6013.9581536902297</v>
      </c>
      <c r="I50">
        <v>6013.9581536902297</v>
      </c>
      <c r="J50">
        <v>0</v>
      </c>
      <c r="K50">
        <v>2482.4445702231801</v>
      </c>
      <c r="L50">
        <v>0</v>
      </c>
      <c r="M50">
        <v>2.3955565369197102E-3</v>
      </c>
      <c r="N50">
        <v>3.4357807069745899E-4</v>
      </c>
      <c r="O50">
        <v>1.6319725312750101E-3</v>
      </c>
      <c r="P50">
        <v>4.3711071388921798E-3</v>
      </c>
      <c r="Q50">
        <v>4.6953712847080602E-5</v>
      </c>
      <c r="R50">
        <v>2.0335091590350499E-7</v>
      </c>
      <c r="S50">
        <v>0</v>
      </c>
      <c r="T50">
        <v>4.7157063762984099E-5</v>
      </c>
      <c r="U50">
        <v>1.98877622883514E-5</v>
      </c>
      <c r="V50">
        <v>9.8178143820995499E-5</v>
      </c>
      <c r="W50">
        <v>1.6522296987233099E-4</v>
      </c>
      <c r="X50">
        <v>4.9076751388010597E-5</v>
      </c>
      <c r="Y50">
        <v>2.12545541964336E-7</v>
      </c>
      <c r="Z50">
        <v>0</v>
      </c>
      <c r="AA50">
        <v>4.92892969299749E-5</v>
      </c>
      <c r="AB50">
        <v>7.95510491534056E-5</v>
      </c>
      <c r="AC50">
        <v>2.8050898234570099E-4</v>
      </c>
      <c r="AD50">
        <v>4.0934932842908199E-4</v>
      </c>
      <c r="AE50">
        <v>7.35387989585813</v>
      </c>
      <c r="AF50">
        <v>6.8717591073429105E-2</v>
      </c>
      <c r="AG50">
        <v>0</v>
      </c>
      <c r="AH50">
        <v>7.4225974869315596</v>
      </c>
      <c r="AI50">
        <v>2.5318632263700002E-6</v>
      </c>
      <c r="AJ50">
        <v>2.8768485137975098E-7</v>
      </c>
      <c r="AK50">
        <v>0</v>
      </c>
      <c r="AL50">
        <v>2.81954807774975E-6</v>
      </c>
      <c r="AM50">
        <v>1.1586067723802201E-3</v>
      </c>
      <c r="AN50">
        <v>1.08264844581119E-5</v>
      </c>
      <c r="AO50">
        <v>0</v>
      </c>
      <c r="AP50">
        <v>1.16943325683833E-3</v>
      </c>
      <c r="AQ50">
        <v>5.4510320971676197E-5</v>
      </c>
      <c r="AR50">
        <v>6.1937759607506897E-6</v>
      </c>
      <c r="AS50">
        <v>0</v>
      </c>
      <c r="AT50">
        <v>6.0704096932426902E-5</v>
      </c>
      <c r="AU50">
        <v>0</v>
      </c>
      <c r="AV50">
        <v>0</v>
      </c>
      <c r="AW50">
        <v>0</v>
      </c>
      <c r="AX50">
        <v>6.0704096932426902E-5</v>
      </c>
      <c r="AY50">
        <v>6.2055851030373994E-5</v>
      </c>
      <c r="AZ50">
        <v>7.0511424531066599E-6</v>
      </c>
      <c r="BA50">
        <v>0</v>
      </c>
      <c r="BB50">
        <v>6.9106993483480702E-5</v>
      </c>
      <c r="BC50">
        <v>0</v>
      </c>
      <c r="BD50">
        <v>0</v>
      </c>
      <c r="BE50">
        <v>0</v>
      </c>
      <c r="BF50">
        <v>6.9106993483480702E-5</v>
      </c>
      <c r="BG50">
        <v>2.28399653700637E-4</v>
      </c>
      <c r="BH50">
        <v>2.4964314611823402E-4</v>
      </c>
      <c r="BI50">
        <v>0</v>
      </c>
      <c r="BJ50">
        <v>4.7804279981887099E-4</v>
      </c>
      <c r="BK50">
        <v>6.9636845073524798E-5</v>
      </c>
      <c r="BL50">
        <v>6.5071449509277195E-7</v>
      </c>
      <c r="BM50">
        <v>0</v>
      </c>
      <c r="BN50">
        <v>7.0287559568617597E-5</v>
      </c>
      <c r="BO50">
        <v>1.4516289332535499E-3</v>
      </c>
      <c r="BP50">
        <v>0.66305769319055397</v>
      </c>
      <c r="BQ50">
        <f t="shared" si="0"/>
        <v>23.352210557083044</v>
      </c>
    </row>
    <row r="51" spans="1:69" x14ac:dyDescent="0.25">
      <c r="A51" t="s">
        <v>12</v>
      </c>
      <c r="B51">
        <v>2024</v>
      </c>
      <c r="C51" t="s">
        <v>2422</v>
      </c>
      <c r="D51" t="s">
        <v>11</v>
      </c>
      <c r="E51" t="s">
        <v>11</v>
      </c>
      <c r="F51" t="s">
        <v>2384</v>
      </c>
      <c r="G51">
        <v>0.92423933283454096</v>
      </c>
      <c r="H51">
        <v>52.354001608086698</v>
      </c>
      <c r="I51">
        <v>0</v>
      </c>
      <c r="J51">
        <v>52.354001608086698</v>
      </c>
      <c r="K51">
        <v>21.239019868537699</v>
      </c>
      <c r="L51">
        <v>56.871289357374998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1.7313122443106799E-7</v>
      </c>
      <c r="V51">
        <v>4.2734074366059502E-7</v>
      </c>
      <c r="W51">
        <v>6.0047196809166397E-7</v>
      </c>
      <c r="X51">
        <v>0</v>
      </c>
      <c r="Y51">
        <v>0</v>
      </c>
      <c r="Z51">
        <v>0</v>
      </c>
      <c r="AA51">
        <v>0</v>
      </c>
      <c r="AB51">
        <v>6.9252489772427303E-7</v>
      </c>
      <c r="AC51">
        <v>1.2209735533159801E-6</v>
      </c>
      <c r="AD51">
        <v>1.9134984510402599E-6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 t="e">
        <f t="shared" si="0"/>
        <v>#DIV/0!</v>
      </c>
    </row>
    <row r="52" spans="1:69" x14ac:dyDescent="0.25">
      <c r="A52" t="s">
        <v>12</v>
      </c>
      <c r="B52">
        <v>2024</v>
      </c>
      <c r="C52" t="s">
        <v>2421</v>
      </c>
      <c r="D52" t="s">
        <v>11</v>
      </c>
      <c r="E52" t="s">
        <v>11</v>
      </c>
      <c r="F52" t="s">
        <v>10</v>
      </c>
      <c r="G52">
        <v>181.98038854111201</v>
      </c>
      <c r="H52">
        <v>37902.785778804697</v>
      </c>
      <c r="I52">
        <v>37902.785778804697</v>
      </c>
      <c r="J52">
        <v>0</v>
      </c>
      <c r="K52">
        <v>4181.9093286747602</v>
      </c>
      <c r="L52">
        <v>0</v>
      </c>
      <c r="M52">
        <v>1.7342201492993099E-2</v>
      </c>
      <c r="N52">
        <v>5.6645942107150498E-4</v>
      </c>
      <c r="O52">
        <v>2.7071168358371498E-3</v>
      </c>
      <c r="P52">
        <v>2.0615777749901799E-2</v>
      </c>
      <c r="Q52">
        <v>2.7835669866755198E-4</v>
      </c>
      <c r="R52">
        <v>1.3679237688917801E-7</v>
      </c>
      <c r="S52">
        <v>0</v>
      </c>
      <c r="T52">
        <v>2.7849349104444099E-4</v>
      </c>
      <c r="U52">
        <v>1.2534200843626299E-4</v>
      </c>
      <c r="V52">
        <v>6.1876472338346603E-4</v>
      </c>
      <c r="W52">
        <v>1.0226002228641701E-3</v>
      </c>
      <c r="X52">
        <v>2.9094275339174198E-4</v>
      </c>
      <c r="Y52">
        <v>1.4297752116492399E-7</v>
      </c>
      <c r="Z52">
        <v>0</v>
      </c>
      <c r="AA52">
        <v>2.9108573091290698E-4</v>
      </c>
      <c r="AB52">
        <v>5.0136803374505295E-4</v>
      </c>
      <c r="AC52">
        <v>1.7678992096670401E-3</v>
      </c>
      <c r="AD52">
        <v>2.5603529743250001E-3</v>
      </c>
      <c r="AE52">
        <v>43.622414834348298</v>
      </c>
      <c r="AF52">
        <v>0.11718433694205101</v>
      </c>
      <c r="AG52">
        <v>0</v>
      </c>
      <c r="AH52">
        <v>43.739599171290301</v>
      </c>
      <c r="AI52">
        <v>1.2369514889150601E-5</v>
      </c>
      <c r="AJ52">
        <v>4.60344570969039E-7</v>
      </c>
      <c r="AK52">
        <v>0</v>
      </c>
      <c r="AL52">
        <v>1.28298594601196E-5</v>
      </c>
      <c r="AM52">
        <v>6.8727292219065801E-3</v>
      </c>
      <c r="AN52">
        <v>1.84624400072696E-5</v>
      </c>
      <c r="AO52">
        <v>0</v>
      </c>
      <c r="AP52">
        <v>6.8911916619138498E-3</v>
      </c>
      <c r="AQ52">
        <v>2.6631226357287901E-4</v>
      </c>
      <c r="AR52">
        <v>9.9110923764504396E-6</v>
      </c>
      <c r="AS52">
        <v>0</v>
      </c>
      <c r="AT52">
        <v>2.7622335594932999E-4</v>
      </c>
      <c r="AU52">
        <v>0</v>
      </c>
      <c r="AV52">
        <v>0</v>
      </c>
      <c r="AW52">
        <v>0</v>
      </c>
      <c r="AX52">
        <v>2.7622335594932999E-4</v>
      </c>
      <c r="AY52">
        <v>3.0317624004502498E-4</v>
      </c>
      <c r="AZ52">
        <v>1.12830242254647E-5</v>
      </c>
      <c r="BA52">
        <v>0</v>
      </c>
      <c r="BB52">
        <v>3.1445926427048999E-4</v>
      </c>
      <c r="BC52">
        <v>0</v>
      </c>
      <c r="BD52">
        <v>0</v>
      </c>
      <c r="BE52">
        <v>0</v>
      </c>
      <c r="BF52">
        <v>3.1445926427048999E-4</v>
      </c>
      <c r="BG52">
        <v>1.35929269431878E-3</v>
      </c>
      <c r="BH52">
        <v>4.18047635907404E-4</v>
      </c>
      <c r="BI52">
        <v>0</v>
      </c>
      <c r="BJ52">
        <v>1.77734033022618E-3</v>
      </c>
      <c r="BK52">
        <v>4.1307818275131998E-4</v>
      </c>
      <c r="BL52">
        <v>1.10966559588136E-6</v>
      </c>
      <c r="BM52">
        <v>0</v>
      </c>
      <c r="BN52">
        <v>4.1418784834720102E-4</v>
      </c>
      <c r="BO52">
        <v>9.1917446511318498E-3</v>
      </c>
      <c r="BP52">
        <v>3.9072410673833202</v>
      </c>
      <c r="BQ52">
        <f t="shared" si="0"/>
        <v>23.352156501889084</v>
      </c>
    </row>
    <row r="53" spans="1:69" x14ac:dyDescent="0.25">
      <c r="A53" t="s">
        <v>12</v>
      </c>
      <c r="B53">
        <v>2024</v>
      </c>
      <c r="C53" t="s">
        <v>2421</v>
      </c>
      <c r="D53" t="s">
        <v>11</v>
      </c>
      <c r="E53" t="s">
        <v>11</v>
      </c>
      <c r="F53" t="s">
        <v>2384</v>
      </c>
      <c r="G53">
        <v>0.75043367357022395</v>
      </c>
      <c r="H53">
        <v>148.19029886420901</v>
      </c>
      <c r="I53">
        <v>0</v>
      </c>
      <c r="J53">
        <v>148.19029886420901</v>
      </c>
      <c r="K53">
        <v>17.244965818643699</v>
      </c>
      <c r="L53">
        <v>160.97668005878899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4.9005552781286301E-7</v>
      </c>
      <c r="V53">
        <v>1.2096067267976499E-6</v>
      </c>
      <c r="W53">
        <v>1.6996622546105201E-6</v>
      </c>
      <c r="X53">
        <v>0</v>
      </c>
      <c r="Y53">
        <v>0</v>
      </c>
      <c r="Z53">
        <v>0</v>
      </c>
      <c r="AA53">
        <v>0</v>
      </c>
      <c r="AB53">
        <v>1.9602221112514499E-6</v>
      </c>
      <c r="AC53">
        <v>3.4560192194218698E-6</v>
      </c>
      <c r="AD53">
        <v>5.4162413306733299E-6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 t="e">
        <f t="shared" si="0"/>
        <v>#DIV/0!</v>
      </c>
    </row>
    <row r="54" spans="1:69" x14ac:dyDescent="0.25">
      <c r="A54" t="s">
        <v>12</v>
      </c>
      <c r="B54">
        <v>2024</v>
      </c>
      <c r="C54" t="s">
        <v>2420</v>
      </c>
      <c r="D54" t="s">
        <v>11</v>
      </c>
      <c r="E54" t="s">
        <v>11</v>
      </c>
      <c r="F54" t="s">
        <v>10</v>
      </c>
      <c r="G54">
        <v>178.635996312191</v>
      </c>
      <c r="H54">
        <v>6063.8724531050702</v>
      </c>
      <c r="I54">
        <v>6063.8724531050702</v>
      </c>
      <c r="J54">
        <v>0</v>
      </c>
      <c r="K54">
        <v>2549.1356673749701</v>
      </c>
      <c r="L54">
        <v>0</v>
      </c>
      <c r="M54">
        <v>1.00961097370687E-2</v>
      </c>
      <c r="N54">
        <v>2.2814701924941099E-3</v>
      </c>
      <c r="O54">
        <v>4.1940410215273501E-3</v>
      </c>
      <c r="P54">
        <v>1.6571620951090101E-2</v>
      </c>
      <c r="Q54">
        <v>1.8521537094339801E-4</v>
      </c>
      <c r="R54">
        <v>7.6581160646185808E-6</v>
      </c>
      <c r="S54">
        <v>0</v>
      </c>
      <c r="T54">
        <v>1.9287348700801701E-4</v>
      </c>
      <c r="U54">
        <v>2.0052825579270499E-5</v>
      </c>
      <c r="V54">
        <v>1.11273277105277E-4</v>
      </c>
      <c r="W54">
        <v>3.2419958969256502E-4</v>
      </c>
      <c r="X54">
        <v>1.93589988136422E-4</v>
      </c>
      <c r="Y54">
        <v>8.0043820906738808E-6</v>
      </c>
      <c r="Z54">
        <v>0</v>
      </c>
      <c r="AA54">
        <v>2.01594370227096E-4</v>
      </c>
      <c r="AB54">
        <v>8.0211302317082197E-5</v>
      </c>
      <c r="AC54">
        <v>3.1792364887222202E-4</v>
      </c>
      <c r="AD54">
        <v>5.99729321416401E-4</v>
      </c>
      <c r="AE54">
        <v>7.7840496609053202</v>
      </c>
      <c r="AF54">
        <v>0.40531155588610501</v>
      </c>
      <c r="AG54">
        <v>0</v>
      </c>
      <c r="AH54">
        <v>8.1893612167914291</v>
      </c>
      <c r="AI54">
        <v>2.10886545359711E-5</v>
      </c>
      <c r="AJ54">
        <v>2.4124680119063201E-6</v>
      </c>
      <c r="AK54">
        <v>0</v>
      </c>
      <c r="AL54">
        <v>2.35011225478775E-5</v>
      </c>
      <c r="AM54">
        <v>1.2263801940453701E-3</v>
      </c>
      <c r="AN54">
        <v>6.3857000688588206E-5</v>
      </c>
      <c r="AO54">
        <v>0</v>
      </c>
      <c r="AP54">
        <v>1.2902371947339599E-3</v>
      </c>
      <c r="AQ54">
        <v>4.5403294919083102E-4</v>
      </c>
      <c r="AR54">
        <v>5.1939774745042898E-5</v>
      </c>
      <c r="AS54">
        <v>0</v>
      </c>
      <c r="AT54">
        <v>5.0597272393587396E-4</v>
      </c>
      <c r="AU54">
        <v>0</v>
      </c>
      <c r="AV54">
        <v>0</v>
      </c>
      <c r="AW54">
        <v>0</v>
      </c>
      <c r="AX54">
        <v>5.0597272393587396E-4</v>
      </c>
      <c r="AY54">
        <v>5.1688195108055997E-4</v>
      </c>
      <c r="AZ54">
        <v>5.9129479824643399E-5</v>
      </c>
      <c r="BA54">
        <v>0</v>
      </c>
      <c r="BB54">
        <v>5.7601143090520298E-4</v>
      </c>
      <c r="BC54">
        <v>0</v>
      </c>
      <c r="BD54">
        <v>0</v>
      </c>
      <c r="BE54">
        <v>0</v>
      </c>
      <c r="BF54">
        <v>5.7601143090520298E-4</v>
      </c>
      <c r="BG54">
        <v>1.5179787595398201E-3</v>
      </c>
      <c r="BH54">
        <v>1.4613486375245101E-3</v>
      </c>
      <c r="BI54">
        <v>0</v>
      </c>
      <c r="BJ54">
        <v>2.9793273970643301E-3</v>
      </c>
      <c r="BK54">
        <v>7.3710295511677504E-5</v>
      </c>
      <c r="BL54">
        <v>3.8380580623361504E-6</v>
      </c>
      <c r="BM54">
        <v>0</v>
      </c>
      <c r="BN54">
        <v>7.7548353574013597E-5</v>
      </c>
      <c r="BO54">
        <v>1.3977972885443699E-3</v>
      </c>
      <c r="BP54">
        <v>0.73155239344045797</v>
      </c>
      <c r="BQ54">
        <f t="shared" si="0"/>
        <v>23.353765851544988</v>
      </c>
    </row>
    <row r="55" spans="1:69" x14ac:dyDescent="0.25">
      <c r="A55" t="s">
        <v>12</v>
      </c>
      <c r="B55">
        <v>2024</v>
      </c>
      <c r="C55" t="s">
        <v>2420</v>
      </c>
      <c r="D55" t="s">
        <v>11</v>
      </c>
      <c r="E55" t="s">
        <v>11</v>
      </c>
      <c r="F55" t="s">
        <v>2384</v>
      </c>
      <c r="G55">
        <v>0.62730284429230598</v>
      </c>
      <c r="H55">
        <v>24.519979771067501</v>
      </c>
      <c r="I55">
        <v>0</v>
      </c>
      <c r="J55">
        <v>24.519979771067501</v>
      </c>
      <c r="K55">
        <v>8.9516115880512004</v>
      </c>
      <c r="L55">
        <v>26.194181405995099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8.1085953136214297E-8</v>
      </c>
      <c r="V55">
        <v>2.2497327613517699E-7</v>
      </c>
      <c r="W55">
        <v>3.0605922927139098E-7</v>
      </c>
      <c r="X55">
        <v>0</v>
      </c>
      <c r="Y55">
        <v>0</v>
      </c>
      <c r="Z55">
        <v>0</v>
      </c>
      <c r="AA55">
        <v>0</v>
      </c>
      <c r="AB55">
        <v>3.2434381254485698E-7</v>
      </c>
      <c r="AC55">
        <v>6.4278078895764898E-7</v>
      </c>
      <c r="AD55">
        <v>9.671246015025059E-7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 t="e">
        <f t="shared" si="0"/>
        <v>#DIV/0!</v>
      </c>
    </row>
    <row r="56" spans="1:69" x14ac:dyDescent="0.25">
      <c r="A56" t="s">
        <v>12</v>
      </c>
      <c r="B56">
        <v>2024</v>
      </c>
      <c r="C56" t="s">
        <v>2419</v>
      </c>
      <c r="D56" t="s">
        <v>11</v>
      </c>
      <c r="E56" t="s">
        <v>11</v>
      </c>
      <c r="F56" t="s">
        <v>10</v>
      </c>
      <c r="G56">
        <v>139.564174629772</v>
      </c>
      <c r="H56">
        <v>4827.9292307687701</v>
      </c>
      <c r="I56">
        <v>4827.9292307687701</v>
      </c>
      <c r="J56">
        <v>0</v>
      </c>
      <c r="K56">
        <v>1991.5807719668501</v>
      </c>
      <c r="L56">
        <v>0</v>
      </c>
      <c r="M56">
        <v>4.6626191175670002E-3</v>
      </c>
      <c r="N56">
        <v>1.62113586754858E-3</v>
      </c>
      <c r="O56">
        <v>3.3980379578739798E-3</v>
      </c>
      <c r="P56">
        <v>9.6817929429895699E-3</v>
      </c>
      <c r="Q56">
        <v>6.6254986895032593E-5</v>
      </c>
      <c r="R56">
        <v>2.64061484421569E-6</v>
      </c>
      <c r="S56">
        <v>0</v>
      </c>
      <c r="T56">
        <v>6.8895601739248297E-5</v>
      </c>
      <c r="U56">
        <v>1.5965642998327401E-5</v>
      </c>
      <c r="V56">
        <v>8.8593470805098395E-5</v>
      </c>
      <c r="W56">
        <v>1.7345471554267399E-4</v>
      </c>
      <c r="X56">
        <v>6.9250743400275897E-5</v>
      </c>
      <c r="Y56">
        <v>2.7600117299162998E-6</v>
      </c>
      <c r="Z56">
        <v>0</v>
      </c>
      <c r="AA56">
        <v>7.2010755130192205E-5</v>
      </c>
      <c r="AB56">
        <v>6.3862571993309901E-5</v>
      </c>
      <c r="AC56">
        <v>2.5312420230028099E-4</v>
      </c>
      <c r="AD56">
        <v>3.88997529423783E-4</v>
      </c>
      <c r="AE56">
        <v>6.2884000661917998</v>
      </c>
      <c r="AF56">
        <v>0.31234938325607498</v>
      </c>
      <c r="AG56">
        <v>0</v>
      </c>
      <c r="AH56">
        <v>6.6007494494478696</v>
      </c>
      <c r="AI56">
        <v>7.6867434564605493E-6</v>
      </c>
      <c r="AJ56">
        <v>1.4637389008538301E-6</v>
      </c>
      <c r="AK56">
        <v>0</v>
      </c>
      <c r="AL56">
        <v>9.1504823573143798E-6</v>
      </c>
      <c r="AM56">
        <v>9.90739991311197E-4</v>
      </c>
      <c r="AN56">
        <v>4.9210772532891002E-5</v>
      </c>
      <c r="AO56">
        <v>0</v>
      </c>
      <c r="AP56">
        <v>1.03995076384408E-3</v>
      </c>
      <c r="AQ56">
        <v>1.6549347874503299E-4</v>
      </c>
      <c r="AR56">
        <v>3.15138971462794E-5</v>
      </c>
      <c r="AS56">
        <v>0</v>
      </c>
      <c r="AT56">
        <v>1.97007375891313E-4</v>
      </c>
      <c r="AU56">
        <v>0</v>
      </c>
      <c r="AV56">
        <v>0</v>
      </c>
      <c r="AW56">
        <v>0</v>
      </c>
      <c r="AX56">
        <v>1.97007375891313E-4</v>
      </c>
      <c r="AY56">
        <v>1.88401727974348E-4</v>
      </c>
      <c r="AZ56">
        <v>3.5876173022576599E-5</v>
      </c>
      <c r="BA56">
        <v>0</v>
      </c>
      <c r="BB56">
        <v>2.2427790099692501E-4</v>
      </c>
      <c r="BC56">
        <v>0</v>
      </c>
      <c r="BD56">
        <v>0</v>
      </c>
      <c r="BE56">
        <v>0</v>
      </c>
      <c r="BF56">
        <v>2.2427790099692501E-4</v>
      </c>
      <c r="BG56">
        <v>6.5847840902316396E-4</v>
      </c>
      <c r="BH56">
        <v>1.10759209488482E-3</v>
      </c>
      <c r="BI56">
        <v>0</v>
      </c>
      <c r="BJ56">
        <v>1.76607050390798E-3</v>
      </c>
      <c r="BK56">
        <v>5.9547388231942502E-5</v>
      </c>
      <c r="BL56">
        <v>2.9577618778986299E-6</v>
      </c>
      <c r="BM56">
        <v>0</v>
      </c>
      <c r="BN56">
        <v>6.2505150109841195E-5</v>
      </c>
      <c r="BO56">
        <v>1.1451073827227799E-3</v>
      </c>
      <c r="BP56">
        <v>0.589642333561187</v>
      </c>
      <c r="BQ56">
        <f t="shared" si="0"/>
        <v>23.352839219847596</v>
      </c>
    </row>
    <row r="57" spans="1:69" x14ac:dyDescent="0.25">
      <c r="A57" t="s">
        <v>12</v>
      </c>
      <c r="B57">
        <v>2024</v>
      </c>
      <c r="C57" t="s">
        <v>2419</v>
      </c>
      <c r="D57" t="s">
        <v>11</v>
      </c>
      <c r="E57" t="s">
        <v>11</v>
      </c>
      <c r="F57" t="s">
        <v>2384</v>
      </c>
      <c r="G57">
        <v>0.381643537725254</v>
      </c>
      <c r="H57">
        <v>14.842132230684699</v>
      </c>
      <c r="I57">
        <v>0</v>
      </c>
      <c r="J57">
        <v>14.842132230684699</v>
      </c>
      <c r="K57">
        <v>5.4460532833393804</v>
      </c>
      <c r="L57">
        <v>15.855539349223401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4.9081950708575201E-8</v>
      </c>
      <c r="V57">
        <v>1.3617805332403301E-7</v>
      </c>
      <c r="W57">
        <v>1.8526000403260801E-7</v>
      </c>
      <c r="X57">
        <v>0</v>
      </c>
      <c r="Y57">
        <v>0</v>
      </c>
      <c r="Z57">
        <v>0</v>
      </c>
      <c r="AA57">
        <v>0</v>
      </c>
      <c r="AB57">
        <v>1.9632780283430001E-7</v>
      </c>
      <c r="AC57">
        <v>3.8908015235438001E-7</v>
      </c>
      <c r="AD57">
        <v>5.8540795518868103E-7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 t="e">
        <f t="shared" si="0"/>
        <v>#DIV/0!</v>
      </c>
    </row>
    <row r="58" spans="1:69" x14ac:dyDescent="0.25">
      <c r="A58" t="s">
        <v>12</v>
      </c>
      <c r="B58">
        <v>2024</v>
      </c>
      <c r="C58" t="s">
        <v>2418</v>
      </c>
      <c r="D58" t="s">
        <v>11</v>
      </c>
      <c r="E58" t="s">
        <v>11</v>
      </c>
      <c r="F58" t="s">
        <v>10</v>
      </c>
      <c r="G58">
        <v>537.71976273884195</v>
      </c>
      <c r="H58">
        <v>18446.971340243701</v>
      </c>
      <c r="I58">
        <v>18446.971340243701</v>
      </c>
      <c r="J58">
        <v>0</v>
      </c>
      <c r="K58">
        <v>7673.26101428328</v>
      </c>
      <c r="L58">
        <v>0</v>
      </c>
      <c r="M58">
        <v>2.5176945147770999E-2</v>
      </c>
      <c r="N58">
        <v>6.5618552274854299E-3</v>
      </c>
      <c r="O58">
        <v>1.29042968854143E-2</v>
      </c>
      <c r="P58">
        <v>4.4643097260670797E-2</v>
      </c>
      <c r="Q58">
        <v>3.7421488560034403E-4</v>
      </c>
      <c r="R58">
        <v>1.46863402203458E-5</v>
      </c>
      <c r="S58">
        <v>0</v>
      </c>
      <c r="T58">
        <v>3.8890122582068998E-4</v>
      </c>
      <c r="U58">
        <v>6.1002915482216798E-5</v>
      </c>
      <c r="V58">
        <v>3.38505628139487E-4</v>
      </c>
      <c r="W58">
        <v>7.8840976944239403E-4</v>
      </c>
      <c r="X58">
        <v>3.9113522217322998E-4</v>
      </c>
      <c r="Y58">
        <v>1.53503913554403E-5</v>
      </c>
      <c r="Z58">
        <v>0</v>
      </c>
      <c r="AA58">
        <v>4.06485613528671E-4</v>
      </c>
      <c r="AB58">
        <v>2.44011661928867E-4</v>
      </c>
      <c r="AC58">
        <v>9.6715893754139302E-4</v>
      </c>
      <c r="AD58">
        <v>1.61765621299893E-3</v>
      </c>
      <c r="AE58">
        <v>23.657464292226798</v>
      </c>
      <c r="AF58">
        <v>1.2152135705012701</v>
      </c>
      <c r="AG58">
        <v>0</v>
      </c>
      <c r="AH58">
        <v>24.8726778627281</v>
      </c>
      <c r="AI58">
        <v>4.5365975480831802E-5</v>
      </c>
      <c r="AJ58">
        <v>6.1876629399552799E-6</v>
      </c>
      <c r="AK58">
        <v>0</v>
      </c>
      <c r="AL58">
        <v>5.1553638420787101E-5</v>
      </c>
      <c r="AM58">
        <v>3.7272431334859101E-3</v>
      </c>
      <c r="AN58">
        <v>1.9145739291501399E-4</v>
      </c>
      <c r="AO58">
        <v>0</v>
      </c>
      <c r="AP58">
        <v>3.9187005264009296E-3</v>
      </c>
      <c r="AQ58">
        <v>9.7671701176323903E-4</v>
      </c>
      <c r="AR58">
        <v>1.3321868630522001E-4</v>
      </c>
      <c r="AS58">
        <v>0</v>
      </c>
      <c r="AT58">
        <v>1.1099356980684601E-3</v>
      </c>
      <c r="AU58">
        <v>0</v>
      </c>
      <c r="AV58">
        <v>0</v>
      </c>
      <c r="AW58">
        <v>0</v>
      </c>
      <c r="AX58">
        <v>1.1099356980684601E-3</v>
      </c>
      <c r="AY58">
        <v>1.11191796893482E-3</v>
      </c>
      <c r="AZ58">
        <v>1.51659333580414E-4</v>
      </c>
      <c r="BA58">
        <v>0</v>
      </c>
      <c r="BB58">
        <v>1.26357730251523E-3</v>
      </c>
      <c r="BC58">
        <v>0</v>
      </c>
      <c r="BD58">
        <v>0</v>
      </c>
      <c r="BE58">
        <v>0</v>
      </c>
      <c r="BF58">
        <v>1.26357730251523E-3</v>
      </c>
      <c r="BG58">
        <v>3.5430874233822701E-3</v>
      </c>
      <c r="BH58">
        <v>4.3003562831235298E-3</v>
      </c>
      <c r="BI58">
        <v>0</v>
      </c>
      <c r="BJ58">
        <v>7.8434437065058003E-3</v>
      </c>
      <c r="BK58">
        <v>2.24022039940863E-4</v>
      </c>
      <c r="BL58">
        <v>1.15073458281395E-5</v>
      </c>
      <c r="BM58">
        <v>0</v>
      </c>
      <c r="BN58">
        <v>2.3552938576900301E-4</v>
      </c>
      <c r="BO58">
        <v>4.3208793619019499E-3</v>
      </c>
      <c r="BP58">
        <v>2.2218664606518899</v>
      </c>
      <c r="BQ58">
        <f t="shared" si="0"/>
        <v>23.353267995535258</v>
      </c>
    </row>
    <row r="59" spans="1:69" x14ac:dyDescent="0.25">
      <c r="A59" t="s">
        <v>12</v>
      </c>
      <c r="B59">
        <v>2024</v>
      </c>
      <c r="C59" t="s">
        <v>2418</v>
      </c>
      <c r="D59" t="s">
        <v>11</v>
      </c>
      <c r="E59" t="s">
        <v>11</v>
      </c>
      <c r="F59" t="s">
        <v>2384</v>
      </c>
      <c r="G59">
        <v>1.84822517341013</v>
      </c>
      <c r="H59">
        <v>72.478776372111994</v>
      </c>
      <c r="I59">
        <v>0</v>
      </c>
      <c r="J59">
        <v>72.478776372111994</v>
      </c>
      <c r="K59">
        <v>26.3741732245626</v>
      </c>
      <c r="L59">
        <v>77.427560467069696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2.39682524991878E-7</v>
      </c>
      <c r="V59">
        <v>6.6500004987536795E-7</v>
      </c>
      <c r="W59">
        <v>9.04682574867246E-7</v>
      </c>
      <c r="X59">
        <v>0</v>
      </c>
      <c r="Y59">
        <v>0</v>
      </c>
      <c r="Z59">
        <v>0</v>
      </c>
      <c r="AA59">
        <v>0</v>
      </c>
      <c r="AB59">
        <v>9.58730099967512E-7</v>
      </c>
      <c r="AC59">
        <v>1.90000014250105E-6</v>
      </c>
      <c r="AD59">
        <v>2.8587302424685601E-6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 t="e">
        <f t="shared" si="0"/>
        <v>#DIV/0!</v>
      </c>
    </row>
    <row r="60" spans="1:69" x14ac:dyDescent="0.25">
      <c r="A60" t="s">
        <v>12</v>
      </c>
      <c r="B60">
        <v>2024</v>
      </c>
      <c r="C60" t="s">
        <v>2417</v>
      </c>
      <c r="D60" t="s">
        <v>11</v>
      </c>
      <c r="E60" t="s">
        <v>11</v>
      </c>
      <c r="F60" t="s">
        <v>10</v>
      </c>
      <c r="G60">
        <v>128.81500086198699</v>
      </c>
      <c r="H60">
        <v>6975.4235865337496</v>
      </c>
      <c r="I60">
        <v>6975.4235865337496</v>
      </c>
      <c r="J60">
        <v>0</v>
      </c>
      <c r="K60">
        <v>1838.1900623005599</v>
      </c>
      <c r="L60">
        <v>0</v>
      </c>
      <c r="M60">
        <v>1.082873294384E-2</v>
      </c>
      <c r="N60">
        <v>1.4364646711887601E-3</v>
      </c>
      <c r="O60">
        <v>3.2267987737792702E-3</v>
      </c>
      <c r="P60">
        <v>1.5491996388808001E-2</v>
      </c>
      <c r="Q60">
        <v>3.3534715458425998E-5</v>
      </c>
      <c r="R60">
        <v>2.2918781046578598E-6</v>
      </c>
      <c r="S60">
        <v>0</v>
      </c>
      <c r="T60">
        <v>3.5826593563083903E-5</v>
      </c>
      <c r="U60">
        <v>2.3067264953876999E-5</v>
      </c>
      <c r="V60">
        <v>1.2800042343793201E-4</v>
      </c>
      <c r="W60">
        <v>1.86894281954893E-4</v>
      </c>
      <c r="X60">
        <v>3.50510064833601E-5</v>
      </c>
      <c r="Y60">
        <v>2.39550666249203E-6</v>
      </c>
      <c r="Z60">
        <v>0</v>
      </c>
      <c r="AA60">
        <v>3.7446513145852098E-5</v>
      </c>
      <c r="AB60">
        <v>9.2269059815508104E-5</v>
      </c>
      <c r="AC60">
        <v>3.6571549553694797E-4</v>
      </c>
      <c r="AD60">
        <v>4.9543106849830897E-4</v>
      </c>
      <c r="AE60">
        <v>8.8685305207016398</v>
      </c>
      <c r="AF60">
        <v>0.30073551360669998</v>
      </c>
      <c r="AG60">
        <v>0</v>
      </c>
      <c r="AH60">
        <v>9.1692660343083396</v>
      </c>
      <c r="AI60">
        <v>5.7858545831867496E-6</v>
      </c>
      <c r="AJ60">
        <v>1.3875146849242601E-6</v>
      </c>
      <c r="AK60">
        <v>0</v>
      </c>
      <c r="AL60">
        <v>7.1733692681110101E-6</v>
      </c>
      <c r="AM60">
        <v>1.3972405951493401E-3</v>
      </c>
      <c r="AN60">
        <v>4.7381002640009602E-5</v>
      </c>
      <c r="AO60">
        <v>0</v>
      </c>
      <c r="AP60">
        <v>1.44462159778935E-3</v>
      </c>
      <c r="AQ60">
        <v>1.2456786256860101E-4</v>
      </c>
      <c r="AR60">
        <v>2.9872810679656601E-5</v>
      </c>
      <c r="AS60">
        <v>0</v>
      </c>
      <c r="AT60">
        <v>1.54440673248258E-4</v>
      </c>
      <c r="AU60">
        <v>0</v>
      </c>
      <c r="AV60">
        <v>0</v>
      </c>
      <c r="AW60">
        <v>0</v>
      </c>
      <c r="AX60">
        <v>1.54440673248258E-4</v>
      </c>
      <c r="AY60">
        <v>1.4181102926812399E-4</v>
      </c>
      <c r="AZ60">
        <v>3.4007921001943203E-5</v>
      </c>
      <c r="BA60">
        <v>0</v>
      </c>
      <c r="BB60">
        <v>1.7581895027006701E-4</v>
      </c>
      <c r="BC60">
        <v>0</v>
      </c>
      <c r="BD60">
        <v>0</v>
      </c>
      <c r="BE60">
        <v>0</v>
      </c>
      <c r="BF60">
        <v>1.7581895027006701E-4</v>
      </c>
      <c r="BG60">
        <v>8.81323823221559E-4</v>
      </c>
      <c r="BH60">
        <v>1.0043630092336801E-3</v>
      </c>
      <c r="BI60">
        <v>0</v>
      </c>
      <c r="BJ60">
        <v>1.8856868324552401E-3</v>
      </c>
      <c r="BK60">
        <v>8.3979680746181203E-5</v>
      </c>
      <c r="BL60">
        <v>2.84778547728687E-6</v>
      </c>
      <c r="BM60">
        <v>0</v>
      </c>
      <c r="BN60">
        <v>8.6827466223468103E-5</v>
      </c>
      <c r="BO60">
        <v>1.69084546456861E-3</v>
      </c>
      <c r="BP60">
        <v>0.81908690261908601</v>
      </c>
      <c r="BQ60">
        <f t="shared" si="0"/>
        <v>23.35246195959515</v>
      </c>
    </row>
    <row r="61" spans="1:69" x14ac:dyDescent="0.25">
      <c r="A61" t="s">
        <v>12</v>
      </c>
      <c r="B61">
        <v>2024</v>
      </c>
      <c r="C61" t="s">
        <v>2417</v>
      </c>
      <c r="D61" t="s">
        <v>11</v>
      </c>
      <c r="E61" t="s">
        <v>11</v>
      </c>
      <c r="F61" t="s">
        <v>2384</v>
      </c>
      <c r="G61">
        <v>0.25001021355139902</v>
      </c>
      <c r="H61">
        <v>11.438944520777</v>
      </c>
      <c r="I61">
        <v>0</v>
      </c>
      <c r="J61">
        <v>11.438944520777</v>
      </c>
      <c r="K61">
        <v>3.5676457473784602</v>
      </c>
      <c r="L61">
        <v>12.2199851169495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3.7827833791035099E-8</v>
      </c>
      <c r="V61">
        <v>1.04953464415346E-7</v>
      </c>
      <c r="W61">
        <v>1.4278129820638099E-7</v>
      </c>
      <c r="X61">
        <v>0</v>
      </c>
      <c r="Y61">
        <v>0</v>
      </c>
      <c r="Z61">
        <v>0</v>
      </c>
      <c r="AA61">
        <v>0</v>
      </c>
      <c r="AB61">
        <v>1.5131133516414E-7</v>
      </c>
      <c r="AC61">
        <v>2.9986704118670402E-7</v>
      </c>
      <c r="AD61">
        <v>4.51178376350845E-7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 t="e">
        <f t="shared" si="0"/>
        <v>#DIV/0!</v>
      </c>
    </row>
    <row r="62" spans="1:69" x14ac:dyDescent="0.25">
      <c r="A62" t="s">
        <v>12</v>
      </c>
      <c r="B62">
        <v>2024</v>
      </c>
      <c r="C62" t="s">
        <v>2417</v>
      </c>
      <c r="D62" t="s">
        <v>11</v>
      </c>
      <c r="E62" t="s">
        <v>11</v>
      </c>
      <c r="F62" t="s">
        <v>2382</v>
      </c>
      <c r="G62">
        <v>1.93767009623941</v>
      </c>
      <c r="H62">
        <v>109.70631477697999</v>
      </c>
      <c r="I62">
        <v>109.70631477697999</v>
      </c>
      <c r="J62">
        <v>0</v>
      </c>
      <c r="K62">
        <v>27.650552273336402</v>
      </c>
      <c r="L62">
        <v>0</v>
      </c>
      <c r="M62">
        <v>7.5535519230595703E-6</v>
      </c>
      <c r="N62">
        <v>1.05829654973743E-5</v>
      </c>
      <c r="O62">
        <v>0</v>
      </c>
      <c r="P62">
        <v>1.8136517420433899E-5</v>
      </c>
      <c r="Q62">
        <v>2.2283883158912099E-7</v>
      </c>
      <c r="R62">
        <v>3.9863550250178898E-8</v>
      </c>
      <c r="S62">
        <v>0</v>
      </c>
      <c r="T62">
        <v>2.6270238183930001E-7</v>
      </c>
      <c r="U62">
        <v>3.6279153497709903E-7</v>
      </c>
      <c r="V62">
        <v>2.0131329045562001E-6</v>
      </c>
      <c r="W62">
        <v>2.6386268213725999E-6</v>
      </c>
      <c r="X62">
        <v>2.4235756136334998E-7</v>
      </c>
      <c r="Y62">
        <v>4.3355248082311399E-8</v>
      </c>
      <c r="Z62">
        <v>0</v>
      </c>
      <c r="AA62">
        <v>2.85712809445662E-7</v>
      </c>
      <c r="AB62">
        <v>1.45116613990839E-6</v>
      </c>
      <c r="AC62">
        <v>5.7518082987320202E-6</v>
      </c>
      <c r="AD62">
        <v>7.48868724808608E-6</v>
      </c>
      <c r="AE62">
        <v>0.13272226072135401</v>
      </c>
      <c r="AF62">
        <v>9.9386919802677293E-3</v>
      </c>
      <c r="AG62">
        <v>0</v>
      </c>
      <c r="AH62">
        <v>0.14266095270162099</v>
      </c>
      <c r="AI62">
        <v>1.05414627925387E-4</v>
      </c>
      <c r="AJ62">
        <v>2.4432054176803701E-5</v>
      </c>
      <c r="AK62">
        <v>0</v>
      </c>
      <c r="AL62">
        <v>1.29846682102191E-4</v>
      </c>
      <c r="AM62">
        <v>2.7056301083667499E-5</v>
      </c>
      <c r="AN62">
        <v>2.0260673765986399E-6</v>
      </c>
      <c r="AO62">
        <v>0</v>
      </c>
      <c r="AP62">
        <v>2.9082368460266201E-5</v>
      </c>
      <c r="AQ62">
        <v>1.50616703571966E-6</v>
      </c>
      <c r="AR62">
        <v>3.49085846435516E-7</v>
      </c>
      <c r="AS62">
        <v>0</v>
      </c>
      <c r="AT62">
        <v>1.8552528821551801E-6</v>
      </c>
      <c r="AU62">
        <v>0</v>
      </c>
      <c r="AV62">
        <v>0</v>
      </c>
      <c r="AW62">
        <v>0</v>
      </c>
      <c r="AX62">
        <v>1.8552528821551801E-6</v>
      </c>
      <c r="AY62">
        <v>1.07583359694262E-4</v>
      </c>
      <c r="AZ62">
        <v>2.4934703316822599E-5</v>
      </c>
      <c r="BA62">
        <v>0</v>
      </c>
      <c r="BB62">
        <v>1.3251806301108399E-4</v>
      </c>
      <c r="BC62">
        <v>0</v>
      </c>
      <c r="BD62">
        <v>0</v>
      </c>
      <c r="BE62">
        <v>0</v>
      </c>
      <c r="BF62">
        <v>1.3251806301108399E-4</v>
      </c>
      <c r="BG62">
        <v>4.6110035716543301E-4</v>
      </c>
      <c r="BH62">
        <v>7.95166316297423E-5</v>
      </c>
      <c r="BI62">
        <v>0</v>
      </c>
      <c r="BJ62">
        <v>5.4061698879517503E-4</v>
      </c>
      <c r="BK62">
        <v>0</v>
      </c>
      <c r="BL62">
        <v>0</v>
      </c>
      <c r="BM62">
        <v>0</v>
      </c>
      <c r="BN62">
        <v>0</v>
      </c>
      <c r="BO62">
        <v>1.2818630561969001E-4</v>
      </c>
      <c r="BP62">
        <v>1.6489430269766601E-2</v>
      </c>
      <c r="BQ62">
        <f t="shared" si="0"/>
        <v>18.705699250833817</v>
      </c>
    </row>
    <row r="63" spans="1:69" x14ac:dyDescent="0.25">
      <c r="A63" t="s">
        <v>12</v>
      </c>
      <c r="B63">
        <v>2024</v>
      </c>
      <c r="C63" t="s">
        <v>2416</v>
      </c>
      <c r="D63" t="s">
        <v>11</v>
      </c>
      <c r="E63" t="s">
        <v>11</v>
      </c>
      <c r="F63" t="s">
        <v>10</v>
      </c>
      <c r="G63">
        <v>882.22167363578399</v>
      </c>
      <c r="H63">
        <v>37264.456836775702</v>
      </c>
      <c r="I63">
        <v>37264.456836775702</v>
      </c>
      <c r="J63">
        <v>0</v>
      </c>
      <c r="K63">
        <v>10198.4825472296</v>
      </c>
      <c r="L63">
        <v>0</v>
      </c>
      <c r="M63">
        <v>4.7559444658121501E-2</v>
      </c>
      <c r="N63">
        <v>1.2238117964487301E-2</v>
      </c>
      <c r="O63">
        <v>1.9485953605015201E-2</v>
      </c>
      <c r="P63">
        <v>7.9283516227624098E-2</v>
      </c>
      <c r="Q63">
        <v>7.3495507632780695E-4</v>
      </c>
      <c r="R63">
        <v>3.93411943634983E-5</v>
      </c>
      <c r="S63">
        <v>0</v>
      </c>
      <c r="T63">
        <v>7.7429627069130504E-4</v>
      </c>
      <c r="U63">
        <v>1.23231096798311E-4</v>
      </c>
      <c r="V63">
        <v>6.4500419189558299E-4</v>
      </c>
      <c r="W63">
        <v>1.5425315593852E-3</v>
      </c>
      <c r="X63">
        <v>7.6818648356449999E-4</v>
      </c>
      <c r="Y63">
        <v>4.1120028598651197E-5</v>
      </c>
      <c r="Z63">
        <v>0</v>
      </c>
      <c r="AA63">
        <v>8.0930651216315095E-4</v>
      </c>
      <c r="AB63">
        <v>4.9292438719324497E-4</v>
      </c>
      <c r="AC63">
        <v>1.8428691197016601E-3</v>
      </c>
      <c r="AD63">
        <v>3.1451000190580599E-3</v>
      </c>
      <c r="AE63">
        <v>46.230967276748402</v>
      </c>
      <c r="AF63">
        <v>2.1694408833667902</v>
      </c>
      <c r="AG63">
        <v>0</v>
      </c>
      <c r="AH63">
        <v>48.400408160115198</v>
      </c>
      <c r="AI63">
        <v>7.2897710682463904E-5</v>
      </c>
      <c r="AJ63">
        <v>1.26077011545808E-5</v>
      </c>
      <c r="AK63">
        <v>0</v>
      </c>
      <c r="AL63">
        <v>8.5505411837044802E-5</v>
      </c>
      <c r="AM63">
        <v>7.2837077215113901E-3</v>
      </c>
      <c r="AN63">
        <v>3.4179629465569303E-4</v>
      </c>
      <c r="AO63">
        <v>0</v>
      </c>
      <c r="AP63">
        <v>7.6255040161670798E-3</v>
      </c>
      <c r="AQ63">
        <v>1.56946772085262E-3</v>
      </c>
      <c r="AR63">
        <v>2.7144034855172802E-4</v>
      </c>
      <c r="AS63">
        <v>0</v>
      </c>
      <c r="AT63">
        <v>1.8409080694043499E-3</v>
      </c>
      <c r="AU63">
        <v>0</v>
      </c>
      <c r="AV63">
        <v>0</v>
      </c>
      <c r="AW63">
        <v>0</v>
      </c>
      <c r="AX63">
        <v>1.8409080694043499E-3</v>
      </c>
      <c r="AY63">
        <v>1.78671953028524E-3</v>
      </c>
      <c r="AZ63">
        <v>3.0901417443700697E-4</v>
      </c>
      <c r="BA63">
        <v>0</v>
      </c>
      <c r="BB63">
        <v>2.09573370472225E-3</v>
      </c>
      <c r="BC63">
        <v>0</v>
      </c>
      <c r="BD63">
        <v>0</v>
      </c>
      <c r="BE63">
        <v>0</v>
      </c>
      <c r="BF63">
        <v>2.09573370472225E-3</v>
      </c>
      <c r="BG63">
        <v>5.6568763824988502E-3</v>
      </c>
      <c r="BH63">
        <v>7.7216686285226203E-3</v>
      </c>
      <c r="BI63">
        <v>0</v>
      </c>
      <c r="BJ63">
        <v>1.3378545011021399E-2</v>
      </c>
      <c r="BK63">
        <v>4.3777961449483898E-4</v>
      </c>
      <c r="BL63">
        <v>2.05433078634139E-5</v>
      </c>
      <c r="BM63">
        <v>0</v>
      </c>
      <c r="BN63">
        <v>4.5832292235825297E-4</v>
      </c>
      <c r="BO63">
        <v>8.73614844568729E-3</v>
      </c>
      <c r="BP63">
        <v>4.3235892880665796</v>
      </c>
      <c r="BQ63">
        <f t="shared" si="0"/>
        <v>23.353076804431957</v>
      </c>
    </row>
    <row r="64" spans="1:69" x14ac:dyDescent="0.25">
      <c r="A64" t="s">
        <v>12</v>
      </c>
      <c r="B64">
        <v>2024</v>
      </c>
      <c r="C64" t="s">
        <v>2416</v>
      </c>
      <c r="D64" t="s">
        <v>11</v>
      </c>
      <c r="E64" t="s">
        <v>11</v>
      </c>
      <c r="F64" t="s">
        <v>2384</v>
      </c>
      <c r="G64">
        <v>1.8194659507855</v>
      </c>
      <c r="H64">
        <v>81.306054234468405</v>
      </c>
      <c r="I64">
        <v>0</v>
      </c>
      <c r="J64">
        <v>81.306054234468405</v>
      </c>
      <c r="K64">
        <v>21.033026391080401</v>
      </c>
      <c r="L64">
        <v>86.191010319147097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2.6887374968440399E-7</v>
      </c>
      <c r="V64">
        <v>7.0365638277553997E-7</v>
      </c>
      <c r="W64">
        <v>9.7253013245994402E-7</v>
      </c>
      <c r="X64">
        <v>0</v>
      </c>
      <c r="Y64">
        <v>0</v>
      </c>
      <c r="Z64">
        <v>0</v>
      </c>
      <c r="AA64">
        <v>0</v>
      </c>
      <c r="AB64">
        <v>1.07549499873761E-6</v>
      </c>
      <c r="AC64">
        <v>2.0104468079301099E-6</v>
      </c>
      <c r="AD64">
        <v>3.0859418066677298E-6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 t="e">
        <f t="shared" si="0"/>
        <v>#DIV/0!</v>
      </c>
    </row>
    <row r="65" spans="1:69" x14ac:dyDescent="0.25">
      <c r="A65" t="s">
        <v>12</v>
      </c>
      <c r="B65">
        <v>2024</v>
      </c>
      <c r="C65" t="s">
        <v>2415</v>
      </c>
      <c r="D65" t="s">
        <v>11</v>
      </c>
      <c r="E65" t="s">
        <v>11</v>
      </c>
      <c r="F65" t="s">
        <v>10</v>
      </c>
      <c r="G65">
        <v>2584.2342069926299</v>
      </c>
      <c r="H65">
        <v>113668.797802863</v>
      </c>
      <c r="I65">
        <v>113668.797802863</v>
      </c>
      <c r="J65">
        <v>0</v>
      </c>
      <c r="K65">
        <v>29873.7474328348</v>
      </c>
      <c r="L65">
        <v>0</v>
      </c>
      <c r="M65">
        <v>8.3154542838339299E-2</v>
      </c>
      <c r="N65">
        <v>3.04046472424555E-2</v>
      </c>
      <c r="O65">
        <v>6.1111367209968598E-2</v>
      </c>
      <c r="P65">
        <v>0.174670557290763</v>
      </c>
      <c r="Q65">
        <v>6.7815203365454205E-4</v>
      </c>
      <c r="R65">
        <v>1.8747627930726501E-5</v>
      </c>
      <c r="S65">
        <v>0</v>
      </c>
      <c r="T65">
        <v>6.9689966158526895E-4</v>
      </c>
      <c r="U65">
        <v>3.7589520454698997E-4</v>
      </c>
      <c r="V65">
        <v>1.9674740300581199E-3</v>
      </c>
      <c r="W65">
        <v>3.0402688961903802E-3</v>
      </c>
      <c r="X65">
        <v>7.0881505936132001E-4</v>
      </c>
      <c r="Y65">
        <v>1.9595312474387099E-5</v>
      </c>
      <c r="Z65">
        <v>0</v>
      </c>
      <c r="AA65">
        <v>7.2841037183570695E-4</v>
      </c>
      <c r="AB65">
        <v>1.5035808181879599E-3</v>
      </c>
      <c r="AC65">
        <v>5.6213543715946399E-3</v>
      </c>
      <c r="AD65">
        <v>7.8533455616183103E-3</v>
      </c>
      <c r="AE65">
        <v>141.00716522558</v>
      </c>
      <c r="AF65">
        <v>6.2586562740660598</v>
      </c>
      <c r="AG65">
        <v>0</v>
      </c>
      <c r="AH65">
        <v>147.26582149964599</v>
      </c>
      <c r="AI65">
        <v>6.0110911599577101E-5</v>
      </c>
      <c r="AJ65">
        <v>2.5154727828917402E-5</v>
      </c>
      <c r="AK65">
        <v>0</v>
      </c>
      <c r="AL65">
        <v>8.52656394284946E-5</v>
      </c>
      <c r="AM65">
        <v>2.2215736304927802E-2</v>
      </c>
      <c r="AN65">
        <v>9.860538447489511E-4</v>
      </c>
      <c r="AO65">
        <v>0</v>
      </c>
      <c r="AP65">
        <v>2.3201790149676799E-2</v>
      </c>
      <c r="AQ65">
        <v>1.29417144301702E-3</v>
      </c>
      <c r="AR65">
        <v>5.4157439218206196E-4</v>
      </c>
      <c r="AS65">
        <v>0</v>
      </c>
      <c r="AT65">
        <v>1.83574583519908E-3</v>
      </c>
      <c r="AU65">
        <v>0</v>
      </c>
      <c r="AV65">
        <v>0</v>
      </c>
      <c r="AW65">
        <v>0</v>
      </c>
      <c r="AX65">
        <v>1.83574583519908E-3</v>
      </c>
      <c r="AY65">
        <v>1.4733156738768499E-3</v>
      </c>
      <c r="AZ65">
        <v>6.1654122015862296E-4</v>
      </c>
      <c r="BA65">
        <v>0</v>
      </c>
      <c r="BB65">
        <v>2.08985689403547E-3</v>
      </c>
      <c r="BC65">
        <v>0</v>
      </c>
      <c r="BD65">
        <v>0</v>
      </c>
      <c r="BE65">
        <v>0</v>
      </c>
      <c r="BF65">
        <v>2.08985689403547E-3</v>
      </c>
      <c r="BG65">
        <v>7.7034849388300198E-3</v>
      </c>
      <c r="BH65">
        <v>2.1575128272474799E-2</v>
      </c>
      <c r="BI65">
        <v>0</v>
      </c>
      <c r="BJ65">
        <v>2.9278613211304799E-2</v>
      </c>
      <c r="BK65">
        <v>1.3352535339339799E-3</v>
      </c>
      <c r="BL65">
        <v>5.9265732306976197E-5</v>
      </c>
      <c r="BM65">
        <v>0</v>
      </c>
      <c r="BN65">
        <v>1.3945192662409599E-3</v>
      </c>
      <c r="BO65">
        <v>2.7476579480833201E-2</v>
      </c>
      <c r="BP65">
        <v>13.1551974980841</v>
      </c>
      <c r="BQ65">
        <f t="shared" si="0"/>
        <v>23.352334945061557</v>
      </c>
    </row>
    <row r="66" spans="1:69" x14ac:dyDescent="0.25">
      <c r="A66" t="s">
        <v>12</v>
      </c>
      <c r="B66">
        <v>2024</v>
      </c>
      <c r="C66" t="s">
        <v>2415</v>
      </c>
      <c r="D66" t="s">
        <v>11</v>
      </c>
      <c r="E66" t="s">
        <v>11</v>
      </c>
      <c r="F66" t="s">
        <v>2384</v>
      </c>
      <c r="G66">
        <v>7.9180227032307302</v>
      </c>
      <c r="H66">
        <v>364.34243755048698</v>
      </c>
      <c r="I66">
        <v>0</v>
      </c>
      <c r="J66">
        <v>364.34243755048698</v>
      </c>
      <c r="K66">
        <v>91.532342449347297</v>
      </c>
      <c r="L66">
        <v>386.23252708903902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1.2048563698695099E-6</v>
      </c>
      <c r="V66">
        <v>3.15317086915914E-6</v>
      </c>
      <c r="W66">
        <v>4.3580272390286499E-6</v>
      </c>
      <c r="X66">
        <v>0</v>
      </c>
      <c r="Y66">
        <v>0</v>
      </c>
      <c r="Z66">
        <v>0</v>
      </c>
      <c r="AA66">
        <v>0</v>
      </c>
      <c r="AB66">
        <v>4.8194254794780499E-6</v>
      </c>
      <c r="AC66">
        <v>9.0090596261689701E-6</v>
      </c>
      <c r="AD66">
        <v>1.3828485105647E-5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 t="e">
        <f t="shared" si="0"/>
        <v>#DIV/0!</v>
      </c>
    </row>
    <row r="67" spans="1:69" x14ac:dyDescent="0.25">
      <c r="A67" t="s">
        <v>12</v>
      </c>
      <c r="B67">
        <v>2024</v>
      </c>
      <c r="C67" t="s">
        <v>2414</v>
      </c>
      <c r="D67" t="s">
        <v>11</v>
      </c>
      <c r="E67" t="s">
        <v>11</v>
      </c>
      <c r="F67" t="s">
        <v>10</v>
      </c>
      <c r="G67">
        <v>2003.9588776768201</v>
      </c>
      <c r="H67">
        <v>86382.339694865994</v>
      </c>
      <c r="I67">
        <v>86382.339694865994</v>
      </c>
      <c r="J67">
        <v>0</v>
      </c>
      <c r="K67">
        <v>23165.764625944099</v>
      </c>
      <c r="L67">
        <v>0</v>
      </c>
      <c r="M67">
        <v>9.3029021837636006E-2</v>
      </c>
      <c r="N67">
        <v>2.6823480222714101E-2</v>
      </c>
      <c r="O67">
        <v>4.4438533680583599E-2</v>
      </c>
      <c r="P67">
        <v>0.16429103574093301</v>
      </c>
      <c r="Q67">
        <v>1.5289612865163199E-3</v>
      </c>
      <c r="R67">
        <v>8.69547035401664E-5</v>
      </c>
      <c r="S67">
        <v>0</v>
      </c>
      <c r="T67">
        <v>1.61591599005649E-3</v>
      </c>
      <c r="U67">
        <v>2.8566069032561999E-4</v>
      </c>
      <c r="V67">
        <v>1.49517733353758E-3</v>
      </c>
      <c r="W67">
        <v>3.3967540139197001E-3</v>
      </c>
      <c r="X67">
        <v>1.5980941312273701E-3</v>
      </c>
      <c r="Y67">
        <v>9.0886409378470397E-5</v>
      </c>
      <c r="Z67">
        <v>0</v>
      </c>
      <c r="AA67">
        <v>1.6889805406058399E-3</v>
      </c>
      <c r="AB67">
        <v>1.14264276130248E-3</v>
      </c>
      <c r="AC67">
        <v>4.2719352386788104E-3</v>
      </c>
      <c r="AD67">
        <v>7.1035585405871404E-3</v>
      </c>
      <c r="AE67">
        <v>107.51767756076801</v>
      </c>
      <c r="AF67">
        <v>4.8691117044903702</v>
      </c>
      <c r="AG67">
        <v>0</v>
      </c>
      <c r="AH67">
        <v>112.386789265259</v>
      </c>
      <c r="AI67">
        <v>1.45807501781087E-4</v>
      </c>
      <c r="AJ67">
        <v>2.8828103987058699E-5</v>
      </c>
      <c r="AK67">
        <v>0</v>
      </c>
      <c r="AL67">
        <v>1.7463560576814601E-4</v>
      </c>
      <c r="AM67">
        <v>1.6939453885106402E-2</v>
      </c>
      <c r="AN67">
        <v>7.6713053193535599E-4</v>
      </c>
      <c r="AO67">
        <v>0</v>
      </c>
      <c r="AP67">
        <v>1.7706584417041701E-2</v>
      </c>
      <c r="AQ67">
        <v>3.1391955297524498E-3</v>
      </c>
      <c r="AR67">
        <v>6.2066117354705205E-4</v>
      </c>
      <c r="AS67">
        <v>0</v>
      </c>
      <c r="AT67">
        <v>3.7598567032995E-3</v>
      </c>
      <c r="AU67">
        <v>0</v>
      </c>
      <c r="AV67">
        <v>0</v>
      </c>
      <c r="AW67">
        <v>0</v>
      </c>
      <c r="AX67">
        <v>3.7598567032995E-3</v>
      </c>
      <c r="AY67">
        <v>3.5737351510139802E-3</v>
      </c>
      <c r="AZ67">
        <v>7.0657550055494697E-4</v>
      </c>
      <c r="BA67">
        <v>0</v>
      </c>
      <c r="BB67">
        <v>4.2803106515689297E-3</v>
      </c>
      <c r="BC67">
        <v>0</v>
      </c>
      <c r="BD67">
        <v>0</v>
      </c>
      <c r="BE67">
        <v>0</v>
      </c>
      <c r="BF67">
        <v>4.2803106515689297E-3</v>
      </c>
      <c r="BG67">
        <v>1.15554252724026E-2</v>
      </c>
      <c r="BH67">
        <v>1.75276937143088E-2</v>
      </c>
      <c r="BI67">
        <v>0</v>
      </c>
      <c r="BJ67">
        <v>2.9083118986711499E-2</v>
      </c>
      <c r="BK67">
        <v>1.0181281120978599E-3</v>
      </c>
      <c r="BL67">
        <v>4.6107576165644699E-5</v>
      </c>
      <c r="BM67">
        <v>0</v>
      </c>
      <c r="BN67">
        <v>1.0642356882635E-3</v>
      </c>
      <c r="BO67">
        <v>2.0370561661860399E-2</v>
      </c>
      <c r="BP67">
        <v>10.039467365233699</v>
      </c>
      <c r="BQ67">
        <f t="shared" si="0"/>
        <v>23.352943912235833</v>
      </c>
    </row>
    <row r="68" spans="1:69" x14ac:dyDescent="0.25">
      <c r="A68" t="s">
        <v>12</v>
      </c>
      <c r="B68">
        <v>2024</v>
      </c>
      <c r="C68" t="s">
        <v>2414</v>
      </c>
      <c r="D68" t="s">
        <v>11</v>
      </c>
      <c r="E68" t="s">
        <v>11</v>
      </c>
      <c r="F68" t="s">
        <v>2384</v>
      </c>
      <c r="G68">
        <v>5.7498692327145999</v>
      </c>
      <c r="H68">
        <v>252.17932696246001</v>
      </c>
      <c r="I68">
        <v>0</v>
      </c>
      <c r="J68">
        <v>252.17932696246001</v>
      </c>
      <c r="K68">
        <v>66.468488330180804</v>
      </c>
      <c r="L68">
        <v>267.33053494167098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8.3394037346534496E-7</v>
      </c>
      <c r="V68">
        <v>2.1824646970255902E-6</v>
      </c>
      <c r="W68">
        <v>3.0164050704909301E-6</v>
      </c>
      <c r="X68">
        <v>0</v>
      </c>
      <c r="Y68">
        <v>0</v>
      </c>
      <c r="Z68">
        <v>0</v>
      </c>
      <c r="AA68">
        <v>0</v>
      </c>
      <c r="AB68">
        <v>3.3357614938613799E-6</v>
      </c>
      <c r="AC68">
        <v>6.23561342007311E-6</v>
      </c>
      <c r="AD68">
        <v>9.5713749139344894E-6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 t="e">
        <f t="shared" si="0"/>
        <v>#DIV/0!</v>
      </c>
    </row>
    <row r="69" spans="1:69" x14ac:dyDescent="0.25">
      <c r="A69" t="s">
        <v>12</v>
      </c>
      <c r="B69">
        <v>2024</v>
      </c>
      <c r="C69" t="s">
        <v>2413</v>
      </c>
      <c r="D69" t="s">
        <v>11</v>
      </c>
      <c r="E69" t="s">
        <v>11</v>
      </c>
      <c r="F69" t="s">
        <v>10</v>
      </c>
      <c r="G69">
        <v>1478.76335575189</v>
      </c>
      <c r="H69">
        <v>69219.509367361694</v>
      </c>
      <c r="I69">
        <v>69219.509367361694</v>
      </c>
      <c r="J69">
        <v>0</v>
      </c>
      <c r="K69">
        <v>17094.504392491901</v>
      </c>
      <c r="L69">
        <v>0</v>
      </c>
      <c r="M69">
        <v>7.5438383712201296E-2</v>
      </c>
      <c r="N69">
        <v>1.7798405898018E-2</v>
      </c>
      <c r="O69">
        <v>3.4776450537007397E-2</v>
      </c>
      <c r="P69">
        <v>0.12801324014722601</v>
      </c>
      <c r="Q69">
        <v>4.6114393820851301E-4</v>
      </c>
      <c r="R69">
        <v>2.67754125292703E-5</v>
      </c>
      <c r="S69">
        <v>0</v>
      </c>
      <c r="T69">
        <v>4.8791935073778302E-4</v>
      </c>
      <c r="U69">
        <v>2.28904344333897E-4</v>
      </c>
      <c r="V69">
        <v>1.19810880106113E-3</v>
      </c>
      <c r="W69">
        <v>1.91493249613281E-3</v>
      </c>
      <c r="X69">
        <v>4.8199482079838197E-4</v>
      </c>
      <c r="Y69">
        <v>2.7986077869710499E-5</v>
      </c>
      <c r="Z69">
        <v>0</v>
      </c>
      <c r="AA69">
        <v>5.09980898668093E-4</v>
      </c>
      <c r="AB69">
        <v>9.1561737733559005E-4</v>
      </c>
      <c r="AC69">
        <v>3.4231680030318199E-3</v>
      </c>
      <c r="AD69">
        <v>4.8487662790354996E-3</v>
      </c>
      <c r="AE69">
        <v>84.331595072014096</v>
      </c>
      <c r="AF69">
        <v>3.6902538677643801</v>
      </c>
      <c r="AG69">
        <v>0</v>
      </c>
      <c r="AH69">
        <v>88.021848939778494</v>
      </c>
      <c r="AI69">
        <v>4.1139083585996001E-5</v>
      </c>
      <c r="AJ69">
        <v>1.6812823533834599E-5</v>
      </c>
      <c r="AK69">
        <v>0</v>
      </c>
      <c r="AL69">
        <v>5.7951907119830601E-5</v>
      </c>
      <c r="AM69">
        <v>1.3286477146722601E-2</v>
      </c>
      <c r="AN69">
        <v>5.8140099968211501E-4</v>
      </c>
      <c r="AO69">
        <v>0</v>
      </c>
      <c r="AP69">
        <v>1.3867878146404699E-2</v>
      </c>
      <c r="AQ69">
        <v>8.8571318837329103E-4</v>
      </c>
      <c r="AR69">
        <v>3.6197548024086899E-4</v>
      </c>
      <c r="AS69">
        <v>0</v>
      </c>
      <c r="AT69">
        <v>1.24768866861416E-3</v>
      </c>
      <c r="AU69">
        <v>0</v>
      </c>
      <c r="AV69">
        <v>0</v>
      </c>
      <c r="AW69">
        <v>0</v>
      </c>
      <c r="AX69">
        <v>1.24768866861416E-3</v>
      </c>
      <c r="AY69">
        <v>1.0083170433336801E-3</v>
      </c>
      <c r="AZ69">
        <v>4.1208153021419797E-4</v>
      </c>
      <c r="BA69">
        <v>0</v>
      </c>
      <c r="BB69">
        <v>1.42039857354788E-3</v>
      </c>
      <c r="BC69">
        <v>0</v>
      </c>
      <c r="BD69">
        <v>0</v>
      </c>
      <c r="BE69">
        <v>0</v>
      </c>
      <c r="BF69">
        <v>1.42039857354788E-3</v>
      </c>
      <c r="BG69">
        <v>5.7222574533687103E-3</v>
      </c>
      <c r="BH69">
        <v>1.2410879044510501E-2</v>
      </c>
      <c r="BI69">
        <v>0</v>
      </c>
      <c r="BJ69">
        <v>1.8133136497879201E-2</v>
      </c>
      <c r="BK69">
        <v>7.9856977595468305E-4</v>
      </c>
      <c r="BL69">
        <v>3.4944497396023399E-5</v>
      </c>
      <c r="BM69">
        <v>0</v>
      </c>
      <c r="BN69">
        <v>8.3351427335070605E-4</v>
      </c>
      <c r="BO69">
        <v>1.6776446037120901E-2</v>
      </c>
      <c r="BP69">
        <v>7.8629568976538904</v>
      </c>
      <c r="BQ69">
        <f t="shared" si="0"/>
        <v>23.352384535987792</v>
      </c>
    </row>
    <row r="70" spans="1:69" x14ac:dyDescent="0.25">
      <c r="A70" t="s">
        <v>12</v>
      </c>
      <c r="B70">
        <v>2024</v>
      </c>
      <c r="C70" t="s">
        <v>2413</v>
      </c>
      <c r="D70" t="s">
        <v>11</v>
      </c>
      <c r="E70" t="s">
        <v>11</v>
      </c>
      <c r="F70" t="s">
        <v>2384</v>
      </c>
      <c r="G70">
        <v>3.7822362025327001</v>
      </c>
      <c r="H70">
        <v>249.09319571566201</v>
      </c>
      <c r="I70">
        <v>0</v>
      </c>
      <c r="J70">
        <v>249.09319571566201</v>
      </c>
      <c r="K70">
        <v>43.722650501278103</v>
      </c>
      <c r="L70">
        <v>264.05898557620901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8.2373474132444705E-7</v>
      </c>
      <c r="V70">
        <v>2.15575603467148E-6</v>
      </c>
      <c r="W70">
        <v>2.97949077599593E-6</v>
      </c>
      <c r="X70">
        <v>0</v>
      </c>
      <c r="Y70">
        <v>0</v>
      </c>
      <c r="Z70">
        <v>0</v>
      </c>
      <c r="AA70">
        <v>0</v>
      </c>
      <c r="AB70">
        <v>3.2949389652977801E-6</v>
      </c>
      <c r="AC70">
        <v>6.1593029562042499E-6</v>
      </c>
      <c r="AD70">
        <v>9.4542419215020398E-6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 t="e">
        <f t="shared" si="0"/>
        <v>#DIV/0!</v>
      </c>
    </row>
    <row r="71" spans="1:69" x14ac:dyDescent="0.25">
      <c r="A71" t="s">
        <v>12</v>
      </c>
      <c r="B71">
        <v>2024</v>
      </c>
      <c r="C71" t="s">
        <v>2413</v>
      </c>
      <c r="D71" t="s">
        <v>11</v>
      </c>
      <c r="E71" t="s">
        <v>11</v>
      </c>
      <c r="F71" t="s">
        <v>2382</v>
      </c>
      <c r="G71">
        <v>22.175427376063599</v>
      </c>
      <c r="H71">
        <v>1286.6441225906401</v>
      </c>
      <c r="I71">
        <v>1286.6441225906401</v>
      </c>
      <c r="J71">
        <v>0</v>
      </c>
      <c r="K71">
        <v>256.34794046729502</v>
      </c>
      <c r="L71">
        <v>0</v>
      </c>
      <c r="M71">
        <v>7.7675596839014996E-5</v>
      </c>
      <c r="N71">
        <v>1.30276332800326E-4</v>
      </c>
      <c r="O71">
        <v>0</v>
      </c>
      <c r="P71">
        <v>2.0795192963934099E-4</v>
      </c>
      <c r="Q71">
        <v>2.0119040496156201E-6</v>
      </c>
      <c r="R71">
        <v>4.8838774164220498E-7</v>
      </c>
      <c r="S71">
        <v>0</v>
      </c>
      <c r="T71">
        <v>2.5002917912578199E-6</v>
      </c>
      <c r="U71">
        <v>4.2548471083434902E-6</v>
      </c>
      <c r="V71">
        <v>2.2270305889170302E-5</v>
      </c>
      <c r="W71">
        <v>2.9025444788771601E-5</v>
      </c>
      <c r="X71">
        <v>2.18812922184472E-6</v>
      </c>
      <c r="Y71">
        <v>5.3116622996123098E-7</v>
      </c>
      <c r="Z71">
        <v>0</v>
      </c>
      <c r="AA71">
        <v>2.7192954518059498E-6</v>
      </c>
      <c r="AB71">
        <v>1.70193884333739E-5</v>
      </c>
      <c r="AC71">
        <v>6.3629445397629501E-5</v>
      </c>
      <c r="AD71">
        <v>8.3368129282809398E-5</v>
      </c>
      <c r="AE71">
        <v>1.35204562147953</v>
      </c>
      <c r="AF71">
        <v>0.12202713228225</v>
      </c>
      <c r="AG71">
        <v>0</v>
      </c>
      <c r="AH71">
        <v>1.4740727537617799</v>
      </c>
      <c r="AI71">
        <v>9.8634993134430796E-4</v>
      </c>
      <c r="AJ71">
        <v>3.0160643898659301E-4</v>
      </c>
      <c r="AK71">
        <v>0</v>
      </c>
      <c r="AL71">
        <v>1.2879563703309001E-3</v>
      </c>
      <c r="AM71">
        <v>2.7562334468070901E-4</v>
      </c>
      <c r="AN71">
        <v>2.4876029186518301E-5</v>
      </c>
      <c r="AO71">
        <v>0</v>
      </c>
      <c r="AP71">
        <v>3.00499373867228E-4</v>
      </c>
      <c r="AQ71">
        <v>1.4092994316943101E-5</v>
      </c>
      <c r="AR71">
        <v>4.3093609027765696E-6</v>
      </c>
      <c r="AS71">
        <v>0</v>
      </c>
      <c r="AT71">
        <v>1.84023552197196E-5</v>
      </c>
      <c r="AU71">
        <v>0</v>
      </c>
      <c r="AV71">
        <v>0</v>
      </c>
      <c r="AW71">
        <v>0</v>
      </c>
      <c r="AX71">
        <v>1.84023552197196E-5</v>
      </c>
      <c r="AY71">
        <v>1.0066424512102201E-3</v>
      </c>
      <c r="AZ71">
        <v>3.0781149305546902E-4</v>
      </c>
      <c r="BA71">
        <v>0</v>
      </c>
      <c r="BB71">
        <v>1.3144539442656901E-3</v>
      </c>
      <c r="BC71">
        <v>0</v>
      </c>
      <c r="BD71">
        <v>0</v>
      </c>
      <c r="BE71">
        <v>0</v>
      </c>
      <c r="BF71">
        <v>1.3144539442656901E-3</v>
      </c>
      <c r="BG71">
        <v>3.7922355677554999E-3</v>
      </c>
      <c r="BH71">
        <v>9.7367322572629105E-4</v>
      </c>
      <c r="BI71">
        <v>0</v>
      </c>
      <c r="BJ71">
        <v>4.7659087934817899E-3</v>
      </c>
      <c r="BK71">
        <v>0</v>
      </c>
      <c r="BL71">
        <v>0</v>
      </c>
      <c r="BM71">
        <v>0</v>
      </c>
      <c r="BN71">
        <v>0</v>
      </c>
      <c r="BO71">
        <v>1.5033788807642099E-3</v>
      </c>
      <c r="BP71">
        <v>0.170380327801088</v>
      </c>
      <c r="BQ71">
        <f t="shared" si="0"/>
        <v>18.688108963124076</v>
      </c>
    </row>
    <row r="72" spans="1:69" x14ac:dyDescent="0.25">
      <c r="A72" t="s">
        <v>12</v>
      </c>
      <c r="B72">
        <v>2024</v>
      </c>
      <c r="C72" t="s">
        <v>2412</v>
      </c>
      <c r="D72" t="s">
        <v>11</v>
      </c>
      <c r="E72" t="s">
        <v>11</v>
      </c>
      <c r="F72" t="s">
        <v>10</v>
      </c>
      <c r="G72">
        <v>32.7426773827735</v>
      </c>
      <c r="H72">
        <v>1664.8886270123101</v>
      </c>
      <c r="I72">
        <v>1664.8886270123101</v>
      </c>
      <c r="J72">
        <v>0</v>
      </c>
      <c r="K72">
        <v>378.50535054486102</v>
      </c>
      <c r="L72">
        <v>0</v>
      </c>
      <c r="M72">
        <v>1.5251514153678499E-3</v>
      </c>
      <c r="N72">
        <v>4.0799669172676098E-4</v>
      </c>
      <c r="O72">
        <v>7.6263883575787995E-4</v>
      </c>
      <c r="P72">
        <v>2.69578694285249E-3</v>
      </c>
      <c r="Q72">
        <v>1.22795053250972E-5</v>
      </c>
      <c r="R72">
        <v>4.2815057652727198E-7</v>
      </c>
      <c r="S72">
        <v>0</v>
      </c>
      <c r="T72">
        <v>1.2707655901624501E-5</v>
      </c>
      <c r="U72">
        <v>5.5056766948843998E-6</v>
      </c>
      <c r="V72">
        <v>2.8817276155825999E-5</v>
      </c>
      <c r="W72">
        <v>4.7030608752334899E-5</v>
      </c>
      <c r="X72">
        <v>1.28347300664002E-5</v>
      </c>
      <c r="Y72">
        <v>4.4750964570778999E-7</v>
      </c>
      <c r="Z72">
        <v>0</v>
      </c>
      <c r="AA72">
        <v>1.3282239712108E-5</v>
      </c>
      <c r="AB72">
        <v>2.2022706779537599E-5</v>
      </c>
      <c r="AC72">
        <v>8.2335074730931394E-5</v>
      </c>
      <c r="AD72">
        <v>1.1764002122257701E-4</v>
      </c>
      <c r="AE72">
        <v>2.05035006328609</v>
      </c>
      <c r="AF72">
        <v>8.1032945575212997E-2</v>
      </c>
      <c r="AG72">
        <v>0</v>
      </c>
      <c r="AH72">
        <v>2.1313830088613099</v>
      </c>
      <c r="AI72">
        <v>1.0968401624864E-6</v>
      </c>
      <c r="AJ72">
        <v>3.3657625133554598E-7</v>
      </c>
      <c r="AK72">
        <v>0</v>
      </c>
      <c r="AL72">
        <v>1.43341641382195E-6</v>
      </c>
      <c r="AM72">
        <v>3.2303348745353502E-4</v>
      </c>
      <c r="AN72">
        <v>1.2766773575162401E-5</v>
      </c>
      <c r="AO72">
        <v>0</v>
      </c>
      <c r="AP72">
        <v>3.3580026102869798E-4</v>
      </c>
      <c r="AQ72">
        <v>2.3614667920857899E-5</v>
      </c>
      <c r="AR72">
        <v>7.24639439471168E-6</v>
      </c>
      <c r="AS72">
        <v>0</v>
      </c>
      <c r="AT72">
        <v>3.0861062315569603E-5</v>
      </c>
      <c r="AU72">
        <v>0</v>
      </c>
      <c r="AV72">
        <v>0</v>
      </c>
      <c r="AW72">
        <v>0</v>
      </c>
      <c r="AX72">
        <v>3.0861062315569603E-5</v>
      </c>
      <c r="AY72">
        <v>2.68835018489426E-5</v>
      </c>
      <c r="AZ72">
        <v>8.2494684134995504E-6</v>
      </c>
      <c r="BA72">
        <v>0</v>
      </c>
      <c r="BB72">
        <v>3.5132970262442102E-5</v>
      </c>
      <c r="BC72">
        <v>0</v>
      </c>
      <c r="BD72">
        <v>0</v>
      </c>
      <c r="BE72">
        <v>0</v>
      </c>
      <c r="BF72">
        <v>3.5132970262442102E-5</v>
      </c>
      <c r="BG72">
        <v>1.357188330302E-4</v>
      </c>
      <c r="BH72">
        <v>2.7594506205502701E-4</v>
      </c>
      <c r="BI72">
        <v>0</v>
      </c>
      <c r="BJ72">
        <v>4.1166389508522799E-4</v>
      </c>
      <c r="BK72">
        <v>1.94155890122658E-5</v>
      </c>
      <c r="BL72">
        <v>7.6733353777652396E-7</v>
      </c>
      <c r="BM72">
        <v>0</v>
      </c>
      <c r="BN72">
        <v>2.0182922550042301E-5</v>
      </c>
      <c r="BO72">
        <v>4.0069543354928801E-4</v>
      </c>
      <c r="BP72">
        <v>0.190395599875824</v>
      </c>
      <c r="BQ72">
        <f t="shared" si="0"/>
        <v>23.352393373481252</v>
      </c>
    </row>
    <row r="73" spans="1:69" x14ac:dyDescent="0.25">
      <c r="A73" t="s">
        <v>12</v>
      </c>
      <c r="B73">
        <v>2024</v>
      </c>
      <c r="C73" t="s">
        <v>2412</v>
      </c>
      <c r="D73" t="s">
        <v>11</v>
      </c>
      <c r="E73" t="s">
        <v>11</v>
      </c>
      <c r="F73" t="s">
        <v>2384</v>
      </c>
      <c r="G73">
        <v>0.17562275285693901</v>
      </c>
      <c r="H73">
        <v>11.232078853166801</v>
      </c>
      <c r="I73">
        <v>0</v>
      </c>
      <c r="J73">
        <v>11.232078853166801</v>
      </c>
      <c r="K73">
        <v>2.0301990230262201</v>
      </c>
      <c r="L73">
        <v>11.906914355319399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3.7143742694644E-8</v>
      </c>
      <c r="V73">
        <v>9.7207078258612999E-8</v>
      </c>
      <c r="W73">
        <v>1.3435082095325701E-7</v>
      </c>
      <c r="X73">
        <v>0</v>
      </c>
      <c r="Y73">
        <v>0</v>
      </c>
      <c r="Z73">
        <v>0</v>
      </c>
      <c r="AA73">
        <v>0</v>
      </c>
      <c r="AB73">
        <v>1.48574970778576E-7</v>
      </c>
      <c r="AC73">
        <v>2.77734509310323E-7</v>
      </c>
      <c r="AD73">
        <v>4.26309480088899E-7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 t="e">
        <f t="shared" si="0"/>
        <v>#DIV/0!</v>
      </c>
    </row>
    <row r="74" spans="1:69" x14ac:dyDescent="0.25">
      <c r="A74" t="s">
        <v>12</v>
      </c>
      <c r="B74">
        <v>2024</v>
      </c>
      <c r="C74" t="s">
        <v>2411</v>
      </c>
      <c r="D74" t="s">
        <v>11</v>
      </c>
      <c r="E74" t="s">
        <v>11</v>
      </c>
      <c r="F74" t="s">
        <v>10</v>
      </c>
      <c r="G74">
        <v>454.59387525211503</v>
      </c>
      <c r="H74">
        <v>27697.438217964002</v>
      </c>
      <c r="I74">
        <v>27697.438217964002</v>
      </c>
      <c r="J74">
        <v>0</v>
      </c>
      <c r="K74">
        <v>5255.1051979144504</v>
      </c>
      <c r="L74">
        <v>0</v>
      </c>
      <c r="M74">
        <v>3.1627958737712902E-2</v>
      </c>
      <c r="N74">
        <v>5.4779054815042704E-3</v>
      </c>
      <c r="O74">
        <v>1.07885141386446E-2</v>
      </c>
      <c r="P74">
        <v>4.7894378357861901E-2</v>
      </c>
      <c r="Q74">
        <v>1.80030744450257E-4</v>
      </c>
      <c r="R74">
        <v>5.20126072309035E-6</v>
      </c>
      <c r="S74">
        <v>0</v>
      </c>
      <c r="T74">
        <v>1.8523200517334701E-4</v>
      </c>
      <c r="U74">
        <v>9.1593598292696597E-5</v>
      </c>
      <c r="V74">
        <v>4.7941028185670599E-4</v>
      </c>
      <c r="W74">
        <v>7.5623588532274996E-4</v>
      </c>
      <c r="X74">
        <v>1.8817093583970099E-4</v>
      </c>
      <c r="Y74">
        <v>5.4364386527358601E-6</v>
      </c>
      <c r="Z74">
        <v>0</v>
      </c>
      <c r="AA74">
        <v>1.93607374492437E-4</v>
      </c>
      <c r="AB74">
        <v>3.6637439317078601E-4</v>
      </c>
      <c r="AC74">
        <v>1.36974366244773E-3</v>
      </c>
      <c r="AD74">
        <v>1.9297254301109501E-3</v>
      </c>
      <c r="AE74">
        <v>32.054975881071698</v>
      </c>
      <c r="AF74">
        <v>1.13269366521156</v>
      </c>
      <c r="AG74">
        <v>0</v>
      </c>
      <c r="AH74">
        <v>33.187669546283303</v>
      </c>
      <c r="AI74">
        <v>1.5597734032109601E-5</v>
      </c>
      <c r="AJ74">
        <v>4.7059623582906199E-6</v>
      </c>
      <c r="AK74">
        <v>0</v>
      </c>
      <c r="AL74">
        <v>2.0303696390400198E-5</v>
      </c>
      <c r="AM74">
        <v>5.0502745041038901E-3</v>
      </c>
      <c r="AN74">
        <v>1.7845634823128299E-4</v>
      </c>
      <c r="AO74">
        <v>0</v>
      </c>
      <c r="AP74">
        <v>5.2287308523351799E-3</v>
      </c>
      <c r="AQ74">
        <v>3.35814936472751E-4</v>
      </c>
      <c r="AR74">
        <v>1.0131807909656799E-4</v>
      </c>
      <c r="AS74">
        <v>0</v>
      </c>
      <c r="AT74">
        <v>4.3713301556931898E-4</v>
      </c>
      <c r="AU74">
        <v>0</v>
      </c>
      <c r="AV74">
        <v>0</v>
      </c>
      <c r="AW74">
        <v>0</v>
      </c>
      <c r="AX74">
        <v>4.3713301556931898E-4</v>
      </c>
      <c r="AY74">
        <v>3.822997425085E-4</v>
      </c>
      <c r="AZ74">
        <v>1.15342920588694E-4</v>
      </c>
      <c r="BA74">
        <v>0</v>
      </c>
      <c r="BB74">
        <v>4.9764266309719495E-4</v>
      </c>
      <c r="BC74">
        <v>0</v>
      </c>
      <c r="BD74">
        <v>0</v>
      </c>
      <c r="BE74">
        <v>0</v>
      </c>
      <c r="BF74">
        <v>4.9764266309719495E-4</v>
      </c>
      <c r="BG74">
        <v>2.3053328716168202E-3</v>
      </c>
      <c r="BH74">
        <v>3.7837098014536501E-3</v>
      </c>
      <c r="BI74">
        <v>0</v>
      </c>
      <c r="BJ74">
        <v>6.0890426730704798E-3</v>
      </c>
      <c r="BK74">
        <v>3.0354145306656397E-4</v>
      </c>
      <c r="BL74">
        <v>1.0725931671052399E-5</v>
      </c>
      <c r="BM74">
        <v>0</v>
      </c>
      <c r="BN74">
        <v>3.1426738473761602E-4</v>
      </c>
      <c r="BO74">
        <v>6.7139771259537096E-3</v>
      </c>
      <c r="BP74">
        <v>2.9646413739223001</v>
      </c>
      <c r="BQ74">
        <f t="shared" si="0"/>
        <v>23.352355429285954</v>
      </c>
    </row>
    <row r="75" spans="1:69" x14ac:dyDescent="0.25">
      <c r="A75" t="s">
        <v>12</v>
      </c>
      <c r="B75">
        <v>2024</v>
      </c>
      <c r="C75" t="s">
        <v>2411</v>
      </c>
      <c r="D75" t="s">
        <v>11</v>
      </c>
      <c r="E75" t="s">
        <v>11</v>
      </c>
      <c r="F75" t="s">
        <v>2384</v>
      </c>
      <c r="G75">
        <v>0.62064057818047602</v>
      </c>
      <c r="H75">
        <v>48.007071605033801</v>
      </c>
      <c r="I75">
        <v>0</v>
      </c>
      <c r="J75">
        <v>48.007071605033801</v>
      </c>
      <c r="K75">
        <v>7.1746050837663002</v>
      </c>
      <c r="L75">
        <v>50.891388631024697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1.5875621410171699E-7</v>
      </c>
      <c r="V75">
        <v>4.1547314860255201E-7</v>
      </c>
      <c r="W75">
        <v>5.7422936270427003E-7</v>
      </c>
      <c r="X75">
        <v>0</v>
      </c>
      <c r="Y75">
        <v>0</v>
      </c>
      <c r="Z75">
        <v>0</v>
      </c>
      <c r="AA75">
        <v>0</v>
      </c>
      <c r="AB75">
        <v>6.3502485640687102E-7</v>
      </c>
      <c r="AC75">
        <v>1.18706613886443E-6</v>
      </c>
      <c r="AD75">
        <v>1.8220909952712999E-6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 t="e">
        <f t="shared" ref="BQ75:BQ138" si="1">(AH75+AL75*27.9+AP75*273)/(BP75*1000)*2000</f>
        <v>#DIV/0!</v>
      </c>
    </row>
    <row r="76" spans="1:69" x14ac:dyDescent="0.25">
      <c r="A76" t="s">
        <v>12</v>
      </c>
      <c r="B76">
        <v>2024</v>
      </c>
      <c r="C76" t="s">
        <v>2411</v>
      </c>
      <c r="D76" t="s">
        <v>11</v>
      </c>
      <c r="E76" t="s">
        <v>11</v>
      </c>
      <c r="F76" t="s">
        <v>2382</v>
      </c>
      <c r="G76">
        <v>5.42099293723291</v>
      </c>
      <c r="H76">
        <v>401.86185332302102</v>
      </c>
      <c r="I76">
        <v>401.86185332302102</v>
      </c>
      <c r="J76">
        <v>0</v>
      </c>
      <c r="K76">
        <v>62.666678354412497</v>
      </c>
      <c r="L76">
        <v>0</v>
      </c>
      <c r="M76">
        <v>2.39050281963598E-5</v>
      </c>
      <c r="N76">
        <v>3.1832750406276501E-5</v>
      </c>
      <c r="O76">
        <v>0</v>
      </c>
      <c r="P76">
        <v>5.5737778602636302E-5</v>
      </c>
      <c r="Q76">
        <v>6.3031781365458405E-7</v>
      </c>
      <c r="R76">
        <v>1.1973760910153201E-7</v>
      </c>
      <c r="S76">
        <v>0</v>
      </c>
      <c r="T76">
        <v>7.5005542275611603E-7</v>
      </c>
      <c r="U76">
        <v>1.32893059902393E-6</v>
      </c>
      <c r="V76">
        <v>6.9557589713872803E-6</v>
      </c>
      <c r="W76">
        <v>9.0347449931673306E-6</v>
      </c>
      <c r="X76">
        <v>6.8552813309878101E-7</v>
      </c>
      <c r="Y76">
        <v>1.3022557486225001E-7</v>
      </c>
      <c r="Z76">
        <v>0</v>
      </c>
      <c r="AA76">
        <v>8.1575370796103202E-7</v>
      </c>
      <c r="AB76">
        <v>5.3157223960957504E-6</v>
      </c>
      <c r="AC76">
        <v>1.9873597061106499E-5</v>
      </c>
      <c r="AD76">
        <v>2.6005073165163299E-5</v>
      </c>
      <c r="AE76">
        <v>0.41727422412264398</v>
      </c>
      <c r="AF76">
        <v>2.9513390664410399E-2</v>
      </c>
      <c r="AG76">
        <v>0</v>
      </c>
      <c r="AH76">
        <v>0.44678761478705398</v>
      </c>
      <c r="AI76">
        <v>3.0835069903212698E-4</v>
      </c>
      <c r="AJ76">
        <v>7.35511346498809E-5</v>
      </c>
      <c r="AK76">
        <v>0</v>
      </c>
      <c r="AL76">
        <v>3.8190183368200801E-4</v>
      </c>
      <c r="AM76">
        <v>8.5064080290334898E-5</v>
      </c>
      <c r="AN76">
        <v>6.0164977561124104E-6</v>
      </c>
      <c r="AO76">
        <v>0</v>
      </c>
      <c r="AP76">
        <v>9.1080578046447299E-5</v>
      </c>
      <c r="AQ76">
        <v>4.4057230714890001E-6</v>
      </c>
      <c r="AR76">
        <v>1.05090058779925E-6</v>
      </c>
      <c r="AS76">
        <v>0</v>
      </c>
      <c r="AT76">
        <v>5.4566236592882597E-6</v>
      </c>
      <c r="AU76">
        <v>0</v>
      </c>
      <c r="AV76">
        <v>0</v>
      </c>
      <c r="AW76">
        <v>0</v>
      </c>
      <c r="AX76">
        <v>5.4566236592882597E-6</v>
      </c>
      <c r="AY76">
        <v>3.1469450510635699E-4</v>
      </c>
      <c r="AZ76">
        <v>7.5064327699946793E-5</v>
      </c>
      <c r="BA76">
        <v>0</v>
      </c>
      <c r="BB76">
        <v>3.8975883280630398E-4</v>
      </c>
      <c r="BC76">
        <v>0</v>
      </c>
      <c r="BD76">
        <v>0</v>
      </c>
      <c r="BE76">
        <v>0</v>
      </c>
      <c r="BF76">
        <v>3.8975883280630398E-4</v>
      </c>
      <c r="BG76">
        <v>1.1841193415948401E-3</v>
      </c>
      <c r="BH76">
        <v>2.3880511643418399E-4</v>
      </c>
      <c r="BI76">
        <v>0</v>
      </c>
      <c r="BJ76">
        <v>1.42292445802903E-3</v>
      </c>
      <c r="BK76">
        <v>0</v>
      </c>
      <c r="BL76">
        <v>0</v>
      </c>
      <c r="BM76">
        <v>0</v>
      </c>
      <c r="BN76">
        <v>0</v>
      </c>
      <c r="BO76">
        <v>4.6955534375282099E-4</v>
      </c>
      <c r="BP76">
        <v>5.1641833871916398E-2</v>
      </c>
      <c r="BQ76">
        <f t="shared" si="1"/>
        <v>18.678952221166114</v>
      </c>
    </row>
    <row r="77" spans="1:69" x14ac:dyDescent="0.25">
      <c r="A77" t="s">
        <v>12</v>
      </c>
      <c r="B77">
        <v>2024</v>
      </c>
      <c r="C77" t="s">
        <v>2410</v>
      </c>
      <c r="D77" t="s">
        <v>11</v>
      </c>
      <c r="E77" t="s">
        <v>11</v>
      </c>
      <c r="F77" t="s">
        <v>10</v>
      </c>
      <c r="G77">
        <v>14.2047918658693</v>
      </c>
      <c r="H77">
        <v>959.40551313455398</v>
      </c>
      <c r="I77">
        <v>959.40551313455398</v>
      </c>
      <c r="J77">
        <v>0</v>
      </c>
      <c r="K77">
        <v>326.42611707767702</v>
      </c>
      <c r="L77">
        <v>0</v>
      </c>
      <c r="M77">
        <v>5.3170252380353202E-4</v>
      </c>
      <c r="N77">
        <v>4.7234691116454798E-5</v>
      </c>
      <c r="O77">
        <v>2.1189195747125901E-4</v>
      </c>
      <c r="P77">
        <v>7.9082917239124695E-4</v>
      </c>
      <c r="Q77">
        <v>1.04440375502006E-5</v>
      </c>
      <c r="R77">
        <v>5.8402265706866303E-8</v>
      </c>
      <c r="S77">
        <v>0</v>
      </c>
      <c r="T77">
        <v>1.05024398159075E-5</v>
      </c>
      <c r="U77">
        <v>3.1726906466161299E-6</v>
      </c>
      <c r="V77">
        <v>1.5662339185613099E-5</v>
      </c>
      <c r="W77">
        <v>2.9337469648136801E-5</v>
      </c>
      <c r="X77">
        <v>1.09162705834905E-5</v>
      </c>
      <c r="Y77">
        <v>6.1042957005914899E-8</v>
      </c>
      <c r="Z77">
        <v>0</v>
      </c>
      <c r="AA77">
        <v>1.0977313540496401E-5</v>
      </c>
      <c r="AB77">
        <v>1.2690762586464499E-5</v>
      </c>
      <c r="AC77">
        <v>4.4749540530323302E-5</v>
      </c>
      <c r="AD77">
        <v>6.8417616657284297E-5</v>
      </c>
      <c r="AE77">
        <v>1.1872205621601299</v>
      </c>
      <c r="AF77">
        <v>9.2312113883389006E-3</v>
      </c>
      <c r="AG77">
        <v>0</v>
      </c>
      <c r="AH77">
        <v>1.1964517735484701</v>
      </c>
      <c r="AI77">
        <v>6.5516485476501504E-7</v>
      </c>
      <c r="AJ77">
        <v>4.2161290415981397E-8</v>
      </c>
      <c r="AK77">
        <v>0</v>
      </c>
      <c r="AL77">
        <v>6.9732614518099702E-7</v>
      </c>
      <c r="AM77">
        <v>1.8704708305101699E-4</v>
      </c>
      <c r="AN77">
        <v>1.45438111354344E-6</v>
      </c>
      <c r="AO77">
        <v>0</v>
      </c>
      <c r="AP77">
        <v>1.88501464164561E-4</v>
      </c>
      <c r="AQ77">
        <v>1.4105519662610499E-5</v>
      </c>
      <c r="AR77">
        <v>9.0772102111148799E-7</v>
      </c>
      <c r="AS77">
        <v>0</v>
      </c>
      <c r="AT77">
        <v>1.5013240683722E-5</v>
      </c>
      <c r="AU77">
        <v>0</v>
      </c>
      <c r="AV77">
        <v>0</v>
      </c>
      <c r="AW77">
        <v>0</v>
      </c>
      <c r="AX77">
        <v>1.5013240683722E-5</v>
      </c>
      <c r="AY77">
        <v>1.6058060405547702E-5</v>
      </c>
      <c r="AZ77">
        <v>1.0333712856415199E-6</v>
      </c>
      <c r="BA77">
        <v>0</v>
      </c>
      <c r="BB77">
        <v>1.70914316911892E-5</v>
      </c>
      <c r="BC77">
        <v>0</v>
      </c>
      <c r="BD77">
        <v>0</v>
      </c>
      <c r="BE77">
        <v>0</v>
      </c>
      <c r="BF77">
        <v>1.70914316911892E-5</v>
      </c>
      <c r="BG77">
        <v>5.0264172645134E-5</v>
      </c>
      <c r="BH77">
        <v>3.3094410318905703E-5</v>
      </c>
      <c r="BI77">
        <v>0</v>
      </c>
      <c r="BJ77">
        <v>8.3358582964039696E-5</v>
      </c>
      <c r="BK77">
        <v>1.12422687786636E-5</v>
      </c>
      <c r="BL77">
        <v>8.7414051683488995E-8</v>
      </c>
      <c r="BM77">
        <v>0</v>
      </c>
      <c r="BN77">
        <v>1.13296828303471E-5</v>
      </c>
      <c r="BO77">
        <v>2.3002530861799999E-4</v>
      </c>
      <c r="BP77">
        <v>0.106878562980079</v>
      </c>
      <c r="BQ77">
        <f t="shared" si="1"/>
        <v>23.352337341912932</v>
      </c>
    </row>
    <row r="78" spans="1:69" x14ac:dyDescent="0.25">
      <c r="A78" t="s">
        <v>12</v>
      </c>
      <c r="B78">
        <v>2024</v>
      </c>
      <c r="C78" t="s">
        <v>2409</v>
      </c>
      <c r="D78" t="s">
        <v>11</v>
      </c>
      <c r="E78" t="s">
        <v>11</v>
      </c>
      <c r="F78" t="s">
        <v>10</v>
      </c>
      <c r="G78">
        <v>18.850697372037899</v>
      </c>
      <c r="H78">
        <v>1316.13184008792</v>
      </c>
      <c r="I78">
        <v>1316.13184008792</v>
      </c>
      <c r="J78">
        <v>0</v>
      </c>
      <c r="K78">
        <v>433.18902560943098</v>
      </c>
      <c r="L78">
        <v>0</v>
      </c>
      <c r="M78">
        <v>6.0083040760906998E-4</v>
      </c>
      <c r="N78">
        <v>6.0377744141220399E-5</v>
      </c>
      <c r="O78">
        <v>2.86036838400558E-4</v>
      </c>
      <c r="P78">
        <v>9.4724499015084898E-4</v>
      </c>
      <c r="Q78">
        <v>1.01376929625681E-5</v>
      </c>
      <c r="R78">
        <v>2.2214626934813801E-8</v>
      </c>
      <c r="S78">
        <v>0</v>
      </c>
      <c r="T78">
        <v>1.0159907589503E-5</v>
      </c>
      <c r="U78">
        <v>4.3523610419101298E-6</v>
      </c>
      <c r="V78">
        <v>2.1485912901514899E-5</v>
      </c>
      <c r="W78">
        <v>3.5998181532928002E-5</v>
      </c>
      <c r="X78">
        <v>1.0596074452989201E-5</v>
      </c>
      <c r="Y78">
        <v>2.3219073788859E-8</v>
      </c>
      <c r="Z78">
        <v>0</v>
      </c>
      <c r="AA78">
        <v>1.06192935267781E-5</v>
      </c>
      <c r="AB78">
        <v>1.7409444167640499E-5</v>
      </c>
      <c r="AC78">
        <v>6.1388322575756799E-5</v>
      </c>
      <c r="AD78">
        <v>8.9417060270175503E-5</v>
      </c>
      <c r="AE78">
        <v>1.6301865256966299</v>
      </c>
      <c r="AF78">
        <v>1.2320973980933601E-2</v>
      </c>
      <c r="AG78">
        <v>0</v>
      </c>
      <c r="AH78">
        <v>1.6425074996775699</v>
      </c>
      <c r="AI78">
        <v>5.21608902033834E-7</v>
      </c>
      <c r="AJ78">
        <v>4.8624237141680897E-8</v>
      </c>
      <c r="AK78">
        <v>0</v>
      </c>
      <c r="AL78">
        <v>5.7023313917551401E-7</v>
      </c>
      <c r="AM78">
        <v>2.5683655099927499E-4</v>
      </c>
      <c r="AN78">
        <v>1.9411744682790201E-6</v>
      </c>
      <c r="AO78">
        <v>0</v>
      </c>
      <c r="AP78">
        <v>2.58777725467554E-4</v>
      </c>
      <c r="AQ78">
        <v>1.12300966242608E-5</v>
      </c>
      <c r="AR78">
        <v>1.04686649183496E-6</v>
      </c>
      <c r="AS78">
        <v>0</v>
      </c>
      <c r="AT78">
        <v>1.2276963116095799E-5</v>
      </c>
      <c r="AU78">
        <v>0</v>
      </c>
      <c r="AV78">
        <v>0</v>
      </c>
      <c r="AW78">
        <v>0</v>
      </c>
      <c r="AX78">
        <v>1.2276963116095799E-5</v>
      </c>
      <c r="AY78">
        <v>1.27846101572937E-5</v>
      </c>
      <c r="AZ78">
        <v>1.1917778121276601E-6</v>
      </c>
      <c r="BA78">
        <v>0</v>
      </c>
      <c r="BB78">
        <v>1.39763879694214E-5</v>
      </c>
      <c r="BC78">
        <v>0</v>
      </c>
      <c r="BD78">
        <v>0</v>
      </c>
      <c r="BE78">
        <v>0</v>
      </c>
      <c r="BF78">
        <v>1.39763879694214E-5</v>
      </c>
      <c r="BG78">
        <v>4.9523027359773003E-5</v>
      </c>
      <c r="BH78">
        <v>4.3305381026634099E-5</v>
      </c>
      <c r="BI78">
        <v>0</v>
      </c>
      <c r="BJ78">
        <v>9.2828408386407102E-5</v>
      </c>
      <c r="BK78">
        <v>1.5436891564522499E-5</v>
      </c>
      <c r="BL78">
        <v>1.1667225579091101E-7</v>
      </c>
      <c r="BM78">
        <v>0</v>
      </c>
      <c r="BN78">
        <v>1.55535638203134E-5</v>
      </c>
      <c r="BO78">
        <v>3.1838233056864898E-4</v>
      </c>
      <c r="BP78">
        <v>0.14672454429892701</v>
      </c>
      <c r="BQ78">
        <f t="shared" si="1"/>
        <v>23.352190138610961</v>
      </c>
    </row>
    <row r="79" spans="1:69" x14ac:dyDescent="0.25">
      <c r="A79" t="s">
        <v>12</v>
      </c>
      <c r="B79">
        <v>2024</v>
      </c>
      <c r="C79" t="s">
        <v>2408</v>
      </c>
      <c r="D79" t="s">
        <v>11</v>
      </c>
      <c r="E79" t="s">
        <v>11</v>
      </c>
      <c r="F79" t="s">
        <v>10</v>
      </c>
      <c r="G79">
        <v>62.1411439412974</v>
      </c>
      <c r="H79">
        <v>3439.0901530790002</v>
      </c>
      <c r="I79">
        <v>3439.0901530790002</v>
      </c>
      <c r="J79">
        <v>0</v>
      </c>
      <c r="K79">
        <v>1428.00348777101</v>
      </c>
      <c r="L79">
        <v>0</v>
      </c>
      <c r="M79">
        <v>1.5615935360053E-3</v>
      </c>
      <c r="N79">
        <v>2.0398435253522499E-4</v>
      </c>
      <c r="O79">
        <v>9.3883213477366099E-4</v>
      </c>
      <c r="P79">
        <v>2.70441002331419E-3</v>
      </c>
      <c r="Q79">
        <v>3.1157788909427402E-5</v>
      </c>
      <c r="R79">
        <v>1.6879243408241599E-7</v>
      </c>
      <c r="S79">
        <v>0</v>
      </c>
      <c r="T79">
        <v>3.1326581343509801E-5</v>
      </c>
      <c r="U79">
        <v>1.1372843924874399E-5</v>
      </c>
      <c r="V79">
        <v>5.6143305130112598E-5</v>
      </c>
      <c r="W79">
        <v>9.8842730398497001E-5</v>
      </c>
      <c r="X79">
        <v>3.2566605863271099E-5</v>
      </c>
      <c r="Y79">
        <v>1.7642447894628999E-7</v>
      </c>
      <c r="Z79">
        <v>0</v>
      </c>
      <c r="AA79">
        <v>3.2743030342217401E-5</v>
      </c>
      <c r="AB79">
        <v>4.54913756994978E-5</v>
      </c>
      <c r="AC79">
        <v>1.6040944322889299E-4</v>
      </c>
      <c r="AD79">
        <v>2.3864384927060799E-4</v>
      </c>
      <c r="AE79">
        <v>4.1755571145361703</v>
      </c>
      <c r="AF79">
        <v>3.9308608565339298E-2</v>
      </c>
      <c r="AG79">
        <v>0</v>
      </c>
      <c r="AH79">
        <v>4.2148657231015099</v>
      </c>
      <c r="AI79">
        <v>1.8273829082862901E-6</v>
      </c>
      <c r="AJ79">
        <v>1.7168330738464999E-7</v>
      </c>
      <c r="AK79">
        <v>0</v>
      </c>
      <c r="AL79">
        <v>1.9990662156709399E-6</v>
      </c>
      <c r="AM79">
        <v>6.5786072384549203E-4</v>
      </c>
      <c r="AN79">
        <v>6.1930872874734399E-6</v>
      </c>
      <c r="AO79">
        <v>0</v>
      </c>
      <c r="AP79">
        <v>6.64053811132965E-4</v>
      </c>
      <c r="AQ79">
        <v>3.9343052907188802E-5</v>
      </c>
      <c r="AR79">
        <v>3.6962945286874E-6</v>
      </c>
      <c r="AS79">
        <v>0</v>
      </c>
      <c r="AT79">
        <v>4.3039347435876197E-5</v>
      </c>
      <c r="AU79">
        <v>0</v>
      </c>
      <c r="AV79">
        <v>0</v>
      </c>
      <c r="AW79">
        <v>0</v>
      </c>
      <c r="AX79">
        <v>4.3039347435876197E-5</v>
      </c>
      <c r="AY79">
        <v>4.4789070890946102E-5</v>
      </c>
      <c r="AZ79">
        <v>4.2079499542076998E-6</v>
      </c>
      <c r="BA79">
        <v>0</v>
      </c>
      <c r="BB79">
        <v>4.8997020845153801E-5</v>
      </c>
      <c r="BC79">
        <v>0</v>
      </c>
      <c r="BD79">
        <v>0</v>
      </c>
      <c r="BE79">
        <v>0</v>
      </c>
      <c r="BF79">
        <v>4.8997020845153801E-5</v>
      </c>
      <c r="BG79">
        <v>1.50590554167788E-4</v>
      </c>
      <c r="BH79">
        <v>1.4412235870151801E-4</v>
      </c>
      <c r="BI79">
        <v>0</v>
      </c>
      <c r="BJ79">
        <v>2.9471291286930698E-4</v>
      </c>
      <c r="BK79">
        <v>3.9540028936885302E-5</v>
      </c>
      <c r="BL79">
        <v>3.7222901699306902E-7</v>
      </c>
      <c r="BM79">
        <v>0</v>
      </c>
      <c r="BN79">
        <v>3.9912257953878398E-5</v>
      </c>
      <c r="BO79">
        <v>8.27231123144559E-4</v>
      </c>
      <c r="BP79">
        <v>0.37651228540791098</v>
      </c>
      <c r="BQ79">
        <f t="shared" si="1"/>
        <v>23.352269542681203</v>
      </c>
    </row>
    <row r="80" spans="1:69" x14ac:dyDescent="0.25">
      <c r="A80" t="s">
        <v>12</v>
      </c>
      <c r="B80">
        <v>2024</v>
      </c>
      <c r="C80" t="s">
        <v>2407</v>
      </c>
      <c r="D80" t="s">
        <v>11</v>
      </c>
      <c r="E80" t="s">
        <v>11</v>
      </c>
      <c r="F80" t="s">
        <v>10</v>
      </c>
      <c r="G80">
        <v>97.353363230552603</v>
      </c>
      <c r="H80">
        <v>25006.461885270401</v>
      </c>
      <c r="I80">
        <v>25006.461885270401</v>
      </c>
      <c r="J80">
        <v>0</v>
      </c>
      <c r="K80">
        <v>2237.1802870380998</v>
      </c>
      <c r="L80">
        <v>0</v>
      </c>
      <c r="M80">
        <v>1.17526618824537E-2</v>
      </c>
      <c r="N80">
        <v>3.0720602647244102E-4</v>
      </c>
      <c r="O80">
        <v>1.4538030227274901E-3</v>
      </c>
      <c r="P80">
        <v>1.35136709316536E-2</v>
      </c>
      <c r="Q80">
        <v>1.8497064717012301E-4</v>
      </c>
      <c r="R80">
        <v>7.3179302787642206E-8</v>
      </c>
      <c r="S80">
        <v>0</v>
      </c>
      <c r="T80">
        <v>1.8504382647291099E-4</v>
      </c>
      <c r="U80">
        <v>8.2694717345483298E-5</v>
      </c>
      <c r="V80">
        <v>4.0823164190456699E-4</v>
      </c>
      <c r="W80">
        <v>6.7597018572296101E-4</v>
      </c>
      <c r="X80">
        <v>1.93334199040065E-4</v>
      </c>
      <c r="Y80">
        <v>7.6488146131352698E-8</v>
      </c>
      <c r="Z80">
        <v>0</v>
      </c>
      <c r="AA80">
        <v>1.93410687186197E-4</v>
      </c>
      <c r="AB80">
        <v>3.3077886938193298E-4</v>
      </c>
      <c r="AC80">
        <v>1.16637611972733E-3</v>
      </c>
      <c r="AD80">
        <v>1.6905656762954599E-3</v>
      </c>
      <c r="AE80">
        <v>28.5815801363077</v>
      </c>
      <c r="AF80">
        <v>6.2398268024428202E-2</v>
      </c>
      <c r="AG80">
        <v>0</v>
      </c>
      <c r="AH80">
        <v>28.643978404332199</v>
      </c>
      <c r="AI80">
        <v>8.1409519053800001E-6</v>
      </c>
      <c r="AJ80">
        <v>2.4622558830690702E-7</v>
      </c>
      <c r="AK80">
        <v>0</v>
      </c>
      <c r="AL80">
        <v>8.3871774936869093E-6</v>
      </c>
      <c r="AM80">
        <v>4.5030395900136E-3</v>
      </c>
      <c r="AN80">
        <v>9.8308725382661101E-6</v>
      </c>
      <c r="AO80">
        <v>0</v>
      </c>
      <c r="AP80">
        <v>4.5128704625518696E-3</v>
      </c>
      <c r="AQ80">
        <v>1.75272462096415E-4</v>
      </c>
      <c r="AR80">
        <v>5.3011693958257701E-6</v>
      </c>
      <c r="AS80">
        <v>0</v>
      </c>
      <c r="AT80">
        <v>1.8057363149224099E-4</v>
      </c>
      <c r="AU80">
        <v>0</v>
      </c>
      <c r="AV80">
        <v>0</v>
      </c>
      <c r="AW80">
        <v>0</v>
      </c>
      <c r="AX80">
        <v>1.8057363149224099E-4</v>
      </c>
      <c r="AY80">
        <v>1.99534356131081E-4</v>
      </c>
      <c r="AZ80">
        <v>6.0349778253016498E-6</v>
      </c>
      <c r="BA80">
        <v>0</v>
      </c>
      <c r="BB80">
        <v>2.0556933395638301E-4</v>
      </c>
      <c r="BC80">
        <v>0</v>
      </c>
      <c r="BD80">
        <v>0</v>
      </c>
      <c r="BE80">
        <v>0</v>
      </c>
      <c r="BF80">
        <v>2.0556933395638301E-4</v>
      </c>
      <c r="BG80">
        <v>9.0123763401112902E-4</v>
      </c>
      <c r="BH80">
        <v>2.2370243225003901E-4</v>
      </c>
      <c r="BI80">
        <v>0</v>
      </c>
      <c r="BJ80">
        <v>1.12494006626116E-3</v>
      </c>
      <c r="BK80">
        <v>2.7065047241655303E-4</v>
      </c>
      <c r="BL80">
        <v>5.90874284705235E-7</v>
      </c>
      <c r="BM80">
        <v>0</v>
      </c>
      <c r="BN80">
        <v>2.7124134670125801E-4</v>
      </c>
      <c r="BO80">
        <v>6.0642775340856497E-3</v>
      </c>
      <c r="BP80">
        <v>2.5587552441063202</v>
      </c>
      <c r="BQ80">
        <f t="shared" si="1"/>
        <v>23.352156179592402</v>
      </c>
    </row>
    <row r="81" spans="1:69" x14ac:dyDescent="0.25">
      <c r="A81" t="s">
        <v>12</v>
      </c>
      <c r="B81">
        <v>2024</v>
      </c>
      <c r="C81" t="s">
        <v>2406</v>
      </c>
      <c r="D81" t="s">
        <v>11</v>
      </c>
      <c r="E81" t="s">
        <v>11</v>
      </c>
      <c r="F81" t="s">
        <v>10</v>
      </c>
      <c r="G81">
        <v>100.37787649459</v>
      </c>
      <c r="H81">
        <v>3405.5694451458698</v>
      </c>
      <c r="I81">
        <v>3405.5694451458698</v>
      </c>
      <c r="J81">
        <v>0</v>
      </c>
      <c r="K81">
        <v>514.93850641725101</v>
      </c>
      <c r="L81">
        <v>0</v>
      </c>
      <c r="M81">
        <v>1.85000296069084E-2</v>
      </c>
      <c r="N81">
        <v>5.2042945204802196E-3</v>
      </c>
      <c r="O81">
        <v>3.8407326579255698E-4</v>
      </c>
      <c r="P81">
        <v>2.40883973931812E-2</v>
      </c>
      <c r="Q81">
        <v>9.0710859165159702E-5</v>
      </c>
      <c r="R81">
        <v>4.7072786964814599E-6</v>
      </c>
      <c r="S81">
        <v>0</v>
      </c>
      <c r="T81">
        <v>9.5418137861641198E-5</v>
      </c>
      <c r="U81">
        <v>1.1261993158361901E-5</v>
      </c>
      <c r="V81">
        <v>6.0661910075714097E-5</v>
      </c>
      <c r="W81">
        <v>1.6734204109571701E-4</v>
      </c>
      <c r="X81">
        <v>9.4812401693132302E-5</v>
      </c>
      <c r="Y81">
        <v>4.9201209508965002E-6</v>
      </c>
      <c r="Z81">
        <v>0</v>
      </c>
      <c r="AA81">
        <v>9.9732522644028804E-5</v>
      </c>
      <c r="AB81">
        <v>4.5047972633447603E-5</v>
      </c>
      <c r="AC81">
        <v>1.73319743073468E-4</v>
      </c>
      <c r="AD81">
        <v>3.1810023835094503E-4</v>
      </c>
      <c r="AE81">
        <v>4.6466641386583998</v>
      </c>
      <c r="AF81">
        <v>0.39259022451431402</v>
      </c>
      <c r="AG81">
        <v>0</v>
      </c>
      <c r="AH81">
        <v>5.0392543631727102</v>
      </c>
      <c r="AI81">
        <v>1.29668220016762E-5</v>
      </c>
      <c r="AJ81">
        <v>1.32884388816848E-6</v>
      </c>
      <c r="AK81">
        <v>0</v>
      </c>
      <c r="AL81">
        <v>1.42956658898447E-5</v>
      </c>
      <c r="AM81">
        <v>7.3208382734917096E-4</v>
      </c>
      <c r="AN81">
        <v>6.1852749750338301E-5</v>
      </c>
      <c r="AO81">
        <v>0</v>
      </c>
      <c r="AP81">
        <v>7.9393657709950997E-4</v>
      </c>
      <c r="AQ81">
        <v>2.79172121910929E-4</v>
      </c>
      <c r="AR81">
        <v>2.8609644514315798E-5</v>
      </c>
      <c r="AS81">
        <v>0</v>
      </c>
      <c r="AT81">
        <v>3.0778176642524502E-4</v>
      </c>
      <c r="AU81">
        <v>0</v>
      </c>
      <c r="AV81">
        <v>0</v>
      </c>
      <c r="AW81">
        <v>0</v>
      </c>
      <c r="AX81">
        <v>3.0778176642524502E-4</v>
      </c>
      <c r="AY81">
        <v>3.1781620985390602E-4</v>
      </c>
      <c r="AZ81">
        <v>3.2569902476539103E-5</v>
      </c>
      <c r="BA81">
        <v>0</v>
      </c>
      <c r="BB81">
        <v>3.5038611233044502E-4</v>
      </c>
      <c r="BC81">
        <v>0</v>
      </c>
      <c r="BD81">
        <v>0</v>
      </c>
      <c r="BE81">
        <v>0</v>
      </c>
      <c r="BF81">
        <v>3.5038611233044502E-4</v>
      </c>
      <c r="BG81">
        <v>6.8417276466174802E-4</v>
      </c>
      <c r="BH81">
        <v>5.9321604069387495E-4</v>
      </c>
      <c r="BI81">
        <v>0</v>
      </c>
      <c r="BJ81">
        <v>1.27738880535562E-3</v>
      </c>
      <c r="BK81">
        <v>4.4001130738442602E-5</v>
      </c>
      <c r="BL81">
        <v>3.7175946614631798E-6</v>
      </c>
      <c r="BM81">
        <v>0</v>
      </c>
      <c r="BN81">
        <v>4.7718725399905799E-5</v>
      </c>
      <c r="BO81">
        <v>4.2796402566404502E-4</v>
      </c>
      <c r="BP81">
        <v>0.45015459606001101</v>
      </c>
      <c r="BQ81">
        <f t="shared" si="1"/>
        <v>23.353745330186353</v>
      </c>
    </row>
    <row r="82" spans="1:69" x14ac:dyDescent="0.25">
      <c r="A82" t="s">
        <v>12</v>
      </c>
      <c r="B82">
        <v>2024</v>
      </c>
      <c r="C82" t="s">
        <v>2406</v>
      </c>
      <c r="D82" t="s">
        <v>11</v>
      </c>
      <c r="E82" t="s">
        <v>11</v>
      </c>
      <c r="F82" t="s">
        <v>2384</v>
      </c>
      <c r="G82">
        <v>0.52004295991187999</v>
      </c>
      <c r="H82">
        <v>21.342247288906599</v>
      </c>
      <c r="I82">
        <v>0</v>
      </c>
      <c r="J82">
        <v>21.342247288906599</v>
      </c>
      <c r="K82">
        <v>2.66782038434794</v>
      </c>
      <c r="L82">
        <v>25.203071716457799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7.05774017600274E-8</v>
      </c>
      <c r="V82">
        <v>1.9008003018388701E-7</v>
      </c>
      <c r="W82">
        <v>2.6065743194391499E-7</v>
      </c>
      <c r="X82">
        <v>0</v>
      </c>
      <c r="Y82">
        <v>0</v>
      </c>
      <c r="Z82">
        <v>0</v>
      </c>
      <c r="AA82">
        <v>0</v>
      </c>
      <c r="AB82">
        <v>2.8230960704010902E-7</v>
      </c>
      <c r="AC82">
        <v>5.4308580052539303E-7</v>
      </c>
      <c r="AD82">
        <v>8.2539540756550305E-7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 t="e">
        <f t="shared" si="1"/>
        <v>#DIV/0!</v>
      </c>
    </row>
    <row r="83" spans="1:69" x14ac:dyDescent="0.25">
      <c r="A83" t="s">
        <v>12</v>
      </c>
      <c r="B83">
        <v>2024</v>
      </c>
      <c r="C83" t="s">
        <v>2406</v>
      </c>
      <c r="D83" t="s">
        <v>11</v>
      </c>
      <c r="E83" t="s">
        <v>11</v>
      </c>
      <c r="F83" t="s">
        <v>2382</v>
      </c>
      <c r="G83">
        <v>5.4850049662492797</v>
      </c>
      <c r="H83">
        <v>231.046269740479</v>
      </c>
      <c r="I83">
        <v>231.046269740479</v>
      </c>
      <c r="J83">
        <v>0</v>
      </c>
      <c r="K83">
        <v>28.138075476858798</v>
      </c>
      <c r="L83">
        <v>0</v>
      </c>
      <c r="M83">
        <v>2.2683102169183202E-5</v>
      </c>
      <c r="N83">
        <v>4.71953993777818E-5</v>
      </c>
      <c r="O83">
        <v>0</v>
      </c>
      <c r="P83">
        <v>6.9878501546965103E-5</v>
      </c>
      <c r="Q83">
        <v>3.86561412642702E-7</v>
      </c>
      <c r="R83">
        <v>1.55581497166112E-7</v>
      </c>
      <c r="S83">
        <v>0</v>
      </c>
      <c r="T83">
        <v>5.4214290980881395E-7</v>
      </c>
      <c r="U83">
        <v>7.64054749431445E-7</v>
      </c>
      <c r="V83">
        <v>4.1155255425207698E-6</v>
      </c>
      <c r="W83">
        <v>5.4217232017610302E-6</v>
      </c>
      <c r="X83">
        <v>4.2042080645082202E-7</v>
      </c>
      <c r="Y83">
        <v>1.6920907356022401E-7</v>
      </c>
      <c r="Z83">
        <v>0</v>
      </c>
      <c r="AA83">
        <v>5.8962988001104595E-7</v>
      </c>
      <c r="AB83">
        <v>3.05621899772578E-6</v>
      </c>
      <c r="AC83">
        <v>1.1758644407202201E-5</v>
      </c>
      <c r="AD83">
        <v>1.5404493284938999E-5</v>
      </c>
      <c r="AE83">
        <v>0.25902239824020501</v>
      </c>
      <c r="AF83">
        <v>4.0101093531708501E-2</v>
      </c>
      <c r="AG83">
        <v>0</v>
      </c>
      <c r="AH83">
        <v>0.299123491771914</v>
      </c>
      <c r="AI83">
        <v>2.21716566181475E-4</v>
      </c>
      <c r="AJ83">
        <v>1.17021968783276E-4</v>
      </c>
      <c r="AK83">
        <v>0</v>
      </c>
      <c r="AL83">
        <v>3.3873853496475202E-4</v>
      </c>
      <c r="AM83">
        <v>5.28034103405916E-5</v>
      </c>
      <c r="AN83">
        <v>8.1748702476980395E-6</v>
      </c>
      <c r="AO83">
        <v>0</v>
      </c>
      <c r="AP83">
        <v>6.09782805882896E-5</v>
      </c>
      <c r="AQ83">
        <v>3.16789225392762E-6</v>
      </c>
      <c r="AR83">
        <v>1.67201303372375E-6</v>
      </c>
      <c r="AS83">
        <v>0</v>
      </c>
      <c r="AT83">
        <v>4.8399052876513703E-6</v>
      </c>
      <c r="AU83">
        <v>0</v>
      </c>
      <c r="AV83">
        <v>0</v>
      </c>
      <c r="AW83">
        <v>0</v>
      </c>
      <c r="AX83">
        <v>4.8399052876513703E-6</v>
      </c>
      <c r="AY83">
        <v>2.2627801813768699E-4</v>
      </c>
      <c r="AZ83">
        <v>1.19429502408839E-4</v>
      </c>
      <c r="BA83">
        <v>0</v>
      </c>
      <c r="BB83">
        <v>3.4570752054652602E-4</v>
      </c>
      <c r="BC83">
        <v>0</v>
      </c>
      <c r="BD83">
        <v>0</v>
      </c>
      <c r="BE83">
        <v>0</v>
      </c>
      <c r="BF83">
        <v>3.4570752054652602E-4</v>
      </c>
      <c r="BG83">
        <v>7.8202396898617902E-4</v>
      </c>
      <c r="BH83">
        <v>3.0535917966868E-4</v>
      </c>
      <c r="BI83">
        <v>0</v>
      </c>
      <c r="BJ83">
        <v>1.08738314865486E-3</v>
      </c>
      <c r="BK83">
        <v>0</v>
      </c>
      <c r="BL83">
        <v>0</v>
      </c>
      <c r="BM83">
        <v>0</v>
      </c>
      <c r="BN83">
        <v>0</v>
      </c>
      <c r="BO83">
        <v>2.6996593409823598E-4</v>
      </c>
      <c r="BP83">
        <v>3.4574113422179698E-2</v>
      </c>
      <c r="BQ83">
        <f t="shared" si="1"/>
        <v>18.812998241013482</v>
      </c>
    </row>
    <row r="84" spans="1:69" x14ac:dyDescent="0.25">
      <c r="A84" t="s">
        <v>12</v>
      </c>
      <c r="B84">
        <v>2024</v>
      </c>
      <c r="C84" t="s">
        <v>2405</v>
      </c>
      <c r="D84" t="s">
        <v>11</v>
      </c>
      <c r="E84" t="s">
        <v>11</v>
      </c>
      <c r="F84" t="s">
        <v>10</v>
      </c>
      <c r="G84">
        <v>123.372335863839</v>
      </c>
      <c r="H84">
        <v>4485.3983503505497</v>
      </c>
      <c r="I84">
        <v>4485.3983503505497</v>
      </c>
      <c r="J84">
        <v>0</v>
      </c>
      <c r="K84">
        <v>632.90008298149303</v>
      </c>
      <c r="L84">
        <v>0</v>
      </c>
      <c r="M84">
        <v>1.32560309026158E-2</v>
      </c>
      <c r="N84">
        <v>4.1890835045422098E-3</v>
      </c>
      <c r="O84">
        <v>8.3218394464927895E-4</v>
      </c>
      <c r="P84">
        <v>1.8277298351807299E-2</v>
      </c>
      <c r="Q84">
        <v>6.4234790674140197E-5</v>
      </c>
      <c r="R84">
        <v>3.01888354299767E-6</v>
      </c>
      <c r="S84">
        <v>0</v>
      </c>
      <c r="T84">
        <v>6.7253674217137904E-5</v>
      </c>
      <c r="U84">
        <v>1.4832916006507001E-5</v>
      </c>
      <c r="V84">
        <v>7.9896427239370803E-5</v>
      </c>
      <c r="W84">
        <v>1.6198301746301501E-4</v>
      </c>
      <c r="X84">
        <v>6.71392028707628E-5</v>
      </c>
      <c r="Y84">
        <v>3.1553840607146998E-6</v>
      </c>
      <c r="Z84">
        <v>0</v>
      </c>
      <c r="AA84">
        <v>7.0294586931477502E-5</v>
      </c>
      <c r="AB84">
        <v>5.9331664026028301E-5</v>
      </c>
      <c r="AC84">
        <v>2.28275506398202E-4</v>
      </c>
      <c r="AD84">
        <v>3.5790175735570797E-4</v>
      </c>
      <c r="AE84">
        <v>6.0814769837074198</v>
      </c>
      <c r="AF84">
        <v>0.47131742192454801</v>
      </c>
      <c r="AG84">
        <v>0</v>
      </c>
      <c r="AH84">
        <v>6.5527944056319702</v>
      </c>
      <c r="AI84">
        <v>1.20114811431967E-5</v>
      </c>
      <c r="AJ84">
        <v>1.77399578618239E-6</v>
      </c>
      <c r="AK84">
        <v>0</v>
      </c>
      <c r="AL84">
        <v>1.37854769293791E-5</v>
      </c>
      <c r="AM84">
        <v>9.5813917539860297E-4</v>
      </c>
      <c r="AN84">
        <v>7.4256251763117503E-5</v>
      </c>
      <c r="AO84">
        <v>0</v>
      </c>
      <c r="AP84">
        <v>1.03239542716172E-3</v>
      </c>
      <c r="AQ84">
        <v>2.5860389520314701E-4</v>
      </c>
      <c r="AR84">
        <v>3.8193642808204199E-5</v>
      </c>
      <c r="AS84">
        <v>0</v>
      </c>
      <c r="AT84">
        <v>2.9679753801135098E-4</v>
      </c>
      <c r="AU84">
        <v>0</v>
      </c>
      <c r="AV84">
        <v>0</v>
      </c>
      <c r="AW84">
        <v>0</v>
      </c>
      <c r="AX84">
        <v>2.9679753801135098E-4</v>
      </c>
      <c r="AY84">
        <v>2.9440084942701901E-4</v>
      </c>
      <c r="AZ84">
        <v>4.3480554987830097E-5</v>
      </c>
      <c r="BA84">
        <v>0</v>
      </c>
      <c r="BB84">
        <v>3.3788140441484899E-4</v>
      </c>
      <c r="BC84">
        <v>0</v>
      </c>
      <c r="BD84">
        <v>0</v>
      </c>
      <c r="BE84">
        <v>0</v>
      </c>
      <c r="BF84">
        <v>3.3788140441484899E-4</v>
      </c>
      <c r="BG84">
        <v>7.2723823101010303E-4</v>
      </c>
      <c r="BH84">
        <v>1.0156021617431E-3</v>
      </c>
      <c r="BI84">
        <v>0</v>
      </c>
      <c r="BJ84">
        <v>1.7428403927532E-3</v>
      </c>
      <c r="BK84">
        <v>5.7587950378569803E-5</v>
      </c>
      <c r="BL84">
        <v>4.4630941429296998E-6</v>
      </c>
      <c r="BM84">
        <v>0</v>
      </c>
      <c r="BN84">
        <v>6.2051044521499503E-5</v>
      </c>
      <c r="BO84">
        <v>7.6471509232184604E-4</v>
      </c>
      <c r="BP84">
        <v>0.58535852849356595</v>
      </c>
      <c r="BQ84">
        <f t="shared" si="1"/>
        <v>23.353287393432343</v>
      </c>
    </row>
    <row r="85" spans="1:69" x14ac:dyDescent="0.25">
      <c r="A85" t="s">
        <v>12</v>
      </c>
      <c r="B85">
        <v>2024</v>
      </c>
      <c r="C85" t="s">
        <v>2405</v>
      </c>
      <c r="D85" t="s">
        <v>11</v>
      </c>
      <c r="E85" t="s">
        <v>11</v>
      </c>
      <c r="F85" t="s">
        <v>2384</v>
      </c>
      <c r="G85">
        <v>0.54880492943869597</v>
      </c>
      <c r="H85">
        <v>23.210817996222399</v>
      </c>
      <c r="I85">
        <v>0</v>
      </c>
      <c r="J85">
        <v>23.210817996222399</v>
      </c>
      <c r="K85">
        <v>2.8153692880205101</v>
      </c>
      <c r="L85">
        <v>27.409667905989799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7.6756641637722594E-8</v>
      </c>
      <c r="V85">
        <v>2.0672204410300801E-7</v>
      </c>
      <c r="W85">
        <v>2.8347868574073099E-7</v>
      </c>
      <c r="X85">
        <v>0</v>
      </c>
      <c r="Y85">
        <v>0</v>
      </c>
      <c r="Z85">
        <v>0</v>
      </c>
      <c r="AA85">
        <v>0</v>
      </c>
      <c r="AB85">
        <v>3.0702656655089001E-7</v>
      </c>
      <c r="AC85">
        <v>5.9063441172288195E-7</v>
      </c>
      <c r="AD85">
        <v>8.9766097827377196E-7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 t="e">
        <f t="shared" si="1"/>
        <v>#DIV/0!</v>
      </c>
    </row>
    <row r="86" spans="1:69" x14ac:dyDescent="0.25">
      <c r="A86" t="s">
        <v>12</v>
      </c>
      <c r="B86">
        <v>2024</v>
      </c>
      <c r="C86" t="s">
        <v>2405</v>
      </c>
      <c r="D86" t="s">
        <v>11</v>
      </c>
      <c r="E86" t="s">
        <v>11</v>
      </c>
      <c r="F86" t="s">
        <v>2382</v>
      </c>
      <c r="G86">
        <v>11.6674732031594</v>
      </c>
      <c r="H86">
        <v>480.11994906862998</v>
      </c>
      <c r="I86">
        <v>480.11994906862998</v>
      </c>
      <c r="J86">
        <v>0</v>
      </c>
      <c r="K86">
        <v>59.8541375322081</v>
      </c>
      <c r="L86">
        <v>0</v>
      </c>
      <c r="M86">
        <v>8.02503306689769E-5</v>
      </c>
      <c r="N86">
        <v>1.0284078892761999E-4</v>
      </c>
      <c r="O86">
        <v>0</v>
      </c>
      <c r="P86">
        <v>1.83091119596597E-4</v>
      </c>
      <c r="Q86">
        <v>6.5982234948649696E-7</v>
      </c>
      <c r="R86">
        <v>2.7253830686521798E-7</v>
      </c>
      <c r="S86">
        <v>0</v>
      </c>
      <c r="T86">
        <v>9.3236065635171504E-7</v>
      </c>
      <c r="U86">
        <v>1.58772495134726E-6</v>
      </c>
      <c r="V86">
        <v>8.5521653999659E-6</v>
      </c>
      <c r="W86">
        <v>1.1072251007664799E-5</v>
      </c>
      <c r="X86">
        <v>7.1761700783567899E-7</v>
      </c>
      <c r="Y86">
        <v>2.9641027534976202E-7</v>
      </c>
      <c r="Z86">
        <v>0</v>
      </c>
      <c r="AA86">
        <v>1.01402728318544E-6</v>
      </c>
      <c r="AB86">
        <v>6.3508998053890597E-6</v>
      </c>
      <c r="AC86">
        <v>2.44347582856168E-5</v>
      </c>
      <c r="AD86">
        <v>3.1799685374191298E-5</v>
      </c>
      <c r="AE86">
        <v>0.54371215693847297</v>
      </c>
      <c r="AF86">
        <v>8.1967135689550705E-2</v>
      </c>
      <c r="AG86">
        <v>0</v>
      </c>
      <c r="AH86">
        <v>0.62567929262802402</v>
      </c>
      <c r="AI86">
        <v>4.4667799445147199E-4</v>
      </c>
      <c r="AJ86">
        <v>2.79157633403166E-4</v>
      </c>
      <c r="AK86">
        <v>0</v>
      </c>
      <c r="AL86">
        <v>7.2583562785463805E-4</v>
      </c>
      <c r="AM86">
        <v>1.1083928001996999E-4</v>
      </c>
      <c r="AN86">
        <v>1.6709536818683E-5</v>
      </c>
      <c r="AO86">
        <v>0</v>
      </c>
      <c r="AP86">
        <v>1.2754881683865301E-4</v>
      </c>
      <c r="AQ86">
        <v>6.3821471845479603E-6</v>
      </c>
      <c r="AR86">
        <v>3.9886117655223902E-6</v>
      </c>
      <c r="AS86">
        <v>0</v>
      </c>
      <c r="AT86">
        <v>1.03707589500703E-5</v>
      </c>
      <c r="AU86">
        <v>0</v>
      </c>
      <c r="AV86">
        <v>0</v>
      </c>
      <c r="AW86">
        <v>0</v>
      </c>
      <c r="AX86">
        <v>1.03707589500703E-5</v>
      </c>
      <c r="AY86">
        <v>4.5586765603914E-4</v>
      </c>
      <c r="AZ86">
        <v>2.84900840394456E-4</v>
      </c>
      <c r="BA86">
        <v>0</v>
      </c>
      <c r="BB86">
        <v>7.4076849643359599E-4</v>
      </c>
      <c r="BC86">
        <v>0</v>
      </c>
      <c r="BD86">
        <v>0</v>
      </c>
      <c r="BE86">
        <v>0</v>
      </c>
      <c r="BF86">
        <v>7.4076849643359599E-4</v>
      </c>
      <c r="BG86">
        <v>1.62692720904896E-3</v>
      </c>
      <c r="BH86">
        <v>5.1785549741952301E-4</v>
      </c>
      <c r="BI86">
        <v>0</v>
      </c>
      <c r="BJ86">
        <v>2.1447827064684801E-3</v>
      </c>
      <c r="BK86">
        <v>0</v>
      </c>
      <c r="BL86">
        <v>0</v>
      </c>
      <c r="BM86">
        <v>0</v>
      </c>
      <c r="BN86">
        <v>0</v>
      </c>
      <c r="BO86">
        <v>5.6099598870434095E-4</v>
      </c>
      <c r="BP86">
        <v>7.2318983377358398E-2</v>
      </c>
      <c r="BQ86">
        <f t="shared" si="1"/>
        <v>18.826341351895994</v>
      </c>
    </row>
    <row r="87" spans="1:69" x14ac:dyDescent="0.25">
      <c r="A87" t="s">
        <v>12</v>
      </c>
      <c r="B87">
        <v>2024</v>
      </c>
      <c r="C87" t="s">
        <v>2404</v>
      </c>
      <c r="D87" t="s">
        <v>11</v>
      </c>
      <c r="E87" t="s">
        <v>11</v>
      </c>
      <c r="F87" t="s">
        <v>10</v>
      </c>
      <c r="G87">
        <v>123.15049821529701</v>
      </c>
      <c r="H87">
        <v>4243.02290409954</v>
      </c>
      <c r="I87">
        <v>4243.02290409954</v>
      </c>
      <c r="J87">
        <v>0</v>
      </c>
      <c r="K87">
        <v>631.762055844477</v>
      </c>
      <c r="L87">
        <v>0</v>
      </c>
      <c r="M87">
        <v>2.7200272902925801E-2</v>
      </c>
      <c r="N87">
        <v>4.9059093889328598E-3</v>
      </c>
      <c r="O87">
        <v>6.3555573629412799E-4</v>
      </c>
      <c r="P87">
        <v>3.2741738028152799E-2</v>
      </c>
      <c r="Q87">
        <v>1.8564969109849801E-4</v>
      </c>
      <c r="R87">
        <v>1.41650224629201E-5</v>
      </c>
      <c r="S87">
        <v>0</v>
      </c>
      <c r="T87">
        <v>1.99814713561419E-4</v>
      </c>
      <c r="U87">
        <v>1.40313964188432E-5</v>
      </c>
      <c r="V87">
        <v>7.5579100060505904E-5</v>
      </c>
      <c r="W87">
        <v>2.8942521004076798E-4</v>
      </c>
      <c r="X87">
        <v>1.94043946321669E-4</v>
      </c>
      <c r="Y87">
        <v>1.48055019223371E-5</v>
      </c>
      <c r="Z87">
        <v>0</v>
      </c>
      <c r="AA87">
        <v>2.0884944824400601E-4</v>
      </c>
      <c r="AB87">
        <v>5.6125585675373002E-5</v>
      </c>
      <c r="AC87">
        <v>2.1594028588715899E-4</v>
      </c>
      <c r="AD87">
        <v>4.80915319806539E-4</v>
      </c>
      <c r="AE87">
        <v>5.7992083313189102</v>
      </c>
      <c r="AF87">
        <v>0.44208522692247298</v>
      </c>
      <c r="AG87">
        <v>0</v>
      </c>
      <c r="AH87">
        <v>6.2412935582413898</v>
      </c>
      <c r="AI87">
        <v>1.9648645980521301E-5</v>
      </c>
      <c r="AJ87">
        <v>2.8954437751765199E-6</v>
      </c>
      <c r="AK87">
        <v>0</v>
      </c>
      <c r="AL87">
        <v>2.2544089755697801E-5</v>
      </c>
      <c r="AM87">
        <v>9.1366763426395001E-4</v>
      </c>
      <c r="AN87">
        <v>6.9650707536046406E-5</v>
      </c>
      <c r="AO87">
        <v>0</v>
      </c>
      <c r="AP87">
        <v>9.8331834179999603E-4</v>
      </c>
      <c r="AQ87">
        <v>4.2302995987372201E-4</v>
      </c>
      <c r="AR87">
        <v>6.2338110485771206E-5</v>
      </c>
      <c r="AS87">
        <v>0</v>
      </c>
      <c r="AT87">
        <v>4.8536807035949299E-4</v>
      </c>
      <c r="AU87">
        <v>0</v>
      </c>
      <c r="AV87">
        <v>0</v>
      </c>
      <c r="AW87">
        <v>0</v>
      </c>
      <c r="AX87">
        <v>4.8536807035949299E-4</v>
      </c>
      <c r="AY87">
        <v>4.8158740773053099E-4</v>
      </c>
      <c r="AZ87">
        <v>7.0967193530745696E-5</v>
      </c>
      <c r="BA87">
        <v>0</v>
      </c>
      <c r="BB87">
        <v>5.5255460126127701E-4</v>
      </c>
      <c r="BC87">
        <v>0</v>
      </c>
      <c r="BD87">
        <v>0</v>
      </c>
      <c r="BE87">
        <v>0</v>
      </c>
      <c r="BF87">
        <v>5.5255460126127701E-4</v>
      </c>
      <c r="BG87">
        <v>9.6067009671418695E-4</v>
      </c>
      <c r="BH87">
        <v>9.39061543330719E-4</v>
      </c>
      <c r="BI87">
        <v>0</v>
      </c>
      <c r="BJ87">
        <v>1.8997316400449001E-3</v>
      </c>
      <c r="BK87">
        <v>5.4915035034036997E-5</v>
      </c>
      <c r="BL87">
        <v>4.1862827367949498E-6</v>
      </c>
      <c r="BM87">
        <v>0</v>
      </c>
      <c r="BN87">
        <v>5.9101317770831901E-5</v>
      </c>
      <c r="BO87">
        <v>6.1723078163969001E-4</v>
      </c>
      <c r="BP87">
        <v>0.55753228119114295</v>
      </c>
      <c r="BQ87">
        <f t="shared" si="1"/>
        <v>23.354229576618813</v>
      </c>
    </row>
    <row r="88" spans="1:69" x14ac:dyDescent="0.25">
      <c r="A88" t="s">
        <v>12</v>
      </c>
      <c r="B88">
        <v>2024</v>
      </c>
      <c r="C88" t="s">
        <v>2404</v>
      </c>
      <c r="D88" t="s">
        <v>11</v>
      </c>
      <c r="E88" t="s">
        <v>11</v>
      </c>
      <c r="F88" t="s">
        <v>2384</v>
      </c>
      <c r="G88">
        <v>0.659055189628316</v>
      </c>
      <c r="H88">
        <v>24.868426232838001</v>
      </c>
      <c r="I88">
        <v>0</v>
      </c>
      <c r="J88">
        <v>24.868426232838001</v>
      </c>
      <c r="K88">
        <v>3.3809531227932599</v>
      </c>
      <c r="L88">
        <v>29.367138396312999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8.2238242562530597E-8</v>
      </c>
      <c r="V88">
        <v>2.2148516718858601E-7</v>
      </c>
      <c r="W88">
        <v>3.03723409751116E-7</v>
      </c>
      <c r="X88">
        <v>0</v>
      </c>
      <c r="Y88">
        <v>0</v>
      </c>
      <c r="Z88">
        <v>0</v>
      </c>
      <c r="AA88">
        <v>0</v>
      </c>
      <c r="AB88">
        <v>3.2895297025012202E-7</v>
      </c>
      <c r="AC88">
        <v>6.3281476339596004E-7</v>
      </c>
      <c r="AD88">
        <v>9.61767733646082E-7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 t="e">
        <f t="shared" si="1"/>
        <v>#DIV/0!</v>
      </c>
    </row>
    <row r="89" spans="1:69" x14ac:dyDescent="0.25">
      <c r="A89" t="s">
        <v>12</v>
      </c>
      <c r="B89">
        <v>2024</v>
      </c>
      <c r="C89" t="s">
        <v>2404</v>
      </c>
      <c r="D89" t="s">
        <v>11</v>
      </c>
      <c r="E89" t="s">
        <v>11</v>
      </c>
      <c r="F89" t="s">
        <v>2382</v>
      </c>
      <c r="G89">
        <v>8.1512728829740109</v>
      </c>
      <c r="H89">
        <v>340.11560623402198</v>
      </c>
      <c r="I89">
        <v>340.11560623402198</v>
      </c>
      <c r="J89">
        <v>0</v>
      </c>
      <c r="K89">
        <v>41.816029889656598</v>
      </c>
      <c r="L89">
        <v>0</v>
      </c>
      <c r="M89">
        <v>3.6212897716170801E-5</v>
      </c>
      <c r="N89">
        <v>7.0121326610402598E-5</v>
      </c>
      <c r="O89">
        <v>0</v>
      </c>
      <c r="P89">
        <v>1.06334224326573E-4</v>
      </c>
      <c r="Q89">
        <v>5.5684621083806904E-7</v>
      </c>
      <c r="R89">
        <v>2.3158713047932101E-7</v>
      </c>
      <c r="S89">
        <v>0</v>
      </c>
      <c r="T89">
        <v>7.8843334131739105E-7</v>
      </c>
      <c r="U89">
        <v>1.1247398393003799E-6</v>
      </c>
      <c r="V89">
        <v>6.0583296429685498E-6</v>
      </c>
      <c r="W89">
        <v>7.9715028235863302E-6</v>
      </c>
      <c r="X89">
        <v>6.0562106142242595E-7</v>
      </c>
      <c r="Y89">
        <v>2.51872134608897E-7</v>
      </c>
      <c r="Z89">
        <v>0</v>
      </c>
      <c r="AA89">
        <v>8.57493196031323E-7</v>
      </c>
      <c r="AB89">
        <v>4.4989593572015298E-6</v>
      </c>
      <c r="AC89">
        <v>1.7309513265624399E-5</v>
      </c>
      <c r="AD89">
        <v>2.2665965818857301E-5</v>
      </c>
      <c r="AE89">
        <v>0.38382051083604901</v>
      </c>
      <c r="AF89">
        <v>6.0187471381322501E-2</v>
      </c>
      <c r="AG89">
        <v>0</v>
      </c>
      <c r="AH89">
        <v>0.44400798221737198</v>
      </c>
      <c r="AI89">
        <v>3.2515683222589898E-4</v>
      </c>
      <c r="AJ89">
        <v>1.7371121418221499E-4</v>
      </c>
      <c r="AK89">
        <v>0</v>
      </c>
      <c r="AL89">
        <v>4.9886804640811495E-4</v>
      </c>
      <c r="AM89">
        <v>7.8244321991091605E-5</v>
      </c>
      <c r="AN89">
        <v>1.22696097723694E-5</v>
      </c>
      <c r="AO89">
        <v>0</v>
      </c>
      <c r="AP89">
        <v>9.0513931763461003E-5</v>
      </c>
      <c r="AQ89">
        <v>4.6458495540516398E-6</v>
      </c>
      <c r="AR89">
        <v>2.4819904949176498E-6</v>
      </c>
      <c r="AS89">
        <v>0</v>
      </c>
      <c r="AT89">
        <v>7.1278400489692998E-6</v>
      </c>
      <c r="AU89">
        <v>0</v>
      </c>
      <c r="AV89">
        <v>0</v>
      </c>
      <c r="AW89">
        <v>0</v>
      </c>
      <c r="AX89">
        <v>7.1278400489692998E-6</v>
      </c>
      <c r="AY89">
        <v>3.3184639671797402E-4</v>
      </c>
      <c r="AZ89">
        <v>1.7728503535126099E-4</v>
      </c>
      <c r="BA89">
        <v>0</v>
      </c>
      <c r="BB89">
        <v>5.0913143206923501E-4</v>
      </c>
      <c r="BC89">
        <v>0</v>
      </c>
      <c r="BD89">
        <v>0</v>
      </c>
      <c r="BE89">
        <v>0</v>
      </c>
      <c r="BF89">
        <v>5.0913143206923501E-4</v>
      </c>
      <c r="BG89">
        <v>1.14894786020221E-3</v>
      </c>
      <c r="BH89">
        <v>4.5464528805242398E-4</v>
      </c>
      <c r="BI89">
        <v>0</v>
      </c>
      <c r="BJ89">
        <v>1.6035931482546401E-3</v>
      </c>
      <c r="BK89">
        <v>0</v>
      </c>
      <c r="BL89">
        <v>0</v>
      </c>
      <c r="BM89">
        <v>0</v>
      </c>
      <c r="BN89">
        <v>0</v>
      </c>
      <c r="BO89">
        <v>3.9740796266259201E-4</v>
      </c>
      <c r="BP89">
        <v>5.1320550741772102E-2</v>
      </c>
      <c r="BQ89">
        <f t="shared" si="1"/>
        <v>18.808711017621388</v>
      </c>
    </row>
    <row r="90" spans="1:69" x14ac:dyDescent="0.25">
      <c r="A90" t="s">
        <v>12</v>
      </c>
      <c r="B90">
        <v>2024</v>
      </c>
      <c r="C90" t="s">
        <v>2403</v>
      </c>
      <c r="D90" t="s">
        <v>11</v>
      </c>
      <c r="E90" t="s">
        <v>11</v>
      </c>
      <c r="F90" t="s">
        <v>10</v>
      </c>
      <c r="G90">
        <v>317.99996551467899</v>
      </c>
      <c r="H90">
        <v>14206.346710231999</v>
      </c>
      <c r="I90">
        <v>14206.346710231999</v>
      </c>
      <c r="J90">
        <v>0</v>
      </c>
      <c r="K90">
        <v>1631.3398230902999</v>
      </c>
      <c r="L90">
        <v>0</v>
      </c>
      <c r="M90">
        <v>7.4283771730523807E-2</v>
      </c>
      <c r="N90">
        <v>1.16099201582388E-2</v>
      </c>
      <c r="O90">
        <v>1.8525186039872099E-3</v>
      </c>
      <c r="P90">
        <v>8.7746210492749901E-2</v>
      </c>
      <c r="Q90">
        <v>5.0376868156982795E-4</v>
      </c>
      <c r="R90">
        <v>3.1073886747215497E-5</v>
      </c>
      <c r="S90">
        <v>0</v>
      </c>
      <c r="T90">
        <v>5.3484256831704403E-4</v>
      </c>
      <c r="U90">
        <v>4.6979449995945297E-5</v>
      </c>
      <c r="V90">
        <v>2.53051403156337E-4</v>
      </c>
      <c r="W90">
        <v>8.3487342146932599E-4</v>
      </c>
      <c r="X90">
        <v>5.26546865909999E-4</v>
      </c>
      <c r="Y90">
        <v>3.2478910017594398E-5</v>
      </c>
      <c r="Z90">
        <v>0</v>
      </c>
      <c r="AA90">
        <v>5.5902577592759301E-4</v>
      </c>
      <c r="AB90">
        <v>1.87917799983781E-4</v>
      </c>
      <c r="AC90">
        <v>7.2300400901810502E-4</v>
      </c>
      <c r="AD90">
        <v>1.4699475849294799E-3</v>
      </c>
      <c r="AE90">
        <v>19.181790879406599</v>
      </c>
      <c r="AF90">
        <v>1.1444682254045899</v>
      </c>
      <c r="AG90">
        <v>0</v>
      </c>
      <c r="AH90">
        <v>20.326259104811101</v>
      </c>
      <c r="AI90">
        <v>5.6526832142617502E-5</v>
      </c>
      <c r="AJ90">
        <v>7.1682558352800702E-6</v>
      </c>
      <c r="AK90">
        <v>0</v>
      </c>
      <c r="AL90">
        <v>6.3695087977897597E-5</v>
      </c>
      <c r="AM90">
        <v>3.0220989646266602E-3</v>
      </c>
      <c r="AN90">
        <v>1.8031143498475701E-4</v>
      </c>
      <c r="AO90">
        <v>0</v>
      </c>
      <c r="AP90">
        <v>3.2024103996114201E-3</v>
      </c>
      <c r="AQ90">
        <v>1.2170071951413701E-3</v>
      </c>
      <c r="AR90">
        <v>1.54330582441622E-4</v>
      </c>
      <c r="AS90">
        <v>0</v>
      </c>
      <c r="AT90">
        <v>1.37133777758299E-3</v>
      </c>
      <c r="AU90">
        <v>0</v>
      </c>
      <c r="AV90">
        <v>0</v>
      </c>
      <c r="AW90">
        <v>0</v>
      </c>
      <c r="AX90">
        <v>1.37133777758299E-3</v>
      </c>
      <c r="AY90">
        <v>1.38547005151241E-3</v>
      </c>
      <c r="AZ90">
        <v>1.7569362026696701E-4</v>
      </c>
      <c r="BA90">
        <v>0</v>
      </c>
      <c r="BB90">
        <v>1.5611636717793799E-3</v>
      </c>
      <c r="BC90">
        <v>0</v>
      </c>
      <c r="BD90">
        <v>0</v>
      </c>
      <c r="BE90">
        <v>0</v>
      </c>
      <c r="BF90">
        <v>1.5611636717793799E-3</v>
      </c>
      <c r="BG90">
        <v>2.8618953413489302E-3</v>
      </c>
      <c r="BH90">
        <v>2.5798708166802301E-3</v>
      </c>
      <c r="BI90">
        <v>0</v>
      </c>
      <c r="BJ90">
        <v>5.4417661580291599E-3</v>
      </c>
      <c r="BK90">
        <v>1.8164008912551201E-4</v>
      </c>
      <c r="BL90">
        <v>1.08374297150214E-5</v>
      </c>
      <c r="BM90">
        <v>0</v>
      </c>
      <c r="BN90">
        <v>1.9247751884053399E-4</v>
      </c>
      <c r="BO90">
        <v>2.28702742608562E-3</v>
      </c>
      <c r="BP90">
        <v>1.8157366739821701</v>
      </c>
      <c r="BQ90">
        <f t="shared" si="1"/>
        <v>23.35393071106499</v>
      </c>
    </row>
    <row r="91" spans="1:69" x14ac:dyDescent="0.25">
      <c r="A91" t="s">
        <v>12</v>
      </c>
      <c r="B91">
        <v>2024</v>
      </c>
      <c r="C91" t="s">
        <v>2403</v>
      </c>
      <c r="D91" t="s">
        <v>11</v>
      </c>
      <c r="E91" t="s">
        <v>11</v>
      </c>
      <c r="F91" t="s">
        <v>2384</v>
      </c>
      <c r="G91">
        <v>1.61781117781935</v>
      </c>
      <c r="H91">
        <v>99.316005266866597</v>
      </c>
      <c r="I91">
        <v>0</v>
      </c>
      <c r="J91">
        <v>99.316005266866597</v>
      </c>
      <c r="K91">
        <v>8.2993713422132593</v>
      </c>
      <c r="L91">
        <v>117.28232596358301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3.2843146787845799E-7</v>
      </c>
      <c r="V91">
        <v>8.8453615138653302E-7</v>
      </c>
      <c r="W91">
        <v>1.2129676192649901E-6</v>
      </c>
      <c r="X91">
        <v>0</v>
      </c>
      <c r="Y91">
        <v>0</v>
      </c>
      <c r="Z91">
        <v>0</v>
      </c>
      <c r="AA91">
        <v>0</v>
      </c>
      <c r="AB91">
        <v>1.31372587151383E-6</v>
      </c>
      <c r="AC91">
        <v>2.5272461468186599E-6</v>
      </c>
      <c r="AD91">
        <v>3.8409720183325003E-6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 t="e">
        <f t="shared" si="1"/>
        <v>#DIV/0!</v>
      </c>
    </row>
    <row r="92" spans="1:69" x14ac:dyDescent="0.25">
      <c r="A92" t="s">
        <v>12</v>
      </c>
      <c r="B92">
        <v>2024</v>
      </c>
      <c r="C92" t="s">
        <v>2403</v>
      </c>
      <c r="D92" t="s">
        <v>11</v>
      </c>
      <c r="E92" t="s">
        <v>11</v>
      </c>
      <c r="F92" t="s">
        <v>2382</v>
      </c>
      <c r="G92">
        <v>21.940450275871001</v>
      </c>
      <c r="H92">
        <v>1181.81611481766</v>
      </c>
      <c r="I92">
        <v>1181.81611481766</v>
      </c>
      <c r="J92">
        <v>0</v>
      </c>
      <c r="K92">
        <v>112.55450991521801</v>
      </c>
      <c r="L92">
        <v>0</v>
      </c>
      <c r="M92">
        <v>1.3581387513497901E-4</v>
      </c>
      <c r="N92">
        <v>1.9004940179451199E-4</v>
      </c>
      <c r="O92">
        <v>0</v>
      </c>
      <c r="P92">
        <v>3.2586327692949102E-4</v>
      </c>
      <c r="Q92">
        <v>1.89164852784282E-6</v>
      </c>
      <c r="R92">
        <v>5.9218606718403303E-7</v>
      </c>
      <c r="S92">
        <v>0</v>
      </c>
      <c r="T92">
        <v>2.4838345950268502E-6</v>
      </c>
      <c r="U92">
        <v>3.9081878123170202E-6</v>
      </c>
      <c r="V92">
        <v>2.1051170454117E-5</v>
      </c>
      <c r="W92">
        <v>2.74431928614609E-5</v>
      </c>
      <c r="X92">
        <v>2.0573403696976701E-6</v>
      </c>
      <c r="Y92">
        <v>6.4405637963810905E-7</v>
      </c>
      <c r="Z92">
        <v>0</v>
      </c>
      <c r="AA92">
        <v>2.70139674933578E-6</v>
      </c>
      <c r="AB92">
        <v>1.5632751249268E-5</v>
      </c>
      <c r="AC92">
        <v>6.0146201297477401E-5</v>
      </c>
      <c r="AD92">
        <v>7.8480349296081202E-5</v>
      </c>
      <c r="AE92">
        <v>1.3231836904902201</v>
      </c>
      <c r="AF92">
        <v>0.15904670958436601</v>
      </c>
      <c r="AG92">
        <v>0</v>
      </c>
      <c r="AH92">
        <v>1.4822304000745901</v>
      </c>
      <c r="AI92">
        <v>1.1256025031763199E-3</v>
      </c>
      <c r="AJ92">
        <v>4.8370449078232201E-4</v>
      </c>
      <c r="AK92">
        <v>0</v>
      </c>
      <c r="AL92">
        <v>1.60930699395864E-3</v>
      </c>
      <c r="AM92">
        <v>2.6973965124105101E-4</v>
      </c>
      <c r="AN92">
        <v>3.2422712192310303E-5</v>
      </c>
      <c r="AO92">
        <v>0</v>
      </c>
      <c r="AP92">
        <v>3.0216236343336101E-4</v>
      </c>
      <c r="AQ92">
        <v>1.6082638804243501E-5</v>
      </c>
      <c r="AR92">
        <v>6.9111827588251197E-6</v>
      </c>
      <c r="AS92">
        <v>0</v>
      </c>
      <c r="AT92">
        <v>2.2993821563068602E-5</v>
      </c>
      <c r="AU92">
        <v>0</v>
      </c>
      <c r="AV92">
        <v>0</v>
      </c>
      <c r="AW92">
        <v>0</v>
      </c>
      <c r="AX92">
        <v>2.2993821563068602E-5</v>
      </c>
      <c r="AY92">
        <v>1.1487599145888201E-3</v>
      </c>
      <c r="AZ92">
        <v>4.9365591134465205E-4</v>
      </c>
      <c r="BA92">
        <v>0</v>
      </c>
      <c r="BB92">
        <v>1.64241582593347E-3</v>
      </c>
      <c r="BC92">
        <v>0</v>
      </c>
      <c r="BD92">
        <v>0</v>
      </c>
      <c r="BE92">
        <v>0</v>
      </c>
      <c r="BF92">
        <v>1.64241582593347E-3</v>
      </c>
      <c r="BG92">
        <v>3.9929978028508803E-3</v>
      </c>
      <c r="BH92">
        <v>1.1534772255846601E-3</v>
      </c>
      <c r="BI92">
        <v>0</v>
      </c>
      <c r="BJ92">
        <v>5.1464750284355397E-3</v>
      </c>
      <c r="BK92">
        <v>0</v>
      </c>
      <c r="BL92">
        <v>0</v>
      </c>
      <c r="BM92">
        <v>0</v>
      </c>
      <c r="BN92">
        <v>0</v>
      </c>
      <c r="BO92">
        <v>1.38089263127887E-3</v>
      </c>
      <c r="BP92">
        <v>0.17132322729455801</v>
      </c>
      <c r="BQ92">
        <f t="shared" si="1"/>
        <v>18.790451427300102</v>
      </c>
    </row>
    <row r="93" spans="1:69" x14ac:dyDescent="0.25">
      <c r="A93" t="s">
        <v>12</v>
      </c>
      <c r="B93">
        <v>2024</v>
      </c>
      <c r="C93" t="s">
        <v>2402</v>
      </c>
      <c r="D93" t="s">
        <v>11</v>
      </c>
      <c r="E93" t="s">
        <v>11</v>
      </c>
      <c r="F93" t="s">
        <v>10</v>
      </c>
      <c r="G93">
        <v>118.609369263058</v>
      </c>
      <c r="H93">
        <v>4824.7914679967798</v>
      </c>
      <c r="I93">
        <v>4824.7914679967798</v>
      </c>
      <c r="J93">
        <v>0</v>
      </c>
      <c r="K93">
        <v>1518.19992656714</v>
      </c>
      <c r="L93">
        <v>0</v>
      </c>
      <c r="M93">
        <v>2.67493944731554E-3</v>
      </c>
      <c r="N93">
        <v>1.03846132308836E-3</v>
      </c>
      <c r="O93">
        <v>2.3793219663184799E-3</v>
      </c>
      <c r="P93">
        <v>6.0927227367224002E-3</v>
      </c>
      <c r="Q93">
        <v>1.5847432747735601E-5</v>
      </c>
      <c r="R93">
        <v>2.4503310719915101E-7</v>
      </c>
      <c r="S93">
        <v>0</v>
      </c>
      <c r="T93">
        <v>1.6092465854934701E-5</v>
      </c>
      <c r="U93">
        <v>1.5955266623812799E-5</v>
      </c>
      <c r="V93">
        <v>8.4689712996840796E-5</v>
      </c>
      <c r="W93">
        <v>1.1673744547558799E-4</v>
      </c>
      <c r="X93">
        <v>1.6563983334646901E-5</v>
      </c>
      <c r="Y93">
        <v>2.5611241698838698E-7</v>
      </c>
      <c r="Z93">
        <v>0</v>
      </c>
      <c r="AA93">
        <v>1.6820095751635301E-5</v>
      </c>
      <c r="AB93">
        <v>6.3821066495251401E-5</v>
      </c>
      <c r="AC93">
        <v>2.4197060856240201E-4</v>
      </c>
      <c r="AD93">
        <v>3.22611770809289E-4</v>
      </c>
      <c r="AE93">
        <v>5.8855561481874501</v>
      </c>
      <c r="AF93">
        <v>0.21322878694980199</v>
      </c>
      <c r="AG93">
        <v>0</v>
      </c>
      <c r="AH93">
        <v>6.0987849351372496</v>
      </c>
      <c r="AI93">
        <v>1.8996344384832799E-6</v>
      </c>
      <c r="AJ93">
        <v>8.2869663373090004E-7</v>
      </c>
      <c r="AK93">
        <v>0</v>
      </c>
      <c r="AL93">
        <v>2.7283310722141802E-6</v>
      </c>
      <c r="AM93">
        <v>9.2727176797579799E-4</v>
      </c>
      <c r="AN93">
        <v>3.3594282219050698E-5</v>
      </c>
      <c r="AO93">
        <v>0</v>
      </c>
      <c r="AP93">
        <v>9.6086605019484904E-4</v>
      </c>
      <c r="AQ93">
        <v>4.0898608539386099E-5</v>
      </c>
      <c r="AR93">
        <v>1.78416112775507E-5</v>
      </c>
      <c r="AS93">
        <v>0</v>
      </c>
      <c r="AT93">
        <v>5.8740219816936798E-5</v>
      </c>
      <c r="AU93">
        <v>0</v>
      </c>
      <c r="AV93">
        <v>0</v>
      </c>
      <c r="AW93">
        <v>0</v>
      </c>
      <c r="AX93">
        <v>5.8740219816936798E-5</v>
      </c>
      <c r="AY93">
        <v>4.6559952567303301E-5</v>
      </c>
      <c r="AZ93">
        <v>2.03113163130487E-5</v>
      </c>
      <c r="BA93">
        <v>0</v>
      </c>
      <c r="BB93">
        <v>6.6871268880352097E-5</v>
      </c>
      <c r="BC93">
        <v>0</v>
      </c>
      <c r="BD93">
        <v>0</v>
      </c>
      <c r="BE93">
        <v>0</v>
      </c>
      <c r="BF93">
        <v>6.6871268880352097E-5</v>
      </c>
      <c r="BG93">
        <v>2.7000824529609899E-4</v>
      </c>
      <c r="BH93">
        <v>7.4305747997913596E-4</v>
      </c>
      <c r="BI93">
        <v>0</v>
      </c>
      <c r="BJ93">
        <v>1.0130657252752299E-3</v>
      </c>
      <c r="BK93">
        <v>5.5732697224726001E-5</v>
      </c>
      <c r="BL93">
        <v>2.0191491039175199E-6</v>
      </c>
      <c r="BM93">
        <v>0</v>
      </c>
      <c r="BN93">
        <v>5.7751846328643502E-5</v>
      </c>
      <c r="BO93">
        <v>1.1700525504271899E-3</v>
      </c>
      <c r="BP93">
        <v>0.54480204234125895</v>
      </c>
      <c r="BQ93">
        <f t="shared" si="1"/>
        <v>23.352252718952826</v>
      </c>
    </row>
    <row r="94" spans="1:69" x14ac:dyDescent="0.25">
      <c r="A94" t="s">
        <v>12</v>
      </c>
      <c r="B94">
        <v>2024</v>
      </c>
      <c r="C94" t="s">
        <v>2402</v>
      </c>
      <c r="D94" t="s">
        <v>11</v>
      </c>
      <c r="E94" t="s">
        <v>11</v>
      </c>
      <c r="F94" t="s">
        <v>2384</v>
      </c>
      <c r="G94">
        <v>0.92120092639002105</v>
      </c>
      <c r="H94">
        <v>40.077008863658698</v>
      </c>
      <c r="I94">
        <v>0</v>
      </c>
      <c r="J94">
        <v>40.077008863658698</v>
      </c>
      <c r="K94">
        <v>11.7913718577922</v>
      </c>
      <c r="L94">
        <v>44.8887903228295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1.3253202053312201E-7</v>
      </c>
      <c r="V94">
        <v>3.51736484462437E-7</v>
      </c>
      <c r="W94">
        <v>4.8426850499556002E-7</v>
      </c>
      <c r="X94">
        <v>0</v>
      </c>
      <c r="Y94">
        <v>0</v>
      </c>
      <c r="Z94">
        <v>0</v>
      </c>
      <c r="AA94">
        <v>0</v>
      </c>
      <c r="AB94">
        <v>5.3012808213249101E-7</v>
      </c>
      <c r="AC94">
        <v>1.00496138417839E-6</v>
      </c>
      <c r="AD94">
        <v>1.53508946631088E-6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 t="e">
        <f t="shared" si="1"/>
        <v>#DIV/0!</v>
      </c>
    </row>
    <row r="95" spans="1:69" x14ac:dyDescent="0.25">
      <c r="A95" t="s">
        <v>12</v>
      </c>
      <c r="B95">
        <v>2024</v>
      </c>
      <c r="C95" t="s">
        <v>2402</v>
      </c>
      <c r="D95" t="s">
        <v>11</v>
      </c>
      <c r="E95" t="s">
        <v>11</v>
      </c>
      <c r="F95" t="s">
        <v>2382</v>
      </c>
      <c r="G95">
        <v>0.30859158365446698</v>
      </c>
      <c r="H95">
        <v>12.0077059892478</v>
      </c>
      <c r="I95">
        <v>12.0077059892478</v>
      </c>
      <c r="J95">
        <v>0</v>
      </c>
      <c r="K95">
        <v>3.9499722707771801</v>
      </c>
      <c r="L95">
        <v>0</v>
      </c>
      <c r="M95">
        <v>2.41901919852436E-6</v>
      </c>
      <c r="N95">
        <v>1.44026547043224E-6</v>
      </c>
      <c r="O95">
        <v>0</v>
      </c>
      <c r="P95">
        <v>3.8592846689566097E-6</v>
      </c>
      <c r="Q95">
        <v>1.1870465288042601E-8</v>
      </c>
      <c r="R95">
        <v>3.57455952164423E-9</v>
      </c>
      <c r="S95">
        <v>0</v>
      </c>
      <c r="T95">
        <v>1.5445024809686799E-8</v>
      </c>
      <c r="U95">
        <v>3.9708690389959803E-8</v>
      </c>
      <c r="V95">
        <v>2.1077163245815201E-7</v>
      </c>
      <c r="W95">
        <v>2.6592534765779902E-7</v>
      </c>
      <c r="X95">
        <v>1.29102140723967E-8</v>
      </c>
      <c r="Y95">
        <v>3.8876596257298497E-9</v>
      </c>
      <c r="Z95">
        <v>0</v>
      </c>
      <c r="AA95">
        <v>1.6797873698126598E-8</v>
      </c>
      <c r="AB95">
        <v>1.58834761559839E-7</v>
      </c>
      <c r="AC95">
        <v>6.0220466416614997E-7</v>
      </c>
      <c r="AD95">
        <v>7.7783729942411605E-7</v>
      </c>
      <c r="AE95">
        <v>1.2983831278534299E-2</v>
      </c>
      <c r="AF95">
        <v>1.16336543653634E-3</v>
      </c>
      <c r="AG95">
        <v>0</v>
      </c>
      <c r="AH95">
        <v>1.4147196715070601E-2</v>
      </c>
      <c r="AI95">
        <v>9.3351290910233895E-6</v>
      </c>
      <c r="AJ95">
        <v>3.99760624344958E-6</v>
      </c>
      <c r="AK95">
        <v>0</v>
      </c>
      <c r="AL95">
        <v>1.33327353344729E-5</v>
      </c>
      <c r="AM95">
        <v>2.6468389430850198E-6</v>
      </c>
      <c r="AN95">
        <v>2.3715965468176499E-7</v>
      </c>
      <c r="AO95">
        <v>0</v>
      </c>
      <c r="AP95">
        <v>2.8839985977667898E-6</v>
      </c>
      <c r="AQ95">
        <v>1.3338057523704401E-7</v>
      </c>
      <c r="AR95">
        <v>5.7117905400497402E-8</v>
      </c>
      <c r="AS95">
        <v>0</v>
      </c>
      <c r="AT95">
        <v>1.9049848063754101E-7</v>
      </c>
      <c r="AU95">
        <v>0</v>
      </c>
      <c r="AV95">
        <v>0</v>
      </c>
      <c r="AW95">
        <v>0</v>
      </c>
      <c r="AX95">
        <v>1.9049848063754101E-7</v>
      </c>
      <c r="AY95">
        <v>9.5271839455031593E-6</v>
      </c>
      <c r="AZ95">
        <v>4.0798503857498101E-6</v>
      </c>
      <c r="BA95">
        <v>0</v>
      </c>
      <c r="BB95">
        <v>1.36070343312529E-5</v>
      </c>
      <c r="BC95">
        <v>0</v>
      </c>
      <c r="BD95">
        <v>0</v>
      </c>
      <c r="BE95">
        <v>0</v>
      </c>
      <c r="BF95">
        <v>1.36070343312529E-5</v>
      </c>
      <c r="BG95">
        <v>3.7497942247281999E-5</v>
      </c>
      <c r="BH95">
        <v>6.7147764811985998E-6</v>
      </c>
      <c r="BI95">
        <v>0</v>
      </c>
      <c r="BJ95">
        <v>4.4212718728480597E-5</v>
      </c>
      <c r="BK95">
        <v>0</v>
      </c>
      <c r="BL95">
        <v>0</v>
      </c>
      <c r="BM95">
        <v>0</v>
      </c>
      <c r="BN95">
        <v>0</v>
      </c>
      <c r="BO95">
        <v>1.4030399916888701E-5</v>
      </c>
      <c r="BP95">
        <v>1.6352001674469099E-3</v>
      </c>
      <c r="BQ95">
        <f t="shared" si="1"/>
        <v>18.721269668154783</v>
      </c>
    </row>
    <row r="96" spans="1:69" x14ac:dyDescent="0.25">
      <c r="A96" t="s">
        <v>12</v>
      </c>
      <c r="B96">
        <v>2024</v>
      </c>
      <c r="C96" t="s">
        <v>2401</v>
      </c>
      <c r="D96" t="s">
        <v>11</v>
      </c>
      <c r="E96" t="s">
        <v>11</v>
      </c>
      <c r="F96" t="s">
        <v>10</v>
      </c>
      <c r="G96">
        <v>22.484542194731301</v>
      </c>
      <c r="H96">
        <v>910.48246926534398</v>
      </c>
      <c r="I96">
        <v>910.48246926534398</v>
      </c>
      <c r="J96">
        <v>0</v>
      </c>
      <c r="K96">
        <v>287.80214009256002</v>
      </c>
      <c r="L96">
        <v>0</v>
      </c>
      <c r="M96">
        <v>5.0850785501820104E-4</v>
      </c>
      <c r="N96">
        <v>1.95879702659635E-4</v>
      </c>
      <c r="O96">
        <v>4.55463756259927E-4</v>
      </c>
      <c r="P96">
        <v>1.1598513139377601E-3</v>
      </c>
      <c r="Q96">
        <v>2.87108968476981E-6</v>
      </c>
      <c r="R96">
        <v>4.6450438714552597E-8</v>
      </c>
      <c r="S96">
        <v>0</v>
      </c>
      <c r="T96">
        <v>2.9175401234843698E-6</v>
      </c>
      <c r="U96">
        <v>3.0109053727595699E-6</v>
      </c>
      <c r="V96">
        <v>1.59817267797382E-5</v>
      </c>
      <c r="W96">
        <v>2.1910172275982198E-5</v>
      </c>
      <c r="X96">
        <v>3.0009076200433199E-6</v>
      </c>
      <c r="Y96">
        <v>4.8550721432455698E-8</v>
      </c>
      <c r="Z96">
        <v>0</v>
      </c>
      <c r="AA96">
        <v>3.0494583414757701E-6</v>
      </c>
      <c r="AB96">
        <v>1.20436214910382E-5</v>
      </c>
      <c r="AC96">
        <v>4.5662076513537901E-5</v>
      </c>
      <c r="AD96">
        <v>6.0755156346052001E-5</v>
      </c>
      <c r="AE96">
        <v>1.1071082308786899</v>
      </c>
      <c r="AF96">
        <v>4.0372540575638202E-2</v>
      </c>
      <c r="AG96">
        <v>0</v>
      </c>
      <c r="AH96">
        <v>1.14748077145433</v>
      </c>
      <c r="AI96">
        <v>3.20869259604927E-7</v>
      </c>
      <c r="AJ96">
        <v>1.56671641537769E-7</v>
      </c>
      <c r="AK96">
        <v>0</v>
      </c>
      <c r="AL96">
        <v>4.7754090114269701E-7</v>
      </c>
      <c r="AM96">
        <v>1.7442535263274901E-4</v>
      </c>
      <c r="AN96">
        <v>6.3607102089707901E-6</v>
      </c>
      <c r="AO96">
        <v>0</v>
      </c>
      <c r="AP96">
        <v>1.8078606284172E-4</v>
      </c>
      <c r="AQ96">
        <v>6.9082271699508698E-6</v>
      </c>
      <c r="AR96">
        <v>3.3730974795299599E-6</v>
      </c>
      <c r="AS96">
        <v>0</v>
      </c>
      <c r="AT96">
        <v>1.02813246494808E-5</v>
      </c>
      <c r="AU96">
        <v>0</v>
      </c>
      <c r="AV96">
        <v>0</v>
      </c>
      <c r="AW96">
        <v>0</v>
      </c>
      <c r="AX96">
        <v>1.02813246494808E-5</v>
      </c>
      <c r="AY96">
        <v>7.8644907698343102E-6</v>
      </c>
      <c r="AZ96">
        <v>3.8400147159178303E-6</v>
      </c>
      <c r="BA96">
        <v>0</v>
      </c>
      <c r="BB96">
        <v>1.1704505485752101E-5</v>
      </c>
      <c r="BC96">
        <v>0</v>
      </c>
      <c r="BD96">
        <v>0</v>
      </c>
      <c r="BE96">
        <v>0</v>
      </c>
      <c r="BF96">
        <v>1.1704505485752101E-5</v>
      </c>
      <c r="BG96">
        <v>5.0720646526451701E-5</v>
      </c>
      <c r="BH96">
        <v>1.41457266511635E-4</v>
      </c>
      <c r="BI96">
        <v>0</v>
      </c>
      <c r="BJ96">
        <v>1.92177913038087E-4</v>
      </c>
      <c r="BK96">
        <v>1.0483652907731801E-5</v>
      </c>
      <c r="BL96">
        <v>3.8230381691082099E-7</v>
      </c>
      <c r="BM96">
        <v>0</v>
      </c>
      <c r="BN96">
        <v>1.0865956724642601E-5</v>
      </c>
      <c r="BO96">
        <v>2.2079966405790999E-4</v>
      </c>
      <c r="BP96">
        <v>0.102504002761916</v>
      </c>
      <c r="BQ96">
        <f t="shared" si="1"/>
        <v>23.35223323485539</v>
      </c>
    </row>
    <row r="97" spans="1:69" x14ac:dyDescent="0.25">
      <c r="A97" t="s">
        <v>12</v>
      </c>
      <c r="B97">
        <v>2024</v>
      </c>
      <c r="C97" t="s">
        <v>2401</v>
      </c>
      <c r="D97" t="s">
        <v>11</v>
      </c>
      <c r="E97" t="s">
        <v>11</v>
      </c>
      <c r="F97" t="s">
        <v>2384</v>
      </c>
      <c r="G97">
        <v>0.17198990874105999</v>
      </c>
      <c r="H97">
        <v>7.4824513302291598</v>
      </c>
      <c r="I97">
        <v>0</v>
      </c>
      <c r="J97">
        <v>7.4824513302291598</v>
      </c>
      <c r="K97">
        <v>2.2014708318855698</v>
      </c>
      <c r="L97">
        <v>8.3808197863789093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2.4743972203855E-8</v>
      </c>
      <c r="V97">
        <v>6.5669849139929697E-8</v>
      </c>
      <c r="W97">
        <v>9.0413821343784697E-8</v>
      </c>
      <c r="X97">
        <v>0</v>
      </c>
      <c r="Y97">
        <v>0</v>
      </c>
      <c r="Z97">
        <v>0</v>
      </c>
      <c r="AA97">
        <v>0</v>
      </c>
      <c r="AB97">
        <v>9.8975888815420198E-8</v>
      </c>
      <c r="AC97">
        <v>1.8762814039979899E-7</v>
      </c>
      <c r="AD97">
        <v>2.8660402921521899E-7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 t="e">
        <f t="shared" si="1"/>
        <v>#DIV/0!</v>
      </c>
    </row>
    <row r="98" spans="1:69" x14ac:dyDescent="0.25">
      <c r="A98" t="s">
        <v>12</v>
      </c>
      <c r="B98">
        <v>2024</v>
      </c>
      <c r="C98" t="s">
        <v>2401</v>
      </c>
      <c r="D98" t="s">
        <v>11</v>
      </c>
      <c r="E98" t="s">
        <v>11</v>
      </c>
      <c r="F98" t="s">
        <v>2382</v>
      </c>
      <c r="G98">
        <v>9.6364049737927795E-2</v>
      </c>
      <c r="H98">
        <v>3.6659570032178799</v>
      </c>
      <c r="I98">
        <v>3.6659570032178799</v>
      </c>
      <c r="J98">
        <v>0</v>
      </c>
      <c r="K98">
        <v>1.2334598366454701</v>
      </c>
      <c r="L98">
        <v>0</v>
      </c>
      <c r="M98">
        <v>8.5915054699857395E-7</v>
      </c>
      <c r="N98">
        <v>4.5411988659063602E-7</v>
      </c>
      <c r="O98">
        <v>0</v>
      </c>
      <c r="P98">
        <v>1.3132704335892101E-6</v>
      </c>
      <c r="Q98">
        <v>3.0523049815127299E-9</v>
      </c>
      <c r="R98">
        <v>1.0120540875941701E-9</v>
      </c>
      <c r="S98">
        <v>0</v>
      </c>
      <c r="T98">
        <v>4.0643590691069096E-9</v>
      </c>
      <c r="U98">
        <v>1.21230776098309E-8</v>
      </c>
      <c r="V98">
        <v>6.4348656003196198E-8</v>
      </c>
      <c r="W98">
        <v>8.0536092682134099E-8</v>
      </c>
      <c r="X98">
        <v>3.3196601623751602E-9</v>
      </c>
      <c r="Y98">
        <v>1.1007011609600901E-9</v>
      </c>
      <c r="Z98">
        <v>0</v>
      </c>
      <c r="AA98">
        <v>4.42036132333525E-9</v>
      </c>
      <c r="AB98">
        <v>4.8492310439323797E-8</v>
      </c>
      <c r="AC98">
        <v>1.83853302866275E-7</v>
      </c>
      <c r="AD98">
        <v>2.3676597462893401E-7</v>
      </c>
      <c r="AE98">
        <v>4.0111986111952902E-3</v>
      </c>
      <c r="AF98">
        <v>3.60747387848396E-4</v>
      </c>
      <c r="AG98">
        <v>0</v>
      </c>
      <c r="AH98">
        <v>4.3719459990436901E-3</v>
      </c>
      <c r="AI98">
        <v>2.7802236880274401E-6</v>
      </c>
      <c r="AJ98">
        <v>1.3022581041048401E-6</v>
      </c>
      <c r="AK98">
        <v>0</v>
      </c>
      <c r="AL98">
        <v>4.0824817921322899E-6</v>
      </c>
      <c r="AM98">
        <v>8.1770907714373802E-7</v>
      </c>
      <c r="AN98">
        <v>7.3540714931496205E-8</v>
      </c>
      <c r="AO98">
        <v>0</v>
      </c>
      <c r="AP98">
        <v>8.9124979207523403E-7</v>
      </c>
      <c r="AQ98">
        <v>3.9723910744131398E-8</v>
      </c>
      <c r="AR98">
        <v>1.86066987760921E-8</v>
      </c>
      <c r="AS98">
        <v>0</v>
      </c>
      <c r="AT98">
        <v>5.8330609520223601E-8</v>
      </c>
      <c r="AU98">
        <v>0</v>
      </c>
      <c r="AV98">
        <v>0</v>
      </c>
      <c r="AW98">
        <v>0</v>
      </c>
      <c r="AX98">
        <v>5.8330609520223601E-8</v>
      </c>
      <c r="AY98">
        <v>2.83742219600939E-6</v>
      </c>
      <c r="AZ98">
        <v>1.3290499125779999E-6</v>
      </c>
      <c r="BA98">
        <v>0</v>
      </c>
      <c r="BB98">
        <v>4.1664721085873901E-6</v>
      </c>
      <c r="BC98">
        <v>0</v>
      </c>
      <c r="BD98">
        <v>0</v>
      </c>
      <c r="BE98">
        <v>0</v>
      </c>
      <c r="BF98">
        <v>4.1664721085873901E-6</v>
      </c>
      <c r="BG98">
        <v>1.1530589335395E-5</v>
      </c>
      <c r="BH98">
        <v>1.8619442343366099E-6</v>
      </c>
      <c r="BI98">
        <v>0</v>
      </c>
      <c r="BJ98">
        <v>1.33925335697316E-5</v>
      </c>
      <c r="BK98">
        <v>0</v>
      </c>
      <c r="BL98">
        <v>0</v>
      </c>
      <c r="BM98">
        <v>0</v>
      </c>
      <c r="BN98">
        <v>0</v>
      </c>
      <c r="BO98">
        <v>4.2834861945589404E-6</v>
      </c>
      <c r="BP98">
        <v>5.0533027663985698E-4</v>
      </c>
      <c r="BQ98">
        <f t="shared" si="1"/>
        <v>18.717099104873689</v>
      </c>
    </row>
    <row r="99" spans="1:69" x14ac:dyDescent="0.25">
      <c r="A99" t="s">
        <v>12</v>
      </c>
      <c r="B99">
        <v>2024</v>
      </c>
      <c r="C99" t="s">
        <v>2400</v>
      </c>
      <c r="D99" t="s">
        <v>11</v>
      </c>
      <c r="E99" t="s">
        <v>11</v>
      </c>
      <c r="F99" t="s">
        <v>10</v>
      </c>
      <c r="G99">
        <v>25.558890510591599</v>
      </c>
      <c r="H99">
        <v>1266.8108062665301</v>
      </c>
      <c r="I99">
        <v>1266.8108062665301</v>
      </c>
      <c r="J99">
        <v>0</v>
      </c>
      <c r="K99">
        <v>327.153798535573</v>
      </c>
      <c r="L99">
        <v>0</v>
      </c>
      <c r="M99">
        <v>5.9995420123257204E-4</v>
      </c>
      <c r="N99">
        <v>2.1929627752698E-4</v>
      </c>
      <c r="O99">
        <v>4.9718550644715703E-4</v>
      </c>
      <c r="P99">
        <v>1.31643598520671E-3</v>
      </c>
      <c r="Q99">
        <v>3.6007981989322601E-6</v>
      </c>
      <c r="R99">
        <v>5.2801683351702599E-8</v>
      </c>
      <c r="S99">
        <v>0</v>
      </c>
      <c r="T99">
        <v>3.65359988228396E-6</v>
      </c>
      <c r="U99">
        <v>4.1892596415782197E-6</v>
      </c>
      <c r="V99">
        <v>2.2236369035976899E-5</v>
      </c>
      <c r="W99">
        <v>3.00792285598391E-5</v>
      </c>
      <c r="X99">
        <v>3.7636103151826098E-6</v>
      </c>
      <c r="Y99">
        <v>5.5189141168866799E-8</v>
      </c>
      <c r="Z99">
        <v>0</v>
      </c>
      <c r="AA99">
        <v>3.81879945635148E-6</v>
      </c>
      <c r="AB99">
        <v>1.6757038566312899E-5</v>
      </c>
      <c r="AC99">
        <v>6.3532482959934104E-5</v>
      </c>
      <c r="AD99">
        <v>8.4108320982598494E-5</v>
      </c>
      <c r="AE99">
        <v>1.5407381683027299</v>
      </c>
      <c r="AF99">
        <v>4.5919166207876498E-2</v>
      </c>
      <c r="AG99">
        <v>0</v>
      </c>
      <c r="AH99">
        <v>1.5866573345106101</v>
      </c>
      <c r="AI99">
        <v>3.7154351942328101E-7</v>
      </c>
      <c r="AJ99">
        <v>1.77596919118123E-7</v>
      </c>
      <c r="AK99">
        <v>0</v>
      </c>
      <c r="AL99">
        <v>5.4914043854140504E-7</v>
      </c>
      <c r="AM99">
        <v>2.4274392586499301E-4</v>
      </c>
      <c r="AN99">
        <v>7.2345833361330196E-6</v>
      </c>
      <c r="AO99">
        <v>0</v>
      </c>
      <c r="AP99">
        <v>2.4997850920112602E-4</v>
      </c>
      <c r="AQ99">
        <v>7.9992300878537203E-6</v>
      </c>
      <c r="AR99">
        <v>3.8236129676678696E-6</v>
      </c>
      <c r="AS99">
        <v>0</v>
      </c>
      <c r="AT99">
        <v>1.1822843055521599E-5</v>
      </c>
      <c r="AU99">
        <v>0</v>
      </c>
      <c r="AV99">
        <v>0</v>
      </c>
      <c r="AW99">
        <v>0</v>
      </c>
      <c r="AX99">
        <v>1.1822843055521599E-5</v>
      </c>
      <c r="AY99">
        <v>9.10651454331863E-6</v>
      </c>
      <c r="AZ99">
        <v>4.3528923053433099E-6</v>
      </c>
      <c r="BA99">
        <v>0</v>
      </c>
      <c r="BB99">
        <v>1.34594068486619E-5</v>
      </c>
      <c r="BC99">
        <v>0</v>
      </c>
      <c r="BD99">
        <v>0</v>
      </c>
      <c r="BE99">
        <v>0</v>
      </c>
      <c r="BF99">
        <v>1.34594068486619E-5</v>
      </c>
      <c r="BG99">
        <v>6.3641582152839995E-5</v>
      </c>
      <c r="BH99">
        <v>1.61500800184705E-4</v>
      </c>
      <c r="BI99">
        <v>0</v>
      </c>
      <c r="BJ99">
        <v>2.2514238233754501E-4</v>
      </c>
      <c r="BK99">
        <v>1.4589869109147801E-5</v>
      </c>
      <c r="BL99">
        <v>4.3482704482627302E-7</v>
      </c>
      <c r="BM99">
        <v>0</v>
      </c>
      <c r="BN99">
        <v>1.5024696153974101E-5</v>
      </c>
      <c r="BO99">
        <v>3.0721228567341598E-4</v>
      </c>
      <c r="BP99">
        <v>0.14173547116851501</v>
      </c>
      <c r="BQ99">
        <f t="shared" si="1"/>
        <v>23.352189468127644</v>
      </c>
    </row>
    <row r="100" spans="1:69" x14ac:dyDescent="0.25">
      <c r="A100" t="s">
        <v>12</v>
      </c>
      <c r="B100">
        <v>2024</v>
      </c>
      <c r="C100" t="s">
        <v>2400</v>
      </c>
      <c r="D100" t="s">
        <v>11</v>
      </c>
      <c r="E100" t="s">
        <v>11</v>
      </c>
      <c r="F100" t="s">
        <v>2384</v>
      </c>
      <c r="G100">
        <v>0.20527094589101899</v>
      </c>
      <c r="H100">
        <v>12.1879616785255</v>
      </c>
      <c r="I100">
        <v>0</v>
      </c>
      <c r="J100">
        <v>12.1879616785255</v>
      </c>
      <c r="K100">
        <v>2.6274681074050501</v>
      </c>
      <c r="L100">
        <v>13.6512896486673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4.0304784045397902E-8</v>
      </c>
      <c r="V100">
        <v>1.06967833057392E-7</v>
      </c>
      <c r="W100">
        <v>1.4727261710279E-7</v>
      </c>
      <c r="X100">
        <v>0</v>
      </c>
      <c r="Y100">
        <v>0</v>
      </c>
      <c r="Z100">
        <v>0</v>
      </c>
      <c r="AA100">
        <v>0</v>
      </c>
      <c r="AB100">
        <v>1.61219136181591E-7</v>
      </c>
      <c r="AC100">
        <v>3.0562238016397802E-7</v>
      </c>
      <c r="AD100">
        <v>4.6684151634557002E-7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 t="e">
        <f t="shared" si="1"/>
        <v>#DIV/0!</v>
      </c>
    </row>
    <row r="101" spans="1:69" x14ac:dyDescent="0.25">
      <c r="A101" t="s">
        <v>12</v>
      </c>
      <c r="B101">
        <v>2024</v>
      </c>
      <c r="C101" t="s">
        <v>2400</v>
      </c>
      <c r="D101" t="s">
        <v>11</v>
      </c>
      <c r="E101" t="s">
        <v>11</v>
      </c>
      <c r="F101" t="s">
        <v>2382</v>
      </c>
      <c r="G101">
        <v>7.3061303755854595E-2</v>
      </c>
      <c r="H101">
        <v>3.29592707915518</v>
      </c>
      <c r="I101">
        <v>3.29592707915518</v>
      </c>
      <c r="J101">
        <v>0</v>
      </c>
      <c r="K101">
        <v>0.93518468807493904</v>
      </c>
      <c r="L101">
        <v>0</v>
      </c>
      <c r="M101">
        <v>6.3329067979878797E-7</v>
      </c>
      <c r="N101">
        <v>3.41764164726703E-7</v>
      </c>
      <c r="O101">
        <v>0</v>
      </c>
      <c r="P101">
        <v>9.7505484452549107E-7</v>
      </c>
      <c r="Q101">
        <v>3.4037372693928802E-9</v>
      </c>
      <c r="R101">
        <v>8.2791665197572197E-10</v>
      </c>
      <c r="S101">
        <v>0</v>
      </c>
      <c r="T101">
        <v>4.2316539213685997E-9</v>
      </c>
      <c r="U101">
        <v>1.0899413097826401E-8</v>
      </c>
      <c r="V101">
        <v>5.78535093679522E-8</v>
      </c>
      <c r="W101">
        <v>7.2984576387147299E-8</v>
      </c>
      <c r="X101">
        <v>3.7018748404345902E-9</v>
      </c>
      <c r="Y101">
        <v>9.0043489886410697E-10</v>
      </c>
      <c r="Z101">
        <v>0</v>
      </c>
      <c r="AA101">
        <v>4.6023097392986998E-9</v>
      </c>
      <c r="AB101">
        <v>4.3597652391305901E-8</v>
      </c>
      <c r="AC101">
        <v>1.6529574105129199E-7</v>
      </c>
      <c r="AD101">
        <v>2.1349570318189599E-7</v>
      </c>
      <c r="AE101">
        <v>3.55646715325811E-3</v>
      </c>
      <c r="AF101">
        <v>2.7536425416866799E-4</v>
      </c>
      <c r="AG101">
        <v>0</v>
      </c>
      <c r="AH101">
        <v>3.8318314074267802E-3</v>
      </c>
      <c r="AI101">
        <v>2.5801056344878198E-6</v>
      </c>
      <c r="AJ101">
        <v>9.5597956582714792E-7</v>
      </c>
      <c r="AK101">
        <v>0</v>
      </c>
      <c r="AL101">
        <v>3.5360852003149701E-6</v>
      </c>
      <c r="AM101">
        <v>7.25009094704515E-7</v>
      </c>
      <c r="AN101">
        <v>5.6134804575916597E-8</v>
      </c>
      <c r="AO101">
        <v>0</v>
      </c>
      <c r="AP101">
        <v>7.8114389928043199E-7</v>
      </c>
      <c r="AQ101">
        <v>3.6864618619065898E-8</v>
      </c>
      <c r="AR101">
        <v>1.36590617185462E-8</v>
      </c>
      <c r="AS101">
        <v>0</v>
      </c>
      <c r="AT101">
        <v>5.05236803376121E-8</v>
      </c>
      <c r="AU101">
        <v>0</v>
      </c>
      <c r="AV101">
        <v>0</v>
      </c>
      <c r="AW101">
        <v>0</v>
      </c>
      <c r="AX101">
        <v>5.05236803376121E-8</v>
      </c>
      <c r="AY101">
        <v>2.6331870442189898E-6</v>
      </c>
      <c r="AZ101">
        <v>9.7564726561044506E-7</v>
      </c>
      <c r="BA101">
        <v>0</v>
      </c>
      <c r="BB101">
        <v>3.60883430982944E-6</v>
      </c>
      <c r="BC101">
        <v>0</v>
      </c>
      <c r="BD101">
        <v>0</v>
      </c>
      <c r="BE101">
        <v>0</v>
      </c>
      <c r="BF101">
        <v>3.60883430982944E-6</v>
      </c>
      <c r="BG101">
        <v>1.02716172378877E-5</v>
      </c>
      <c r="BH101">
        <v>1.5483168782483999E-6</v>
      </c>
      <c r="BI101">
        <v>0</v>
      </c>
      <c r="BJ101">
        <v>1.1819934116136099E-5</v>
      </c>
      <c r="BK101">
        <v>0</v>
      </c>
      <c r="BL101">
        <v>0</v>
      </c>
      <c r="BM101">
        <v>0</v>
      </c>
      <c r="BN101">
        <v>0</v>
      </c>
      <c r="BO101">
        <v>3.8511248575588098E-6</v>
      </c>
      <c r="BP101">
        <v>4.42901267667949E-4</v>
      </c>
      <c r="BQ101">
        <f t="shared" si="1"/>
        <v>18.711802252621961</v>
      </c>
    </row>
    <row r="102" spans="1:69" x14ac:dyDescent="0.25">
      <c r="A102" t="s">
        <v>12</v>
      </c>
      <c r="B102">
        <v>2024</v>
      </c>
      <c r="C102" t="s">
        <v>2399</v>
      </c>
      <c r="D102" t="s">
        <v>11</v>
      </c>
      <c r="E102" t="s">
        <v>11</v>
      </c>
      <c r="F102" t="s">
        <v>13</v>
      </c>
      <c r="G102">
        <v>1265.2781814653199</v>
      </c>
      <c r="H102">
        <v>79900.460606102497</v>
      </c>
      <c r="I102">
        <v>79900.460606102497</v>
      </c>
      <c r="J102">
        <v>0</v>
      </c>
      <c r="K102">
        <v>25315.685854758201</v>
      </c>
      <c r="L102">
        <v>0</v>
      </c>
      <c r="M102">
        <v>4.16826351361105E-2</v>
      </c>
      <c r="N102">
        <v>1.2331969580223201E-4</v>
      </c>
      <c r="O102">
        <v>1.17850031563837E-2</v>
      </c>
      <c r="P102">
        <v>5.3590957988296502E-2</v>
      </c>
      <c r="Q102">
        <v>1.15915870839034E-4</v>
      </c>
      <c r="R102">
        <v>0</v>
      </c>
      <c r="S102">
        <v>1.4916718774906299E-5</v>
      </c>
      <c r="T102">
        <v>1.3083258961394E-4</v>
      </c>
      <c r="U102">
        <v>2.6422554443992997E-4</v>
      </c>
      <c r="V102">
        <v>1.38870419688287E-3</v>
      </c>
      <c r="W102">
        <v>1.78376233093674E-3</v>
      </c>
      <c r="X102">
        <v>1.2606908580303699E-4</v>
      </c>
      <c r="Y102">
        <v>0</v>
      </c>
      <c r="Z102">
        <v>1.6223292682197299E-5</v>
      </c>
      <c r="AA102">
        <v>1.4229237848523401E-4</v>
      </c>
      <c r="AB102">
        <v>1.0569021777597199E-3</v>
      </c>
      <c r="AC102">
        <v>3.9677262768082E-3</v>
      </c>
      <c r="AD102">
        <v>5.1669208330531596E-3</v>
      </c>
      <c r="AE102">
        <v>159.143897147936</v>
      </c>
      <c r="AF102">
        <v>0.75297363169902298</v>
      </c>
      <c r="AG102">
        <v>1.2913942574101001</v>
      </c>
      <c r="AH102">
        <v>161.188265037045</v>
      </c>
      <c r="AI102">
        <v>1.43195391295883E-3</v>
      </c>
      <c r="AJ102">
        <v>3.6768347413472302E-4</v>
      </c>
      <c r="AK102">
        <v>1.31873880443741E-3</v>
      </c>
      <c r="AL102">
        <v>3.1183761915309599E-3</v>
      </c>
      <c r="AM102">
        <v>2.0674536788103199E-3</v>
      </c>
      <c r="AN102">
        <v>1.05581062399503E-5</v>
      </c>
      <c r="AO102">
        <v>9.1139834308866198E-4</v>
      </c>
      <c r="AP102">
        <v>2.9894101281389401E-3</v>
      </c>
      <c r="AQ102">
        <v>7.1633792589352397E-3</v>
      </c>
      <c r="AR102">
        <v>1.4075552767810601E-3</v>
      </c>
      <c r="AS102">
        <v>7.1805205225005603E-3</v>
      </c>
      <c r="AT102">
        <v>1.57514550582168E-2</v>
      </c>
      <c r="AU102">
        <v>4.7844533097758501E-3</v>
      </c>
      <c r="AV102">
        <v>1.07921102543998E-3</v>
      </c>
      <c r="AW102">
        <v>8.54247730379659E-3</v>
      </c>
      <c r="AX102">
        <v>3.01575966972293E-2</v>
      </c>
      <c r="AY102">
        <v>1.0452786199199199E-2</v>
      </c>
      <c r="AZ102">
        <v>2.0539013557595901E-3</v>
      </c>
      <c r="BA102">
        <v>7.8617661441933492E-3</v>
      </c>
      <c r="BB102">
        <v>2.03684536991522E-2</v>
      </c>
      <c r="BC102">
        <v>4.7844533097758501E-3</v>
      </c>
      <c r="BD102">
        <v>1.0792110254395401E-3</v>
      </c>
      <c r="BE102">
        <v>8.5424773037930703E-3</v>
      </c>
      <c r="BF102">
        <v>3.4774595338160699E-2</v>
      </c>
      <c r="BG102">
        <v>0.15280252133157901</v>
      </c>
      <c r="BH102">
        <v>2.09234508022757E-2</v>
      </c>
      <c r="BI102">
        <v>0.15391344435935</v>
      </c>
      <c r="BJ102">
        <v>0.32763941649320399</v>
      </c>
      <c r="BK102">
        <v>1.5732994442882E-3</v>
      </c>
      <c r="BL102">
        <v>7.4439109356139604E-6</v>
      </c>
      <c r="BM102">
        <v>1.27667469752336E-5</v>
      </c>
      <c r="BN102">
        <v>1.59351010219905E-3</v>
      </c>
      <c r="BO102">
        <v>3.9574512400718598E-3</v>
      </c>
      <c r="BP102">
        <v>16.997101148100199</v>
      </c>
      <c r="BQ102">
        <f t="shared" si="1"/>
        <v>19.072826040796716</v>
      </c>
    </row>
    <row r="103" spans="1:69" x14ac:dyDescent="0.25">
      <c r="A103" t="s">
        <v>12</v>
      </c>
      <c r="B103">
        <v>2024</v>
      </c>
      <c r="C103" t="s">
        <v>2399</v>
      </c>
      <c r="D103" t="s">
        <v>11</v>
      </c>
      <c r="E103" t="s">
        <v>11</v>
      </c>
      <c r="F103" t="s">
        <v>2384</v>
      </c>
      <c r="G103">
        <v>3.2246689093000702</v>
      </c>
      <c r="H103">
        <v>369.887816042081</v>
      </c>
      <c r="I103">
        <v>0</v>
      </c>
      <c r="J103">
        <v>369.887816042081</v>
      </c>
      <c r="K103">
        <v>64.5191755372758</v>
      </c>
      <c r="L103">
        <v>431.80469033810601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1.2231945702694799E-6</v>
      </c>
      <c r="V103">
        <v>3.2145825069574699E-6</v>
      </c>
      <c r="W103">
        <v>4.4377770772269598E-6</v>
      </c>
      <c r="X103">
        <v>0</v>
      </c>
      <c r="Y103">
        <v>0</v>
      </c>
      <c r="Z103">
        <v>0</v>
      </c>
      <c r="AA103">
        <v>0</v>
      </c>
      <c r="AB103">
        <v>4.89277828107794E-6</v>
      </c>
      <c r="AC103">
        <v>9.1845214484499394E-6</v>
      </c>
      <c r="AD103">
        <v>1.4077299729527801E-5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 t="e">
        <f t="shared" si="1"/>
        <v>#DIV/0!</v>
      </c>
    </row>
    <row r="104" spans="1:69" x14ac:dyDescent="0.25">
      <c r="A104" t="s">
        <v>12</v>
      </c>
      <c r="B104">
        <v>2024</v>
      </c>
      <c r="C104" t="s">
        <v>2398</v>
      </c>
      <c r="D104" t="s">
        <v>11</v>
      </c>
      <c r="E104" t="s">
        <v>11</v>
      </c>
      <c r="F104" t="s">
        <v>10</v>
      </c>
      <c r="G104">
        <v>6472.2304647236697</v>
      </c>
      <c r="H104">
        <v>1326663.68941049</v>
      </c>
      <c r="I104">
        <v>1326663.68941049</v>
      </c>
      <c r="J104">
        <v>0</v>
      </c>
      <c r="K104">
        <v>148731.85607934999</v>
      </c>
      <c r="L104">
        <v>0</v>
      </c>
      <c r="M104">
        <v>2.2865617711082802</v>
      </c>
      <c r="N104">
        <v>0.85707182790585101</v>
      </c>
      <c r="O104">
        <v>0.36471518451331197</v>
      </c>
      <c r="P104">
        <v>3.5083487835274498</v>
      </c>
      <c r="Q104">
        <v>4.5585770689839003E-2</v>
      </c>
      <c r="R104">
        <v>3.0310714922352898E-4</v>
      </c>
      <c r="S104">
        <v>0</v>
      </c>
      <c r="T104">
        <v>4.5888877839062599E-2</v>
      </c>
      <c r="U104">
        <v>1.3161567515427399E-2</v>
      </c>
      <c r="V104">
        <v>3.7926392469265199E-2</v>
      </c>
      <c r="W104">
        <v>9.6976837823755394E-2</v>
      </c>
      <c r="X104">
        <v>4.7646956956571999E-2</v>
      </c>
      <c r="Y104">
        <v>3.1681230949336299E-4</v>
      </c>
      <c r="Z104">
        <v>0</v>
      </c>
      <c r="AA104">
        <v>4.7963769266065402E-2</v>
      </c>
      <c r="AB104">
        <v>5.2646270061709903E-2</v>
      </c>
      <c r="AC104">
        <v>0.108361121340758</v>
      </c>
      <c r="AD104">
        <v>0.208971160668533</v>
      </c>
      <c r="AE104">
        <v>2253.4316275415499</v>
      </c>
      <c r="AF104">
        <v>172.62416584912299</v>
      </c>
      <c r="AG104">
        <v>0</v>
      </c>
      <c r="AH104">
        <v>2426.0557933906698</v>
      </c>
      <c r="AI104">
        <v>8.7942324095535804E-4</v>
      </c>
      <c r="AJ104">
        <v>3.4574935355276299E-3</v>
      </c>
      <c r="AK104">
        <v>0</v>
      </c>
      <c r="AL104">
        <v>4.33691677648298E-3</v>
      </c>
      <c r="AM104">
        <v>0.35502907060474498</v>
      </c>
      <c r="AN104">
        <v>2.71970076288474E-2</v>
      </c>
      <c r="AO104">
        <v>0</v>
      </c>
      <c r="AP104">
        <v>0.382226078233593</v>
      </c>
      <c r="AQ104">
        <v>1.8933741220752202E-2</v>
      </c>
      <c r="AR104">
        <v>7.4438887699838294E-2</v>
      </c>
      <c r="AS104">
        <v>0</v>
      </c>
      <c r="AT104">
        <v>9.3372628920590506E-2</v>
      </c>
      <c r="AU104">
        <v>0</v>
      </c>
      <c r="AV104">
        <v>0</v>
      </c>
      <c r="AW104">
        <v>0</v>
      </c>
      <c r="AX104">
        <v>9.3372628920590506E-2</v>
      </c>
      <c r="AY104">
        <v>2.1554623119044901E-2</v>
      </c>
      <c r="AZ104">
        <v>8.4743007262205405E-2</v>
      </c>
      <c r="BA104">
        <v>0</v>
      </c>
      <c r="BB104">
        <v>0.10629763038124999</v>
      </c>
      <c r="BC104">
        <v>0</v>
      </c>
      <c r="BD104">
        <v>0</v>
      </c>
      <c r="BE104">
        <v>0</v>
      </c>
      <c r="BF104">
        <v>0.10629763038124999</v>
      </c>
      <c r="BG104">
        <v>8.55626979246982E-2</v>
      </c>
      <c r="BH104">
        <v>1.0980279908762101</v>
      </c>
      <c r="BI104">
        <v>0</v>
      </c>
      <c r="BJ104">
        <v>1.18359068880091</v>
      </c>
      <c r="BK104">
        <v>2.13386499851967E-2</v>
      </c>
      <c r="BL104">
        <v>1.6346476232161899E-3</v>
      </c>
      <c r="BM104">
        <v>0</v>
      </c>
      <c r="BN104">
        <v>2.29732976084129E-2</v>
      </c>
      <c r="BO104">
        <v>0.32172711373127799</v>
      </c>
      <c r="BP104">
        <v>216.718602988963</v>
      </c>
      <c r="BQ104">
        <f t="shared" si="1"/>
        <v>23.353089931604799</v>
      </c>
    </row>
    <row r="105" spans="1:69" x14ac:dyDescent="0.25">
      <c r="A105" t="s">
        <v>12</v>
      </c>
      <c r="B105">
        <v>2024</v>
      </c>
      <c r="C105" t="s">
        <v>2398</v>
      </c>
      <c r="D105" t="s">
        <v>11</v>
      </c>
      <c r="E105" t="s">
        <v>11</v>
      </c>
      <c r="F105" t="s">
        <v>2384</v>
      </c>
      <c r="G105">
        <v>40.679496159641801</v>
      </c>
      <c r="H105">
        <v>7343.4734715755603</v>
      </c>
      <c r="I105">
        <v>0</v>
      </c>
      <c r="J105">
        <v>7343.4734715755603</v>
      </c>
      <c r="K105">
        <v>934.81482174857001</v>
      </c>
      <c r="L105">
        <v>13408.639701510099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7.28531448213824E-5</v>
      </c>
      <c r="V105">
        <v>1.0496686507428601E-4</v>
      </c>
      <c r="W105">
        <v>1.77820009895668E-4</v>
      </c>
      <c r="X105">
        <v>0</v>
      </c>
      <c r="Y105">
        <v>0</v>
      </c>
      <c r="Z105">
        <v>0</v>
      </c>
      <c r="AA105">
        <v>0</v>
      </c>
      <c r="AB105">
        <v>2.91412579285529E-4</v>
      </c>
      <c r="AC105">
        <v>2.9990532878367498E-4</v>
      </c>
      <c r="AD105">
        <v>5.9131790806920398E-4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 t="e">
        <f t="shared" si="1"/>
        <v>#DIV/0!</v>
      </c>
    </row>
    <row r="106" spans="1:69" x14ac:dyDescent="0.25">
      <c r="A106" t="s">
        <v>12</v>
      </c>
      <c r="B106">
        <v>2024</v>
      </c>
      <c r="C106" t="s">
        <v>2397</v>
      </c>
      <c r="D106" t="s">
        <v>11</v>
      </c>
      <c r="E106" t="s">
        <v>11</v>
      </c>
      <c r="F106" t="s">
        <v>10</v>
      </c>
      <c r="G106">
        <v>5794.8684459696397</v>
      </c>
      <c r="H106">
        <v>1577451.8202273201</v>
      </c>
      <c r="I106">
        <v>1577451.8202273201</v>
      </c>
      <c r="J106">
        <v>0</v>
      </c>
      <c r="K106">
        <v>133166.076888382</v>
      </c>
      <c r="L106">
        <v>0</v>
      </c>
      <c r="M106">
        <v>2.6104033918710301</v>
      </c>
      <c r="N106">
        <v>0.97863063956025498</v>
      </c>
      <c r="O106">
        <v>0.337635437034838</v>
      </c>
      <c r="P106">
        <v>3.9266694684661299</v>
      </c>
      <c r="Q106">
        <v>5.1325576011957301E-2</v>
      </c>
      <c r="R106">
        <v>3.3682531436158599E-4</v>
      </c>
      <c r="S106">
        <v>0</v>
      </c>
      <c r="T106">
        <v>5.1662401326318899E-2</v>
      </c>
      <c r="U106">
        <v>1.5649586854586599E-2</v>
      </c>
      <c r="V106">
        <v>4.5095872686379698E-2</v>
      </c>
      <c r="W106">
        <v>0.11240786086728501</v>
      </c>
      <c r="X106">
        <v>5.36462908053476E-2</v>
      </c>
      <c r="Y106">
        <v>3.5205506043682101E-4</v>
      </c>
      <c r="Z106">
        <v>0</v>
      </c>
      <c r="AA106">
        <v>5.3998345865784399E-2</v>
      </c>
      <c r="AB106">
        <v>6.2598347418346703E-2</v>
      </c>
      <c r="AC106">
        <v>0.128845350532513</v>
      </c>
      <c r="AD106">
        <v>0.245442043816644</v>
      </c>
      <c r="AE106">
        <v>2647.1248271464301</v>
      </c>
      <c r="AF106">
        <v>187.355476336783</v>
      </c>
      <c r="AG106">
        <v>0</v>
      </c>
      <c r="AH106">
        <v>2834.4803034832198</v>
      </c>
      <c r="AI106">
        <v>1.0012056957720301E-3</v>
      </c>
      <c r="AJ106">
        <v>3.8421662680959701E-3</v>
      </c>
      <c r="AK106">
        <v>0</v>
      </c>
      <c r="AL106">
        <v>4.8433719638680001E-3</v>
      </c>
      <c r="AM106">
        <v>0.41705559452977697</v>
      </c>
      <c r="AN106">
        <v>2.95179315953445E-2</v>
      </c>
      <c r="AO106">
        <v>0</v>
      </c>
      <c r="AP106">
        <v>0.44657352612512202</v>
      </c>
      <c r="AQ106">
        <v>2.1555684077552199E-2</v>
      </c>
      <c r="AR106">
        <v>8.2720786146388794E-2</v>
      </c>
      <c r="AS106">
        <v>0</v>
      </c>
      <c r="AT106">
        <v>0.104276470223941</v>
      </c>
      <c r="AU106">
        <v>0</v>
      </c>
      <c r="AV106">
        <v>0</v>
      </c>
      <c r="AW106">
        <v>0</v>
      </c>
      <c r="AX106">
        <v>0.104276470223941</v>
      </c>
      <c r="AY106">
        <v>2.4539505475842601E-2</v>
      </c>
      <c r="AZ106">
        <v>9.4171318214820596E-2</v>
      </c>
      <c r="BA106">
        <v>0</v>
      </c>
      <c r="BB106">
        <v>0.11871082369066301</v>
      </c>
      <c r="BC106">
        <v>0</v>
      </c>
      <c r="BD106">
        <v>0</v>
      </c>
      <c r="BE106">
        <v>0</v>
      </c>
      <c r="BF106">
        <v>0.11871082369066301</v>
      </c>
      <c r="BG106">
        <v>8.9143070256503198E-2</v>
      </c>
      <c r="BH106">
        <v>1.2208914107672</v>
      </c>
      <c r="BI106">
        <v>0</v>
      </c>
      <c r="BJ106">
        <v>1.3100344810237099</v>
      </c>
      <c r="BK106">
        <v>2.5066689161200501E-2</v>
      </c>
      <c r="BL106">
        <v>1.7741443243707699E-3</v>
      </c>
      <c r="BM106">
        <v>0</v>
      </c>
      <c r="BN106">
        <v>2.68408334855713E-2</v>
      </c>
      <c r="BO106">
        <v>0.38254534681461</v>
      </c>
      <c r="BP106">
        <v>253.20300268613599</v>
      </c>
      <c r="BQ106">
        <f t="shared" si="1"/>
        <v>23.353040641923268</v>
      </c>
    </row>
    <row r="107" spans="1:69" x14ac:dyDescent="0.25">
      <c r="A107" t="s">
        <v>12</v>
      </c>
      <c r="B107">
        <v>2024</v>
      </c>
      <c r="C107" t="s">
        <v>2396</v>
      </c>
      <c r="D107" t="s">
        <v>11</v>
      </c>
      <c r="E107" t="s">
        <v>11</v>
      </c>
      <c r="F107" t="s">
        <v>10</v>
      </c>
      <c r="G107">
        <v>2439.8408212090098</v>
      </c>
      <c r="H107">
        <v>573058.03175074595</v>
      </c>
      <c r="I107">
        <v>573058.03175074595</v>
      </c>
      <c r="J107">
        <v>0</v>
      </c>
      <c r="K107">
        <v>56067.542071383003</v>
      </c>
      <c r="L107">
        <v>0</v>
      </c>
      <c r="M107">
        <v>1.0082272582142999</v>
      </c>
      <c r="N107">
        <v>0.41223506451451702</v>
      </c>
      <c r="O107">
        <v>0.139472830736624</v>
      </c>
      <c r="P107">
        <v>1.55993515346544</v>
      </c>
      <c r="Q107">
        <v>2.0129379790139901E-2</v>
      </c>
      <c r="R107">
        <v>1.41815152364247E-4</v>
      </c>
      <c r="S107">
        <v>0</v>
      </c>
      <c r="T107">
        <v>2.0271194942504098E-2</v>
      </c>
      <c r="U107">
        <v>5.6851951518299797E-3</v>
      </c>
      <c r="V107">
        <v>1.6382466779882199E-2</v>
      </c>
      <c r="W107">
        <v>4.2338856874216402E-2</v>
      </c>
      <c r="X107">
        <v>2.1039541021450101E-2</v>
      </c>
      <c r="Y107">
        <v>1.4822740425874E-4</v>
      </c>
      <c r="Z107">
        <v>0</v>
      </c>
      <c r="AA107">
        <v>2.1187768425708901E-2</v>
      </c>
      <c r="AB107">
        <v>2.2740780607319901E-2</v>
      </c>
      <c r="AC107">
        <v>4.6807047942520698E-2</v>
      </c>
      <c r="AD107">
        <v>9.0735596975549601E-2</v>
      </c>
      <c r="AE107">
        <v>966.40307771564005</v>
      </c>
      <c r="AF107">
        <v>80.069793741080701</v>
      </c>
      <c r="AG107">
        <v>0</v>
      </c>
      <c r="AH107">
        <v>1046.47287145672</v>
      </c>
      <c r="AI107">
        <v>3.8790488258235101E-4</v>
      </c>
      <c r="AJ107">
        <v>1.6176658530859E-3</v>
      </c>
      <c r="AK107">
        <v>0</v>
      </c>
      <c r="AL107">
        <v>2.0055707356682602E-3</v>
      </c>
      <c r="AM107">
        <v>0.15225719845126401</v>
      </c>
      <c r="AN107">
        <v>1.2615028611461699E-2</v>
      </c>
      <c r="AO107">
        <v>0</v>
      </c>
      <c r="AP107">
        <v>0.164872227062725</v>
      </c>
      <c r="AQ107">
        <v>8.3514857500261701E-3</v>
      </c>
      <c r="AR107">
        <v>3.4827902217711197E-2</v>
      </c>
      <c r="AS107">
        <v>0</v>
      </c>
      <c r="AT107">
        <v>4.3179387967737397E-2</v>
      </c>
      <c r="AU107">
        <v>0</v>
      </c>
      <c r="AV107">
        <v>0</v>
      </c>
      <c r="AW107">
        <v>0</v>
      </c>
      <c r="AX107">
        <v>4.3179387967737397E-2</v>
      </c>
      <c r="AY107">
        <v>9.5075308005470108E-3</v>
      </c>
      <c r="AZ107">
        <v>3.9648915530064999E-2</v>
      </c>
      <c r="BA107">
        <v>0</v>
      </c>
      <c r="BB107">
        <v>4.9156446330612003E-2</v>
      </c>
      <c r="BC107">
        <v>0</v>
      </c>
      <c r="BD107">
        <v>0</v>
      </c>
      <c r="BE107">
        <v>0</v>
      </c>
      <c r="BF107">
        <v>4.9156446330612003E-2</v>
      </c>
      <c r="BG107">
        <v>3.7391815180499999E-2</v>
      </c>
      <c r="BH107">
        <v>0.51378355340663096</v>
      </c>
      <c r="BI107">
        <v>0</v>
      </c>
      <c r="BJ107">
        <v>0.55117536858713101</v>
      </c>
      <c r="BK107">
        <v>9.1512592474300401E-3</v>
      </c>
      <c r="BL107">
        <v>7.5821306586161996E-4</v>
      </c>
      <c r="BM107">
        <v>0</v>
      </c>
      <c r="BN107">
        <v>9.9094723132916607E-3</v>
      </c>
      <c r="BO107">
        <v>0.13897139721794799</v>
      </c>
      <c r="BP107">
        <v>93.481007067436806</v>
      </c>
      <c r="BQ107">
        <f t="shared" si="1"/>
        <v>23.353170427035248</v>
      </c>
    </row>
    <row r="108" spans="1:69" x14ac:dyDescent="0.25">
      <c r="A108" t="s">
        <v>12</v>
      </c>
      <c r="B108">
        <v>2024</v>
      </c>
      <c r="C108" t="s">
        <v>2395</v>
      </c>
      <c r="D108" t="s">
        <v>11</v>
      </c>
      <c r="E108" t="s">
        <v>11</v>
      </c>
      <c r="F108" t="s">
        <v>10</v>
      </c>
      <c r="G108">
        <v>97.853258188794598</v>
      </c>
      <c r="H108">
        <v>18010.575865172199</v>
      </c>
      <c r="I108">
        <v>18010.575865172199</v>
      </c>
      <c r="J108">
        <v>0</v>
      </c>
      <c r="K108">
        <v>1600.87930396868</v>
      </c>
      <c r="L108">
        <v>0</v>
      </c>
      <c r="M108">
        <v>3.3469474560798199E-2</v>
      </c>
      <c r="N108">
        <v>4.3341699605363802E-3</v>
      </c>
      <c r="O108">
        <v>4.0854017009932702E-3</v>
      </c>
      <c r="P108">
        <v>4.1889046222327801E-2</v>
      </c>
      <c r="Q108">
        <v>3.8523716211313203E-4</v>
      </c>
      <c r="R108">
        <v>1.5014227125089001E-6</v>
      </c>
      <c r="S108">
        <v>0</v>
      </c>
      <c r="T108">
        <v>3.8673858482564101E-4</v>
      </c>
      <c r="U108">
        <v>1.78679353431915E-4</v>
      </c>
      <c r="V108">
        <v>5.9229371712395096E-4</v>
      </c>
      <c r="W108">
        <v>1.1577116553815E-3</v>
      </c>
      <c r="X108">
        <v>4.0265587711929801E-4</v>
      </c>
      <c r="Y108">
        <v>1.5693103851039401E-6</v>
      </c>
      <c r="Z108">
        <v>0</v>
      </c>
      <c r="AA108">
        <v>4.0422518750440201E-4</v>
      </c>
      <c r="AB108">
        <v>7.1471741372766001E-4</v>
      </c>
      <c r="AC108">
        <v>1.6922677632112901E-3</v>
      </c>
      <c r="AD108">
        <v>2.8112103644433498E-3</v>
      </c>
      <c r="AE108">
        <v>33.0183996441869</v>
      </c>
      <c r="AF108">
        <v>0.902212912941601</v>
      </c>
      <c r="AG108">
        <v>0</v>
      </c>
      <c r="AH108">
        <v>33.9206125571285</v>
      </c>
      <c r="AI108">
        <v>1.0943615281264901E-5</v>
      </c>
      <c r="AJ108">
        <v>1.7127212200584599E-5</v>
      </c>
      <c r="AK108">
        <v>0</v>
      </c>
      <c r="AL108">
        <v>2.8070827481849501E-5</v>
      </c>
      <c r="AM108">
        <v>5.2020623103265599E-3</v>
      </c>
      <c r="AN108">
        <v>1.4214401185036601E-4</v>
      </c>
      <c r="AO108">
        <v>0</v>
      </c>
      <c r="AP108">
        <v>5.3442063221769203E-3</v>
      </c>
      <c r="AQ108">
        <v>2.3561303602784501E-4</v>
      </c>
      <c r="AR108">
        <v>3.6874418202377301E-4</v>
      </c>
      <c r="AS108">
        <v>0</v>
      </c>
      <c r="AT108">
        <v>6.04357218051619E-4</v>
      </c>
      <c r="AU108">
        <v>0</v>
      </c>
      <c r="AV108">
        <v>0</v>
      </c>
      <c r="AW108">
        <v>0</v>
      </c>
      <c r="AX108">
        <v>6.04357218051619E-4</v>
      </c>
      <c r="AY108">
        <v>2.6822750634976703E-4</v>
      </c>
      <c r="AZ108">
        <v>4.1978718195173203E-4</v>
      </c>
      <c r="BA108">
        <v>0</v>
      </c>
      <c r="BB108">
        <v>6.8801468830150003E-4</v>
      </c>
      <c r="BC108">
        <v>0</v>
      </c>
      <c r="BD108">
        <v>0</v>
      </c>
      <c r="BE108">
        <v>0</v>
      </c>
      <c r="BF108">
        <v>6.8801468830150003E-4</v>
      </c>
      <c r="BG108">
        <v>2.0889556344700199E-3</v>
      </c>
      <c r="BH108">
        <v>5.4484975458572501E-3</v>
      </c>
      <c r="BI108">
        <v>0</v>
      </c>
      <c r="BJ108">
        <v>7.5374531803272804E-3</v>
      </c>
      <c r="BK108">
        <v>3.1266449998632501E-4</v>
      </c>
      <c r="BL108">
        <v>8.5434167720407707E-6</v>
      </c>
      <c r="BM108">
        <v>0</v>
      </c>
      <c r="BN108">
        <v>3.21207916758366E-4</v>
      </c>
      <c r="BO108">
        <v>4.3677162765454703E-3</v>
      </c>
      <c r="BP108">
        <v>3.0301148827400399</v>
      </c>
      <c r="BQ108">
        <f t="shared" si="1"/>
        <v>23.352490204712083</v>
      </c>
    </row>
    <row r="109" spans="1:69" x14ac:dyDescent="0.25">
      <c r="A109" t="s">
        <v>12</v>
      </c>
      <c r="B109">
        <v>2024</v>
      </c>
      <c r="C109" t="s">
        <v>2395</v>
      </c>
      <c r="D109" t="s">
        <v>11</v>
      </c>
      <c r="E109" t="s">
        <v>11</v>
      </c>
      <c r="F109" t="s">
        <v>2384</v>
      </c>
      <c r="G109">
        <v>0.16987681910647201</v>
      </c>
      <c r="H109">
        <v>36.228798609675202</v>
      </c>
      <c r="I109">
        <v>0</v>
      </c>
      <c r="J109">
        <v>36.228798609675202</v>
      </c>
      <c r="K109">
        <v>2.77918476058188</v>
      </c>
      <c r="L109">
        <v>65.935226511206295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3.5941873039770799E-7</v>
      </c>
      <c r="V109">
        <v>5.9570804276597001E-7</v>
      </c>
      <c r="W109">
        <v>9.551267731636781E-7</v>
      </c>
      <c r="X109">
        <v>0</v>
      </c>
      <c r="Y109">
        <v>0</v>
      </c>
      <c r="Z109">
        <v>0</v>
      </c>
      <c r="AA109">
        <v>0</v>
      </c>
      <c r="AB109">
        <v>1.43767492159083E-6</v>
      </c>
      <c r="AC109">
        <v>1.70202297933134E-6</v>
      </c>
      <c r="AD109">
        <v>3.1396979009221701E-6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 t="e">
        <f t="shared" si="1"/>
        <v>#DIV/0!</v>
      </c>
    </row>
    <row r="110" spans="1:69" x14ac:dyDescent="0.25">
      <c r="A110" t="s">
        <v>12</v>
      </c>
      <c r="B110">
        <v>2024</v>
      </c>
      <c r="C110" t="s">
        <v>2394</v>
      </c>
      <c r="D110" t="s">
        <v>11</v>
      </c>
      <c r="E110" t="s">
        <v>11</v>
      </c>
      <c r="F110" t="s">
        <v>10</v>
      </c>
      <c r="G110">
        <v>439.09189342039798</v>
      </c>
      <c r="H110">
        <v>43557.814363300597</v>
      </c>
      <c r="I110">
        <v>43557.814363300597</v>
      </c>
      <c r="J110">
        <v>0</v>
      </c>
      <c r="K110">
        <v>7183.5433763577103</v>
      </c>
      <c r="L110">
        <v>0</v>
      </c>
      <c r="M110">
        <v>8.4981882680146406E-2</v>
      </c>
      <c r="N110">
        <v>1.9409513167017899E-2</v>
      </c>
      <c r="O110">
        <v>1.8472520493672401E-2</v>
      </c>
      <c r="P110">
        <v>0.122863916340836</v>
      </c>
      <c r="Q110">
        <v>9.2793081158675601E-4</v>
      </c>
      <c r="R110">
        <v>6.7372569280009702E-6</v>
      </c>
      <c r="S110">
        <v>0</v>
      </c>
      <c r="T110">
        <v>9.3466806851475695E-4</v>
      </c>
      <c r="U110">
        <v>4.3212844306616399E-4</v>
      </c>
      <c r="V110">
        <v>1.4324372508778499E-3</v>
      </c>
      <c r="W110">
        <v>2.7992337624587701E-3</v>
      </c>
      <c r="X110">
        <v>9.6988772525471697E-4</v>
      </c>
      <c r="Y110">
        <v>7.0418857901503303E-6</v>
      </c>
      <c r="Z110">
        <v>0</v>
      </c>
      <c r="AA110">
        <v>9.7692961104486691E-4</v>
      </c>
      <c r="AB110">
        <v>1.7285137722646499E-3</v>
      </c>
      <c r="AC110">
        <v>4.092677859651E-3</v>
      </c>
      <c r="AD110">
        <v>6.79812124296053E-3</v>
      </c>
      <c r="AE110">
        <v>79.5465290636254</v>
      </c>
      <c r="AF110">
        <v>4.0216162518655496</v>
      </c>
      <c r="AG110">
        <v>0</v>
      </c>
      <c r="AH110">
        <v>83.568145315490995</v>
      </c>
      <c r="AI110">
        <v>2.7445799544482799E-5</v>
      </c>
      <c r="AJ110">
        <v>7.6854058550181501E-5</v>
      </c>
      <c r="AK110">
        <v>0</v>
      </c>
      <c r="AL110">
        <v>1.0429985809466399E-4</v>
      </c>
      <c r="AM110">
        <v>1.25325880484348E-2</v>
      </c>
      <c r="AN110">
        <v>6.3360727824099004E-4</v>
      </c>
      <c r="AO110">
        <v>0</v>
      </c>
      <c r="AP110">
        <v>1.31661953266758E-2</v>
      </c>
      <c r="AQ110">
        <v>5.9090053795639297E-4</v>
      </c>
      <c r="AR110">
        <v>1.65464680552778E-3</v>
      </c>
      <c r="AS110">
        <v>0</v>
      </c>
      <c r="AT110">
        <v>2.24554734348417E-3</v>
      </c>
      <c r="AU110">
        <v>0</v>
      </c>
      <c r="AV110">
        <v>0</v>
      </c>
      <c r="AW110">
        <v>0</v>
      </c>
      <c r="AX110">
        <v>2.24554734348417E-3</v>
      </c>
      <c r="AY110">
        <v>6.7269528235291596E-4</v>
      </c>
      <c r="AZ110">
        <v>1.88368943424621E-3</v>
      </c>
      <c r="BA110">
        <v>0</v>
      </c>
      <c r="BB110">
        <v>2.5563847165991299E-3</v>
      </c>
      <c r="BC110">
        <v>0</v>
      </c>
      <c r="BD110">
        <v>0</v>
      </c>
      <c r="BE110">
        <v>0</v>
      </c>
      <c r="BF110">
        <v>2.5563847165991299E-3</v>
      </c>
      <c r="BG110">
        <v>5.2961927157277001E-3</v>
      </c>
      <c r="BH110">
        <v>2.44487628515246E-2</v>
      </c>
      <c r="BI110">
        <v>0</v>
      </c>
      <c r="BJ110">
        <v>2.9744955567252301E-2</v>
      </c>
      <c r="BK110">
        <v>7.5325806227270796E-4</v>
      </c>
      <c r="BL110">
        <v>3.8082301022357301E-5</v>
      </c>
      <c r="BM110">
        <v>0</v>
      </c>
      <c r="BN110">
        <v>7.9134036329506501E-4</v>
      </c>
      <c r="BO110">
        <v>1.05631366919935E-2</v>
      </c>
      <c r="BP110">
        <v>7.4651093171439999</v>
      </c>
      <c r="BQ110">
        <f t="shared" si="1"/>
        <v>23.352752894196616</v>
      </c>
    </row>
    <row r="111" spans="1:69" x14ac:dyDescent="0.25">
      <c r="A111" t="s">
        <v>12</v>
      </c>
      <c r="B111">
        <v>2024</v>
      </c>
      <c r="C111" t="s">
        <v>2394</v>
      </c>
      <c r="D111" t="s">
        <v>11</v>
      </c>
      <c r="E111" t="s">
        <v>11</v>
      </c>
      <c r="F111" t="s">
        <v>2384</v>
      </c>
      <c r="G111">
        <v>1.0183423414355699</v>
      </c>
      <c r="H111">
        <v>80.574013160600899</v>
      </c>
      <c r="I111">
        <v>0</v>
      </c>
      <c r="J111">
        <v>80.574013160600899</v>
      </c>
      <c r="K111">
        <v>16.660080705885999</v>
      </c>
      <c r="L111">
        <v>146.64206411863501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7.9935881466125799E-7</v>
      </c>
      <c r="V111">
        <v>1.3248738440054801E-6</v>
      </c>
      <c r="W111">
        <v>2.1242326586667399E-6</v>
      </c>
      <c r="X111">
        <v>0</v>
      </c>
      <c r="Y111">
        <v>0</v>
      </c>
      <c r="Z111">
        <v>0</v>
      </c>
      <c r="AA111">
        <v>0</v>
      </c>
      <c r="AB111">
        <v>3.1974352586450299E-6</v>
      </c>
      <c r="AC111">
        <v>3.7853538400156702E-6</v>
      </c>
      <c r="AD111">
        <v>6.9827890986607098E-6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 t="e">
        <f t="shared" si="1"/>
        <v>#DIV/0!</v>
      </c>
    </row>
    <row r="112" spans="1:69" x14ac:dyDescent="0.25">
      <c r="A112" t="s">
        <v>12</v>
      </c>
      <c r="B112">
        <v>2024</v>
      </c>
      <c r="C112" t="s">
        <v>2393</v>
      </c>
      <c r="D112" t="s">
        <v>11</v>
      </c>
      <c r="E112" t="s">
        <v>11</v>
      </c>
      <c r="F112" t="s">
        <v>10</v>
      </c>
      <c r="G112">
        <v>650.31026706304999</v>
      </c>
      <c r="H112">
        <v>82469.107048898499</v>
      </c>
      <c r="I112">
        <v>82469.107048898499</v>
      </c>
      <c r="J112">
        <v>0</v>
      </c>
      <c r="K112">
        <v>10639.0759691515</v>
      </c>
      <c r="L112">
        <v>0</v>
      </c>
      <c r="M112">
        <v>0.16818551822029201</v>
      </c>
      <c r="N112">
        <v>2.8866150241659699E-2</v>
      </c>
      <c r="O112">
        <v>2.6908186492911799E-2</v>
      </c>
      <c r="P112">
        <v>0.22395985495486401</v>
      </c>
      <c r="Q112">
        <v>1.8888505090327099E-3</v>
      </c>
      <c r="R112">
        <v>9.9781103176184605E-6</v>
      </c>
      <c r="S112">
        <v>0</v>
      </c>
      <c r="T112">
        <v>1.8988286193503299E-3</v>
      </c>
      <c r="U112">
        <v>8.1815966551625999E-4</v>
      </c>
      <c r="V112">
        <v>2.7120695266796202E-3</v>
      </c>
      <c r="W112">
        <v>5.4290578115462097E-3</v>
      </c>
      <c r="X112">
        <v>1.9742559474011699E-3</v>
      </c>
      <c r="Y112">
        <v>1.04292761889723E-5</v>
      </c>
      <c r="Z112">
        <v>0</v>
      </c>
      <c r="AA112">
        <v>1.9846852235901398E-3</v>
      </c>
      <c r="AB112">
        <v>3.27263866206504E-3</v>
      </c>
      <c r="AC112">
        <v>7.7487700762274804E-3</v>
      </c>
      <c r="AD112">
        <v>1.3006093961882599E-2</v>
      </c>
      <c r="AE112">
        <v>153.00603717020701</v>
      </c>
      <c r="AF112">
        <v>6.0721852496825601</v>
      </c>
      <c r="AG112">
        <v>0</v>
      </c>
      <c r="AH112">
        <v>159.07822241988899</v>
      </c>
      <c r="AI112">
        <v>5.3902989644976001E-5</v>
      </c>
      <c r="AJ112">
        <v>1.1382351642005E-4</v>
      </c>
      <c r="AK112">
        <v>0</v>
      </c>
      <c r="AL112">
        <v>1.67726506065026E-4</v>
      </c>
      <c r="AM112">
        <v>2.4106163466214098E-2</v>
      </c>
      <c r="AN112">
        <v>9.5667525891902905E-4</v>
      </c>
      <c r="AO112">
        <v>0</v>
      </c>
      <c r="AP112">
        <v>2.50628387251332E-2</v>
      </c>
      <c r="AQ112">
        <v>1.1605165856819399E-3</v>
      </c>
      <c r="AR112">
        <v>2.4505890956350901E-3</v>
      </c>
      <c r="AS112">
        <v>0</v>
      </c>
      <c r="AT112">
        <v>3.61110568131704E-3</v>
      </c>
      <c r="AU112">
        <v>0</v>
      </c>
      <c r="AV112">
        <v>0</v>
      </c>
      <c r="AW112">
        <v>0</v>
      </c>
      <c r="AX112">
        <v>3.61110568131704E-3</v>
      </c>
      <c r="AY112">
        <v>1.32115979278084E-3</v>
      </c>
      <c r="AZ112">
        <v>2.7898091433805399E-3</v>
      </c>
      <c r="BA112">
        <v>0</v>
      </c>
      <c r="BB112">
        <v>4.1109689361613902E-3</v>
      </c>
      <c r="BC112">
        <v>0</v>
      </c>
      <c r="BD112">
        <v>0</v>
      </c>
      <c r="BE112">
        <v>0</v>
      </c>
      <c r="BF112">
        <v>4.1109689361613902E-3</v>
      </c>
      <c r="BG112">
        <v>1.0797268513063001E-2</v>
      </c>
      <c r="BH112">
        <v>3.6209462614956098E-2</v>
      </c>
      <c r="BI112">
        <v>0</v>
      </c>
      <c r="BJ112">
        <v>4.7006731128019202E-2</v>
      </c>
      <c r="BK112">
        <v>1.44887567605458E-3</v>
      </c>
      <c r="BL112">
        <v>5.7499963213710398E-5</v>
      </c>
      <c r="BM112">
        <v>0</v>
      </c>
      <c r="BN112">
        <v>1.5063756392682899E-3</v>
      </c>
      <c r="BO112">
        <v>1.9999452758541699E-2</v>
      </c>
      <c r="BP112">
        <v>14.2103945930374</v>
      </c>
      <c r="BQ112">
        <f t="shared" si="1"/>
        <v>23.35263188858487</v>
      </c>
    </row>
    <row r="113" spans="1:69" x14ac:dyDescent="0.25">
      <c r="A113" t="s">
        <v>12</v>
      </c>
      <c r="B113">
        <v>2024</v>
      </c>
      <c r="C113" t="s">
        <v>2393</v>
      </c>
      <c r="D113" t="s">
        <v>11</v>
      </c>
      <c r="E113" t="s">
        <v>11</v>
      </c>
      <c r="F113" t="s">
        <v>2384</v>
      </c>
      <c r="G113">
        <v>0.58934206061993499</v>
      </c>
      <c r="H113">
        <v>57.378615837327203</v>
      </c>
      <c r="I113">
        <v>0</v>
      </c>
      <c r="J113">
        <v>57.378615837327203</v>
      </c>
      <c r="K113">
        <v>9.6416361117421392</v>
      </c>
      <c r="L113">
        <v>104.427200937414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5.6924187518386095E-7</v>
      </c>
      <c r="V113">
        <v>9.4347326571150403E-7</v>
      </c>
      <c r="W113">
        <v>1.51271514089536E-6</v>
      </c>
      <c r="X113">
        <v>0</v>
      </c>
      <c r="Y113">
        <v>0</v>
      </c>
      <c r="Z113">
        <v>0</v>
      </c>
      <c r="AA113">
        <v>0</v>
      </c>
      <c r="AB113">
        <v>2.27696750073544E-6</v>
      </c>
      <c r="AC113">
        <v>2.6956379020328599E-6</v>
      </c>
      <c r="AD113">
        <v>4.9726054027683101E-6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 t="e">
        <f t="shared" si="1"/>
        <v>#DIV/0!</v>
      </c>
    </row>
    <row r="114" spans="1:69" x14ac:dyDescent="0.25">
      <c r="A114" t="s">
        <v>12</v>
      </c>
      <c r="B114">
        <v>2024</v>
      </c>
      <c r="C114" t="s">
        <v>2393</v>
      </c>
      <c r="D114" t="s">
        <v>11</v>
      </c>
      <c r="E114" t="s">
        <v>11</v>
      </c>
      <c r="F114" t="s">
        <v>2382</v>
      </c>
      <c r="G114">
        <v>0.69189784758892603</v>
      </c>
      <c r="H114">
        <v>84.577095283876403</v>
      </c>
      <c r="I114">
        <v>84.577095283876403</v>
      </c>
      <c r="J114">
        <v>0</v>
      </c>
      <c r="K114">
        <v>11.319448786554799</v>
      </c>
      <c r="L114">
        <v>0</v>
      </c>
      <c r="M114">
        <v>1.6232157515260001E-5</v>
      </c>
      <c r="N114">
        <v>1.5859111173046299E-5</v>
      </c>
      <c r="O114">
        <v>0</v>
      </c>
      <c r="P114">
        <v>3.2091268688306401E-5</v>
      </c>
      <c r="Q114">
        <v>2.16386394766127E-7</v>
      </c>
      <c r="R114">
        <v>6.0095383800818098E-8</v>
      </c>
      <c r="S114">
        <v>0</v>
      </c>
      <c r="T114">
        <v>2.7648177856694498E-7</v>
      </c>
      <c r="U114">
        <v>8.3907259898865904E-7</v>
      </c>
      <c r="V114">
        <v>2.7813925842373199E-6</v>
      </c>
      <c r="W114">
        <v>3.8969469617929197E-6</v>
      </c>
      <c r="X114">
        <v>2.3533994759235699E-7</v>
      </c>
      <c r="Y114">
        <v>6.5359213038846005E-8</v>
      </c>
      <c r="Z114">
        <v>0</v>
      </c>
      <c r="AA114">
        <v>3.0069916063120399E-7</v>
      </c>
      <c r="AB114">
        <v>3.3562903959546298E-6</v>
      </c>
      <c r="AC114">
        <v>7.9468359549637698E-6</v>
      </c>
      <c r="AD114">
        <v>1.16038255115496E-5</v>
      </c>
      <c r="AE114">
        <v>0.112867925233093</v>
      </c>
      <c r="AF114">
        <v>1.2573598354264101E-2</v>
      </c>
      <c r="AG114">
        <v>0</v>
      </c>
      <c r="AH114">
        <v>0.125441523587357</v>
      </c>
      <c r="AI114">
        <v>1.09365290209807E-4</v>
      </c>
      <c r="AJ114">
        <v>3.6482623568527103E-5</v>
      </c>
      <c r="AK114">
        <v>0</v>
      </c>
      <c r="AL114">
        <v>1.4584791377833401E-4</v>
      </c>
      <c r="AM114">
        <v>2.3008864912320699E-5</v>
      </c>
      <c r="AN114">
        <v>2.5632102778320199E-6</v>
      </c>
      <c r="AO114">
        <v>0</v>
      </c>
      <c r="AP114">
        <v>2.55720751901527E-5</v>
      </c>
      <c r="AQ114">
        <v>1.5626142045724199E-6</v>
      </c>
      <c r="AR114">
        <v>5.2126470563817703E-7</v>
      </c>
      <c r="AS114">
        <v>0</v>
      </c>
      <c r="AT114">
        <v>2.0838789102105999E-6</v>
      </c>
      <c r="AU114">
        <v>0</v>
      </c>
      <c r="AV114">
        <v>0</v>
      </c>
      <c r="AW114">
        <v>0</v>
      </c>
      <c r="AX114">
        <v>2.0838789102105999E-6</v>
      </c>
      <c r="AY114">
        <v>1.11615300326601E-4</v>
      </c>
      <c r="AZ114">
        <v>3.7233193259869798E-5</v>
      </c>
      <c r="BA114">
        <v>0</v>
      </c>
      <c r="BB114">
        <v>1.4884849358647099E-4</v>
      </c>
      <c r="BC114">
        <v>0</v>
      </c>
      <c r="BD114">
        <v>0</v>
      </c>
      <c r="BE114">
        <v>0</v>
      </c>
      <c r="BF114">
        <v>1.4884849358647099E-4</v>
      </c>
      <c r="BG114">
        <v>4.6399895607218098E-4</v>
      </c>
      <c r="BH114">
        <v>1.1995381491035301E-4</v>
      </c>
      <c r="BI114">
        <v>0</v>
      </c>
      <c r="BJ114">
        <v>5.83952770982534E-4</v>
      </c>
      <c r="BK114">
        <v>0</v>
      </c>
      <c r="BL114">
        <v>0</v>
      </c>
      <c r="BM114">
        <v>0</v>
      </c>
      <c r="BN114">
        <v>0</v>
      </c>
      <c r="BO114">
        <v>9.8824077780065904E-5</v>
      </c>
      <c r="BP114">
        <v>1.4499126894611599E-2</v>
      </c>
      <c r="BQ114">
        <f t="shared" si="1"/>
        <v>18.827596709896998</v>
      </c>
    </row>
    <row r="115" spans="1:69" x14ac:dyDescent="0.25">
      <c r="A115" t="s">
        <v>12</v>
      </c>
      <c r="B115">
        <v>2024</v>
      </c>
      <c r="C115" t="s">
        <v>2392</v>
      </c>
      <c r="D115" t="s">
        <v>11</v>
      </c>
      <c r="E115" t="s">
        <v>11</v>
      </c>
      <c r="F115" t="s">
        <v>10</v>
      </c>
      <c r="G115">
        <v>384.23444203471701</v>
      </c>
      <c r="H115">
        <v>16254.558953313101</v>
      </c>
      <c r="I115">
        <v>16254.558953313101</v>
      </c>
      <c r="J115">
        <v>0</v>
      </c>
      <c r="K115">
        <v>1971.1226876380999</v>
      </c>
      <c r="L115">
        <v>0</v>
      </c>
      <c r="M115">
        <v>0.161109195006747</v>
      </c>
      <c r="N115">
        <v>1.4519877728791999E-2</v>
      </c>
      <c r="O115">
        <v>6.7092967276052703E-3</v>
      </c>
      <c r="P115">
        <v>0.182338369463144</v>
      </c>
      <c r="Q115">
        <v>9.3417184659635001E-4</v>
      </c>
      <c r="R115">
        <v>3.80037152475757E-5</v>
      </c>
      <c r="S115">
        <v>0</v>
      </c>
      <c r="T115">
        <v>9.7217556184392602E-4</v>
      </c>
      <c r="U115">
        <v>1.6125825769189E-4</v>
      </c>
      <c r="V115">
        <v>7.1668040300874099E-4</v>
      </c>
      <c r="W115">
        <v>1.85011422254455E-3</v>
      </c>
      <c r="X115">
        <v>9.7641095217326096E-4</v>
      </c>
      <c r="Y115">
        <v>3.9722074612082297E-5</v>
      </c>
      <c r="Z115">
        <v>0</v>
      </c>
      <c r="AA115">
        <v>1.01613302678534E-3</v>
      </c>
      <c r="AB115">
        <v>6.4503303076756302E-4</v>
      </c>
      <c r="AC115">
        <v>2.0476582943106899E-3</v>
      </c>
      <c r="AD115">
        <v>3.7088243518635898E-3</v>
      </c>
      <c r="AE115">
        <v>33.665801942100799</v>
      </c>
      <c r="AF115">
        <v>1.3814134593974099</v>
      </c>
      <c r="AG115">
        <v>0</v>
      </c>
      <c r="AH115">
        <v>35.0472154014982</v>
      </c>
      <c r="AI115">
        <v>1.05466554635514E-4</v>
      </c>
      <c r="AJ115">
        <v>2.2951921005966399E-5</v>
      </c>
      <c r="AK115">
        <v>0</v>
      </c>
      <c r="AL115">
        <v>1.2841847564147999E-4</v>
      </c>
      <c r="AM115">
        <v>5.3040608060104504E-3</v>
      </c>
      <c r="AN115">
        <v>2.1764225309370001E-4</v>
      </c>
      <c r="AO115">
        <v>0</v>
      </c>
      <c r="AP115">
        <v>5.5217030591041497E-3</v>
      </c>
      <c r="AQ115">
        <v>2.2706660000750599E-3</v>
      </c>
      <c r="AR115">
        <v>4.9414856534156005E-4</v>
      </c>
      <c r="AS115">
        <v>0</v>
      </c>
      <c r="AT115">
        <v>2.7648145654166202E-3</v>
      </c>
      <c r="AU115">
        <v>0</v>
      </c>
      <c r="AV115">
        <v>0</v>
      </c>
      <c r="AW115">
        <v>0</v>
      </c>
      <c r="AX115">
        <v>2.7648145654166202E-3</v>
      </c>
      <c r="AY115">
        <v>2.5849803950633399E-3</v>
      </c>
      <c r="AZ115">
        <v>5.62550526415766E-4</v>
      </c>
      <c r="BA115">
        <v>0</v>
      </c>
      <c r="BB115">
        <v>3.14753092147911E-3</v>
      </c>
      <c r="BC115">
        <v>0</v>
      </c>
      <c r="BD115">
        <v>0</v>
      </c>
      <c r="BE115">
        <v>0</v>
      </c>
      <c r="BF115">
        <v>3.14753092147911E-3</v>
      </c>
      <c r="BG115">
        <v>7.4491710872551598E-3</v>
      </c>
      <c r="BH115">
        <v>4.2016817336895202E-3</v>
      </c>
      <c r="BI115">
        <v>0</v>
      </c>
      <c r="BJ115">
        <v>1.16508528209446E-2</v>
      </c>
      <c r="BK115">
        <v>3.18795012608032E-4</v>
      </c>
      <c r="BL115">
        <v>1.30811593902587E-5</v>
      </c>
      <c r="BM115">
        <v>0</v>
      </c>
      <c r="BN115">
        <v>3.3187617199829001E-4</v>
      </c>
      <c r="BO115">
        <v>2.2974211244370401E-3</v>
      </c>
      <c r="BP115">
        <v>3.1307538685458698</v>
      </c>
      <c r="BQ115">
        <f t="shared" si="1"/>
        <v>23.354262102427171</v>
      </c>
    </row>
    <row r="116" spans="1:69" x14ac:dyDescent="0.25">
      <c r="A116" t="s">
        <v>12</v>
      </c>
      <c r="B116">
        <v>2024</v>
      </c>
      <c r="C116" t="s">
        <v>2392</v>
      </c>
      <c r="D116" t="s">
        <v>11</v>
      </c>
      <c r="E116" t="s">
        <v>11</v>
      </c>
      <c r="F116" t="s">
        <v>2384</v>
      </c>
      <c r="G116">
        <v>1.57802766142576</v>
      </c>
      <c r="H116">
        <v>93.718009426552598</v>
      </c>
      <c r="I116">
        <v>0</v>
      </c>
      <c r="J116">
        <v>93.718009426552598</v>
      </c>
      <c r="K116">
        <v>8.0952819031141807</v>
      </c>
      <c r="L116">
        <v>183.92933106967601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9.2975779643640501E-7</v>
      </c>
      <c r="V116">
        <v>1.7792323604765301E-6</v>
      </c>
      <c r="W116">
        <v>2.7089901569129301E-6</v>
      </c>
      <c r="X116">
        <v>0</v>
      </c>
      <c r="Y116">
        <v>0</v>
      </c>
      <c r="Z116">
        <v>0</v>
      </c>
      <c r="AA116">
        <v>0</v>
      </c>
      <c r="AB116">
        <v>3.7190311857456201E-6</v>
      </c>
      <c r="AC116">
        <v>5.0835210299329404E-6</v>
      </c>
      <c r="AD116">
        <v>8.8025522156785693E-6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 t="e">
        <f t="shared" si="1"/>
        <v>#DIV/0!</v>
      </c>
    </row>
    <row r="117" spans="1:69" x14ac:dyDescent="0.25">
      <c r="A117" t="s">
        <v>12</v>
      </c>
      <c r="B117">
        <v>2024</v>
      </c>
      <c r="C117" t="s">
        <v>2392</v>
      </c>
      <c r="D117" t="s">
        <v>11</v>
      </c>
      <c r="E117" t="s">
        <v>11</v>
      </c>
      <c r="F117" t="s">
        <v>2382</v>
      </c>
      <c r="G117">
        <v>25.492571646094198</v>
      </c>
      <c r="H117">
        <v>1230.03493725983</v>
      </c>
      <c r="I117">
        <v>1230.03493725983</v>
      </c>
      <c r="J117">
        <v>0</v>
      </c>
      <c r="K117">
        <v>130.77689254446301</v>
      </c>
      <c r="L117">
        <v>0</v>
      </c>
      <c r="M117">
        <v>7.9402825619384295E-4</v>
      </c>
      <c r="N117">
        <v>2.1546141639870999E-4</v>
      </c>
      <c r="O117">
        <v>0</v>
      </c>
      <c r="P117">
        <v>1.0094896725925499E-3</v>
      </c>
      <c r="Q117">
        <v>3.4309509760984099E-6</v>
      </c>
      <c r="R117">
        <v>5.6671946570750301E-7</v>
      </c>
      <c r="S117">
        <v>0</v>
      </c>
      <c r="T117">
        <v>3.9976704418059202E-6</v>
      </c>
      <c r="U117">
        <v>1.2202932817333901E-5</v>
      </c>
      <c r="V117">
        <v>4.9041130651637702E-5</v>
      </c>
      <c r="W117">
        <v>6.5241733910777604E-5</v>
      </c>
      <c r="X117">
        <v>3.7314722294793001E-6</v>
      </c>
      <c r="Y117">
        <v>6.16359126937358E-7</v>
      </c>
      <c r="Z117">
        <v>0</v>
      </c>
      <c r="AA117">
        <v>4.3478313564166597E-6</v>
      </c>
      <c r="AB117">
        <v>4.88117312693358E-5</v>
      </c>
      <c r="AC117">
        <v>1.4011751614753599E-4</v>
      </c>
      <c r="AD117">
        <v>1.93277078773288E-4</v>
      </c>
      <c r="AE117">
        <v>2.1432389393412401</v>
      </c>
      <c r="AF117">
        <v>0.163704599891525</v>
      </c>
      <c r="AG117">
        <v>0</v>
      </c>
      <c r="AH117">
        <v>2.3069435392327602</v>
      </c>
      <c r="AI117">
        <v>2.4220263643502898E-3</v>
      </c>
      <c r="AJ117">
        <v>5.8641589009798204E-4</v>
      </c>
      <c r="AK117">
        <v>0</v>
      </c>
      <c r="AL117">
        <v>3.0084422544482698E-3</v>
      </c>
      <c r="AM117">
        <v>4.3691327831433602E-4</v>
      </c>
      <c r="AN117">
        <v>3.3372253602170702E-5</v>
      </c>
      <c r="AO117">
        <v>0</v>
      </c>
      <c r="AP117">
        <v>4.7028553191650702E-4</v>
      </c>
      <c r="AQ117">
        <v>3.4605977760604603E-5</v>
      </c>
      <c r="AR117">
        <v>8.3787259915478506E-6</v>
      </c>
      <c r="AS117">
        <v>0</v>
      </c>
      <c r="AT117">
        <v>4.2984703752152501E-5</v>
      </c>
      <c r="AU117">
        <v>0</v>
      </c>
      <c r="AV117">
        <v>0</v>
      </c>
      <c r="AW117">
        <v>0</v>
      </c>
      <c r="AX117">
        <v>4.2984703752152501E-5</v>
      </c>
      <c r="AY117">
        <v>2.4718555543288999E-3</v>
      </c>
      <c r="AZ117">
        <v>5.98480427967704E-4</v>
      </c>
      <c r="BA117">
        <v>0</v>
      </c>
      <c r="BB117">
        <v>3.0703359822966E-3</v>
      </c>
      <c r="BC117">
        <v>0</v>
      </c>
      <c r="BD117">
        <v>0</v>
      </c>
      <c r="BE117">
        <v>0</v>
      </c>
      <c r="BF117">
        <v>3.0703359822966E-3</v>
      </c>
      <c r="BG117">
        <v>1.3231149848323499E-2</v>
      </c>
      <c r="BH117">
        <v>1.07547092242986E-3</v>
      </c>
      <c r="BI117">
        <v>0</v>
      </c>
      <c r="BJ117">
        <v>1.4306620770753301E-2</v>
      </c>
      <c r="BK117">
        <v>0</v>
      </c>
      <c r="BL117">
        <v>0</v>
      </c>
      <c r="BM117">
        <v>0</v>
      </c>
      <c r="BN117">
        <v>0</v>
      </c>
      <c r="BO117">
        <v>1.4372338977115099E-3</v>
      </c>
      <c r="BP117">
        <v>0.26664748766979701</v>
      </c>
      <c r="BQ117">
        <f t="shared" si="1"/>
        <v>18.895861726361421</v>
      </c>
    </row>
    <row r="118" spans="1:69" x14ac:dyDescent="0.25">
      <c r="A118" t="s">
        <v>12</v>
      </c>
      <c r="B118">
        <v>2024</v>
      </c>
      <c r="C118" t="s">
        <v>2391</v>
      </c>
      <c r="D118" t="s">
        <v>11</v>
      </c>
      <c r="E118" t="s">
        <v>11</v>
      </c>
      <c r="F118" t="s">
        <v>10</v>
      </c>
      <c r="G118">
        <v>46.713443655300402</v>
      </c>
      <c r="H118">
        <v>3160.8686713578099</v>
      </c>
      <c r="I118">
        <v>3160.8686713578099</v>
      </c>
      <c r="J118">
        <v>0</v>
      </c>
      <c r="K118">
        <v>440.04063923293</v>
      </c>
      <c r="L118">
        <v>0</v>
      </c>
      <c r="M118">
        <v>4.0387564884141903E-3</v>
      </c>
      <c r="N118">
        <v>1.1264010104064001E-3</v>
      </c>
      <c r="O118">
        <v>1.61982274936103E-3</v>
      </c>
      <c r="P118">
        <v>6.7849802481816301E-3</v>
      </c>
      <c r="Q118">
        <v>5.2458206426422503E-5</v>
      </c>
      <c r="R118">
        <v>4.9958509237798599E-7</v>
      </c>
      <c r="S118">
        <v>0</v>
      </c>
      <c r="T118">
        <v>5.2957791518800503E-5</v>
      </c>
      <c r="U118">
        <v>3.1358351599054803E-5</v>
      </c>
      <c r="V118">
        <v>9.7999585923900403E-5</v>
      </c>
      <c r="W118">
        <v>1.82315729041755E-4</v>
      </c>
      <c r="X118">
        <v>5.4830133741181902E-5</v>
      </c>
      <c r="Y118">
        <v>5.2217411337930301E-7</v>
      </c>
      <c r="Z118">
        <v>0</v>
      </c>
      <c r="AA118">
        <v>5.5352307854561201E-5</v>
      </c>
      <c r="AB118">
        <v>1.2543340639621899E-4</v>
      </c>
      <c r="AC118">
        <v>2.7999881692542899E-4</v>
      </c>
      <c r="AD118">
        <v>4.6078453117621E-4</v>
      </c>
      <c r="AE118">
        <v>5.7407925302838896</v>
      </c>
      <c r="AF118">
        <v>0.22904638339073799</v>
      </c>
      <c r="AG118">
        <v>0</v>
      </c>
      <c r="AH118">
        <v>5.9698389136746304</v>
      </c>
      <c r="AI118">
        <v>1.71629324942304E-6</v>
      </c>
      <c r="AJ118">
        <v>4.4598515168385704E-6</v>
      </c>
      <c r="AK118">
        <v>0</v>
      </c>
      <c r="AL118">
        <v>6.1761447662616104E-6</v>
      </c>
      <c r="AM118">
        <v>9.0446420102168097E-4</v>
      </c>
      <c r="AN118">
        <v>3.6086350979864597E-5</v>
      </c>
      <c r="AO118">
        <v>0</v>
      </c>
      <c r="AP118">
        <v>9.4055055200154502E-4</v>
      </c>
      <c r="AQ118">
        <v>3.69513230150684E-5</v>
      </c>
      <c r="AR118">
        <v>9.6019380169061504E-5</v>
      </c>
      <c r="AS118">
        <v>0</v>
      </c>
      <c r="AT118">
        <v>1.3297070318413001E-4</v>
      </c>
      <c r="AU118">
        <v>0</v>
      </c>
      <c r="AV118">
        <v>0</v>
      </c>
      <c r="AW118">
        <v>0</v>
      </c>
      <c r="AX118">
        <v>1.3297070318413001E-4</v>
      </c>
      <c r="AY118">
        <v>4.2066268470328603E-5</v>
      </c>
      <c r="AZ118">
        <v>1.09310755203518E-4</v>
      </c>
      <c r="BA118">
        <v>0</v>
      </c>
      <c r="BB118">
        <v>1.5137702367384699E-4</v>
      </c>
      <c r="BC118">
        <v>0</v>
      </c>
      <c r="BD118">
        <v>0</v>
      </c>
      <c r="BE118">
        <v>0</v>
      </c>
      <c r="BF118">
        <v>1.5137702367384699E-4</v>
      </c>
      <c r="BG118">
        <v>2.3724743576618399E-4</v>
      </c>
      <c r="BH118">
        <v>1.40650516855669E-3</v>
      </c>
      <c r="BI118">
        <v>0</v>
      </c>
      <c r="BJ118">
        <v>1.64375260432288E-3</v>
      </c>
      <c r="BK118">
        <v>5.43618723302494E-5</v>
      </c>
      <c r="BL118">
        <v>2.1689322834624199E-6</v>
      </c>
      <c r="BM118">
        <v>0</v>
      </c>
      <c r="BN118">
        <v>5.6530804613711903E-5</v>
      </c>
      <c r="BO118">
        <v>7.6637850074410901E-4</v>
      </c>
      <c r="BP118">
        <v>0.53328334532345101</v>
      </c>
      <c r="BQ118">
        <f t="shared" si="1"/>
        <v>23.352619516116022</v>
      </c>
    </row>
    <row r="119" spans="1:69" x14ac:dyDescent="0.25">
      <c r="A119" t="s">
        <v>12</v>
      </c>
      <c r="B119">
        <v>2024</v>
      </c>
      <c r="C119" t="s">
        <v>2391</v>
      </c>
      <c r="D119" t="s">
        <v>11</v>
      </c>
      <c r="E119" t="s">
        <v>11</v>
      </c>
      <c r="F119" t="s">
        <v>2384</v>
      </c>
      <c r="G119">
        <v>0.388095347217503</v>
      </c>
      <c r="H119">
        <v>29.808879879296001</v>
      </c>
      <c r="I119">
        <v>0</v>
      </c>
      <c r="J119">
        <v>29.808879879296001</v>
      </c>
      <c r="K119">
        <v>3.6558581707888802</v>
      </c>
      <c r="L119">
        <v>54.346183766204803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2.9572798911237599E-7</v>
      </c>
      <c r="V119">
        <v>4.6205978146033699E-7</v>
      </c>
      <c r="W119">
        <v>7.5778777057271399E-7</v>
      </c>
      <c r="X119">
        <v>0</v>
      </c>
      <c r="Y119">
        <v>0</v>
      </c>
      <c r="Z119">
        <v>0</v>
      </c>
      <c r="AA119">
        <v>0</v>
      </c>
      <c r="AB119">
        <v>1.1829119564494999E-6</v>
      </c>
      <c r="AC119">
        <v>1.3201708041723901E-6</v>
      </c>
      <c r="AD119">
        <v>2.5030827606218898E-6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 t="e">
        <f t="shared" si="1"/>
        <v>#DIV/0!</v>
      </c>
    </row>
    <row r="120" spans="1:69" x14ac:dyDescent="0.25">
      <c r="A120" t="s">
        <v>12</v>
      </c>
      <c r="B120">
        <v>2024</v>
      </c>
      <c r="C120" t="s">
        <v>2391</v>
      </c>
      <c r="D120" t="s">
        <v>11</v>
      </c>
      <c r="E120" t="s">
        <v>11</v>
      </c>
      <c r="F120" t="s">
        <v>2382</v>
      </c>
      <c r="G120">
        <v>1.63262057930767</v>
      </c>
      <c r="H120">
        <v>110.103063858848</v>
      </c>
      <c r="I120">
        <v>110.103063858848</v>
      </c>
      <c r="J120">
        <v>0</v>
      </c>
      <c r="K120">
        <v>15.3792858570782</v>
      </c>
      <c r="L120">
        <v>0</v>
      </c>
      <c r="M120">
        <v>4.4106835661844499E-5</v>
      </c>
      <c r="N120">
        <v>2.1224138584590102E-5</v>
      </c>
      <c r="O120">
        <v>0</v>
      </c>
      <c r="P120">
        <v>6.5330974246434597E-5</v>
      </c>
      <c r="Q120">
        <v>2.0246843848951099E-7</v>
      </c>
      <c r="R120">
        <v>5.7411606729784501E-8</v>
      </c>
      <c r="S120">
        <v>0</v>
      </c>
      <c r="T120">
        <v>2.5988004521929601E-7</v>
      </c>
      <c r="U120">
        <v>1.0923106739312199E-6</v>
      </c>
      <c r="V120">
        <v>3.4133667799302201E-6</v>
      </c>
      <c r="W120">
        <v>4.7655574990807399E-6</v>
      </c>
      <c r="X120">
        <v>2.2020290025501601E-7</v>
      </c>
      <c r="Y120">
        <v>6.2440360603926303E-8</v>
      </c>
      <c r="Z120">
        <v>0</v>
      </c>
      <c r="AA120">
        <v>2.8264326085894198E-7</v>
      </c>
      <c r="AB120">
        <v>4.36924269572489E-6</v>
      </c>
      <c r="AC120">
        <v>9.7524765140863605E-6</v>
      </c>
      <c r="AD120">
        <v>1.44043624706702E-5</v>
      </c>
      <c r="AE120">
        <v>0.15155438617978001</v>
      </c>
      <c r="AF120">
        <v>1.63156531855955E-2</v>
      </c>
      <c r="AG120">
        <v>0</v>
      </c>
      <c r="AH120">
        <v>0.16787003936537501</v>
      </c>
      <c r="AI120">
        <v>1.2877188027517401E-4</v>
      </c>
      <c r="AJ120">
        <v>5.7188560171861901E-5</v>
      </c>
      <c r="AK120">
        <v>0</v>
      </c>
      <c r="AL120">
        <v>1.8596044044703601E-4</v>
      </c>
      <c r="AM120">
        <v>3.0895353053391801E-5</v>
      </c>
      <c r="AN120">
        <v>3.3260526347796499E-6</v>
      </c>
      <c r="AO120">
        <v>0</v>
      </c>
      <c r="AP120">
        <v>3.4221405688171502E-5</v>
      </c>
      <c r="AQ120">
        <v>1.83989608477664E-6</v>
      </c>
      <c r="AR120">
        <v>8.1711168408331502E-7</v>
      </c>
      <c r="AS120">
        <v>0</v>
      </c>
      <c r="AT120">
        <v>2.6570077688599599E-6</v>
      </c>
      <c r="AU120">
        <v>0</v>
      </c>
      <c r="AV120">
        <v>0</v>
      </c>
      <c r="AW120">
        <v>0</v>
      </c>
      <c r="AX120">
        <v>2.6570077688599599E-6</v>
      </c>
      <c r="AY120">
        <v>1.3142114891261699E-4</v>
      </c>
      <c r="AZ120">
        <v>5.8365120291665302E-5</v>
      </c>
      <c r="BA120">
        <v>0</v>
      </c>
      <c r="BB120">
        <v>1.89786269204283E-4</v>
      </c>
      <c r="BC120">
        <v>0</v>
      </c>
      <c r="BD120">
        <v>0</v>
      </c>
      <c r="BE120">
        <v>0</v>
      </c>
      <c r="BF120">
        <v>1.89786269204283E-4</v>
      </c>
      <c r="BG120">
        <v>8.1972720799793899E-4</v>
      </c>
      <c r="BH120">
        <v>1.0946087407856501E-4</v>
      </c>
      <c r="BI120">
        <v>0</v>
      </c>
      <c r="BJ120">
        <v>9.2918808207650505E-4</v>
      </c>
      <c r="BK120">
        <v>0</v>
      </c>
      <c r="BL120">
        <v>0</v>
      </c>
      <c r="BM120">
        <v>0</v>
      </c>
      <c r="BN120">
        <v>0</v>
      </c>
      <c r="BO120">
        <v>1.2864988694740199E-4</v>
      </c>
      <c r="BP120">
        <v>1.9403216199514899E-2</v>
      </c>
      <c r="BQ120">
        <f t="shared" si="1"/>
        <v>18.801087152889465</v>
      </c>
    </row>
    <row r="121" spans="1:69" x14ac:dyDescent="0.25">
      <c r="A121" t="s">
        <v>12</v>
      </c>
      <c r="B121">
        <v>2024</v>
      </c>
      <c r="C121" t="s">
        <v>2390</v>
      </c>
      <c r="D121" t="s">
        <v>11</v>
      </c>
      <c r="E121" t="s">
        <v>11</v>
      </c>
      <c r="F121" t="s">
        <v>10</v>
      </c>
      <c r="G121">
        <v>363.17504175307499</v>
      </c>
      <c r="H121">
        <v>22739.904163169202</v>
      </c>
      <c r="I121">
        <v>22739.904163169202</v>
      </c>
      <c r="J121">
        <v>0</v>
      </c>
      <c r="K121">
        <v>3421.1088933139699</v>
      </c>
      <c r="L121">
        <v>0</v>
      </c>
      <c r="M121">
        <v>3.5472578016981997E-2</v>
      </c>
      <c r="N121">
        <v>8.881838118026E-3</v>
      </c>
      <c r="O121">
        <v>1.2094024207044699E-2</v>
      </c>
      <c r="P121">
        <v>5.6448440342052798E-2</v>
      </c>
      <c r="Q121">
        <v>4.20351301599339E-4</v>
      </c>
      <c r="R121">
        <v>5.7223126938912799E-6</v>
      </c>
      <c r="S121">
        <v>0</v>
      </c>
      <c r="T121">
        <v>4.2607361429323099E-4</v>
      </c>
      <c r="U121">
        <v>2.2559808211555701E-4</v>
      </c>
      <c r="V121">
        <v>7.0508729773155802E-4</v>
      </c>
      <c r="W121">
        <v>1.3567589941403399E-3</v>
      </c>
      <c r="X121">
        <v>4.39357722176386E-4</v>
      </c>
      <c r="Y121">
        <v>5.9810502815225403E-6</v>
      </c>
      <c r="Z121">
        <v>0</v>
      </c>
      <c r="AA121">
        <v>4.4533877245790898E-4</v>
      </c>
      <c r="AB121">
        <v>9.02392328462229E-4</v>
      </c>
      <c r="AC121">
        <v>2.0145351363758798E-3</v>
      </c>
      <c r="AD121">
        <v>3.3622662372960201E-3</v>
      </c>
      <c r="AE121">
        <v>42.528850620562203</v>
      </c>
      <c r="AF121">
        <v>1.8540321750666</v>
      </c>
      <c r="AG121">
        <v>0</v>
      </c>
      <c r="AH121">
        <v>44.382882795628802</v>
      </c>
      <c r="AI121">
        <v>1.5651331300427399E-5</v>
      </c>
      <c r="AJ121">
        <v>3.49689631145413E-5</v>
      </c>
      <c r="AK121">
        <v>0</v>
      </c>
      <c r="AL121">
        <v>5.0620294414968702E-5</v>
      </c>
      <c r="AM121">
        <v>6.70043773468242E-3</v>
      </c>
      <c r="AN121">
        <v>2.9210352421622402E-4</v>
      </c>
      <c r="AO121">
        <v>0</v>
      </c>
      <c r="AP121">
        <v>6.9925412588986496E-3</v>
      </c>
      <c r="AQ121">
        <v>3.3696887096209302E-4</v>
      </c>
      <c r="AR121">
        <v>7.52872186604361E-4</v>
      </c>
      <c r="AS121">
        <v>0</v>
      </c>
      <c r="AT121">
        <v>1.0898410575664499E-3</v>
      </c>
      <c r="AU121">
        <v>0</v>
      </c>
      <c r="AV121">
        <v>0</v>
      </c>
      <c r="AW121">
        <v>0</v>
      </c>
      <c r="AX121">
        <v>1.0898410575664499E-3</v>
      </c>
      <c r="AY121">
        <v>3.8361340908563601E-4</v>
      </c>
      <c r="AZ121">
        <v>8.5708767484800005E-4</v>
      </c>
      <c r="BA121">
        <v>0</v>
      </c>
      <c r="BB121">
        <v>1.2407010839336301E-3</v>
      </c>
      <c r="BC121">
        <v>0</v>
      </c>
      <c r="BD121">
        <v>0</v>
      </c>
      <c r="BE121">
        <v>0</v>
      </c>
      <c r="BF121">
        <v>1.2407010839336301E-3</v>
      </c>
      <c r="BG121">
        <v>2.0742351437689601E-3</v>
      </c>
      <c r="BH121">
        <v>1.08518328337308E-2</v>
      </c>
      <c r="BI121">
        <v>0</v>
      </c>
      <c r="BJ121">
        <v>1.2926067977499799E-2</v>
      </c>
      <c r="BK121">
        <v>4.0272278358628001E-4</v>
      </c>
      <c r="BL121">
        <v>1.75565760067906E-5</v>
      </c>
      <c r="BM121">
        <v>0</v>
      </c>
      <c r="BN121">
        <v>4.2027935959307002E-4</v>
      </c>
      <c r="BO121">
        <v>5.5122853773423904E-3</v>
      </c>
      <c r="BP121">
        <v>3.9647053387212301</v>
      </c>
      <c r="BQ121">
        <f t="shared" si="1"/>
        <v>23.352685715833637</v>
      </c>
    </row>
    <row r="122" spans="1:69" x14ac:dyDescent="0.25">
      <c r="A122" t="s">
        <v>12</v>
      </c>
      <c r="B122">
        <v>2024</v>
      </c>
      <c r="C122" t="s">
        <v>2390</v>
      </c>
      <c r="D122" t="s">
        <v>11</v>
      </c>
      <c r="E122" t="s">
        <v>11</v>
      </c>
      <c r="F122" t="s">
        <v>2384</v>
      </c>
      <c r="G122">
        <v>0.65904515073304304</v>
      </c>
      <c r="H122">
        <v>50.756530957085303</v>
      </c>
      <c r="I122">
        <v>0</v>
      </c>
      <c r="J122">
        <v>50.756530957085303</v>
      </c>
      <c r="K122">
        <v>6.20820531990526</v>
      </c>
      <c r="L122">
        <v>92.536981258551293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5.0354548359545395E-7</v>
      </c>
      <c r="V122">
        <v>7.8676393399152201E-7</v>
      </c>
      <c r="W122">
        <v>1.29030941758697E-6</v>
      </c>
      <c r="X122">
        <v>0</v>
      </c>
      <c r="Y122">
        <v>0</v>
      </c>
      <c r="Z122">
        <v>0</v>
      </c>
      <c r="AA122">
        <v>0</v>
      </c>
      <c r="AB122">
        <v>2.0141819343818099E-6</v>
      </c>
      <c r="AC122">
        <v>2.2478969542614899E-6</v>
      </c>
      <c r="AD122">
        <v>4.2620788886433104E-6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 t="e">
        <f t="shared" si="1"/>
        <v>#DIV/0!</v>
      </c>
    </row>
    <row r="123" spans="1:69" x14ac:dyDescent="0.25">
      <c r="A123" t="s">
        <v>12</v>
      </c>
      <c r="B123">
        <v>2024</v>
      </c>
      <c r="C123" t="s">
        <v>2390</v>
      </c>
      <c r="D123" t="s">
        <v>11</v>
      </c>
      <c r="E123" t="s">
        <v>11</v>
      </c>
      <c r="F123" t="s">
        <v>2382</v>
      </c>
      <c r="G123">
        <v>10.808231843225901</v>
      </c>
      <c r="H123">
        <v>664.17362539861995</v>
      </c>
      <c r="I123">
        <v>664.17362539861995</v>
      </c>
      <c r="J123">
        <v>0</v>
      </c>
      <c r="K123">
        <v>101.813543963188</v>
      </c>
      <c r="L123">
        <v>0</v>
      </c>
      <c r="M123">
        <v>3.1252192514174399E-4</v>
      </c>
      <c r="N123">
        <v>1.4189529136106801E-4</v>
      </c>
      <c r="O123">
        <v>0</v>
      </c>
      <c r="P123">
        <v>4.54417216502813E-4</v>
      </c>
      <c r="Q123">
        <v>1.12956883391764E-6</v>
      </c>
      <c r="R123">
        <v>3.4697196155594903E-7</v>
      </c>
      <c r="S123">
        <v>0</v>
      </c>
      <c r="T123">
        <v>1.4765407954735899E-6</v>
      </c>
      <c r="U123">
        <v>6.5891348972502703E-6</v>
      </c>
      <c r="V123">
        <v>2.0590542636861098E-5</v>
      </c>
      <c r="W123">
        <v>2.8656218329585E-5</v>
      </c>
      <c r="X123">
        <v>1.2285091697352399E-6</v>
      </c>
      <c r="Y123">
        <v>3.7736366621778403E-7</v>
      </c>
      <c r="Z123">
        <v>0</v>
      </c>
      <c r="AA123">
        <v>1.60587283595303E-6</v>
      </c>
      <c r="AB123">
        <v>2.6356539589001101E-5</v>
      </c>
      <c r="AC123">
        <v>5.88301218196034E-5</v>
      </c>
      <c r="AD123">
        <v>8.6792534244557507E-5</v>
      </c>
      <c r="AE123">
        <v>0.95799103314510203</v>
      </c>
      <c r="AF123">
        <v>0.110285559705844</v>
      </c>
      <c r="AG123">
        <v>0</v>
      </c>
      <c r="AH123">
        <v>1.0682765928509399</v>
      </c>
      <c r="AI123">
        <v>7.7552034086191403E-4</v>
      </c>
      <c r="AJ123">
        <v>3.9573299470656699E-4</v>
      </c>
      <c r="AK123">
        <v>0</v>
      </c>
      <c r="AL123">
        <v>1.17125333556848E-3</v>
      </c>
      <c r="AM123">
        <v>1.9529273904281299E-4</v>
      </c>
      <c r="AN123">
        <v>2.2482432806405799E-5</v>
      </c>
      <c r="AO123">
        <v>0</v>
      </c>
      <c r="AP123">
        <v>2.1777517184921901E-4</v>
      </c>
      <c r="AQ123">
        <v>1.10806554642782E-5</v>
      </c>
      <c r="AR123">
        <v>5.6542436595757504E-6</v>
      </c>
      <c r="AS123">
        <v>0</v>
      </c>
      <c r="AT123">
        <v>1.6734899123853901E-5</v>
      </c>
      <c r="AU123">
        <v>0</v>
      </c>
      <c r="AV123">
        <v>0</v>
      </c>
      <c r="AW123">
        <v>0</v>
      </c>
      <c r="AX123">
        <v>1.6734899123853901E-5</v>
      </c>
      <c r="AY123">
        <v>7.9147539030558595E-4</v>
      </c>
      <c r="AZ123">
        <v>4.0387454711255299E-4</v>
      </c>
      <c r="BA123">
        <v>0</v>
      </c>
      <c r="BB123">
        <v>1.1953499374181399E-3</v>
      </c>
      <c r="BC123">
        <v>0</v>
      </c>
      <c r="BD123">
        <v>0</v>
      </c>
      <c r="BE123">
        <v>0</v>
      </c>
      <c r="BF123">
        <v>1.1953499374181399E-3</v>
      </c>
      <c r="BG123">
        <v>5.5518976508122098E-3</v>
      </c>
      <c r="BH123">
        <v>6.5001361735684898E-4</v>
      </c>
      <c r="BI123">
        <v>0</v>
      </c>
      <c r="BJ123">
        <v>6.2019112681690599E-3</v>
      </c>
      <c r="BK123">
        <v>0</v>
      </c>
      <c r="BL123">
        <v>0</v>
      </c>
      <c r="BM123">
        <v>0</v>
      </c>
      <c r="BN123">
        <v>0</v>
      </c>
      <c r="BO123">
        <v>7.7605344325858301E-4</v>
      </c>
      <c r="BP123">
        <v>0.12347648079627099</v>
      </c>
      <c r="BQ123">
        <f t="shared" si="1"/>
        <v>18.795598568163626</v>
      </c>
    </row>
    <row r="124" spans="1:69" x14ac:dyDescent="0.25">
      <c r="A124" t="s">
        <v>12</v>
      </c>
      <c r="B124">
        <v>2024</v>
      </c>
      <c r="C124" t="s">
        <v>2389</v>
      </c>
      <c r="D124" t="s">
        <v>11</v>
      </c>
      <c r="E124" t="s">
        <v>11</v>
      </c>
      <c r="F124" t="s">
        <v>10</v>
      </c>
      <c r="G124">
        <v>1583.8612147940401</v>
      </c>
      <c r="H124">
        <v>92493.248245693307</v>
      </c>
      <c r="I124">
        <v>92493.248245693307</v>
      </c>
      <c r="J124">
        <v>0</v>
      </c>
      <c r="K124">
        <v>14919.972643359901</v>
      </c>
      <c r="L124">
        <v>0</v>
      </c>
      <c r="M124">
        <v>0.13916408825397</v>
      </c>
      <c r="N124">
        <v>3.86865068234096E-2</v>
      </c>
      <c r="O124">
        <v>5.2106451578927501E-2</v>
      </c>
      <c r="P124">
        <v>0.22995704665630701</v>
      </c>
      <c r="Q124">
        <v>1.69476088249039E-3</v>
      </c>
      <c r="R124">
        <v>2.6418751836457302E-5</v>
      </c>
      <c r="S124">
        <v>0</v>
      </c>
      <c r="T124">
        <v>1.7211796343268499E-3</v>
      </c>
      <c r="U124">
        <v>9.1760718352818297E-4</v>
      </c>
      <c r="V124">
        <v>2.86797992485293E-3</v>
      </c>
      <c r="W124">
        <v>5.5067667427079704E-3</v>
      </c>
      <c r="X124">
        <v>1.77139044920657E-3</v>
      </c>
      <c r="Y124">
        <v>2.7613290563026901E-5</v>
      </c>
      <c r="Z124">
        <v>0</v>
      </c>
      <c r="AA124">
        <v>1.7990037397695999E-3</v>
      </c>
      <c r="AB124">
        <v>3.6704287341127301E-3</v>
      </c>
      <c r="AC124">
        <v>8.1942283567226597E-3</v>
      </c>
      <c r="AD124">
        <v>1.3663660830605001E-2</v>
      </c>
      <c r="AE124">
        <v>168.01373468370099</v>
      </c>
      <c r="AF124">
        <v>7.9506590163025797</v>
      </c>
      <c r="AG124">
        <v>0</v>
      </c>
      <c r="AH124">
        <v>175.964393700004</v>
      </c>
      <c r="AI124">
        <v>6.38488744990978E-5</v>
      </c>
      <c r="AJ124">
        <v>1.52780648151234E-4</v>
      </c>
      <c r="AK124">
        <v>0</v>
      </c>
      <c r="AL124">
        <v>2.1662952265033201E-4</v>
      </c>
      <c r="AM124">
        <v>2.6470632321187099E-2</v>
      </c>
      <c r="AN124">
        <v>1.2526295658380599E-3</v>
      </c>
      <c r="AO124">
        <v>0</v>
      </c>
      <c r="AP124">
        <v>2.7723261887025199E-2</v>
      </c>
      <c r="AQ124">
        <v>1.37464875921282E-3</v>
      </c>
      <c r="AR124">
        <v>3.28932545891303E-3</v>
      </c>
      <c r="AS124">
        <v>0</v>
      </c>
      <c r="AT124">
        <v>4.6639742181258503E-3</v>
      </c>
      <c r="AU124">
        <v>0</v>
      </c>
      <c r="AV124">
        <v>0</v>
      </c>
      <c r="AW124">
        <v>0</v>
      </c>
      <c r="AX124">
        <v>4.6639742181258503E-3</v>
      </c>
      <c r="AY124">
        <v>1.5649329723287401E-3</v>
      </c>
      <c r="AZ124">
        <v>3.74464664727962E-3</v>
      </c>
      <c r="BA124">
        <v>0</v>
      </c>
      <c r="BB124">
        <v>5.3095796196083699E-3</v>
      </c>
      <c r="BC124">
        <v>0</v>
      </c>
      <c r="BD124">
        <v>0</v>
      </c>
      <c r="BE124">
        <v>0</v>
      </c>
      <c r="BF124">
        <v>5.3095796196083699E-3</v>
      </c>
      <c r="BG124">
        <v>8.5608722335823798E-3</v>
      </c>
      <c r="BH124">
        <v>4.7273710244394702E-2</v>
      </c>
      <c r="BI124">
        <v>0</v>
      </c>
      <c r="BJ124">
        <v>5.5834582477977103E-2</v>
      </c>
      <c r="BK124">
        <v>1.5909895970673701E-3</v>
      </c>
      <c r="BL124">
        <v>7.5287986476705904E-5</v>
      </c>
      <c r="BM124">
        <v>0</v>
      </c>
      <c r="BN124">
        <v>1.6662775835440801E-3</v>
      </c>
      <c r="BO124">
        <v>2.2419357190167799E-2</v>
      </c>
      <c r="BP124">
        <v>15.7188295843631</v>
      </c>
      <c r="BQ124">
        <f t="shared" si="1"/>
        <v>23.35274228577757</v>
      </c>
    </row>
    <row r="125" spans="1:69" x14ac:dyDescent="0.25">
      <c r="A125" t="s">
        <v>12</v>
      </c>
      <c r="B125">
        <v>2024</v>
      </c>
      <c r="C125" t="s">
        <v>2389</v>
      </c>
      <c r="D125" t="s">
        <v>11</v>
      </c>
      <c r="E125" t="s">
        <v>11</v>
      </c>
      <c r="F125" t="s">
        <v>2384</v>
      </c>
      <c r="G125">
        <v>5.69016717437436</v>
      </c>
      <c r="H125">
        <v>396.28562922702702</v>
      </c>
      <c r="I125">
        <v>0</v>
      </c>
      <c r="J125">
        <v>396.28562922702702</v>
      </c>
      <c r="K125">
        <v>53.601374782606499</v>
      </c>
      <c r="L125">
        <v>722.48979891513898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3.9314711830832199E-6</v>
      </c>
      <c r="V125">
        <v>6.1427216312039603E-6</v>
      </c>
      <c r="W125">
        <v>1.00741928142871E-5</v>
      </c>
      <c r="X125">
        <v>0</v>
      </c>
      <c r="Y125">
        <v>0</v>
      </c>
      <c r="Z125">
        <v>0</v>
      </c>
      <c r="AA125">
        <v>0</v>
      </c>
      <c r="AB125">
        <v>1.5725884732332802E-5</v>
      </c>
      <c r="AC125">
        <v>1.7550633232011301E-5</v>
      </c>
      <c r="AD125">
        <v>3.3276517964344197E-5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 t="e">
        <f t="shared" si="1"/>
        <v>#DIV/0!</v>
      </c>
    </row>
    <row r="126" spans="1:69" x14ac:dyDescent="0.25">
      <c r="A126" t="s">
        <v>12</v>
      </c>
      <c r="B126">
        <v>2024</v>
      </c>
      <c r="C126" t="s">
        <v>2389</v>
      </c>
      <c r="D126" t="s">
        <v>11</v>
      </c>
      <c r="E126" t="s">
        <v>11</v>
      </c>
      <c r="F126" t="s">
        <v>2382</v>
      </c>
      <c r="G126">
        <v>50.496773369421398</v>
      </c>
      <c r="H126">
        <v>2924.2463343488598</v>
      </c>
      <c r="I126">
        <v>2924.2463343488598</v>
      </c>
      <c r="J126">
        <v>0</v>
      </c>
      <c r="K126">
        <v>475.67960513994899</v>
      </c>
      <c r="L126">
        <v>0</v>
      </c>
      <c r="M126">
        <v>1.3631258175978299E-3</v>
      </c>
      <c r="N126">
        <v>6.6278844079758798E-4</v>
      </c>
      <c r="O126">
        <v>0</v>
      </c>
      <c r="P126">
        <v>2.0259142583954198E-3</v>
      </c>
      <c r="Q126">
        <v>4.9805706914534403E-6</v>
      </c>
      <c r="R126">
        <v>1.62479066315264E-6</v>
      </c>
      <c r="S126">
        <v>0</v>
      </c>
      <c r="T126">
        <v>6.6053613546060797E-6</v>
      </c>
      <c r="U126">
        <v>2.90108682925341E-5</v>
      </c>
      <c r="V126">
        <v>9.06579956358451E-5</v>
      </c>
      <c r="W126">
        <v>1.2627422528298501E-4</v>
      </c>
      <c r="X126">
        <v>5.4168250585880404E-6</v>
      </c>
      <c r="Y126">
        <v>1.76710809350178E-6</v>
      </c>
      <c r="Z126">
        <v>0</v>
      </c>
      <c r="AA126">
        <v>7.1839331520898303E-6</v>
      </c>
      <c r="AB126">
        <v>1.1604347317013599E-4</v>
      </c>
      <c r="AC126">
        <v>2.59022844673843E-4</v>
      </c>
      <c r="AD126">
        <v>3.8225025099606898E-4</v>
      </c>
      <c r="AE126">
        <v>4.0996127128066604</v>
      </c>
      <c r="AF126">
        <v>0.50430912138529305</v>
      </c>
      <c r="AG126">
        <v>0</v>
      </c>
      <c r="AH126">
        <v>4.6039218341919499</v>
      </c>
      <c r="AI126">
        <v>3.4139910659871601E-3</v>
      </c>
      <c r="AJ126">
        <v>1.84696787104583E-3</v>
      </c>
      <c r="AK126">
        <v>0</v>
      </c>
      <c r="AL126">
        <v>5.2609589370330003E-3</v>
      </c>
      <c r="AM126">
        <v>8.3573287014001196E-4</v>
      </c>
      <c r="AN126">
        <v>1.02806713457714E-4</v>
      </c>
      <c r="AO126">
        <v>0</v>
      </c>
      <c r="AP126">
        <v>9.3853958359772598E-4</v>
      </c>
      <c r="AQ126">
        <v>4.8779196066326499E-5</v>
      </c>
      <c r="AR126">
        <v>2.63895265595546E-5</v>
      </c>
      <c r="AS126">
        <v>0</v>
      </c>
      <c r="AT126">
        <v>7.5168722625881099E-5</v>
      </c>
      <c r="AU126">
        <v>0</v>
      </c>
      <c r="AV126">
        <v>0</v>
      </c>
      <c r="AW126">
        <v>0</v>
      </c>
      <c r="AX126">
        <v>7.5168722625881099E-5</v>
      </c>
      <c r="AY126">
        <v>3.4842282904518902E-3</v>
      </c>
      <c r="AZ126">
        <v>1.88496618282533E-3</v>
      </c>
      <c r="BA126">
        <v>0</v>
      </c>
      <c r="BB126">
        <v>5.3691944732772202E-3</v>
      </c>
      <c r="BC126">
        <v>0</v>
      </c>
      <c r="BD126">
        <v>0</v>
      </c>
      <c r="BE126">
        <v>0</v>
      </c>
      <c r="BF126">
        <v>5.3691944732772202E-3</v>
      </c>
      <c r="BG126">
        <v>2.4435317245092601E-2</v>
      </c>
      <c r="BH126">
        <v>3.0452821087600199E-3</v>
      </c>
      <c r="BI126">
        <v>0</v>
      </c>
      <c r="BJ126">
        <v>2.7480599353852601E-2</v>
      </c>
      <c r="BK126">
        <v>0</v>
      </c>
      <c r="BL126">
        <v>0</v>
      </c>
      <c r="BM126">
        <v>0</v>
      </c>
      <c r="BN126">
        <v>0</v>
      </c>
      <c r="BO126">
        <v>3.4168346196308298E-3</v>
      </c>
      <c r="BP126">
        <v>0.532143145091314</v>
      </c>
      <c r="BQ126">
        <f t="shared" si="1"/>
        <v>18.81795881819798</v>
      </c>
    </row>
    <row r="127" spans="1:69" x14ac:dyDescent="0.25">
      <c r="A127" t="s">
        <v>12</v>
      </c>
      <c r="B127">
        <v>2024</v>
      </c>
      <c r="C127" t="s">
        <v>2388</v>
      </c>
      <c r="D127" t="s">
        <v>11</v>
      </c>
      <c r="E127" t="s">
        <v>11</v>
      </c>
      <c r="F127" t="s">
        <v>10</v>
      </c>
      <c r="G127">
        <v>273.54257983161801</v>
      </c>
      <c r="H127">
        <v>17732.326755987098</v>
      </c>
      <c r="I127">
        <v>17732.326755987098</v>
      </c>
      <c r="J127">
        <v>0</v>
      </c>
      <c r="K127">
        <v>1258.2958672254399</v>
      </c>
      <c r="L127">
        <v>0</v>
      </c>
      <c r="M127">
        <v>0.14502313349488999</v>
      </c>
      <c r="N127">
        <v>1.1519328395667199E-2</v>
      </c>
      <c r="O127">
        <v>4.3707786619881697E-3</v>
      </c>
      <c r="P127">
        <v>0.16091324055254599</v>
      </c>
      <c r="Q127">
        <v>2.9946660561023001E-4</v>
      </c>
      <c r="R127">
        <v>1.5404139191554001E-5</v>
      </c>
      <c r="S127">
        <v>0</v>
      </c>
      <c r="T127">
        <v>3.1487074480178402E-4</v>
      </c>
      <c r="U127">
        <v>1.75918899173618E-4</v>
      </c>
      <c r="V127">
        <v>1.4366710098816799E-3</v>
      </c>
      <c r="W127">
        <v>1.92746065385708E-3</v>
      </c>
      <c r="X127">
        <v>3.1300715665254301E-4</v>
      </c>
      <c r="Y127">
        <v>1.61006460109407E-5</v>
      </c>
      <c r="Z127">
        <v>0</v>
      </c>
      <c r="AA127">
        <v>3.29107802663484E-4</v>
      </c>
      <c r="AB127">
        <v>7.0367559669447396E-4</v>
      </c>
      <c r="AC127">
        <v>4.1047743139476702E-3</v>
      </c>
      <c r="AD127">
        <v>5.1375577133056299E-3</v>
      </c>
      <c r="AE127">
        <v>76.632127904497906</v>
      </c>
      <c r="AF127">
        <v>1.1004572131838799</v>
      </c>
      <c r="AG127">
        <v>0</v>
      </c>
      <c r="AH127">
        <v>77.732585117681793</v>
      </c>
      <c r="AI127">
        <v>2.3098121085567799E-5</v>
      </c>
      <c r="AJ127">
        <v>1.57295522530603E-5</v>
      </c>
      <c r="AK127">
        <v>0</v>
      </c>
      <c r="AL127">
        <v>3.8827673338628099E-5</v>
      </c>
      <c r="AM127">
        <v>1.2073422958956E-2</v>
      </c>
      <c r="AN127">
        <v>1.7337748208637701E-4</v>
      </c>
      <c r="AO127">
        <v>0</v>
      </c>
      <c r="AP127">
        <v>1.2246800441042399E-2</v>
      </c>
      <c r="AQ127">
        <v>4.9729621296412999E-4</v>
      </c>
      <c r="AR127">
        <v>3.3865294662238898E-4</v>
      </c>
      <c r="AS127">
        <v>0</v>
      </c>
      <c r="AT127">
        <v>8.3594915958652E-4</v>
      </c>
      <c r="AU127">
        <v>0</v>
      </c>
      <c r="AV127">
        <v>0</v>
      </c>
      <c r="AW127">
        <v>0</v>
      </c>
      <c r="AX127">
        <v>8.3594915958652E-4</v>
      </c>
      <c r="AY127">
        <v>5.6613388363107003E-4</v>
      </c>
      <c r="AZ127">
        <v>3.8553060103087403E-4</v>
      </c>
      <c r="BA127">
        <v>0</v>
      </c>
      <c r="BB127">
        <v>9.51664484661944E-4</v>
      </c>
      <c r="BC127">
        <v>0</v>
      </c>
      <c r="BD127">
        <v>0</v>
      </c>
      <c r="BE127">
        <v>0</v>
      </c>
      <c r="BF127">
        <v>9.51664484661944E-4</v>
      </c>
      <c r="BG127">
        <v>1.235531801107E-3</v>
      </c>
      <c r="BH127">
        <v>3.5714112831569198E-3</v>
      </c>
      <c r="BI127">
        <v>0</v>
      </c>
      <c r="BJ127">
        <v>4.8069430842639198E-3</v>
      </c>
      <c r="BK127">
        <v>7.2566042607598801E-4</v>
      </c>
      <c r="BL127">
        <v>1.04206717473982E-5</v>
      </c>
      <c r="BM127">
        <v>0</v>
      </c>
      <c r="BN127">
        <v>7.3608109782338695E-4</v>
      </c>
      <c r="BO127">
        <v>2.4065775509413499E-3</v>
      </c>
      <c r="BP127">
        <v>6.9438210363169199</v>
      </c>
      <c r="BQ127">
        <f t="shared" si="1"/>
        <v>23.352285292530144</v>
      </c>
    </row>
    <row r="128" spans="1:69" x14ac:dyDescent="0.25">
      <c r="A128" t="s">
        <v>12</v>
      </c>
      <c r="B128">
        <v>2024</v>
      </c>
      <c r="C128" t="s">
        <v>2388</v>
      </c>
      <c r="D128" t="s">
        <v>11</v>
      </c>
      <c r="E128" t="s">
        <v>11</v>
      </c>
      <c r="F128" t="s">
        <v>2384</v>
      </c>
      <c r="G128">
        <v>1.3649297895790899</v>
      </c>
      <c r="H128">
        <v>82.463735117816199</v>
      </c>
      <c r="I128">
        <v>0</v>
      </c>
      <c r="J128">
        <v>82.463735117816199</v>
      </c>
      <c r="K128">
        <v>6.2786770320638299</v>
      </c>
      <c r="L128">
        <v>153.42796052921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8.1810637167358599E-7</v>
      </c>
      <c r="V128">
        <v>3.34060101758297E-6</v>
      </c>
      <c r="W128">
        <v>4.1587073892565596E-6</v>
      </c>
      <c r="X128">
        <v>0</v>
      </c>
      <c r="Y128">
        <v>0</v>
      </c>
      <c r="Z128">
        <v>0</v>
      </c>
      <c r="AA128">
        <v>0</v>
      </c>
      <c r="AB128">
        <v>3.2724254866943401E-6</v>
      </c>
      <c r="AC128">
        <v>9.54457433595135E-6</v>
      </c>
      <c r="AD128">
        <v>1.28169998226457E-5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 t="e">
        <f t="shared" si="1"/>
        <v>#DIV/0!</v>
      </c>
    </row>
    <row r="129" spans="1:69" x14ac:dyDescent="0.25">
      <c r="A129" t="s">
        <v>12</v>
      </c>
      <c r="B129">
        <v>2024</v>
      </c>
      <c r="C129" t="s">
        <v>2388</v>
      </c>
      <c r="D129" t="s">
        <v>11</v>
      </c>
      <c r="E129" t="s">
        <v>11</v>
      </c>
      <c r="F129" t="s">
        <v>2382</v>
      </c>
      <c r="G129">
        <v>139.09303113560199</v>
      </c>
      <c r="H129">
        <v>8993.0889258073894</v>
      </c>
      <c r="I129">
        <v>8993.0889258073894</v>
      </c>
      <c r="J129">
        <v>0</v>
      </c>
      <c r="K129">
        <v>639.82794322377299</v>
      </c>
      <c r="L129">
        <v>0</v>
      </c>
      <c r="M129">
        <v>2.5417357560068601E-2</v>
      </c>
      <c r="N129">
        <v>8.2068088111791004E-4</v>
      </c>
      <c r="O129">
        <v>0</v>
      </c>
      <c r="P129">
        <v>2.6238038441186599E-2</v>
      </c>
      <c r="Q129">
        <v>4.7531046989399001E-5</v>
      </c>
      <c r="R129">
        <v>1.30551792318535E-7</v>
      </c>
      <c r="S129">
        <v>0</v>
      </c>
      <c r="T129">
        <v>4.7661598781717497E-5</v>
      </c>
      <c r="U129">
        <v>8.9218652789845005E-5</v>
      </c>
      <c r="V129">
        <v>7.2861899776537596E-4</v>
      </c>
      <c r="W129">
        <v>8.6549924933693905E-4</v>
      </c>
      <c r="X129">
        <v>5.1694350375331697E-5</v>
      </c>
      <c r="Y129">
        <v>1.4198698580629001E-7</v>
      </c>
      <c r="Z129">
        <v>0</v>
      </c>
      <c r="AA129">
        <v>5.1836337361137998E-5</v>
      </c>
      <c r="AB129">
        <v>3.5687461115938002E-4</v>
      </c>
      <c r="AC129">
        <v>2.0817685650439299E-3</v>
      </c>
      <c r="AD129">
        <v>2.49047951356445E-3</v>
      </c>
      <c r="AE129">
        <v>16.117949259347601</v>
      </c>
      <c r="AF129">
        <v>1.0361140117818299</v>
      </c>
      <c r="AG129">
        <v>0</v>
      </c>
      <c r="AH129">
        <v>17.154063271129399</v>
      </c>
      <c r="AI129">
        <v>3.3734019400166002E-2</v>
      </c>
      <c r="AJ129">
        <v>1.85210582654404E-3</v>
      </c>
      <c r="AK129">
        <v>0</v>
      </c>
      <c r="AL129">
        <v>3.5586125226710098E-2</v>
      </c>
      <c r="AM129">
        <v>3.2857493960846999E-3</v>
      </c>
      <c r="AN129">
        <v>2.1121861929877101E-4</v>
      </c>
      <c r="AO129">
        <v>0</v>
      </c>
      <c r="AP129">
        <v>3.4969680153834701E-3</v>
      </c>
      <c r="AQ129">
        <v>1.51204016130321E-3</v>
      </c>
      <c r="AR129">
        <v>5.4178104350837001E-5</v>
      </c>
      <c r="AS129">
        <v>0</v>
      </c>
      <c r="AT129">
        <v>1.5662182656540401E-3</v>
      </c>
      <c r="AU129">
        <v>0</v>
      </c>
      <c r="AV129">
        <v>0</v>
      </c>
      <c r="AW129">
        <v>0</v>
      </c>
      <c r="AX129">
        <v>1.5662182656540401E-3</v>
      </c>
      <c r="AY129">
        <v>3.5601600220978802E-2</v>
      </c>
      <c r="AZ129">
        <v>1.92178642948982E-3</v>
      </c>
      <c r="BA129">
        <v>0</v>
      </c>
      <c r="BB129">
        <v>3.7523386650468601E-2</v>
      </c>
      <c r="BC129">
        <v>0</v>
      </c>
      <c r="BD129">
        <v>0</v>
      </c>
      <c r="BE129">
        <v>0</v>
      </c>
      <c r="BF129">
        <v>3.7523386650468601E-2</v>
      </c>
      <c r="BG129">
        <v>0.17030304973931801</v>
      </c>
      <c r="BH129">
        <v>8.6292795819997402E-3</v>
      </c>
      <c r="BI129">
        <v>0</v>
      </c>
      <c r="BJ129">
        <v>0.178932329321318</v>
      </c>
      <c r="BK129">
        <v>0</v>
      </c>
      <c r="BL129">
        <v>0</v>
      </c>
      <c r="BM129">
        <v>0</v>
      </c>
      <c r="BN129">
        <v>0</v>
      </c>
      <c r="BO129">
        <v>5.7496448651248502E-3</v>
      </c>
      <c r="BP129">
        <v>1.9827480806472799</v>
      </c>
      <c r="BQ129">
        <f t="shared" si="1"/>
        <v>19.267791626779406</v>
      </c>
    </row>
    <row r="130" spans="1:69" x14ac:dyDescent="0.25">
      <c r="A130" t="s">
        <v>12</v>
      </c>
      <c r="B130">
        <v>2024</v>
      </c>
      <c r="C130" t="s">
        <v>2387</v>
      </c>
      <c r="D130" t="s">
        <v>11</v>
      </c>
      <c r="E130" t="s">
        <v>11</v>
      </c>
      <c r="F130" t="s">
        <v>10</v>
      </c>
      <c r="G130">
        <v>9760.9641798397497</v>
      </c>
      <c r="H130">
        <v>756821.95547593804</v>
      </c>
      <c r="I130">
        <v>756821.95547593804</v>
      </c>
      <c r="J130">
        <v>0</v>
      </c>
      <c r="K130">
        <v>141826.80953307101</v>
      </c>
      <c r="L130">
        <v>0</v>
      </c>
      <c r="M130">
        <v>1.33781981052433</v>
      </c>
      <c r="N130">
        <v>0.438281812666244</v>
      </c>
      <c r="O130">
        <v>0.61440869944955401</v>
      </c>
      <c r="P130">
        <v>2.3905103226401301</v>
      </c>
      <c r="Q130">
        <v>1.8491896851121799E-2</v>
      </c>
      <c r="R130">
        <v>1.7108663925589199E-4</v>
      </c>
      <c r="S130">
        <v>0</v>
      </c>
      <c r="T130">
        <v>1.8662983490377701E-2</v>
      </c>
      <c r="U130">
        <v>7.5082806168803298E-3</v>
      </c>
      <c r="V130">
        <v>2.2885469923308699E-2</v>
      </c>
      <c r="W130">
        <v>4.9056734030566797E-2</v>
      </c>
      <c r="X130">
        <v>1.9328018370152598E-2</v>
      </c>
      <c r="Y130">
        <v>1.7882241789732501E-4</v>
      </c>
      <c r="Z130">
        <v>0</v>
      </c>
      <c r="AA130">
        <v>1.9506840788049901E-2</v>
      </c>
      <c r="AB130">
        <v>3.0033122467521298E-2</v>
      </c>
      <c r="AC130">
        <v>6.5387056923739403E-2</v>
      </c>
      <c r="AD130">
        <v>0.11492702017931</v>
      </c>
      <c r="AE130">
        <v>1297.45772779346</v>
      </c>
      <c r="AF130">
        <v>89.969757647582398</v>
      </c>
      <c r="AG130">
        <v>0</v>
      </c>
      <c r="AH130">
        <v>1387.4274854410501</v>
      </c>
      <c r="AI130">
        <v>5.6952314401661098E-4</v>
      </c>
      <c r="AJ130">
        <v>1.72628037137104E-3</v>
      </c>
      <c r="AK130">
        <v>0</v>
      </c>
      <c r="AL130">
        <v>2.29580351538766E-3</v>
      </c>
      <c r="AM130">
        <v>0.204414993389439</v>
      </c>
      <c r="AN130">
        <v>1.41747719565839E-2</v>
      </c>
      <c r="AO130">
        <v>0</v>
      </c>
      <c r="AP130">
        <v>0.21858976534602301</v>
      </c>
      <c r="AQ130">
        <v>1.22616771150207E-2</v>
      </c>
      <c r="AR130">
        <v>3.7166343011922502E-2</v>
      </c>
      <c r="AS130">
        <v>0</v>
      </c>
      <c r="AT130">
        <v>4.9428020126943299E-2</v>
      </c>
      <c r="AU130">
        <v>0</v>
      </c>
      <c r="AV130">
        <v>0</v>
      </c>
      <c r="AW130">
        <v>0</v>
      </c>
      <c r="AX130">
        <v>4.9428020126943299E-2</v>
      </c>
      <c r="AY130">
        <v>1.39589860207876E-2</v>
      </c>
      <c r="AZ130">
        <v>4.23110523691477E-2</v>
      </c>
      <c r="BA130">
        <v>0</v>
      </c>
      <c r="BB130">
        <v>5.6270038389935398E-2</v>
      </c>
      <c r="BC130">
        <v>0</v>
      </c>
      <c r="BD130">
        <v>0</v>
      </c>
      <c r="BE130">
        <v>0</v>
      </c>
      <c r="BF130">
        <v>5.6270038389935398E-2</v>
      </c>
      <c r="BG130">
        <v>6.8293827165275003E-2</v>
      </c>
      <c r="BH130">
        <v>0.54396106553660295</v>
      </c>
      <c r="BI130">
        <v>0</v>
      </c>
      <c r="BJ130">
        <v>0.61225489270187805</v>
      </c>
      <c r="BK130">
        <v>1.2286148816584399E-2</v>
      </c>
      <c r="BL130">
        <v>8.5195980398537297E-4</v>
      </c>
      <c r="BM130">
        <v>0</v>
      </c>
      <c r="BN130">
        <v>1.3138108620569799E-2</v>
      </c>
      <c r="BO130">
        <v>0.18351666418358401</v>
      </c>
      <c r="BP130">
        <v>123.938347672145</v>
      </c>
      <c r="BQ130">
        <f t="shared" si="1"/>
        <v>23.353006901895991</v>
      </c>
    </row>
    <row r="131" spans="1:69" x14ac:dyDescent="0.25">
      <c r="A131" t="s">
        <v>12</v>
      </c>
      <c r="B131">
        <v>2024</v>
      </c>
      <c r="C131" t="s">
        <v>2387</v>
      </c>
      <c r="D131" t="s">
        <v>11</v>
      </c>
      <c r="E131" t="s">
        <v>11</v>
      </c>
      <c r="F131" t="s">
        <v>2384</v>
      </c>
      <c r="G131">
        <v>24.838171634189099</v>
      </c>
      <c r="H131">
        <v>1907.1128592822199</v>
      </c>
      <c r="I131">
        <v>0</v>
      </c>
      <c r="J131">
        <v>1907.1128592822199</v>
      </c>
      <c r="K131">
        <v>360.89863384476803</v>
      </c>
      <c r="L131">
        <v>3472.2990723800099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1.89200886839325E-5</v>
      </c>
      <c r="V131">
        <v>2.8833345931725898E-5</v>
      </c>
      <c r="W131">
        <v>4.7753434615658399E-5</v>
      </c>
      <c r="X131">
        <v>0</v>
      </c>
      <c r="Y131">
        <v>0</v>
      </c>
      <c r="Z131">
        <v>0</v>
      </c>
      <c r="AA131">
        <v>0</v>
      </c>
      <c r="AB131">
        <v>7.5680354735730001E-5</v>
      </c>
      <c r="AC131">
        <v>8.2380988376359795E-5</v>
      </c>
      <c r="AD131">
        <v>1.5806134311208901E-4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 t="e">
        <f t="shared" si="1"/>
        <v>#DIV/0!</v>
      </c>
    </row>
    <row r="132" spans="1:69" x14ac:dyDescent="0.25">
      <c r="A132" t="s">
        <v>12</v>
      </c>
      <c r="B132">
        <v>2024</v>
      </c>
      <c r="C132" t="s">
        <v>2387</v>
      </c>
      <c r="D132" t="s">
        <v>11</v>
      </c>
      <c r="E132" t="s">
        <v>11</v>
      </c>
      <c r="F132" t="s">
        <v>2382</v>
      </c>
      <c r="G132">
        <v>167.92517835106099</v>
      </c>
      <c r="H132">
        <v>12921.3079011315</v>
      </c>
      <c r="I132">
        <v>12921.3079011315</v>
      </c>
      <c r="J132">
        <v>0</v>
      </c>
      <c r="K132">
        <v>2439.9528414409201</v>
      </c>
      <c r="L132">
        <v>0</v>
      </c>
      <c r="M132">
        <v>5.3698282756685601E-3</v>
      </c>
      <c r="N132">
        <v>4.0659749144756696E-3</v>
      </c>
      <c r="O132">
        <v>0</v>
      </c>
      <c r="P132">
        <v>9.4358031901442298E-3</v>
      </c>
      <c r="Q132">
        <v>2.1982937231667001E-5</v>
      </c>
      <c r="R132">
        <v>1.05860576133139E-5</v>
      </c>
      <c r="S132">
        <v>0</v>
      </c>
      <c r="T132">
        <v>3.2568994844980901E-5</v>
      </c>
      <c r="U132">
        <v>1.2818973466196301E-4</v>
      </c>
      <c r="V132">
        <v>3.9071077829914101E-4</v>
      </c>
      <c r="W132">
        <v>5.5146950780608599E-4</v>
      </c>
      <c r="X132">
        <v>2.3908449981886E-5</v>
      </c>
      <c r="Y132">
        <v>1.15133035356479E-5</v>
      </c>
      <c r="Z132">
        <v>0</v>
      </c>
      <c r="AA132">
        <v>3.5421753517533998E-5</v>
      </c>
      <c r="AB132">
        <v>5.1275893864785203E-4</v>
      </c>
      <c r="AC132">
        <v>1.11631650942611E-3</v>
      </c>
      <c r="AD132">
        <v>1.6644972015915E-3</v>
      </c>
      <c r="AE132">
        <v>17.590579921024599</v>
      </c>
      <c r="AF132">
        <v>3.1084793429172302</v>
      </c>
      <c r="AG132">
        <v>0</v>
      </c>
      <c r="AH132">
        <v>20.699059263941901</v>
      </c>
      <c r="AI132">
        <v>1.43544772870218E-2</v>
      </c>
      <c r="AJ132">
        <v>1.1105698971658E-2</v>
      </c>
      <c r="AK132">
        <v>0</v>
      </c>
      <c r="AL132">
        <v>2.5460176258679801E-2</v>
      </c>
      <c r="AM132">
        <v>3.5859547900466502E-3</v>
      </c>
      <c r="AN132">
        <v>6.3368384894304304E-4</v>
      </c>
      <c r="AO132">
        <v>0</v>
      </c>
      <c r="AP132">
        <v>4.2196386389896897E-3</v>
      </c>
      <c r="AQ132">
        <v>2.0509715710424699E-4</v>
      </c>
      <c r="AR132">
        <v>1.5867852525720201E-4</v>
      </c>
      <c r="AS132">
        <v>0</v>
      </c>
      <c r="AT132">
        <v>3.6377568236145E-4</v>
      </c>
      <c r="AU132">
        <v>0</v>
      </c>
      <c r="AV132">
        <v>0</v>
      </c>
      <c r="AW132">
        <v>0</v>
      </c>
      <c r="AX132">
        <v>3.6377568236145E-4</v>
      </c>
      <c r="AY132">
        <v>1.46497969360176E-2</v>
      </c>
      <c r="AZ132">
        <v>1.13341803755144E-2</v>
      </c>
      <c r="BA132">
        <v>0</v>
      </c>
      <c r="BB132">
        <v>2.5983977311532101E-2</v>
      </c>
      <c r="BC132">
        <v>0</v>
      </c>
      <c r="BD132">
        <v>0</v>
      </c>
      <c r="BE132">
        <v>0</v>
      </c>
      <c r="BF132">
        <v>2.5983977311532101E-2</v>
      </c>
      <c r="BG132">
        <v>9.7719457444027796E-2</v>
      </c>
      <c r="BH132">
        <v>2.00544113878963E-2</v>
      </c>
      <c r="BI132">
        <v>0</v>
      </c>
      <c r="BJ132">
        <v>0.11777386883192401</v>
      </c>
      <c r="BK132">
        <v>0</v>
      </c>
      <c r="BL132">
        <v>0</v>
      </c>
      <c r="BM132">
        <v>0</v>
      </c>
      <c r="BN132">
        <v>0</v>
      </c>
      <c r="BO132">
        <v>1.50978977553635E-2</v>
      </c>
      <c r="BP132">
        <v>2.3924955491949098</v>
      </c>
      <c r="BQ132">
        <f t="shared" si="1"/>
        <v>18.860105748238734</v>
      </c>
    </row>
    <row r="133" spans="1:69" x14ac:dyDescent="0.25">
      <c r="A133" t="s">
        <v>12</v>
      </c>
      <c r="B133">
        <v>2024</v>
      </c>
      <c r="C133" t="s">
        <v>2386</v>
      </c>
      <c r="D133" t="s">
        <v>11</v>
      </c>
      <c r="E133" t="s">
        <v>11</v>
      </c>
      <c r="F133" t="s">
        <v>10</v>
      </c>
      <c r="G133">
        <v>84.485000603231001</v>
      </c>
      <c r="H133">
        <v>3838.8412776492301</v>
      </c>
      <c r="I133">
        <v>3838.8412776492301</v>
      </c>
      <c r="J133">
        <v>0</v>
      </c>
      <c r="K133">
        <v>1081.40800772135</v>
      </c>
      <c r="L133">
        <v>0</v>
      </c>
      <c r="M133">
        <v>5.5116986730653498E-3</v>
      </c>
      <c r="N133">
        <v>6.99693167893094E-4</v>
      </c>
      <c r="O133">
        <v>5.9346567749021997E-3</v>
      </c>
      <c r="P133">
        <v>1.21460486158606E-2</v>
      </c>
      <c r="Q133">
        <v>2.90474323996952E-5</v>
      </c>
      <c r="R133">
        <v>2.4095020962068702E-7</v>
      </c>
      <c r="S133">
        <v>0</v>
      </c>
      <c r="T133">
        <v>2.9288382609315902E-5</v>
      </c>
      <c r="U133">
        <v>3.8084383449746798E-5</v>
      </c>
      <c r="V133">
        <v>1.3937804068714599E-4</v>
      </c>
      <c r="W133">
        <v>2.0675080674620899E-4</v>
      </c>
      <c r="X133">
        <v>3.0360828396737201E-5</v>
      </c>
      <c r="Y133">
        <v>2.5184490889901401E-7</v>
      </c>
      <c r="Z133">
        <v>0</v>
      </c>
      <c r="AA133">
        <v>3.0612673305636198E-5</v>
      </c>
      <c r="AB133">
        <v>1.52337533798987E-4</v>
      </c>
      <c r="AC133">
        <v>3.9822297339184699E-4</v>
      </c>
      <c r="AD133">
        <v>5.81173180496471E-4</v>
      </c>
      <c r="AE133">
        <v>7.24484940014373</v>
      </c>
      <c r="AF133">
        <v>0.14819989539672701</v>
      </c>
      <c r="AG133">
        <v>0</v>
      </c>
      <c r="AH133">
        <v>7.3930492955404601</v>
      </c>
      <c r="AI133">
        <v>2.50818368007865E-6</v>
      </c>
      <c r="AJ133">
        <v>2.7484407402379E-6</v>
      </c>
      <c r="AK133">
        <v>0</v>
      </c>
      <c r="AL133">
        <v>5.2566244203165598E-6</v>
      </c>
      <c r="AM133">
        <v>1.1414289733789301E-3</v>
      </c>
      <c r="AN133">
        <v>2.3348953872553299E-5</v>
      </c>
      <c r="AO133">
        <v>0</v>
      </c>
      <c r="AP133">
        <v>1.1647779272514799E-3</v>
      </c>
      <c r="AQ133">
        <v>5.4000506833471098E-5</v>
      </c>
      <c r="AR133">
        <v>5.9173175454978397E-5</v>
      </c>
      <c r="AS133">
        <v>0</v>
      </c>
      <c r="AT133">
        <v>1.13173682288449E-4</v>
      </c>
      <c r="AU133">
        <v>0</v>
      </c>
      <c r="AV133">
        <v>0</v>
      </c>
      <c r="AW133">
        <v>0</v>
      </c>
      <c r="AX133">
        <v>1.13173682288449E-4</v>
      </c>
      <c r="AY133">
        <v>6.1475466441736706E-5</v>
      </c>
      <c r="AZ133">
        <v>6.7364155917121296E-5</v>
      </c>
      <c r="BA133">
        <v>0</v>
      </c>
      <c r="BB133">
        <v>1.28839622358858E-4</v>
      </c>
      <c r="BC133">
        <v>0</v>
      </c>
      <c r="BD133">
        <v>0</v>
      </c>
      <c r="BE133">
        <v>0</v>
      </c>
      <c r="BF133">
        <v>1.28839622358858E-4</v>
      </c>
      <c r="BG133">
        <v>5.6121664018519697E-4</v>
      </c>
      <c r="BH133">
        <v>8.7235583093723396E-4</v>
      </c>
      <c r="BI133">
        <v>0</v>
      </c>
      <c r="BJ133">
        <v>1.4335724711224301E-3</v>
      </c>
      <c r="BK133">
        <v>6.8604391478160906E-5</v>
      </c>
      <c r="BL133">
        <v>1.4033643874802701E-6</v>
      </c>
      <c r="BM133">
        <v>0</v>
      </c>
      <c r="BN133">
        <v>7.0007755865641097E-5</v>
      </c>
      <c r="BO133">
        <v>9.3095132865163299E-4</v>
      </c>
      <c r="BP133">
        <v>0.66041816495852601</v>
      </c>
      <c r="BQ133">
        <f t="shared" si="1"/>
        <v>23.352417418699257</v>
      </c>
    </row>
    <row r="134" spans="1:69" x14ac:dyDescent="0.25">
      <c r="A134" t="s">
        <v>12</v>
      </c>
      <c r="B134">
        <v>2024</v>
      </c>
      <c r="C134" t="s">
        <v>2386</v>
      </c>
      <c r="D134" t="s">
        <v>11</v>
      </c>
      <c r="E134" t="s">
        <v>11</v>
      </c>
      <c r="F134" t="s">
        <v>2384</v>
      </c>
      <c r="G134">
        <v>0.18989897446042101</v>
      </c>
      <c r="H134">
        <v>12.0004695078288</v>
      </c>
      <c r="I134">
        <v>0</v>
      </c>
      <c r="J134">
        <v>12.0004695078288</v>
      </c>
      <c r="K134">
        <v>2.4307068730934001</v>
      </c>
      <c r="L134">
        <v>22.594463388753901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1.1905427947076199E-7</v>
      </c>
      <c r="V134">
        <v>2.1785244639643801E-7</v>
      </c>
      <c r="W134">
        <v>3.369067258672E-7</v>
      </c>
      <c r="X134">
        <v>0</v>
      </c>
      <c r="Y134">
        <v>0</v>
      </c>
      <c r="Z134">
        <v>0</v>
      </c>
      <c r="AA134">
        <v>0</v>
      </c>
      <c r="AB134">
        <v>4.7621711788304798E-7</v>
      </c>
      <c r="AC134">
        <v>6.2243556113268199E-7</v>
      </c>
      <c r="AD134">
        <v>1.09865267901573E-6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 t="e">
        <f t="shared" si="1"/>
        <v>#DIV/0!</v>
      </c>
    </row>
    <row r="135" spans="1:69" x14ac:dyDescent="0.25">
      <c r="A135" t="s">
        <v>12</v>
      </c>
      <c r="B135">
        <v>2024</v>
      </c>
      <c r="C135" t="s">
        <v>2385</v>
      </c>
      <c r="D135" t="s">
        <v>11</v>
      </c>
      <c r="E135" t="s">
        <v>11</v>
      </c>
      <c r="F135" t="s">
        <v>13</v>
      </c>
      <c r="G135">
        <v>3.9953799588752101</v>
      </c>
      <c r="H135">
        <v>204.52751771671399</v>
      </c>
      <c r="I135">
        <v>204.52751771671399</v>
      </c>
      <c r="J135">
        <v>0</v>
      </c>
      <c r="K135">
        <v>79.939562217175194</v>
      </c>
      <c r="L135">
        <v>0</v>
      </c>
      <c r="M135">
        <v>3.4471327204034399E-3</v>
      </c>
      <c r="N135">
        <v>0</v>
      </c>
      <c r="O135">
        <v>1.72601138127348E-4</v>
      </c>
      <c r="P135">
        <v>3.6197338585307898E-3</v>
      </c>
      <c r="Q135">
        <v>9.6256609825045595E-7</v>
      </c>
      <c r="R135">
        <v>0</v>
      </c>
      <c r="S135">
        <v>1.75921889518809E-7</v>
      </c>
      <c r="T135">
        <v>1.13848798776926E-6</v>
      </c>
      <c r="U135">
        <v>1.1272649809002899E-6</v>
      </c>
      <c r="V135">
        <v>8.2798337083209008E-6</v>
      </c>
      <c r="W135">
        <v>1.05455866769904E-5</v>
      </c>
      <c r="X135">
        <v>1.0468784572212901E-6</v>
      </c>
      <c r="Y135">
        <v>0</v>
      </c>
      <c r="Z135">
        <v>1.9133110611899701E-7</v>
      </c>
      <c r="AA135">
        <v>1.2382095633402899E-6</v>
      </c>
      <c r="AB135">
        <v>4.5090599236011801E-6</v>
      </c>
      <c r="AC135">
        <v>2.3656667738059699E-5</v>
      </c>
      <c r="AD135">
        <v>2.9403937225001102E-5</v>
      </c>
      <c r="AE135">
        <v>0.55624590840016797</v>
      </c>
      <c r="AF135">
        <v>0</v>
      </c>
      <c r="AG135">
        <v>4.75135312334133E-3</v>
      </c>
      <c r="AH135">
        <v>0.56099726152350904</v>
      </c>
      <c r="AI135">
        <v>9.6588686059064299E-5</v>
      </c>
      <c r="AJ135">
        <v>0</v>
      </c>
      <c r="AK135">
        <v>6.3595326891197703E-9</v>
      </c>
      <c r="AL135">
        <v>9.6595045591753401E-5</v>
      </c>
      <c r="AM135">
        <v>7.8733042285145498E-5</v>
      </c>
      <c r="AN135">
        <v>0</v>
      </c>
      <c r="AO135">
        <v>3.2838179403451402E-6</v>
      </c>
      <c r="AP135">
        <v>8.2016860225490702E-5</v>
      </c>
      <c r="AQ135">
        <v>6.0810005720072699E-4</v>
      </c>
      <c r="AR135">
        <v>0</v>
      </c>
      <c r="AS135">
        <v>3.4568776229275101E-8</v>
      </c>
      <c r="AT135">
        <v>6.0813462597695601E-4</v>
      </c>
      <c r="AU135">
        <v>4.6677697396477299E-5</v>
      </c>
      <c r="AV135">
        <v>1.1270018521839501E-5</v>
      </c>
      <c r="AW135">
        <v>1.00285625148249E-4</v>
      </c>
      <c r="AX135">
        <v>7.6636796704352295E-4</v>
      </c>
      <c r="AY135">
        <v>8.8733817600282396E-4</v>
      </c>
      <c r="AZ135">
        <v>0</v>
      </c>
      <c r="BA135">
        <v>3.7848458722999203E-8</v>
      </c>
      <c r="BB135">
        <v>8.8737602446154699E-4</v>
      </c>
      <c r="BC135">
        <v>4.6677697396477299E-5</v>
      </c>
      <c r="BD135">
        <v>1.12700185218348E-5</v>
      </c>
      <c r="BE135">
        <v>1.00285625148208E-4</v>
      </c>
      <c r="BF135">
        <v>1.0456093655280599E-3</v>
      </c>
      <c r="BG135">
        <v>2.1864413136498E-2</v>
      </c>
      <c r="BH135">
        <v>0</v>
      </c>
      <c r="BI135">
        <v>3.0937183412382097E-4</v>
      </c>
      <c r="BJ135">
        <v>2.21737849706218E-2</v>
      </c>
      <c r="BK135">
        <v>5.4990571065383899E-6</v>
      </c>
      <c r="BL135">
        <v>0</v>
      </c>
      <c r="BM135">
        <v>4.69719628747127E-8</v>
      </c>
      <c r="BN135">
        <v>5.5460290694131101E-6</v>
      </c>
      <c r="BO135">
        <v>9.0580135100851103E-6</v>
      </c>
      <c r="BP135">
        <v>5.9156460277867501E-2</v>
      </c>
      <c r="BQ135">
        <f t="shared" si="1"/>
        <v>19.814669890123628</v>
      </c>
    </row>
    <row r="136" spans="1:69" x14ac:dyDescent="0.25">
      <c r="A136" t="s">
        <v>12</v>
      </c>
      <c r="B136">
        <v>2024</v>
      </c>
      <c r="C136" t="s">
        <v>2385</v>
      </c>
      <c r="D136" t="s">
        <v>11</v>
      </c>
      <c r="E136" t="s">
        <v>11</v>
      </c>
      <c r="F136" t="s">
        <v>2384</v>
      </c>
      <c r="G136">
        <v>3.0288581402972701E-3</v>
      </c>
      <c r="H136">
        <v>1.1280395581484499</v>
      </c>
      <c r="I136">
        <v>0</v>
      </c>
      <c r="J136">
        <v>1.1280395581484499</v>
      </c>
      <c r="K136">
        <v>6.0601393671067802E-2</v>
      </c>
      <c r="L136">
        <v>2.2666376846438299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6.2172538207413597E-9</v>
      </c>
      <c r="V136">
        <v>1.90983224131009E-8</v>
      </c>
      <c r="W136">
        <v>2.5315576233842299E-8</v>
      </c>
      <c r="X136">
        <v>0</v>
      </c>
      <c r="Y136">
        <v>0</v>
      </c>
      <c r="Z136">
        <v>0</v>
      </c>
      <c r="AA136">
        <v>0</v>
      </c>
      <c r="AB136">
        <v>2.4869015282965399E-8</v>
      </c>
      <c r="AC136">
        <v>5.45666354660028E-8</v>
      </c>
      <c r="AD136">
        <v>7.9435650748968196E-8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 t="e">
        <f t="shared" si="1"/>
        <v>#DIV/0!</v>
      </c>
    </row>
    <row r="137" spans="1:69" x14ac:dyDescent="0.25">
      <c r="A137" t="s">
        <v>12</v>
      </c>
      <c r="B137">
        <v>2024</v>
      </c>
      <c r="C137" t="s">
        <v>2383</v>
      </c>
      <c r="D137" t="s">
        <v>11</v>
      </c>
      <c r="E137" t="s">
        <v>11</v>
      </c>
      <c r="F137" t="s">
        <v>13</v>
      </c>
      <c r="G137">
        <v>52.730101595759002</v>
      </c>
      <c r="H137">
        <v>3989.2316239553802</v>
      </c>
      <c r="I137">
        <v>3989.2316239553802</v>
      </c>
      <c r="J137">
        <v>0</v>
      </c>
      <c r="K137">
        <v>210.92040638303601</v>
      </c>
      <c r="L137">
        <v>0</v>
      </c>
      <c r="M137">
        <v>5.74387575398773E-4</v>
      </c>
      <c r="N137">
        <v>0</v>
      </c>
      <c r="O137">
        <v>1.7537608432915901E-4</v>
      </c>
      <c r="P137">
        <v>7.4976365972793198E-4</v>
      </c>
      <c r="Q137">
        <v>5.0762946570584296E-6</v>
      </c>
      <c r="R137">
        <v>0</v>
      </c>
      <c r="S137">
        <v>1.6938253696995999E-7</v>
      </c>
      <c r="T137">
        <v>5.2456771940283897E-6</v>
      </c>
      <c r="U137">
        <v>1.160921325185E-5</v>
      </c>
      <c r="V137">
        <v>1.5877257699004201E-4</v>
      </c>
      <c r="W137">
        <v>1.7562746743592E-4</v>
      </c>
      <c r="X137">
        <v>5.5209336051219403E-6</v>
      </c>
      <c r="Y137">
        <v>0</v>
      </c>
      <c r="Z137">
        <v>1.84218963565869E-7</v>
      </c>
      <c r="AA137">
        <v>5.7051525686878102E-6</v>
      </c>
      <c r="AB137">
        <v>4.6436853007399999E-5</v>
      </c>
      <c r="AC137">
        <v>4.5363593425726398E-4</v>
      </c>
      <c r="AD137">
        <v>5.0577793983335199E-4</v>
      </c>
      <c r="AE137">
        <v>6.5857843006725201</v>
      </c>
      <c r="AF137">
        <v>0</v>
      </c>
      <c r="AG137">
        <v>2.1862809139708402E-2</v>
      </c>
      <c r="AH137">
        <v>6.6076471098122296</v>
      </c>
      <c r="AI137">
        <v>1.4264186138173599E-5</v>
      </c>
      <c r="AJ137">
        <v>0</v>
      </c>
      <c r="AK137">
        <v>2.3109549569681899E-5</v>
      </c>
      <c r="AL137">
        <v>3.7373735707855602E-5</v>
      </c>
      <c r="AM137">
        <v>5.8122537800252198E-5</v>
      </c>
      <c r="AN137">
        <v>0</v>
      </c>
      <c r="AO137">
        <v>1.8576521262999801E-5</v>
      </c>
      <c r="AP137">
        <v>7.6699059063252002E-5</v>
      </c>
      <c r="AQ137">
        <v>4.5092083307314099E-5</v>
      </c>
      <c r="AR137">
        <v>0</v>
      </c>
      <c r="AS137">
        <v>9.4456407873653395E-5</v>
      </c>
      <c r="AT137">
        <v>1.3954849118096699E-4</v>
      </c>
      <c r="AU137">
        <v>2.9721010095690799E-5</v>
      </c>
      <c r="AV137">
        <v>8.5660539551883708E-6</v>
      </c>
      <c r="AW137">
        <v>2.1924044582940301E-5</v>
      </c>
      <c r="AX137">
        <v>1.9975959981478699E-4</v>
      </c>
      <c r="AY137">
        <v>6.5798262112105006E-5</v>
      </c>
      <c r="AZ137">
        <v>0</v>
      </c>
      <c r="BA137">
        <v>1.03417877185399E-4</v>
      </c>
      <c r="BB137">
        <v>1.6921613929750401E-4</v>
      </c>
      <c r="BC137">
        <v>2.9721010095690799E-5</v>
      </c>
      <c r="BD137">
        <v>8.5660539551848505E-6</v>
      </c>
      <c r="BE137">
        <v>2.1924044582931299E-5</v>
      </c>
      <c r="BF137">
        <v>2.2942724793131199E-4</v>
      </c>
      <c r="BG137">
        <v>1.62728279200881E-3</v>
      </c>
      <c r="BH137">
        <v>0</v>
      </c>
      <c r="BI137">
        <v>2.0167425870233702E-3</v>
      </c>
      <c r="BJ137">
        <v>3.6440253790321901E-3</v>
      </c>
      <c r="BK137">
        <v>6.5107182657581604E-5</v>
      </c>
      <c r="BL137">
        <v>0</v>
      </c>
      <c r="BM137">
        <v>2.1613612640205801E-7</v>
      </c>
      <c r="BN137">
        <v>6.5323318783983705E-5</v>
      </c>
      <c r="BO137">
        <v>1.9788182463112999E-4</v>
      </c>
      <c r="BP137">
        <v>0.69676813166652596</v>
      </c>
      <c r="BQ137">
        <f t="shared" si="1"/>
        <v>19.029655286633268</v>
      </c>
    </row>
    <row r="138" spans="1:69" x14ac:dyDescent="0.25">
      <c r="A138" t="s">
        <v>12</v>
      </c>
      <c r="B138">
        <v>2024</v>
      </c>
      <c r="C138" t="s">
        <v>2383</v>
      </c>
      <c r="D138" t="s">
        <v>11</v>
      </c>
      <c r="E138" t="s">
        <v>11</v>
      </c>
      <c r="F138" t="s">
        <v>10</v>
      </c>
      <c r="G138">
        <v>28.173067994037201</v>
      </c>
      <c r="H138">
        <v>2554.51068896884</v>
      </c>
      <c r="I138">
        <v>2554.51068896884</v>
      </c>
      <c r="J138">
        <v>0</v>
      </c>
      <c r="K138">
        <v>112.692271976149</v>
      </c>
      <c r="L138">
        <v>0</v>
      </c>
      <c r="M138">
        <v>6.1726990413189103E-4</v>
      </c>
      <c r="N138">
        <v>0</v>
      </c>
      <c r="O138">
        <v>0</v>
      </c>
      <c r="P138">
        <v>6.1726990413189103E-4</v>
      </c>
      <c r="Q138">
        <v>1.31674344215225E-5</v>
      </c>
      <c r="R138">
        <v>0</v>
      </c>
      <c r="S138">
        <v>0</v>
      </c>
      <c r="T138">
        <v>1.31674344215225E-5</v>
      </c>
      <c r="U138">
        <v>1.3572313254373401E-5</v>
      </c>
      <c r="V138">
        <v>1.0605775898019401E-4</v>
      </c>
      <c r="W138">
        <v>1.3279750665609E-4</v>
      </c>
      <c r="X138">
        <v>1.37628073764389E-5</v>
      </c>
      <c r="Y138">
        <v>0</v>
      </c>
      <c r="Z138">
        <v>0</v>
      </c>
      <c r="AA138">
        <v>1.37628073764389E-5</v>
      </c>
      <c r="AB138">
        <v>5.42892530174939E-5</v>
      </c>
      <c r="AC138">
        <v>3.0302216851484201E-4</v>
      </c>
      <c r="AD138">
        <v>3.7107422890877398E-4</v>
      </c>
      <c r="AE138">
        <v>2.63796691829174</v>
      </c>
      <c r="AF138">
        <v>0</v>
      </c>
      <c r="AG138">
        <v>0</v>
      </c>
      <c r="AH138">
        <v>2.63796691829174</v>
      </c>
      <c r="AI138">
        <v>6.6633273488545503E-6</v>
      </c>
      <c r="AJ138">
        <v>0</v>
      </c>
      <c r="AK138">
        <v>0</v>
      </c>
      <c r="AL138">
        <v>6.6633273488545503E-6</v>
      </c>
      <c r="AM138">
        <v>4.1561276226026098E-4</v>
      </c>
      <c r="AN138">
        <v>0</v>
      </c>
      <c r="AO138">
        <v>0</v>
      </c>
      <c r="AP138">
        <v>4.1561276226026098E-4</v>
      </c>
      <c r="AQ138">
        <v>1.4345915533563601E-4</v>
      </c>
      <c r="AR138">
        <v>0</v>
      </c>
      <c r="AS138">
        <v>0</v>
      </c>
      <c r="AT138">
        <v>1.4345915533563601E-4</v>
      </c>
      <c r="AU138">
        <v>0</v>
      </c>
      <c r="AV138">
        <v>0</v>
      </c>
      <c r="AW138">
        <v>0</v>
      </c>
      <c r="AX138">
        <v>1.4345915533563601E-4</v>
      </c>
      <c r="AY138">
        <v>1.6331762834429701E-4</v>
      </c>
      <c r="AZ138">
        <v>0</v>
      </c>
      <c r="BA138">
        <v>0</v>
      </c>
      <c r="BB138">
        <v>1.6331762834429701E-4</v>
      </c>
      <c r="BC138">
        <v>0</v>
      </c>
      <c r="BD138">
        <v>0</v>
      </c>
      <c r="BE138">
        <v>0</v>
      </c>
      <c r="BF138">
        <v>1.6331762834429701E-4</v>
      </c>
      <c r="BG138">
        <v>1.5956512691520401E-4</v>
      </c>
      <c r="BH138">
        <v>0</v>
      </c>
      <c r="BI138">
        <v>0</v>
      </c>
      <c r="BJ138">
        <v>1.5956512691520401E-4</v>
      </c>
      <c r="BK138">
        <v>2.49960771722883E-5</v>
      </c>
      <c r="BL138">
        <v>0</v>
      </c>
      <c r="BM138">
        <v>0</v>
      </c>
      <c r="BN138">
        <v>2.49960771722883E-5</v>
      </c>
      <c r="BO138">
        <v>5.9855750527090703E-4</v>
      </c>
      <c r="BP138">
        <v>0.23564853983192199</v>
      </c>
      <c r="BQ138">
        <f t="shared" si="1"/>
        <v>23.35355110780176</v>
      </c>
    </row>
    <row r="139" spans="1:69" x14ac:dyDescent="0.25">
      <c r="A139" t="s">
        <v>12</v>
      </c>
      <c r="B139">
        <v>2024</v>
      </c>
      <c r="C139" t="s">
        <v>2383</v>
      </c>
      <c r="D139" t="s">
        <v>11</v>
      </c>
      <c r="E139" t="s">
        <v>11</v>
      </c>
      <c r="F139" t="s">
        <v>2384</v>
      </c>
      <c r="G139">
        <v>1.4068239367903199</v>
      </c>
      <c r="H139">
        <v>163.14748158885101</v>
      </c>
      <c r="I139">
        <v>0</v>
      </c>
      <c r="J139">
        <v>163.14748158885101</v>
      </c>
      <c r="K139">
        <v>5.6272957471612797</v>
      </c>
      <c r="L139">
        <v>284.57194724359999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1.3619593151503599E-6</v>
      </c>
      <c r="V139">
        <v>3.4512230075665501E-6</v>
      </c>
      <c r="W139">
        <v>4.8131823227169202E-6</v>
      </c>
      <c r="X139">
        <v>0</v>
      </c>
      <c r="Y139">
        <v>0</v>
      </c>
      <c r="Z139">
        <v>0</v>
      </c>
      <c r="AA139">
        <v>0</v>
      </c>
      <c r="AB139">
        <v>5.4478372606014601E-6</v>
      </c>
      <c r="AC139">
        <v>9.8606371644758798E-6</v>
      </c>
      <c r="AD139">
        <v>1.5308474425077301E-5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 t="e">
        <f t="shared" ref="BQ139:BQ140" si="2">(AH139+AL139*27.9+AP139*273)/(BP139*1000)*2000</f>
        <v>#DIV/0!</v>
      </c>
    </row>
    <row r="140" spans="1:69" x14ac:dyDescent="0.25">
      <c r="A140" t="s">
        <v>12</v>
      </c>
      <c r="B140">
        <v>2024</v>
      </c>
      <c r="C140" t="s">
        <v>2383</v>
      </c>
      <c r="D140" t="s">
        <v>11</v>
      </c>
      <c r="E140" t="s">
        <v>11</v>
      </c>
      <c r="F140" t="s">
        <v>2382</v>
      </c>
      <c r="G140">
        <v>166.06519164017701</v>
      </c>
      <c r="H140">
        <v>18554.367484123399</v>
      </c>
      <c r="I140">
        <v>18554.367484123399</v>
      </c>
      <c r="J140">
        <v>0</v>
      </c>
      <c r="K140">
        <v>664.26076656071098</v>
      </c>
      <c r="L140">
        <v>0</v>
      </c>
      <c r="M140">
        <v>7.5756839937209204E-3</v>
      </c>
      <c r="N140">
        <v>0</v>
      </c>
      <c r="O140">
        <v>0</v>
      </c>
      <c r="P140">
        <v>7.5756839937209204E-3</v>
      </c>
      <c r="Q140">
        <v>4.2679009618874201E-5</v>
      </c>
      <c r="R140">
        <v>0</v>
      </c>
      <c r="S140">
        <v>0</v>
      </c>
      <c r="T140">
        <v>4.2679009618874201E-5</v>
      </c>
      <c r="U140">
        <v>1.51649936544819E-4</v>
      </c>
      <c r="V140">
        <v>7.6997274372162504E-4</v>
      </c>
      <c r="W140">
        <v>9.6430168988531802E-4</v>
      </c>
      <c r="X140">
        <v>4.4608765048539301E-5</v>
      </c>
      <c r="Y140">
        <v>0</v>
      </c>
      <c r="Z140">
        <v>0</v>
      </c>
      <c r="AA140">
        <v>4.4608765048539301E-5</v>
      </c>
      <c r="AB140">
        <v>6.0659974617927601E-4</v>
      </c>
      <c r="AC140">
        <v>2.1999221249189198E-3</v>
      </c>
      <c r="AD140">
        <v>2.8511306361467398E-3</v>
      </c>
      <c r="AE140">
        <v>27.073903831376999</v>
      </c>
      <c r="AF140">
        <v>0</v>
      </c>
      <c r="AG140">
        <v>0</v>
      </c>
      <c r="AH140">
        <v>27.073903831376999</v>
      </c>
      <c r="AI140">
        <v>3.41196389251852E-2</v>
      </c>
      <c r="AJ140">
        <v>0</v>
      </c>
      <c r="AK140">
        <v>0</v>
      </c>
      <c r="AL140">
        <v>3.41196389251852E-2</v>
      </c>
      <c r="AM140">
        <v>5.51919240668976E-3</v>
      </c>
      <c r="AN140">
        <v>0</v>
      </c>
      <c r="AO140">
        <v>0</v>
      </c>
      <c r="AP140">
        <v>5.51919240668976E-3</v>
      </c>
      <c r="AQ140">
        <v>7.3768927235440501E-4</v>
      </c>
      <c r="AR140">
        <v>0</v>
      </c>
      <c r="AS140">
        <v>0</v>
      </c>
      <c r="AT140">
        <v>7.3768927235440501E-4</v>
      </c>
      <c r="AU140">
        <v>0</v>
      </c>
      <c r="AV140">
        <v>0</v>
      </c>
      <c r="AW140">
        <v>0</v>
      </c>
      <c r="AX140">
        <v>7.3768927235440501E-4</v>
      </c>
      <c r="AY140">
        <v>3.5094736815771299E-2</v>
      </c>
      <c r="AZ140">
        <v>0</v>
      </c>
      <c r="BA140">
        <v>0</v>
      </c>
      <c r="BB140">
        <v>3.5094736815771299E-2</v>
      </c>
      <c r="BC140">
        <v>0</v>
      </c>
      <c r="BD140">
        <v>0</v>
      </c>
      <c r="BE140">
        <v>0</v>
      </c>
      <c r="BF140">
        <v>3.5094736815771299E-2</v>
      </c>
      <c r="BG140">
        <v>0.49163451510622402</v>
      </c>
      <c r="BH140">
        <v>0</v>
      </c>
      <c r="BI140">
        <v>0</v>
      </c>
      <c r="BJ140">
        <v>0.49163451510622402</v>
      </c>
      <c r="BK140">
        <v>0</v>
      </c>
      <c r="BL140">
        <v>0</v>
      </c>
      <c r="BM140">
        <v>0</v>
      </c>
      <c r="BN140">
        <v>0</v>
      </c>
      <c r="BO140">
        <v>1.9839102784547501E-2</v>
      </c>
      <c r="BP140">
        <v>3.1293303521642799</v>
      </c>
      <c r="BQ140">
        <f t="shared" si="2"/>
        <v>18.874697114666027</v>
      </c>
    </row>
  </sheetData>
  <autoFilter ref="A9:BP140" xr:uid="{38CD7464-2D03-47B6-9972-9CFCAF251F80}"/>
  <conditionalFormatting sqref="A9:BQ9">
    <cfRule type="containsText" dxfId="0" priority="1" operator="containsText" text="totex">
      <formula>NOT(ISERROR(SEARCH("totex",A9)))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1AF38-64F4-423A-B3E6-F55AE542D9FA}">
  <sheetPr>
    <tabColor rgb="FFFFFF00"/>
  </sheetPr>
  <dimension ref="A3:AG620"/>
  <sheetViews>
    <sheetView workbookViewId="0">
      <selection activeCell="O4" sqref="O4"/>
    </sheetView>
  </sheetViews>
  <sheetFormatPr defaultRowHeight="15" x14ac:dyDescent="0.25"/>
  <cols>
    <col min="3" max="3" width="14.28515625" bestFit="1" customWidth="1"/>
    <col min="4" max="4" width="14.28515625" customWidth="1"/>
    <col min="5" max="5" width="39.5703125" bestFit="1" customWidth="1"/>
    <col min="6" max="6" width="10.140625" bestFit="1" customWidth="1"/>
    <col min="7" max="10" width="10.140625" customWidth="1"/>
    <col min="12" max="12" width="10.140625" style="8" bestFit="1" customWidth="1"/>
    <col min="13" max="13" width="10.140625" style="8" customWidth="1"/>
    <col min="14" max="14" width="17.28515625" bestFit="1" customWidth="1"/>
    <col min="16" max="16" width="14.28515625" bestFit="1" customWidth="1"/>
    <col min="17" max="17" width="12.7109375" bestFit="1" customWidth="1"/>
    <col min="23" max="23" width="13.85546875" style="3" bestFit="1" customWidth="1"/>
    <col min="26" max="26" width="13.85546875" bestFit="1" customWidth="1"/>
    <col min="29" max="29" width="14.85546875" bestFit="1" customWidth="1"/>
    <col min="32" max="32" width="11.85546875" bestFit="1" customWidth="1"/>
  </cols>
  <sheetData>
    <row r="3" spans="1:33" x14ac:dyDescent="0.25">
      <c r="A3" t="s">
        <v>2260</v>
      </c>
      <c r="B3" t="s">
        <v>18</v>
      </c>
      <c r="C3" t="s">
        <v>2235</v>
      </c>
      <c r="D3" t="s">
        <v>2258</v>
      </c>
      <c r="E3" t="s">
        <v>2257</v>
      </c>
      <c r="F3" s="5" t="s">
        <v>2261</v>
      </c>
      <c r="AC3" t="s">
        <v>2301</v>
      </c>
      <c r="AF3" t="s">
        <v>2302</v>
      </c>
      <c r="AG3" t="s">
        <v>2303</v>
      </c>
    </row>
    <row r="4" spans="1:33" x14ac:dyDescent="0.25">
      <c r="A4">
        <v>1</v>
      </c>
      <c r="B4">
        <v>2019</v>
      </c>
      <c r="C4" s="6">
        <f>SUM('[2]Building Energy'!$P$4:$P$5)/SUM('[2]Building Energy'!$I$4:$I$5)*1000</f>
        <v>9.1018901668438637E-2</v>
      </c>
      <c r="D4" s="16">
        <f>DATE(B4,1,365/2)</f>
        <v>43647</v>
      </c>
      <c r="E4" s="12">
        <f>SLOPE(C4:C5,B4:B5)/12</f>
        <v>-1.1803018153685965E-4</v>
      </c>
      <c r="F4" s="39">
        <f>INDEX(P:P,MATCH(D4,L:L,0))/C4</f>
        <v>0.99870323439007413</v>
      </c>
      <c r="G4" s="6"/>
      <c r="H4" s="6">
        <f>AVERAGE(2019,2045)</f>
        <v>2032</v>
      </c>
      <c r="I4" s="6">
        <f>_xlfn.FORECAST.LINEAR(H4,C4:C7,B4:B7)*2204.62</f>
        <v>121.71050944163866</v>
      </c>
      <c r="J4" s="6"/>
      <c r="L4" t="s">
        <v>2234</v>
      </c>
      <c r="M4" t="s">
        <v>2244</v>
      </c>
      <c r="N4" s="33" t="s">
        <v>2260</v>
      </c>
      <c r="O4" t="s">
        <v>2259</v>
      </c>
      <c r="P4" t="str">
        <f>C3</f>
        <v>MT CO2e / MWh</v>
      </c>
      <c r="X4" s="7"/>
      <c r="AC4" s="4">
        <f>'Proj 2 4 5 Solar'!L21</f>
        <v>0</v>
      </c>
      <c r="AF4" s="13" t="e">
        <f>SUM(R:R)/(SUM(Q:Q)/1000)</f>
        <v>#DIV/0!</v>
      </c>
      <c r="AG4" t="e">
        <f>AF4*2204.62</f>
        <v>#DIV/0!</v>
      </c>
    </row>
    <row r="5" spans="1:33" x14ac:dyDescent="0.25">
      <c r="A5">
        <v>2</v>
      </c>
      <c r="B5">
        <v>2030</v>
      </c>
      <c r="C5" s="6">
        <f>[2]EnergyEFs!$I$87</f>
        <v>7.5438917705573164E-2</v>
      </c>
      <c r="D5" s="16">
        <f t="shared" ref="D5:D7" si="0">DATE(B5,1,365/2)</f>
        <v>47665</v>
      </c>
      <c r="E5" s="12">
        <f t="shared" ref="E5:E6" si="1">SLOPE(C5:C6,B5:B6)/12</f>
        <v>-3.4741606838092887E-4</v>
      </c>
      <c r="F5" s="39">
        <f>INDEX(P:P,MATCH(D5,L:L,0))/C5</f>
        <v>0.99539473684210467</v>
      </c>
      <c r="G5" s="6"/>
      <c r="H5" s="6"/>
      <c r="I5" s="6"/>
      <c r="J5" s="6"/>
      <c r="K5">
        <v>1</v>
      </c>
      <c r="L5" s="16">
        <f>DATE(2019,K5+6,1)</f>
        <v>43647</v>
      </c>
      <c r="M5" s="8">
        <f>YEAR(L5)</f>
        <v>2019</v>
      </c>
      <c r="N5" s="33">
        <f>COUNTIFS(D:D,"&lt;="&amp;L5)</f>
        <v>1</v>
      </c>
      <c r="O5">
        <f>INDEX(E:E,MATCH(N5,A:A,0))</f>
        <v>-1.1803018153685965E-4</v>
      </c>
      <c r="P5" s="6">
        <f>MAX(0,$C$4+SUM($O$5:O5))</f>
        <v>9.0900871486901777E-2</v>
      </c>
      <c r="Q5" s="3"/>
      <c r="R5" s="38"/>
      <c r="X5" s="7"/>
      <c r="AC5" s="25">
        <f>X36</f>
        <v>0</v>
      </c>
    </row>
    <row r="6" spans="1:33" x14ac:dyDescent="0.25">
      <c r="A6">
        <v>3</v>
      </c>
      <c r="B6">
        <v>2040</v>
      </c>
      <c r="C6" s="6">
        <f>[2]EnergyEFs!$I$97</f>
        <v>3.3748989499861694E-2</v>
      </c>
      <c r="D6" s="16">
        <v>51318</v>
      </c>
      <c r="E6" s="12">
        <f t="shared" si="1"/>
        <v>-5.6248315833102821E-4</v>
      </c>
      <c r="F6" s="39">
        <f>INDEX(P:P,MATCH(D6,L:L,0))/C6</f>
        <v>0.98333333333333139</v>
      </c>
      <c r="G6" s="6"/>
      <c r="H6" s="6"/>
      <c r="I6" s="6"/>
      <c r="J6" s="6"/>
      <c r="K6">
        <f>K5+1</f>
        <v>2</v>
      </c>
      <c r="L6" s="16">
        <f t="shared" ref="L6:L69" si="2">DATE(2019,K6+6,1)</f>
        <v>43678</v>
      </c>
      <c r="M6" s="8">
        <f t="shared" ref="M6:M69" si="3">YEAR(L6)</f>
        <v>2019</v>
      </c>
      <c r="N6" s="33">
        <f t="shared" ref="N6:N69" si="4">COUNTIFS(D:D,"&lt;="&amp;L6)</f>
        <v>1</v>
      </c>
      <c r="O6">
        <f t="shared" ref="O6:O69" si="5">INDEX(E:E,MATCH(N6,A:A,0))</f>
        <v>-1.1803018153685965E-4</v>
      </c>
      <c r="P6" s="6">
        <f>MAX(0,$C$4+SUM($O$5:O6))</f>
        <v>9.0782841305364917E-2</v>
      </c>
      <c r="Q6" s="3"/>
      <c r="R6" s="38"/>
      <c r="X6" s="7"/>
      <c r="AC6" t="e">
        <f>AC4/AC5</f>
        <v>#DIV/0!</v>
      </c>
    </row>
    <row r="7" spans="1:33" x14ac:dyDescent="0.25">
      <c r="A7">
        <v>4</v>
      </c>
      <c r="B7">
        <v>2045</v>
      </c>
      <c r="C7" s="6">
        <f>[2]EnergyEFs!$I$102</f>
        <v>0</v>
      </c>
      <c r="D7" s="16">
        <f t="shared" si="0"/>
        <v>53144</v>
      </c>
      <c r="E7" s="12" t="s">
        <v>2</v>
      </c>
      <c r="F7" s="39"/>
      <c r="G7" s="6"/>
      <c r="H7" s="6"/>
      <c r="I7" s="6"/>
      <c r="J7" s="6"/>
      <c r="K7">
        <f t="shared" ref="K7:K70" si="6">K6+1</f>
        <v>3</v>
      </c>
      <c r="L7" s="16">
        <f t="shared" si="2"/>
        <v>43709</v>
      </c>
      <c r="M7" s="8">
        <f t="shared" si="3"/>
        <v>2019</v>
      </c>
      <c r="N7" s="33">
        <f t="shared" si="4"/>
        <v>1</v>
      </c>
      <c r="O7">
        <f t="shared" si="5"/>
        <v>-1.1803018153685965E-4</v>
      </c>
      <c r="P7" s="6">
        <f>MAX(0,$C$4+SUM($O$5:O7))</f>
        <v>9.0664811123828057E-2</v>
      </c>
      <c r="Q7" s="3"/>
      <c r="R7" s="38"/>
      <c r="X7" s="7"/>
    </row>
    <row r="8" spans="1:33" x14ac:dyDescent="0.25">
      <c r="K8">
        <f t="shared" si="6"/>
        <v>4</v>
      </c>
      <c r="L8" s="16">
        <f t="shared" si="2"/>
        <v>43739</v>
      </c>
      <c r="M8" s="8">
        <f t="shared" si="3"/>
        <v>2019</v>
      </c>
      <c r="N8" s="33">
        <f t="shared" si="4"/>
        <v>1</v>
      </c>
      <c r="O8">
        <f t="shared" si="5"/>
        <v>-1.1803018153685965E-4</v>
      </c>
      <c r="P8" s="6">
        <f>MAX(0,$C$4+SUM($O$5:O8))</f>
        <v>9.0546780942291197E-2</v>
      </c>
      <c r="Q8" s="3"/>
      <c r="R8" s="38"/>
      <c r="X8" s="7"/>
    </row>
    <row r="9" spans="1:33" x14ac:dyDescent="0.25">
      <c r="K9">
        <f t="shared" si="6"/>
        <v>5</v>
      </c>
      <c r="L9" s="16">
        <f t="shared" si="2"/>
        <v>43770</v>
      </c>
      <c r="M9" s="8">
        <f t="shared" si="3"/>
        <v>2019</v>
      </c>
      <c r="N9" s="33">
        <f t="shared" si="4"/>
        <v>1</v>
      </c>
      <c r="O9">
        <f t="shared" si="5"/>
        <v>-1.1803018153685965E-4</v>
      </c>
      <c r="P9" s="6">
        <f>MAX(0,$C$4+SUM($O$5:O9))</f>
        <v>9.0428750760754337E-2</v>
      </c>
      <c r="Q9" s="3"/>
      <c r="R9" s="38"/>
      <c r="W9" s="3" t="s">
        <v>2306</v>
      </c>
      <c r="X9" s="7" t="s">
        <v>2305</v>
      </c>
    </row>
    <row r="10" spans="1:33" x14ac:dyDescent="0.25">
      <c r="K10">
        <f t="shared" si="6"/>
        <v>6</v>
      </c>
      <c r="L10" s="16">
        <f t="shared" si="2"/>
        <v>43800</v>
      </c>
      <c r="M10" s="8">
        <f t="shared" si="3"/>
        <v>2019</v>
      </c>
      <c r="N10" s="33">
        <f t="shared" si="4"/>
        <v>1</v>
      </c>
      <c r="O10">
        <f t="shared" si="5"/>
        <v>-1.1803018153685965E-4</v>
      </c>
      <c r="P10" s="6">
        <f>MAX(0,$C$4+SUM($O$5:O10))</f>
        <v>9.0310720579217477E-2</v>
      </c>
      <c r="Q10" s="3"/>
      <c r="R10" s="38"/>
      <c r="V10">
        <v>2025</v>
      </c>
      <c r="W10" s="3">
        <f t="shared" ref="W10:W35" si="7">SUMIFS(Q:Q,$M:$M,$V10)</f>
        <v>0</v>
      </c>
      <c r="X10" s="7">
        <f t="shared" ref="X10:X35" si="8">SUMIFS(R:R,$M:$M,$V10)</f>
        <v>0</v>
      </c>
      <c r="Y10" s="14"/>
      <c r="Z10" s="14"/>
    </row>
    <row r="11" spans="1:33" x14ac:dyDescent="0.25">
      <c r="K11">
        <f t="shared" si="6"/>
        <v>7</v>
      </c>
      <c r="L11" s="16">
        <f t="shared" si="2"/>
        <v>43831</v>
      </c>
      <c r="M11" s="8">
        <f t="shared" si="3"/>
        <v>2020</v>
      </c>
      <c r="N11" s="33">
        <f t="shared" si="4"/>
        <v>1</v>
      </c>
      <c r="O11">
        <f t="shared" si="5"/>
        <v>-1.1803018153685965E-4</v>
      </c>
      <c r="P11" s="6">
        <f>MAX(0,$C$4+SUM($O$5:O11))</f>
        <v>9.0192690397680617E-2</v>
      </c>
      <c r="Q11" s="3"/>
      <c r="R11" s="38"/>
      <c r="V11">
        <f t="shared" ref="V11:V30" si="9">V10+1</f>
        <v>2026</v>
      </c>
      <c r="W11" s="3">
        <f t="shared" si="7"/>
        <v>0</v>
      </c>
      <c r="X11" s="7">
        <f t="shared" si="8"/>
        <v>0</v>
      </c>
      <c r="Y11" s="14"/>
    </row>
    <row r="12" spans="1:33" x14ac:dyDescent="0.25">
      <c r="K12">
        <f t="shared" si="6"/>
        <v>8</v>
      </c>
      <c r="L12" s="16">
        <f t="shared" si="2"/>
        <v>43862</v>
      </c>
      <c r="M12" s="8">
        <f t="shared" si="3"/>
        <v>2020</v>
      </c>
      <c r="N12" s="33">
        <f t="shared" si="4"/>
        <v>1</v>
      </c>
      <c r="O12">
        <f t="shared" si="5"/>
        <v>-1.1803018153685965E-4</v>
      </c>
      <c r="P12" s="6">
        <f>MAX(0,$C$4+SUM($O$5:O12))</f>
        <v>9.0074660216143757E-2</v>
      </c>
      <c r="Q12" s="3"/>
      <c r="R12" s="38"/>
      <c r="V12">
        <f t="shared" si="9"/>
        <v>2027</v>
      </c>
      <c r="W12" s="3">
        <f t="shared" si="7"/>
        <v>0</v>
      </c>
      <c r="X12" s="7">
        <f t="shared" si="8"/>
        <v>0</v>
      </c>
      <c r="Y12" s="14"/>
    </row>
    <row r="13" spans="1:33" x14ac:dyDescent="0.25">
      <c r="K13">
        <f t="shared" si="6"/>
        <v>9</v>
      </c>
      <c r="L13" s="16">
        <f t="shared" si="2"/>
        <v>43891</v>
      </c>
      <c r="M13" s="8">
        <f t="shared" si="3"/>
        <v>2020</v>
      </c>
      <c r="N13" s="33">
        <f t="shared" si="4"/>
        <v>1</v>
      </c>
      <c r="O13">
        <f t="shared" si="5"/>
        <v>-1.1803018153685965E-4</v>
      </c>
      <c r="P13" s="6">
        <f>MAX(0,$C$4+SUM($O$5:O13))</f>
        <v>8.9956630034606896E-2</v>
      </c>
      <c r="Q13" s="3"/>
      <c r="R13" s="38"/>
      <c r="V13">
        <f t="shared" si="9"/>
        <v>2028</v>
      </c>
      <c r="W13" s="3">
        <f t="shared" si="7"/>
        <v>0</v>
      </c>
      <c r="X13" s="7">
        <f t="shared" si="8"/>
        <v>0</v>
      </c>
      <c r="Y13" s="14"/>
    </row>
    <row r="14" spans="1:33" x14ac:dyDescent="0.25">
      <c r="K14">
        <f t="shared" si="6"/>
        <v>10</v>
      </c>
      <c r="L14" s="16">
        <f t="shared" si="2"/>
        <v>43922</v>
      </c>
      <c r="M14" s="8">
        <f t="shared" si="3"/>
        <v>2020</v>
      </c>
      <c r="N14" s="33">
        <f t="shared" si="4"/>
        <v>1</v>
      </c>
      <c r="O14">
        <f t="shared" si="5"/>
        <v>-1.1803018153685965E-4</v>
      </c>
      <c r="P14" s="6">
        <f>MAX(0,$C$4+SUM($O$5:O14))</f>
        <v>8.9838599853070036E-2</v>
      </c>
      <c r="Q14" s="3"/>
      <c r="R14" s="38"/>
      <c r="V14">
        <f t="shared" si="9"/>
        <v>2029</v>
      </c>
      <c r="W14" s="3">
        <f t="shared" si="7"/>
        <v>0</v>
      </c>
      <c r="X14" s="7">
        <f t="shared" si="8"/>
        <v>0</v>
      </c>
    </row>
    <row r="15" spans="1:33" x14ac:dyDescent="0.25">
      <c r="K15">
        <f t="shared" si="6"/>
        <v>11</v>
      </c>
      <c r="L15" s="16">
        <f t="shared" si="2"/>
        <v>43952</v>
      </c>
      <c r="M15" s="8">
        <f t="shared" si="3"/>
        <v>2020</v>
      </c>
      <c r="N15" s="33">
        <f t="shared" si="4"/>
        <v>1</v>
      </c>
      <c r="O15">
        <f t="shared" si="5"/>
        <v>-1.1803018153685965E-4</v>
      </c>
      <c r="P15" s="6">
        <f>MAX(0,$C$4+SUM($O$5:O15))</f>
        <v>8.9720569671533176E-2</v>
      </c>
      <c r="Q15" s="3"/>
      <c r="R15" s="38"/>
      <c r="V15">
        <f t="shared" si="9"/>
        <v>2030</v>
      </c>
      <c r="W15" s="3">
        <f t="shared" si="7"/>
        <v>0</v>
      </c>
      <c r="X15" s="7">
        <f t="shared" si="8"/>
        <v>0</v>
      </c>
    </row>
    <row r="16" spans="1:33" x14ac:dyDescent="0.25">
      <c r="K16">
        <f t="shared" si="6"/>
        <v>12</v>
      </c>
      <c r="L16" s="16">
        <f t="shared" si="2"/>
        <v>43983</v>
      </c>
      <c r="M16" s="8">
        <f t="shared" si="3"/>
        <v>2020</v>
      </c>
      <c r="N16" s="33">
        <f t="shared" si="4"/>
        <v>1</v>
      </c>
      <c r="O16">
        <f t="shared" si="5"/>
        <v>-1.1803018153685965E-4</v>
      </c>
      <c r="P16" s="6">
        <f>MAX(0,$C$4+SUM($O$5:O16))</f>
        <v>8.9602539489996316E-2</v>
      </c>
      <c r="Q16" s="3"/>
      <c r="R16" s="38"/>
      <c r="V16">
        <f t="shared" si="9"/>
        <v>2031</v>
      </c>
      <c r="W16" s="3">
        <f t="shared" si="7"/>
        <v>0</v>
      </c>
      <c r="X16" s="7">
        <f t="shared" si="8"/>
        <v>0</v>
      </c>
    </row>
    <row r="17" spans="11:24" x14ac:dyDescent="0.25">
      <c r="K17">
        <f t="shared" si="6"/>
        <v>13</v>
      </c>
      <c r="L17" s="16">
        <f t="shared" si="2"/>
        <v>44013</v>
      </c>
      <c r="M17" s="8">
        <f t="shared" si="3"/>
        <v>2020</v>
      </c>
      <c r="N17" s="33">
        <f t="shared" si="4"/>
        <v>1</v>
      </c>
      <c r="O17">
        <f t="shared" si="5"/>
        <v>-1.1803018153685965E-4</v>
      </c>
      <c r="P17" s="6">
        <f>MAX(0,$C$4+SUM($O$5:O17))</f>
        <v>8.9484509308459456E-2</v>
      </c>
      <c r="Q17" s="3"/>
      <c r="R17" s="38"/>
      <c r="V17">
        <f t="shared" si="9"/>
        <v>2032</v>
      </c>
      <c r="W17" s="3">
        <f t="shared" si="7"/>
        <v>0</v>
      </c>
      <c r="X17" s="7">
        <f t="shared" si="8"/>
        <v>0</v>
      </c>
    </row>
    <row r="18" spans="11:24" x14ac:dyDescent="0.25">
      <c r="K18">
        <f t="shared" si="6"/>
        <v>14</v>
      </c>
      <c r="L18" s="16">
        <f t="shared" si="2"/>
        <v>44044</v>
      </c>
      <c r="M18" s="8">
        <f t="shared" si="3"/>
        <v>2020</v>
      </c>
      <c r="N18" s="33">
        <f t="shared" si="4"/>
        <v>1</v>
      </c>
      <c r="O18">
        <f t="shared" si="5"/>
        <v>-1.1803018153685965E-4</v>
      </c>
      <c r="P18" s="6">
        <f>MAX(0,$C$4+SUM($O$5:O18))</f>
        <v>8.9366479126922596E-2</v>
      </c>
      <c r="Q18" s="3"/>
      <c r="R18" s="38"/>
      <c r="V18">
        <f t="shared" si="9"/>
        <v>2033</v>
      </c>
      <c r="W18" s="3">
        <f t="shared" si="7"/>
        <v>0</v>
      </c>
      <c r="X18" s="7">
        <f t="shared" si="8"/>
        <v>0</v>
      </c>
    </row>
    <row r="19" spans="11:24" x14ac:dyDescent="0.25">
      <c r="K19">
        <f t="shared" si="6"/>
        <v>15</v>
      </c>
      <c r="L19" s="16">
        <f t="shared" si="2"/>
        <v>44075</v>
      </c>
      <c r="M19" s="8">
        <f t="shared" si="3"/>
        <v>2020</v>
      </c>
      <c r="N19" s="33">
        <f t="shared" si="4"/>
        <v>1</v>
      </c>
      <c r="O19">
        <f t="shared" si="5"/>
        <v>-1.1803018153685965E-4</v>
      </c>
      <c r="P19" s="6">
        <f>MAX(0,$C$4+SUM($O$5:O19))</f>
        <v>8.9248448945385736E-2</v>
      </c>
      <c r="Q19" s="3"/>
      <c r="R19" s="38"/>
      <c r="V19">
        <f t="shared" si="9"/>
        <v>2034</v>
      </c>
      <c r="W19" s="3">
        <f t="shared" si="7"/>
        <v>0</v>
      </c>
      <c r="X19" s="7">
        <f t="shared" si="8"/>
        <v>0</v>
      </c>
    </row>
    <row r="20" spans="11:24" x14ac:dyDescent="0.25">
      <c r="K20">
        <f t="shared" si="6"/>
        <v>16</v>
      </c>
      <c r="L20" s="16">
        <f t="shared" si="2"/>
        <v>44105</v>
      </c>
      <c r="M20" s="8">
        <f t="shared" si="3"/>
        <v>2020</v>
      </c>
      <c r="N20" s="33">
        <f t="shared" si="4"/>
        <v>1</v>
      </c>
      <c r="O20">
        <f t="shared" si="5"/>
        <v>-1.1803018153685965E-4</v>
      </c>
      <c r="P20" s="6">
        <f>MAX(0,$C$4+SUM($O$5:O20))</f>
        <v>8.9130418763848876E-2</v>
      </c>
      <c r="Q20" s="3"/>
      <c r="R20" s="38"/>
      <c r="V20">
        <f t="shared" si="9"/>
        <v>2035</v>
      </c>
      <c r="W20" s="3">
        <f t="shared" si="7"/>
        <v>0</v>
      </c>
      <c r="X20" s="7">
        <f t="shared" si="8"/>
        <v>0</v>
      </c>
    </row>
    <row r="21" spans="11:24" x14ac:dyDescent="0.25">
      <c r="K21">
        <f t="shared" si="6"/>
        <v>17</v>
      </c>
      <c r="L21" s="16">
        <f t="shared" si="2"/>
        <v>44136</v>
      </c>
      <c r="M21" s="8">
        <f t="shared" si="3"/>
        <v>2020</v>
      </c>
      <c r="N21" s="33">
        <f t="shared" si="4"/>
        <v>1</v>
      </c>
      <c r="O21">
        <f t="shared" si="5"/>
        <v>-1.1803018153685965E-4</v>
      </c>
      <c r="P21" s="6">
        <f>MAX(0,$C$4+SUM($O$5:O21))</f>
        <v>8.901238858231203E-2</v>
      </c>
      <c r="Q21" s="3"/>
      <c r="R21" s="38"/>
      <c r="V21">
        <f t="shared" si="9"/>
        <v>2036</v>
      </c>
      <c r="W21" s="3">
        <f t="shared" si="7"/>
        <v>0</v>
      </c>
      <c r="X21" s="7">
        <f t="shared" si="8"/>
        <v>0</v>
      </c>
    </row>
    <row r="22" spans="11:24" x14ac:dyDescent="0.25">
      <c r="K22">
        <f t="shared" si="6"/>
        <v>18</v>
      </c>
      <c r="L22" s="16">
        <f t="shared" si="2"/>
        <v>44166</v>
      </c>
      <c r="M22" s="8">
        <f t="shared" si="3"/>
        <v>2020</v>
      </c>
      <c r="N22" s="33">
        <f t="shared" si="4"/>
        <v>1</v>
      </c>
      <c r="O22">
        <f t="shared" si="5"/>
        <v>-1.1803018153685965E-4</v>
      </c>
      <c r="P22" s="6">
        <f>MAX(0,$C$4+SUM($O$5:O22))</f>
        <v>8.889435840077517E-2</v>
      </c>
      <c r="Q22" s="3"/>
      <c r="R22" s="38"/>
      <c r="V22">
        <f t="shared" si="9"/>
        <v>2037</v>
      </c>
      <c r="W22" s="3">
        <f t="shared" si="7"/>
        <v>0</v>
      </c>
      <c r="X22" s="7">
        <f t="shared" si="8"/>
        <v>0</v>
      </c>
    </row>
    <row r="23" spans="11:24" x14ac:dyDescent="0.25">
      <c r="K23">
        <f t="shared" si="6"/>
        <v>19</v>
      </c>
      <c r="L23" s="16">
        <f t="shared" si="2"/>
        <v>44197</v>
      </c>
      <c r="M23" s="8">
        <f t="shared" si="3"/>
        <v>2021</v>
      </c>
      <c r="N23" s="33">
        <f t="shared" si="4"/>
        <v>1</v>
      </c>
      <c r="O23">
        <f t="shared" si="5"/>
        <v>-1.1803018153685965E-4</v>
      </c>
      <c r="P23" s="6">
        <f>MAX(0,$C$4+SUM($O$5:O23))</f>
        <v>8.877632821923831E-2</v>
      </c>
      <c r="Q23" s="3"/>
      <c r="R23" s="38"/>
      <c r="V23">
        <f t="shared" si="9"/>
        <v>2038</v>
      </c>
      <c r="W23" s="3">
        <f t="shared" si="7"/>
        <v>0</v>
      </c>
      <c r="X23" s="7">
        <f t="shared" si="8"/>
        <v>0</v>
      </c>
    </row>
    <row r="24" spans="11:24" x14ac:dyDescent="0.25">
      <c r="K24">
        <f t="shared" si="6"/>
        <v>20</v>
      </c>
      <c r="L24" s="16">
        <f t="shared" si="2"/>
        <v>44228</v>
      </c>
      <c r="M24" s="8">
        <f t="shared" si="3"/>
        <v>2021</v>
      </c>
      <c r="N24" s="33">
        <f t="shared" si="4"/>
        <v>1</v>
      </c>
      <c r="O24">
        <f t="shared" si="5"/>
        <v>-1.1803018153685965E-4</v>
      </c>
      <c r="P24" s="6">
        <f>MAX(0,$C$4+SUM($O$5:O24))</f>
        <v>8.865829803770145E-2</v>
      </c>
      <c r="Q24" s="3"/>
      <c r="R24" s="38"/>
      <c r="V24">
        <f t="shared" si="9"/>
        <v>2039</v>
      </c>
      <c r="W24" s="3">
        <f t="shared" si="7"/>
        <v>0</v>
      </c>
      <c r="X24" s="7">
        <f t="shared" si="8"/>
        <v>0</v>
      </c>
    </row>
    <row r="25" spans="11:24" x14ac:dyDescent="0.25">
      <c r="K25">
        <f t="shared" si="6"/>
        <v>21</v>
      </c>
      <c r="L25" s="16">
        <f t="shared" si="2"/>
        <v>44256</v>
      </c>
      <c r="M25" s="8">
        <f t="shared" si="3"/>
        <v>2021</v>
      </c>
      <c r="N25" s="33">
        <f t="shared" si="4"/>
        <v>1</v>
      </c>
      <c r="O25">
        <f t="shared" si="5"/>
        <v>-1.1803018153685965E-4</v>
      </c>
      <c r="P25" s="6">
        <f>MAX(0,$C$4+SUM($O$5:O25))</f>
        <v>8.8540267856164589E-2</v>
      </c>
      <c r="Q25" s="3"/>
      <c r="R25" s="38"/>
      <c r="V25">
        <f t="shared" si="9"/>
        <v>2040</v>
      </c>
      <c r="W25" s="3">
        <f t="shared" si="7"/>
        <v>0</v>
      </c>
      <c r="X25" s="7">
        <f t="shared" si="8"/>
        <v>0</v>
      </c>
    </row>
    <row r="26" spans="11:24" x14ac:dyDescent="0.25">
      <c r="K26">
        <f t="shared" si="6"/>
        <v>22</v>
      </c>
      <c r="L26" s="16">
        <f t="shared" si="2"/>
        <v>44287</v>
      </c>
      <c r="M26" s="8">
        <f t="shared" si="3"/>
        <v>2021</v>
      </c>
      <c r="N26" s="33">
        <f t="shared" si="4"/>
        <v>1</v>
      </c>
      <c r="O26">
        <f t="shared" si="5"/>
        <v>-1.1803018153685965E-4</v>
      </c>
      <c r="P26" s="6">
        <f>MAX(0,$C$4+SUM($O$5:O26))</f>
        <v>8.8422237674627729E-2</v>
      </c>
      <c r="Q26" s="3"/>
      <c r="R26" s="38"/>
      <c r="V26">
        <f t="shared" si="9"/>
        <v>2041</v>
      </c>
      <c r="W26" s="3">
        <f t="shared" si="7"/>
        <v>0</v>
      </c>
      <c r="X26" s="7">
        <f t="shared" si="8"/>
        <v>0</v>
      </c>
    </row>
    <row r="27" spans="11:24" x14ac:dyDescent="0.25">
      <c r="K27">
        <f t="shared" si="6"/>
        <v>23</v>
      </c>
      <c r="L27" s="16">
        <f t="shared" si="2"/>
        <v>44317</v>
      </c>
      <c r="M27" s="8">
        <f t="shared" si="3"/>
        <v>2021</v>
      </c>
      <c r="N27" s="33">
        <f t="shared" si="4"/>
        <v>1</v>
      </c>
      <c r="O27">
        <f t="shared" si="5"/>
        <v>-1.1803018153685965E-4</v>
      </c>
      <c r="P27" s="6">
        <f>MAX(0,$C$4+SUM($O$5:O27))</f>
        <v>8.8304207493090869E-2</v>
      </c>
      <c r="Q27" s="3"/>
      <c r="R27" s="38"/>
      <c r="V27">
        <f t="shared" si="9"/>
        <v>2042</v>
      </c>
      <c r="W27" s="3">
        <f t="shared" si="7"/>
        <v>0</v>
      </c>
      <c r="X27" s="7">
        <f t="shared" si="8"/>
        <v>0</v>
      </c>
    </row>
    <row r="28" spans="11:24" x14ac:dyDescent="0.25">
      <c r="K28">
        <f t="shared" si="6"/>
        <v>24</v>
      </c>
      <c r="L28" s="16">
        <f t="shared" si="2"/>
        <v>44348</v>
      </c>
      <c r="M28" s="8">
        <f t="shared" si="3"/>
        <v>2021</v>
      </c>
      <c r="N28" s="33">
        <f t="shared" si="4"/>
        <v>1</v>
      </c>
      <c r="O28">
        <f t="shared" si="5"/>
        <v>-1.1803018153685965E-4</v>
      </c>
      <c r="P28" s="6">
        <f>MAX(0,$C$4+SUM($O$5:O28))</f>
        <v>8.8186177311554009E-2</v>
      </c>
      <c r="Q28" s="3"/>
      <c r="R28" s="38"/>
      <c r="V28">
        <f t="shared" si="9"/>
        <v>2043</v>
      </c>
      <c r="W28" s="3">
        <f t="shared" si="7"/>
        <v>0</v>
      </c>
      <c r="X28" s="7">
        <f t="shared" si="8"/>
        <v>0</v>
      </c>
    </row>
    <row r="29" spans="11:24" x14ac:dyDescent="0.25">
      <c r="K29">
        <f t="shared" si="6"/>
        <v>25</v>
      </c>
      <c r="L29" s="16">
        <f t="shared" si="2"/>
        <v>44378</v>
      </c>
      <c r="M29" s="8">
        <f t="shared" si="3"/>
        <v>2021</v>
      </c>
      <c r="N29" s="33">
        <f t="shared" si="4"/>
        <v>1</v>
      </c>
      <c r="O29">
        <f t="shared" si="5"/>
        <v>-1.1803018153685965E-4</v>
      </c>
      <c r="P29" s="6">
        <f>MAX(0,$C$4+SUM($O$5:O29))</f>
        <v>8.8068147130017149E-2</v>
      </c>
      <c r="Q29" s="3"/>
      <c r="R29" s="38"/>
      <c r="V29">
        <f t="shared" si="9"/>
        <v>2044</v>
      </c>
      <c r="W29" s="3">
        <f t="shared" si="7"/>
        <v>0</v>
      </c>
      <c r="X29" s="7">
        <f t="shared" si="8"/>
        <v>0</v>
      </c>
    </row>
    <row r="30" spans="11:24" x14ac:dyDescent="0.25">
      <c r="K30">
        <f t="shared" si="6"/>
        <v>26</v>
      </c>
      <c r="L30" s="16">
        <f t="shared" si="2"/>
        <v>44409</v>
      </c>
      <c r="M30" s="8">
        <f t="shared" si="3"/>
        <v>2021</v>
      </c>
      <c r="N30" s="33">
        <f t="shared" si="4"/>
        <v>1</v>
      </c>
      <c r="O30">
        <f t="shared" si="5"/>
        <v>-1.1803018153685965E-4</v>
      </c>
      <c r="P30" s="6">
        <f>MAX(0,$C$4+SUM($O$5:O30))</f>
        <v>8.7950116948480289E-2</v>
      </c>
      <c r="Q30" s="3"/>
      <c r="R30" s="38"/>
      <c r="V30">
        <f t="shared" si="9"/>
        <v>2045</v>
      </c>
      <c r="W30" s="3">
        <f t="shared" si="7"/>
        <v>0</v>
      </c>
      <c r="X30" s="7">
        <f t="shared" si="8"/>
        <v>0</v>
      </c>
    </row>
    <row r="31" spans="11:24" x14ac:dyDescent="0.25">
      <c r="K31">
        <f t="shared" si="6"/>
        <v>27</v>
      </c>
      <c r="L31" s="16">
        <f t="shared" si="2"/>
        <v>44440</v>
      </c>
      <c r="M31" s="8">
        <f t="shared" si="3"/>
        <v>2021</v>
      </c>
      <c r="N31" s="33">
        <f t="shared" si="4"/>
        <v>1</v>
      </c>
      <c r="O31">
        <f t="shared" si="5"/>
        <v>-1.1803018153685965E-4</v>
      </c>
      <c r="P31" s="6">
        <f>MAX(0,$C$4+SUM($O$5:O31))</f>
        <v>8.7832086766943429E-2</v>
      </c>
      <c r="Q31" s="3"/>
      <c r="R31" s="38"/>
      <c r="V31">
        <f t="shared" ref="V31:V35" si="10">V30+1</f>
        <v>2046</v>
      </c>
      <c r="W31" s="3">
        <f t="shared" si="7"/>
        <v>0</v>
      </c>
      <c r="X31" s="7">
        <f t="shared" si="8"/>
        <v>0</v>
      </c>
    </row>
    <row r="32" spans="11:24" x14ac:dyDescent="0.25">
      <c r="K32">
        <f t="shared" si="6"/>
        <v>28</v>
      </c>
      <c r="L32" s="16">
        <f t="shared" si="2"/>
        <v>44470</v>
      </c>
      <c r="M32" s="8">
        <f t="shared" si="3"/>
        <v>2021</v>
      </c>
      <c r="N32" s="33">
        <f t="shared" si="4"/>
        <v>1</v>
      </c>
      <c r="O32">
        <f t="shared" si="5"/>
        <v>-1.1803018153685965E-4</v>
      </c>
      <c r="P32" s="6">
        <f>MAX(0,$C$4+SUM($O$5:O32))</f>
        <v>8.7714056585406569E-2</v>
      </c>
      <c r="Q32" s="3"/>
      <c r="R32" s="38"/>
      <c r="V32">
        <f t="shared" si="10"/>
        <v>2047</v>
      </c>
      <c r="W32" s="3">
        <f t="shared" si="7"/>
        <v>0</v>
      </c>
      <c r="X32" s="7">
        <f t="shared" si="8"/>
        <v>0</v>
      </c>
    </row>
    <row r="33" spans="11:24" x14ac:dyDescent="0.25">
      <c r="K33">
        <f t="shared" si="6"/>
        <v>29</v>
      </c>
      <c r="L33" s="16">
        <f t="shared" si="2"/>
        <v>44501</v>
      </c>
      <c r="M33" s="8">
        <f t="shared" si="3"/>
        <v>2021</v>
      </c>
      <c r="N33" s="33">
        <f t="shared" si="4"/>
        <v>1</v>
      </c>
      <c r="O33">
        <f t="shared" si="5"/>
        <v>-1.1803018153685965E-4</v>
      </c>
      <c r="P33" s="6">
        <f>MAX(0,$C$4+SUM($O$5:O33))</f>
        <v>8.7596026403869709E-2</v>
      </c>
      <c r="Q33" s="3"/>
      <c r="R33" s="38"/>
      <c r="V33">
        <f t="shared" si="10"/>
        <v>2048</v>
      </c>
      <c r="W33" s="3">
        <f t="shared" si="7"/>
        <v>0</v>
      </c>
      <c r="X33" s="7">
        <f t="shared" si="8"/>
        <v>0</v>
      </c>
    </row>
    <row r="34" spans="11:24" x14ac:dyDescent="0.25">
      <c r="K34">
        <f t="shared" si="6"/>
        <v>30</v>
      </c>
      <c r="L34" s="16">
        <f t="shared" si="2"/>
        <v>44531</v>
      </c>
      <c r="M34" s="8">
        <f t="shared" si="3"/>
        <v>2021</v>
      </c>
      <c r="N34" s="33">
        <f t="shared" si="4"/>
        <v>1</v>
      </c>
      <c r="O34">
        <f t="shared" si="5"/>
        <v>-1.1803018153685965E-4</v>
      </c>
      <c r="P34" s="6">
        <f>MAX(0,$C$4+SUM($O$5:O34))</f>
        <v>8.7477996222332849E-2</v>
      </c>
      <c r="Q34" s="3"/>
      <c r="R34" s="38"/>
      <c r="V34">
        <f t="shared" si="10"/>
        <v>2049</v>
      </c>
      <c r="W34" s="3">
        <f t="shared" si="7"/>
        <v>0</v>
      </c>
      <c r="X34" s="7">
        <f t="shared" si="8"/>
        <v>0</v>
      </c>
    </row>
    <row r="35" spans="11:24" x14ac:dyDescent="0.25">
      <c r="K35">
        <f t="shared" si="6"/>
        <v>31</v>
      </c>
      <c r="L35" s="16">
        <f t="shared" si="2"/>
        <v>44562</v>
      </c>
      <c r="M35" s="8">
        <f t="shared" si="3"/>
        <v>2022</v>
      </c>
      <c r="N35" s="33">
        <f t="shared" si="4"/>
        <v>1</v>
      </c>
      <c r="O35">
        <f t="shared" si="5"/>
        <v>-1.1803018153685965E-4</v>
      </c>
      <c r="P35" s="6">
        <f>MAX(0,$C$4+SUM($O$5:O35))</f>
        <v>8.7359966040795989E-2</v>
      </c>
      <c r="Q35" s="3"/>
      <c r="R35" s="38"/>
      <c r="V35">
        <f t="shared" si="10"/>
        <v>2050</v>
      </c>
      <c r="W35" s="3">
        <f t="shared" si="7"/>
        <v>0</v>
      </c>
      <c r="X35" s="7">
        <f t="shared" si="8"/>
        <v>0</v>
      </c>
    </row>
    <row r="36" spans="11:24" x14ac:dyDescent="0.25">
      <c r="K36">
        <f t="shared" si="6"/>
        <v>32</v>
      </c>
      <c r="L36" s="16">
        <f t="shared" si="2"/>
        <v>44593</v>
      </c>
      <c r="M36" s="8">
        <f t="shared" si="3"/>
        <v>2022</v>
      </c>
      <c r="N36" s="33">
        <f t="shared" si="4"/>
        <v>1</v>
      </c>
      <c r="O36">
        <f t="shared" si="5"/>
        <v>-1.1803018153685965E-4</v>
      </c>
      <c r="P36" s="6">
        <f>MAX(0,$C$4+SUM($O$5:O36))</f>
        <v>8.7241935859259129E-2</v>
      </c>
      <c r="Q36" s="3"/>
      <c r="R36" s="38"/>
      <c r="V36" s="9" t="s">
        <v>1</v>
      </c>
      <c r="W36" s="3">
        <f>SUM(W10:W35)</f>
        <v>0</v>
      </c>
      <c r="X36" s="3">
        <f>SUM(X10:X35)</f>
        <v>0</v>
      </c>
    </row>
    <row r="37" spans="11:24" x14ac:dyDescent="0.25">
      <c r="K37">
        <f t="shared" si="6"/>
        <v>33</v>
      </c>
      <c r="L37" s="16">
        <f t="shared" si="2"/>
        <v>44621</v>
      </c>
      <c r="M37" s="8">
        <f t="shared" si="3"/>
        <v>2022</v>
      </c>
      <c r="N37" s="33">
        <f t="shared" si="4"/>
        <v>1</v>
      </c>
      <c r="O37">
        <f t="shared" si="5"/>
        <v>-1.1803018153685965E-4</v>
      </c>
      <c r="P37" s="6">
        <f>MAX(0,$C$4+SUM($O$5:O37))</f>
        <v>8.7123905677722269E-2</v>
      </c>
      <c r="Q37" s="3"/>
      <c r="R37" s="38"/>
    </row>
    <row r="38" spans="11:24" x14ac:dyDescent="0.25">
      <c r="K38">
        <f t="shared" si="6"/>
        <v>34</v>
      </c>
      <c r="L38" s="16">
        <f t="shared" si="2"/>
        <v>44652</v>
      </c>
      <c r="M38" s="8">
        <f t="shared" si="3"/>
        <v>2022</v>
      </c>
      <c r="N38" s="33">
        <f t="shared" si="4"/>
        <v>1</v>
      </c>
      <c r="O38">
        <f t="shared" si="5"/>
        <v>-1.1803018153685965E-4</v>
      </c>
      <c r="P38" s="6">
        <f>MAX(0,$C$4+SUM($O$5:O38))</f>
        <v>8.7005875496185409E-2</v>
      </c>
      <c r="Q38" s="3"/>
      <c r="R38" s="38"/>
    </row>
    <row r="39" spans="11:24" x14ac:dyDescent="0.25">
      <c r="K39">
        <f t="shared" si="6"/>
        <v>35</v>
      </c>
      <c r="L39" s="16">
        <f t="shared" si="2"/>
        <v>44682</v>
      </c>
      <c r="M39" s="8">
        <f t="shared" si="3"/>
        <v>2022</v>
      </c>
      <c r="N39" s="33">
        <f t="shared" si="4"/>
        <v>1</v>
      </c>
      <c r="O39">
        <f t="shared" si="5"/>
        <v>-1.1803018153685965E-4</v>
      </c>
      <c r="P39" s="6">
        <f>MAX(0,$C$4+SUM($O$5:O39))</f>
        <v>8.6887845314648549E-2</v>
      </c>
      <c r="Q39" s="3"/>
      <c r="R39" s="38"/>
    </row>
    <row r="40" spans="11:24" x14ac:dyDescent="0.25">
      <c r="K40">
        <f t="shared" si="6"/>
        <v>36</v>
      </c>
      <c r="L40" s="16">
        <f t="shared" si="2"/>
        <v>44713</v>
      </c>
      <c r="M40" s="8">
        <f t="shared" si="3"/>
        <v>2022</v>
      </c>
      <c r="N40" s="33">
        <f t="shared" si="4"/>
        <v>1</v>
      </c>
      <c r="O40">
        <f t="shared" si="5"/>
        <v>-1.1803018153685965E-4</v>
      </c>
      <c r="P40" s="6">
        <f>MAX(0,$C$4+SUM($O$5:O40))</f>
        <v>8.6769815133111688E-2</v>
      </c>
      <c r="Q40" s="3"/>
      <c r="R40" s="38"/>
    </row>
    <row r="41" spans="11:24" x14ac:dyDescent="0.25">
      <c r="K41">
        <f t="shared" si="6"/>
        <v>37</v>
      </c>
      <c r="L41" s="16">
        <f t="shared" si="2"/>
        <v>44743</v>
      </c>
      <c r="M41" s="8">
        <f t="shared" si="3"/>
        <v>2022</v>
      </c>
      <c r="N41" s="33">
        <f t="shared" si="4"/>
        <v>1</v>
      </c>
      <c r="O41">
        <f t="shared" si="5"/>
        <v>-1.1803018153685965E-4</v>
      </c>
      <c r="P41" s="6">
        <f>MAX(0,$C$4+SUM($O$5:O41))</f>
        <v>8.6651784951574828E-2</v>
      </c>
      <c r="Q41" s="3"/>
      <c r="R41" s="38"/>
    </row>
    <row r="42" spans="11:24" x14ac:dyDescent="0.25">
      <c r="K42">
        <f t="shared" si="6"/>
        <v>38</v>
      </c>
      <c r="L42" s="16">
        <f t="shared" si="2"/>
        <v>44774</v>
      </c>
      <c r="M42" s="8">
        <f t="shared" si="3"/>
        <v>2022</v>
      </c>
      <c r="N42" s="33">
        <f t="shared" si="4"/>
        <v>1</v>
      </c>
      <c r="O42">
        <f t="shared" si="5"/>
        <v>-1.1803018153685965E-4</v>
      </c>
      <c r="P42" s="6">
        <f>MAX(0,$C$4+SUM($O$5:O42))</f>
        <v>8.6533754770037968E-2</v>
      </c>
      <c r="Q42" s="3"/>
      <c r="R42" s="38"/>
    </row>
    <row r="43" spans="11:24" x14ac:dyDescent="0.25">
      <c r="K43">
        <f t="shared" si="6"/>
        <v>39</v>
      </c>
      <c r="L43" s="16">
        <f t="shared" si="2"/>
        <v>44805</v>
      </c>
      <c r="M43" s="8">
        <f t="shared" si="3"/>
        <v>2022</v>
      </c>
      <c r="N43" s="33">
        <f t="shared" si="4"/>
        <v>1</v>
      </c>
      <c r="O43">
        <f t="shared" si="5"/>
        <v>-1.1803018153685965E-4</v>
      </c>
      <c r="P43" s="6">
        <f>MAX(0,$C$4+SUM($O$5:O43))</f>
        <v>8.6415724588501108E-2</v>
      </c>
      <c r="Q43" s="3"/>
      <c r="R43" s="38"/>
    </row>
    <row r="44" spans="11:24" x14ac:dyDescent="0.25">
      <c r="K44">
        <f t="shared" si="6"/>
        <v>40</v>
      </c>
      <c r="L44" s="16">
        <f t="shared" si="2"/>
        <v>44835</v>
      </c>
      <c r="M44" s="8">
        <f t="shared" si="3"/>
        <v>2022</v>
      </c>
      <c r="N44" s="33">
        <f t="shared" si="4"/>
        <v>1</v>
      </c>
      <c r="O44">
        <f t="shared" si="5"/>
        <v>-1.1803018153685965E-4</v>
      </c>
      <c r="P44" s="6">
        <f>MAX(0,$C$4+SUM($O$5:O44))</f>
        <v>8.6297694406964248E-2</v>
      </c>
      <c r="Q44" s="3"/>
      <c r="R44" s="38"/>
    </row>
    <row r="45" spans="11:24" x14ac:dyDescent="0.25">
      <c r="K45">
        <f t="shared" si="6"/>
        <v>41</v>
      </c>
      <c r="L45" s="16">
        <f t="shared" si="2"/>
        <v>44866</v>
      </c>
      <c r="M45" s="8">
        <f t="shared" si="3"/>
        <v>2022</v>
      </c>
      <c r="N45" s="33">
        <f t="shared" si="4"/>
        <v>1</v>
      </c>
      <c r="O45">
        <f t="shared" si="5"/>
        <v>-1.1803018153685965E-4</v>
      </c>
      <c r="P45" s="6">
        <f>MAX(0,$C$4+SUM($O$5:O45))</f>
        <v>8.6179664225427388E-2</v>
      </c>
      <c r="Q45" s="3"/>
      <c r="R45" s="38"/>
    </row>
    <row r="46" spans="11:24" x14ac:dyDescent="0.25">
      <c r="K46">
        <f t="shared" si="6"/>
        <v>42</v>
      </c>
      <c r="L46" s="16">
        <f t="shared" si="2"/>
        <v>44896</v>
      </c>
      <c r="M46" s="8">
        <f t="shared" si="3"/>
        <v>2022</v>
      </c>
      <c r="N46" s="33">
        <f t="shared" si="4"/>
        <v>1</v>
      </c>
      <c r="O46">
        <f t="shared" si="5"/>
        <v>-1.1803018153685965E-4</v>
      </c>
      <c r="P46" s="6">
        <f>MAX(0,$C$4+SUM($O$5:O46))</f>
        <v>8.6061634043890528E-2</v>
      </c>
      <c r="Q46" s="3"/>
      <c r="R46" s="38"/>
    </row>
    <row r="47" spans="11:24" x14ac:dyDescent="0.25">
      <c r="K47">
        <f t="shared" si="6"/>
        <v>43</v>
      </c>
      <c r="L47" s="16">
        <f t="shared" si="2"/>
        <v>44927</v>
      </c>
      <c r="M47" s="8">
        <f t="shared" si="3"/>
        <v>2023</v>
      </c>
      <c r="N47" s="33">
        <f t="shared" si="4"/>
        <v>1</v>
      </c>
      <c r="O47">
        <f t="shared" si="5"/>
        <v>-1.1803018153685965E-4</v>
      </c>
      <c r="P47" s="6">
        <f>MAX(0,$C$4+SUM($O$5:O47))</f>
        <v>8.5943603862353668E-2</v>
      </c>
      <c r="Q47" s="3"/>
      <c r="R47" s="38"/>
    </row>
    <row r="48" spans="11:24" x14ac:dyDescent="0.25">
      <c r="K48">
        <f t="shared" si="6"/>
        <v>44</v>
      </c>
      <c r="L48" s="16">
        <f t="shared" si="2"/>
        <v>44958</v>
      </c>
      <c r="M48" s="8">
        <f t="shared" si="3"/>
        <v>2023</v>
      </c>
      <c r="N48" s="33">
        <f t="shared" si="4"/>
        <v>1</v>
      </c>
      <c r="O48">
        <f t="shared" si="5"/>
        <v>-1.1803018153685965E-4</v>
      </c>
      <c r="P48" s="6">
        <f>MAX(0,$C$4+SUM($O$5:O48))</f>
        <v>8.5825573680816808E-2</v>
      </c>
      <c r="Q48" s="3"/>
      <c r="R48" s="38"/>
    </row>
    <row r="49" spans="11:18" x14ac:dyDescent="0.25">
      <c r="K49">
        <f t="shared" si="6"/>
        <v>45</v>
      </c>
      <c r="L49" s="16">
        <f t="shared" si="2"/>
        <v>44986</v>
      </c>
      <c r="M49" s="8">
        <f t="shared" si="3"/>
        <v>2023</v>
      </c>
      <c r="N49" s="33">
        <f t="shared" si="4"/>
        <v>1</v>
      </c>
      <c r="O49">
        <f t="shared" si="5"/>
        <v>-1.1803018153685965E-4</v>
      </c>
      <c r="P49" s="6">
        <f>MAX(0,$C$4+SUM($O$5:O49))</f>
        <v>8.5707543499279948E-2</v>
      </c>
      <c r="Q49" s="3"/>
      <c r="R49" s="38"/>
    </row>
    <row r="50" spans="11:18" x14ac:dyDescent="0.25">
      <c r="K50">
        <f t="shared" si="6"/>
        <v>46</v>
      </c>
      <c r="L50" s="16">
        <f t="shared" si="2"/>
        <v>45017</v>
      </c>
      <c r="M50" s="8">
        <f t="shared" si="3"/>
        <v>2023</v>
      </c>
      <c r="N50" s="33">
        <f t="shared" si="4"/>
        <v>1</v>
      </c>
      <c r="O50">
        <f t="shared" si="5"/>
        <v>-1.1803018153685965E-4</v>
      </c>
      <c r="P50" s="6">
        <f>MAX(0,$C$4+SUM($O$5:O50))</f>
        <v>8.5589513317743088E-2</v>
      </c>
      <c r="Q50" s="3"/>
      <c r="R50" s="38"/>
    </row>
    <row r="51" spans="11:18" x14ac:dyDescent="0.25">
      <c r="K51">
        <f t="shared" si="6"/>
        <v>47</v>
      </c>
      <c r="L51" s="16">
        <f t="shared" si="2"/>
        <v>45047</v>
      </c>
      <c r="M51" s="8">
        <f t="shared" si="3"/>
        <v>2023</v>
      </c>
      <c r="N51" s="33">
        <f t="shared" si="4"/>
        <v>1</v>
      </c>
      <c r="O51">
        <f t="shared" si="5"/>
        <v>-1.1803018153685965E-4</v>
      </c>
      <c r="P51" s="6">
        <f>MAX(0,$C$4+SUM($O$5:O51))</f>
        <v>8.5471483136206228E-2</v>
      </c>
      <c r="Q51" s="3"/>
      <c r="R51" s="38"/>
    </row>
    <row r="52" spans="11:18" x14ac:dyDescent="0.25">
      <c r="K52">
        <f t="shared" si="6"/>
        <v>48</v>
      </c>
      <c r="L52" s="16">
        <f t="shared" si="2"/>
        <v>45078</v>
      </c>
      <c r="M52" s="8">
        <f t="shared" si="3"/>
        <v>2023</v>
      </c>
      <c r="N52" s="33">
        <f t="shared" si="4"/>
        <v>1</v>
      </c>
      <c r="O52">
        <f t="shared" si="5"/>
        <v>-1.1803018153685965E-4</v>
      </c>
      <c r="P52" s="6">
        <f>MAX(0,$C$4+SUM($O$5:O52))</f>
        <v>8.5353452954669368E-2</v>
      </c>
      <c r="Q52" s="3"/>
      <c r="R52" s="38"/>
    </row>
    <row r="53" spans="11:18" x14ac:dyDescent="0.25">
      <c r="K53">
        <f t="shared" si="6"/>
        <v>49</v>
      </c>
      <c r="L53" s="16">
        <f t="shared" si="2"/>
        <v>45108</v>
      </c>
      <c r="M53" s="8">
        <f t="shared" si="3"/>
        <v>2023</v>
      </c>
      <c r="N53" s="33">
        <f t="shared" si="4"/>
        <v>1</v>
      </c>
      <c r="O53">
        <f t="shared" si="5"/>
        <v>-1.1803018153685965E-4</v>
      </c>
      <c r="P53" s="6">
        <f>MAX(0,$C$4+SUM($O$5:O53))</f>
        <v>8.5235422773132508E-2</v>
      </c>
      <c r="Q53" s="3"/>
      <c r="R53" s="38"/>
    </row>
    <row r="54" spans="11:18" x14ac:dyDescent="0.25">
      <c r="K54">
        <f t="shared" si="6"/>
        <v>50</v>
      </c>
      <c r="L54" s="16">
        <f t="shared" si="2"/>
        <v>45139</v>
      </c>
      <c r="M54" s="8">
        <f t="shared" si="3"/>
        <v>2023</v>
      </c>
      <c r="N54" s="33">
        <f t="shared" si="4"/>
        <v>1</v>
      </c>
      <c r="O54">
        <f t="shared" si="5"/>
        <v>-1.1803018153685965E-4</v>
      </c>
      <c r="P54" s="6">
        <f>MAX(0,$C$4+SUM($O$5:O54))</f>
        <v>8.5117392591595648E-2</v>
      </c>
      <c r="Q54" s="3"/>
      <c r="R54" s="38"/>
    </row>
    <row r="55" spans="11:18" x14ac:dyDescent="0.25">
      <c r="K55">
        <f t="shared" si="6"/>
        <v>51</v>
      </c>
      <c r="L55" s="16">
        <f t="shared" si="2"/>
        <v>45170</v>
      </c>
      <c r="M55" s="8">
        <f t="shared" si="3"/>
        <v>2023</v>
      </c>
      <c r="N55" s="33">
        <f t="shared" si="4"/>
        <v>1</v>
      </c>
      <c r="O55">
        <f t="shared" si="5"/>
        <v>-1.1803018153685965E-4</v>
      </c>
      <c r="P55" s="6">
        <f>MAX(0,$C$4+SUM($O$5:O55))</f>
        <v>8.4999362410058787E-2</v>
      </c>
      <c r="Q55" s="3"/>
      <c r="R55" s="38"/>
    </row>
    <row r="56" spans="11:18" x14ac:dyDescent="0.25">
      <c r="K56">
        <f t="shared" si="6"/>
        <v>52</v>
      </c>
      <c r="L56" s="16">
        <f t="shared" si="2"/>
        <v>45200</v>
      </c>
      <c r="M56" s="8">
        <f t="shared" si="3"/>
        <v>2023</v>
      </c>
      <c r="N56" s="33">
        <f t="shared" si="4"/>
        <v>1</v>
      </c>
      <c r="O56">
        <f t="shared" si="5"/>
        <v>-1.1803018153685965E-4</v>
      </c>
      <c r="P56" s="6">
        <f>MAX(0,$C$4+SUM($O$5:O56))</f>
        <v>8.4881332228521927E-2</v>
      </c>
      <c r="Q56" s="3"/>
      <c r="R56" s="38"/>
    </row>
    <row r="57" spans="11:18" x14ac:dyDescent="0.25">
      <c r="K57">
        <f t="shared" si="6"/>
        <v>53</v>
      </c>
      <c r="L57" s="16">
        <f t="shared" si="2"/>
        <v>45231</v>
      </c>
      <c r="M57" s="8">
        <f t="shared" si="3"/>
        <v>2023</v>
      </c>
      <c r="N57" s="33">
        <f t="shared" si="4"/>
        <v>1</v>
      </c>
      <c r="O57">
        <f t="shared" si="5"/>
        <v>-1.1803018153685965E-4</v>
      </c>
      <c r="P57" s="6">
        <f>MAX(0,$C$4+SUM($O$5:O57))</f>
        <v>8.4763302046985067E-2</v>
      </c>
      <c r="Q57" s="3"/>
      <c r="R57" s="38"/>
    </row>
    <row r="58" spans="11:18" x14ac:dyDescent="0.25">
      <c r="K58">
        <f t="shared" si="6"/>
        <v>54</v>
      </c>
      <c r="L58" s="16">
        <f t="shared" si="2"/>
        <v>45261</v>
      </c>
      <c r="M58" s="8">
        <f t="shared" si="3"/>
        <v>2023</v>
      </c>
      <c r="N58" s="33">
        <f t="shared" si="4"/>
        <v>1</v>
      </c>
      <c r="O58">
        <f t="shared" si="5"/>
        <v>-1.1803018153685965E-4</v>
      </c>
      <c r="P58" s="6">
        <f>MAX(0,$C$4+SUM($O$5:O58))</f>
        <v>8.4645271865448207E-2</v>
      </c>
      <c r="Q58" s="3"/>
      <c r="R58" s="38"/>
    </row>
    <row r="59" spans="11:18" x14ac:dyDescent="0.25">
      <c r="K59">
        <f t="shared" si="6"/>
        <v>55</v>
      </c>
      <c r="L59" s="16">
        <f t="shared" si="2"/>
        <v>45292</v>
      </c>
      <c r="M59" s="8">
        <f t="shared" si="3"/>
        <v>2024</v>
      </c>
      <c r="N59" s="33">
        <f t="shared" si="4"/>
        <v>1</v>
      </c>
      <c r="O59">
        <f t="shared" si="5"/>
        <v>-1.1803018153685965E-4</v>
      </c>
      <c r="P59" s="6">
        <f>MAX(0,$C$4+SUM($O$5:O59))</f>
        <v>8.4527241683911347E-2</v>
      </c>
      <c r="Q59" s="3"/>
      <c r="R59" s="38"/>
    </row>
    <row r="60" spans="11:18" x14ac:dyDescent="0.25">
      <c r="K60">
        <f t="shared" si="6"/>
        <v>56</v>
      </c>
      <c r="L60" s="16">
        <f t="shared" si="2"/>
        <v>45323</v>
      </c>
      <c r="M60" s="8">
        <f t="shared" si="3"/>
        <v>2024</v>
      </c>
      <c r="N60" s="33">
        <f t="shared" si="4"/>
        <v>1</v>
      </c>
      <c r="O60">
        <f t="shared" si="5"/>
        <v>-1.1803018153685965E-4</v>
      </c>
      <c r="P60" s="6">
        <f>MAX(0,$C$4+SUM($O$5:O60))</f>
        <v>8.4409211502374487E-2</v>
      </c>
      <c r="Q60" s="3"/>
      <c r="R60" s="38"/>
    </row>
    <row r="61" spans="11:18" x14ac:dyDescent="0.25">
      <c r="K61">
        <f t="shared" si="6"/>
        <v>57</v>
      </c>
      <c r="L61" s="16">
        <f t="shared" si="2"/>
        <v>45352</v>
      </c>
      <c r="M61" s="8">
        <f t="shared" si="3"/>
        <v>2024</v>
      </c>
      <c r="N61" s="33">
        <f t="shared" si="4"/>
        <v>1</v>
      </c>
      <c r="O61">
        <f t="shared" si="5"/>
        <v>-1.1803018153685965E-4</v>
      </c>
      <c r="P61" s="6">
        <f>MAX(0,$C$4+SUM($O$5:O61))</f>
        <v>8.4291181320837627E-2</v>
      </c>
      <c r="Q61" s="3"/>
      <c r="R61" s="38"/>
    </row>
    <row r="62" spans="11:18" x14ac:dyDescent="0.25">
      <c r="K62">
        <f t="shared" si="6"/>
        <v>58</v>
      </c>
      <c r="L62" s="16">
        <f t="shared" si="2"/>
        <v>45383</v>
      </c>
      <c r="M62" s="8">
        <f t="shared" si="3"/>
        <v>2024</v>
      </c>
      <c r="N62" s="33">
        <f t="shared" si="4"/>
        <v>1</v>
      </c>
      <c r="O62">
        <f t="shared" si="5"/>
        <v>-1.1803018153685965E-4</v>
      </c>
      <c r="P62" s="6">
        <f>MAX(0,$C$4+SUM($O$5:O62))</f>
        <v>8.4173151139300767E-2</v>
      </c>
      <c r="Q62" s="3"/>
      <c r="R62" s="38"/>
    </row>
    <row r="63" spans="11:18" x14ac:dyDescent="0.25">
      <c r="K63">
        <f t="shared" si="6"/>
        <v>59</v>
      </c>
      <c r="L63" s="16">
        <f t="shared" si="2"/>
        <v>45413</v>
      </c>
      <c r="M63" s="8">
        <f t="shared" si="3"/>
        <v>2024</v>
      </c>
      <c r="N63" s="33">
        <f t="shared" si="4"/>
        <v>1</v>
      </c>
      <c r="O63">
        <f t="shared" si="5"/>
        <v>-1.1803018153685965E-4</v>
      </c>
      <c r="P63" s="6">
        <f>MAX(0,$C$4+SUM($O$5:O63))</f>
        <v>8.4055120957763907E-2</v>
      </c>
      <c r="Q63" s="3"/>
      <c r="R63" s="38"/>
    </row>
    <row r="64" spans="11:18" x14ac:dyDescent="0.25">
      <c r="K64">
        <f t="shared" si="6"/>
        <v>60</v>
      </c>
      <c r="L64" s="16">
        <f t="shared" si="2"/>
        <v>45444</v>
      </c>
      <c r="M64" s="8">
        <f t="shared" si="3"/>
        <v>2024</v>
      </c>
      <c r="N64" s="33">
        <f t="shared" si="4"/>
        <v>1</v>
      </c>
      <c r="O64">
        <f t="shared" si="5"/>
        <v>-1.1803018153685965E-4</v>
      </c>
      <c r="P64" s="6">
        <f>MAX(0,$C$4+SUM($O$5:O64))</f>
        <v>8.3937090776227047E-2</v>
      </c>
      <c r="Q64" s="3"/>
      <c r="R64" s="38"/>
    </row>
    <row r="65" spans="11:18" x14ac:dyDescent="0.25">
      <c r="K65">
        <f t="shared" si="6"/>
        <v>61</v>
      </c>
      <c r="L65" s="16">
        <f t="shared" si="2"/>
        <v>45474</v>
      </c>
      <c r="M65" s="8">
        <f t="shared" si="3"/>
        <v>2024</v>
      </c>
      <c r="N65" s="33">
        <f t="shared" si="4"/>
        <v>1</v>
      </c>
      <c r="O65">
        <f t="shared" si="5"/>
        <v>-1.1803018153685965E-4</v>
      </c>
      <c r="P65" s="6">
        <f>MAX(0,$C$4+SUM($O$5:O65))</f>
        <v>8.3819060594690187E-2</v>
      </c>
      <c r="Q65" s="3"/>
      <c r="R65" s="38"/>
    </row>
    <row r="66" spans="11:18" x14ac:dyDescent="0.25">
      <c r="K66">
        <f t="shared" si="6"/>
        <v>62</v>
      </c>
      <c r="L66" s="16">
        <f t="shared" si="2"/>
        <v>45505</v>
      </c>
      <c r="M66" s="8">
        <f t="shared" si="3"/>
        <v>2024</v>
      </c>
      <c r="N66" s="33">
        <f t="shared" si="4"/>
        <v>1</v>
      </c>
      <c r="O66">
        <f t="shared" si="5"/>
        <v>-1.1803018153685965E-4</v>
      </c>
      <c r="P66" s="6">
        <f>MAX(0,$C$4+SUM($O$5:O66))</f>
        <v>8.3701030413153327E-2</v>
      </c>
      <c r="Q66" s="3"/>
      <c r="R66" s="38"/>
    </row>
    <row r="67" spans="11:18" x14ac:dyDescent="0.25">
      <c r="K67">
        <f t="shared" si="6"/>
        <v>63</v>
      </c>
      <c r="L67" s="16">
        <f t="shared" si="2"/>
        <v>45536</v>
      </c>
      <c r="M67" s="8">
        <f t="shared" si="3"/>
        <v>2024</v>
      </c>
      <c r="N67" s="33">
        <f t="shared" si="4"/>
        <v>1</v>
      </c>
      <c r="O67">
        <f t="shared" si="5"/>
        <v>-1.1803018153685965E-4</v>
      </c>
      <c r="P67" s="6">
        <f>MAX(0,$C$4+SUM($O$5:O67))</f>
        <v>8.3583000231616467E-2</v>
      </c>
      <c r="Q67" s="3"/>
      <c r="R67" s="38"/>
    </row>
    <row r="68" spans="11:18" x14ac:dyDescent="0.25">
      <c r="K68">
        <f t="shared" si="6"/>
        <v>64</v>
      </c>
      <c r="L68" s="16">
        <f t="shared" si="2"/>
        <v>45566</v>
      </c>
      <c r="M68" s="8">
        <f t="shared" si="3"/>
        <v>2024</v>
      </c>
      <c r="N68" s="33">
        <f t="shared" si="4"/>
        <v>1</v>
      </c>
      <c r="O68">
        <f t="shared" si="5"/>
        <v>-1.1803018153685965E-4</v>
      </c>
      <c r="P68" s="6">
        <f>MAX(0,$C$4+SUM($O$5:O68))</f>
        <v>8.3464970050079607E-2</v>
      </c>
      <c r="Q68" s="3"/>
      <c r="R68" s="38"/>
    </row>
    <row r="69" spans="11:18" x14ac:dyDescent="0.25">
      <c r="K69">
        <f t="shared" si="6"/>
        <v>65</v>
      </c>
      <c r="L69" s="16">
        <f t="shared" si="2"/>
        <v>45597</v>
      </c>
      <c r="M69" s="8">
        <f t="shared" si="3"/>
        <v>2024</v>
      </c>
      <c r="N69" s="33">
        <f t="shared" si="4"/>
        <v>1</v>
      </c>
      <c r="O69">
        <f t="shared" si="5"/>
        <v>-1.1803018153685965E-4</v>
      </c>
      <c r="P69" s="6">
        <f>MAX(0,$C$4+SUM($O$5:O69))</f>
        <v>8.3346939868542746E-2</v>
      </c>
      <c r="Q69" s="3"/>
      <c r="R69" s="38"/>
    </row>
    <row r="70" spans="11:18" x14ac:dyDescent="0.25">
      <c r="K70">
        <f t="shared" si="6"/>
        <v>66</v>
      </c>
      <c r="L70" s="16">
        <f t="shared" ref="L70:L133" si="11">DATE(2019,K70+6,1)</f>
        <v>45627</v>
      </c>
      <c r="M70" s="8">
        <f t="shared" ref="M70:M133" si="12">YEAR(L70)</f>
        <v>2024</v>
      </c>
      <c r="N70" s="33">
        <f t="shared" ref="N70:N133" si="13">COUNTIFS(D:D,"&lt;="&amp;L70)</f>
        <v>1</v>
      </c>
      <c r="O70">
        <f t="shared" ref="O70:O133" si="14">INDEX(E:E,MATCH(N70,A:A,0))</f>
        <v>-1.1803018153685965E-4</v>
      </c>
      <c r="P70" s="6">
        <f>MAX(0,$C$4+SUM($O$5:O70))</f>
        <v>8.3228909687005886E-2</v>
      </c>
      <c r="Q70" s="3"/>
      <c r="R70" s="38"/>
    </row>
    <row r="71" spans="11:18" x14ac:dyDescent="0.25">
      <c r="K71">
        <f t="shared" ref="K71:K134" si="15">K70+1</f>
        <v>67</v>
      </c>
      <c r="L71" s="16">
        <f t="shared" si="11"/>
        <v>45658</v>
      </c>
      <c r="M71" s="8">
        <f t="shared" si="12"/>
        <v>2025</v>
      </c>
      <c r="N71" s="33">
        <f t="shared" si="13"/>
        <v>1</v>
      </c>
      <c r="O71">
        <f t="shared" si="14"/>
        <v>-1.1803018153685965E-4</v>
      </c>
      <c r="P71" s="6">
        <f>MAX(0,$C$4+SUM($O$5:O71))</f>
        <v>8.3110879505469026E-2</v>
      </c>
      <c r="Q71" s="3"/>
      <c r="R71" s="38"/>
    </row>
    <row r="72" spans="11:18" x14ac:dyDescent="0.25">
      <c r="K72">
        <f t="shared" si="15"/>
        <v>68</v>
      </c>
      <c r="L72" s="16">
        <f t="shared" si="11"/>
        <v>45689</v>
      </c>
      <c r="M72" s="8">
        <f t="shared" si="12"/>
        <v>2025</v>
      </c>
      <c r="N72" s="33">
        <f t="shared" si="13"/>
        <v>1</v>
      </c>
      <c r="O72">
        <f t="shared" si="14"/>
        <v>-1.1803018153685965E-4</v>
      </c>
      <c r="P72" s="6">
        <f>MAX(0,$C$4+SUM($O$5:O72))</f>
        <v>8.2992849323932166E-2</v>
      </c>
      <c r="Q72" s="3"/>
      <c r="R72" s="38"/>
    </row>
    <row r="73" spans="11:18" x14ac:dyDescent="0.25">
      <c r="K73">
        <f t="shared" si="15"/>
        <v>69</v>
      </c>
      <c r="L73" s="16">
        <f t="shared" si="11"/>
        <v>45717</v>
      </c>
      <c r="M73" s="8">
        <f t="shared" si="12"/>
        <v>2025</v>
      </c>
      <c r="N73" s="33">
        <f t="shared" si="13"/>
        <v>1</v>
      </c>
      <c r="O73">
        <f t="shared" si="14"/>
        <v>-1.1803018153685965E-4</v>
      </c>
      <c r="P73" s="6">
        <f>MAX(0,$C$4+SUM($O$5:O73))</f>
        <v>8.2874819142395306E-2</v>
      </c>
      <c r="Q73" s="3"/>
      <c r="R73" s="38"/>
    </row>
    <row r="74" spans="11:18" x14ac:dyDescent="0.25">
      <c r="K74">
        <f t="shared" si="15"/>
        <v>70</v>
      </c>
      <c r="L74" s="16">
        <f t="shared" si="11"/>
        <v>45748</v>
      </c>
      <c r="M74" s="8">
        <f t="shared" si="12"/>
        <v>2025</v>
      </c>
      <c r="N74" s="33">
        <f t="shared" si="13"/>
        <v>1</v>
      </c>
      <c r="O74">
        <f t="shared" si="14"/>
        <v>-1.1803018153685965E-4</v>
      </c>
      <c r="P74" s="6">
        <f>MAX(0,$C$4+SUM($O$5:O74))</f>
        <v>8.2756788960858446E-2</v>
      </c>
      <c r="Q74" s="3"/>
      <c r="R74" s="38"/>
    </row>
    <row r="75" spans="11:18" x14ac:dyDescent="0.25">
      <c r="K75">
        <f t="shared" si="15"/>
        <v>71</v>
      </c>
      <c r="L75" s="16">
        <f t="shared" si="11"/>
        <v>45778</v>
      </c>
      <c r="M75" s="8">
        <f t="shared" si="12"/>
        <v>2025</v>
      </c>
      <c r="N75" s="33">
        <f t="shared" si="13"/>
        <v>1</v>
      </c>
      <c r="O75">
        <f t="shared" si="14"/>
        <v>-1.1803018153685965E-4</v>
      </c>
      <c r="P75" s="6">
        <f>MAX(0,$C$4+SUM($O$5:O75))</f>
        <v>8.2638758779321586E-2</v>
      </c>
      <c r="Q75" s="3"/>
      <c r="R75" s="38"/>
    </row>
    <row r="76" spans="11:18" x14ac:dyDescent="0.25">
      <c r="K76">
        <f t="shared" si="15"/>
        <v>72</v>
      </c>
      <c r="L76" s="16">
        <f t="shared" si="11"/>
        <v>45809</v>
      </c>
      <c r="M76" s="8">
        <f t="shared" si="12"/>
        <v>2025</v>
      </c>
      <c r="N76" s="33">
        <f t="shared" si="13"/>
        <v>1</v>
      </c>
      <c r="O76">
        <f t="shared" si="14"/>
        <v>-1.1803018153685965E-4</v>
      </c>
      <c r="P76" s="6">
        <f>MAX(0,$C$4+SUM($O$5:O76))</f>
        <v>8.2520728597784726E-2</v>
      </c>
      <c r="Q76" s="3"/>
      <c r="R76" s="38"/>
    </row>
    <row r="77" spans="11:18" x14ac:dyDescent="0.25">
      <c r="K77">
        <f t="shared" si="15"/>
        <v>73</v>
      </c>
      <c r="L77" s="16">
        <f t="shared" si="11"/>
        <v>45839</v>
      </c>
      <c r="M77" s="8">
        <f t="shared" si="12"/>
        <v>2025</v>
      </c>
      <c r="N77" s="33">
        <f t="shared" si="13"/>
        <v>1</v>
      </c>
      <c r="O77">
        <f t="shared" si="14"/>
        <v>-1.1803018153685965E-4</v>
      </c>
      <c r="P77" s="6">
        <f>MAX(0,$C$4+SUM($O$5:O77))</f>
        <v>8.2402698416247866E-2</v>
      </c>
      <c r="Q77" s="3"/>
      <c r="R77" s="38"/>
    </row>
    <row r="78" spans="11:18" x14ac:dyDescent="0.25">
      <c r="K78">
        <f t="shared" si="15"/>
        <v>74</v>
      </c>
      <c r="L78" s="16">
        <f t="shared" si="11"/>
        <v>45870</v>
      </c>
      <c r="M78" s="8">
        <f t="shared" si="12"/>
        <v>2025</v>
      </c>
      <c r="N78" s="33">
        <f t="shared" si="13"/>
        <v>1</v>
      </c>
      <c r="O78">
        <f t="shared" si="14"/>
        <v>-1.1803018153685965E-4</v>
      </c>
      <c r="P78" s="6">
        <f>MAX(0,$C$4+SUM($O$5:O78))</f>
        <v>8.2284668234711006E-2</v>
      </c>
      <c r="Q78" s="3"/>
      <c r="R78" s="38"/>
    </row>
    <row r="79" spans="11:18" x14ac:dyDescent="0.25">
      <c r="K79">
        <f t="shared" si="15"/>
        <v>75</v>
      </c>
      <c r="L79" s="16">
        <f t="shared" si="11"/>
        <v>45901</v>
      </c>
      <c r="M79" s="8">
        <f t="shared" si="12"/>
        <v>2025</v>
      </c>
      <c r="N79" s="33">
        <f t="shared" si="13"/>
        <v>1</v>
      </c>
      <c r="O79">
        <f t="shared" si="14"/>
        <v>-1.1803018153685965E-4</v>
      </c>
      <c r="P79" s="6">
        <f>MAX(0,$C$4+SUM($O$5:O79))</f>
        <v>8.2166638053174146E-2</v>
      </c>
      <c r="Q79" s="3"/>
      <c r="R79" s="38"/>
    </row>
    <row r="80" spans="11:18" x14ac:dyDescent="0.25">
      <c r="K80">
        <f t="shared" si="15"/>
        <v>76</v>
      </c>
      <c r="L80" s="16">
        <f t="shared" si="11"/>
        <v>45931</v>
      </c>
      <c r="M80" s="8">
        <f t="shared" si="12"/>
        <v>2025</v>
      </c>
      <c r="N80" s="33">
        <f t="shared" si="13"/>
        <v>1</v>
      </c>
      <c r="O80">
        <f t="shared" si="14"/>
        <v>-1.1803018153685965E-4</v>
      </c>
      <c r="P80" s="6">
        <f>MAX(0,$C$4+SUM($O$5:O80))</f>
        <v>8.2048607871637286E-2</v>
      </c>
      <c r="Q80" s="3"/>
      <c r="R80" s="38"/>
    </row>
    <row r="81" spans="11:18" x14ac:dyDescent="0.25">
      <c r="K81">
        <f t="shared" si="15"/>
        <v>77</v>
      </c>
      <c r="L81" s="16">
        <f t="shared" si="11"/>
        <v>45962</v>
      </c>
      <c r="M81" s="8">
        <f t="shared" si="12"/>
        <v>2025</v>
      </c>
      <c r="N81" s="33">
        <f t="shared" si="13"/>
        <v>1</v>
      </c>
      <c r="O81">
        <f t="shared" si="14"/>
        <v>-1.1803018153685965E-4</v>
      </c>
      <c r="P81" s="6">
        <f>MAX(0,$C$4+SUM($O$5:O81))</f>
        <v>8.1930577690100426E-2</v>
      </c>
      <c r="Q81" s="3"/>
      <c r="R81" s="38"/>
    </row>
    <row r="82" spans="11:18" x14ac:dyDescent="0.25">
      <c r="K82">
        <f t="shared" si="15"/>
        <v>78</v>
      </c>
      <c r="L82" s="16">
        <f t="shared" si="11"/>
        <v>45992</v>
      </c>
      <c r="M82" s="8">
        <f t="shared" si="12"/>
        <v>2025</v>
      </c>
      <c r="N82" s="33">
        <f t="shared" si="13"/>
        <v>1</v>
      </c>
      <c r="O82">
        <f t="shared" si="14"/>
        <v>-1.1803018153685965E-4</v>
      </c>
      <c r="P82" s="6">
        <f>MAX(0,$C$4+SUM($O$5:O82))</f>
        <v>8.1812547508563566E-2</v>
      </c>
      <c r="Q82" s="3"/>
      <c r="R82" s="38"/>
    </row>
    <row r="83" spans="11:18" x14ac:dyDescent="0.25">
      <c r="K83">
        <f t="shared" si="15"/>
        <v>79</v>
      </c>
      <c r="L83" s="16">
        <f t="shared" si="11"/>
        <v>46023</v>
      </c>
      <c r="M83" s="8">
        <f t="shared" si="12"/>
        <v>2026</v>
      </c>
      <c r="N83" s="33">
        <f t="shared" si="13"/>
        <v>1</v>
      </c>
      <c r="O83">
        <f t="shared" si="14"/>
        <v>-1.1803018153685965E-4</v>
      </c>
      <c r="P83" s="6">
        <f>MAX(0,$C$4+SUM($O$5:O83))</f>
        <v>8.1694517327026706E-2</v>
      </c>
      <c r="Q83" s="3"/>
      <c r="R83" s="38"/>
    </row>
    <row r="84" spans="11:18" x14ac:dyDescent="0.25">
      <c r="K84">
        <f t="shared" si="15"/>
        <v>80</v>
      </c>
      <c r="L84" s="16">
        <f t="shared" si="11"/>
        <v>46054</v>
      </c>
      <c r="M84" s="8">
        <f t="shared" si="12"/>
        <v>2026</v>
      </c>
      <c r="N84" s="33">
        <f t="shared" si="13"/>
        <v>1</v>
      </c>
      <c r="O84">
        <f t="shared" si="14"/>
        <v>-1.1803018153685965E-4</v>
      </c>
      <c r="P84" s="6">
        <f>MAX(0,$C$4+SUM($O$5:O84))</f>
        <v>8.1576487145489845E-2</v>
      </c>
      <c r="Q84" s="3"/>
      <c r="R84" s="38"/>
    </row>
    <row r="85" spans="11:18" x14ac:dyDescent="0.25">
      <c r="K85">
        <f t="shared" si="15"/>
        <v>81</v>
      </c>
      <c r="L85" s="16">
        <f t="shared" si="11"/>
        <v>46082</v>
      </c>
      <c r="M85" s="8">
        <f t="shared" si="12"/>
        <v>2026</v>
      </c>
      <c r="N85" s="33">
        <f t="shared" si="13"/>
        <v>1</v>
      </c>
      <c r="O85">
        <f t="shared" si="14"/>
        <v>-1.1803018153685965E-4</v>
      </c>
      <c r="P85" s="6">
        <f>MAX(0,$C$4+SUM($O$5:O85))</f>
        <v>8.1458456963952985E-2</v>
      </c>
      <c r="Q85" s="3"/>
      <c r="R85" s="38"/>
    </row>
    <row r="86" spans="11:18" x14ac:dyDescent="0.25">
      <c r="K86">
        <f t="shared" si="15"/>
        <v>82</v>
      </c>
      <c r="L86" s="16">
        <f t="shared" si="11"/>
        <v>46113</v>
      </c>
      <c r="M86" s="8">
        <f t="shared" si="12"/>
        <v>2026</v>
      </c>
      <c r="N86" s="33">
        <f t="shared" si="13"/>
        <v>1</v>
      </c>
      <c r="O86">
        <f t="shared" si="14"/>
        <v>-1.1803018153685965E-4</v>
      </c>
      <c r="P86" s="6">
        <f>MAX(0,$C$4+SUM($O$5:O86))</f>
        <v>8.1340426782416125E-2</v>
      </c>
      <c r="Q86" s="3"/>
      <c r="R86" s="38"/>
    </row>
    <row r="87" spans="11:18" x14ac:dyDescent="0.25">
      <c r="K87">
        <f t="shared" si="15"/>
        <v>83</v>
      </c>
      <c r="L87" s="16">
        <f t="shared" si="11"/>
        <v>46143</v>
      </c>
      <c r="M87" s="8">
        <f t="shared" si="12"/>
        <v>2026</v>
      </c>
      <c r="N87" s="33">
        <f t="shared" si="13"/>
        <v>1</v>
      </c>
      <c r="O87">
        <f t="shared" si="14"/>
        <v>-1.1803018153685965E-4</v>
      </c>
      <c r="P87" s="6">
        <f>MAX(0,$C$4+SUM($O$5:O87))</f>
        <v>8.1222396600879265E-2</v>
      </c>
      <c r="Q87" s="3"/>
      <c r="R87" s="38"/>
    </row>
    <row r="88" spans="11:18" x14ac:dyDescent="0.25">
      <c r="K88">
        <f t="shared" si="15"/>
        <v>84</v>
      </c>
      <c r="L88" s="16">
        <f t="shared" si="11"/>
        <v>46174</v>
      </c>
      <c r="M88" s="8">
        <f t="shared" si="12"/>
        <v>2026</v>
      </c>
      <c r="N88" s="33">
        <f t="shared" si="13"/>
        <v>1</v>
      </c>
      <c r="O88">
        <f t="shared" si="14"/>
        <v>-1.1803018153685965E-4</v>
      </c>
      <c r="P88" s="6">
        <f>MAX(0,$C$4+SUM($O$5:O88))</f>
        <v>8.1104366419342405E-2</v>
      </c>
      <c r="Q88" s="3"/>
      <c r="R88" s="38"/>
    </row>
    <row r="89" spans="11:18" x14ac:dyDescent="0.25">
      <c r="K89">
        <f t="shared" si="15"/>
        <v>85</v>
      </c>
      <c r="L89" s="16">
        <f t="shared" si="11"/>
        <v>46204</v>
      </c>
      <c r="M89" s="8">
        <f t="shared" si="12"/>
        <v>2026</v>
      </c>
      <c r="N89" s="33">
        <f t="shared" si="13"/>
        <v>1</v>
      </c>
      <c r="O89">
        <f t="shared" si="14"/>
        <v>-1.1803018153685965E-4</v>
      </c>
      <c r="P89" s="6">
        <f>MAX(0,$C$4+SUM($O$5:O89))</f>
        <v>8.0986336237805545E-2</v>
      </c>
      <c r="Q89" s="3"/>
      <c r="R89" s="38"/>
    </row>
    <row r="90" spans="11:18" x14ac:dyDescent="0.25">
      <c r="K90">
        <f t="shared" si="15"/>
        <v>86</v>
      </c>
      <c r="L90" s="16">
        <f t="shared" si="11"/>
        <v>46235</v>
      </c>
      <c r="M90" s="8">
        <f t="shared" si="12"/>
        <v>2026</v>
      </c>
      <c r="N90" s="33">
        <f t="shared" si="13"/>
        <v>1</v>
      </c>
      <c r="O90">
        <f t="shared" si="14"/>
        <v>-1.1803018153685965E-4</v>
      </c>
      <c r="P90" s="6">
        <f>MAX(0,$C$4+SUM($O$5:O90))</f>
        <v>8.0868306056268685E-2</v>
      </c>
      <c r="Q90" s="3"/>
      <c r="R90" s="38"/>
    </row>
    <row r="91" spans="11:18" x14ac:dyDescent="0.25">
      <c r="K91">
        <f t="shared" si="15"/>
        <v>87</v>
      </c>
      <c r="L91" s="16">
        <f t="shared" si="11"/>
        <v>46266</v>
      </c>
      <c r="M91" s="8">
        <f t="shared" si="12"/>
        <v>2026</v>
      </c>
      <c r="N91" s="33">
        <f t="shared" si="13"/>
        <v>1</v>
      </c>
      <c r="O91">
        <f t="shared" si="14"/>
        <v>-1.1803018153685965E-4</v>
      </c>
      <c r="P91" s="6">
        <f>MAX(0,$C$4+SUM($O$5:O91))</f>
        <v>8.0750275874731825E-2</v>
      </c>
      <c r="Q91" s="3"/>
      <c r="R91" s="38"/>
    </row>
    <row r="92" spans="11:18" x14ac:dyDescent="0.25">
      <c r="K92">
        <f t="shared" si="15"/>
        <v>88</v>
      </c>
      <c r="L92" s="16">
        <f t="shared" si="11"/>
        <v>46296</v>
      </c>
      <c r="M92" s="8">
        <f t="shared" si="12"/>
        <v>2026</v>
      </c>
      <c r="N92" s="33">
        <f t="shared" si="13"/>
        <v>1</v>
      </c>
      <c r="O92">
        <f t="shared" si="14"/>
        <v>-1.1803018153685965E-4</v>
      </c>
      <c r="P92" s="6">
        <f>MAX(0,$C$4+SUM($O$5:O92))</f>
        <v>8.0632245693194965E-2</v>
      </c>
      <c r="Q92" s="3"/>
      <c r="R92" s="38"/>
    </row>
    <row r="93" spans="11:18" x14ac:dyDescent="0.25">
      <c r="K93">
        <f t="shared" si="15"/>
        <v>89</v>
      </c>
      <c r="L93" s="16">
        <f t="shared" si="11"/>
        <v>46327</v>
      </c>
      <c r="M93" s="8">
        <f t="shared" si="12"/>
        <v>2026</v>
      </c>
      <c r="N93" s="33">
        <f t="shared" si="13"/>
        <v>1</v>
      </c>
      <c r="O93">
        <f t="shared" si="14"/>
        <v>-1.1803018153685965E-4</v>
      </c>
      <c r="P93" s="6">
        <f>MAX(0,$C$4+SUM($O$5:O93))</f>
        <v>8.0514215511658105E-2</v>
      </c>
      <c r="Q93" s="3"/>
      <c r="R93" s="38"/>
    </row>
    <row r="94" spans="11:18" x14ac:dyDescent="0.25">
      <c r="K94">
        <f t="shared" si="15"/>
        <v>90</v>
      </c>
      <c r="L94" s="16">
        <f t="shared" si="11"/>
        <v>46357</v>
      </c>
      <c r="M94" s="8">
        <f t="shared" si="12"/>
        <v>2026</v>
      </c>
      <c r="N94" s="33">
        <f t="shared" si="13"/>
        <v>1</v>
      </c>
      <c r="O94">
        <f t="shared" si="14"/>
        <v>-1.1803018153685965E-4</v>
      </c>
      <c r="P94" s="6">
        <f>MAX(0,$C$4+SUM($O$5:O94))</f>
        <v>8.0396185330121245E-2</v>
      </c>
      <c r="Q94" s="3"/>
      <c r="R94" s="38"/>
    </row>
    <row r="95" spans="11:18" x14ac:dyDescent="0.25">
      <c r="K95">
        <f t="shared" si="15"/>
        <v>91</v>
      </c>
      <c r="L95" s="16">
        <f t="shared" si="11"/>
        <v>46388</v>
      </c>
      <c r="M95" s="8">
        <f t="shared" si="12"/>
        <v>2027</v>
      </c>
      <c r="N95" s="33">
        <f t="shared" si="13"/>
        <v>1</v>
      </c>
      <c r="O95">
        <f t="shared" si="14"/>
        <v>-1.1803018153685965E-4</v>
      </c>
      <c r="P95" s="6">
        <f>MAX(0,$C$4+SUM($O$5:O95))</f>
        <v>8.0278155148584385E-2</v>
      </c>
      <c r="Q95" s="3"/>
      <c r="R95" s="38"/>
    </row>
    <row r="96" spans="11:18" x14ac:dyDescent="0.25">
      <c r="K96">
        <f t="shared" si="15"/>
        <v>92</v>
      </c>
      <c r="L96" s="16">
        <f t="shared" si="11"/>
        <v>46419</v>
      </c>
      <c r="M96" s="8">
        <f t="shared" si="12"/>
        <v>2027</v>
      </c>
      <c r="N96" s="33">
        <f t="shared" si="13"/>
        <v>1</v>
      </c>
      <c r="O96">
        <f t="shared" si="14"/>
        <v>-1.1803018153685965E-4</v>
      </c>
      <c r="P96" s="6">
        <f>MAX(0,$C$4+SUM($O$5:O96))</f>
        <v>8.0160124967047525E-2</v>
      </c>
      <c r="Q96" s="3"/>
      <c r="R96" s="38"/>
    </row>
    <row r="97" spans="11:18" x14ac:dyDescent="0.25">
      <c r="K97">
        <f t="shared" si="15"/>
        <v>93</v>
      </c>
      <c r="L97" s="16">
        <f t="shared" si="11"/>
        <v>46447</v>
      </c>
      <c r="M97" s="8">
        <f t="shared" si="12"/>
        <v>2027</v>
      </c>
      <c r="N97" s="33">
        <f t="shared" si="13"/>
        <v>1</v>
      </c>
      <c r="O97">
        <f t="shared" si="14"/>
        <v>-1.1803018153685965E-4</v>
      </c>
      <c r="P97" s="6">
        <f>MAX(0,$C$4+SUM($O$5:O97))</f>
        <v>8.0042094785510665E-2</v>
      </c>
      <c r="Q97" s="3"/>
      <c r="R97" s="38"/>
    </row>
    <row r="98" spans="11:18" x14ac:dyDescent="0.25">
      <c r="K98">
        <f t="shared" si="15"/>
        <v>94</v>
      </c>
      <c r="L98" s="16">
        <f t="shared" si="11"/>
        <v>46478</v>
      </c>
      <c r="M98" s="8">
        <f t="shared" si="12"/>
        <v>2027</v>
      </c>
      <c r="N98" s="33">
        <f t="shared" si="13"/>
        <v>1</v>
      </c>
      <c r="O98">
        <f t="shared" si="14"/>
        <v>-1.1803018153685965E-4</v>
      </c>
      <c r="P98" s="6">
        <f>MAX(0,$C$4+SUM($O$5:O98))</f>
        <v>7.9924064603973805E-2</v>
      </c>
      <c r="Q98" s="3"/>
      <c r="R98" s="38"/>
    </row>
    <row r="99" spans="11:18" x14ac:dyDescent="0.25">
      <c r="K99">
        <f t="shared" si="15"/>
        <v>95</v>
      </c>
      <c r="L99" s="16">
        <f t="shared" si="11"/>
        <v>46508</v>
      </c>
      <c r="M99" s="8">
        <f t="shared" si="12"/>
        <v>2027</v>
      </c>
      <c r="N99" s="33">
        <f t="shared" si="13"/>
        <v>1</v>
      </c>
      <c r="O99">
        <f t="shared" si="14"/>
        <v>-1.1803018153685965E-4</v>
      </c>
      <c r="P99" s="6">
        <f>MAX(0,$C$4+SUM($O$5:O99))</f>
        <v>7.9806034422436944E-2</v>
      </c>
      <c r="Q99" s="3"/>
      <c r="R99" s="38"/>
    </row>
    <row r="100" spans="11:18" x14ac:dyDescent="0.25">
      <c r="K100">
        <f t="shared" si="15"/>
        <v>96</v>
      </c>
      <c r="L100" s="16">
        <f t="shared" si="11"/>
        <v>46539</v>
      </c>
      <c r="M100" s="8">
        <f t="shared" si="12"/>
        <v>2027</v>
      </c>
      <c r="N100" s="33">
        <f t="shared" si="13"/>
        <v>1</v>
      </c>
      <c r="O100">
        <f t="shared" si="14"/>
        <v>-1.1803018153685965E-4</v>
      </c>
      <c r="P100" s="6">
        <f>MAX(0,$C$4+SUM($O$5:O100))</f>
        <v>7.9688004240900084E-2</v>
      </c>
      <c r="Q100" s="3"/>
      <c r="R100" s="38"/>
    </row>
    <row r="101" spans="11:18" x14ac:dyDescent="0.25">
      <c r="K101">
        <f t="shared" si="15"/>
        <v>97</v>
      </c>
      <c r="L101" s="16">
        <f t="shared" si="11"/>
        <v>46569</v>
      </c>
      <c r="M101" s="8">
        <f t="shared" si="12"/>
        <v>2027</v>
      </c>
      <c r="N101" s="33">
        <f t="shared" si="13"/>
        <v>1</v>
      </c>
      <c r="O101">
        <f t="shared" si="14"/>
        <v>-1.1803018153685965E-4</v>
      </c>
      <c r="P101" s="6">
        <f>MAX(0,$C$4+SUM($O$5:O101))</f>
        <v>7.9569974059363224E-2</v>
      </c>
      <c r="Q101" s="3"/>
      <c r="R101" s="38"/>
    </row>
    <row r="102" spans="11:18" x14ac:dyDescent="0.25">
      <c r="K102">
        <f t="shared" si="15"/>
        <v>98</v>
      </c>
      <c r="L102" s="16">
        <f t="shared" si="11"/>
        <v>46600</v>
      </c>
      <c r="M102" s="8">
        <f t="shared" si="12"/>
        <v>2027</v>
      </c>
      <c r="N102" s="33">
        <f t="shared" si="13"/>
        <v>1</v>
      </c>
      <c r="O102">
        <f t="shared" si="14"/>
        <v>-1.1803018153685965E-4</v>
      </c>
      <c r="P102" s="6">
        <f>MAX(0,$C$4+SUM($O$5:O102))</f>
        <v>7.9451943877826364E-2</v>
      </c>
      <c r="Q102" s="3"/>
      <c r="R102" s="38"/>
    </row>
    <row r="103" spans="11:18" x14ac:dyDescent="0.25">
      <c r="K103">
        <f t="shared" si="15"/>
        <v>99</v>
      </c>
      <c r="L103" s="16">
        <f t="shared" si="11"/>
        <v>46631</v>
      </c>
      <c r="M103" s="8">
        <f t="shared" si="12"/>
        <v>2027</v>
      </c>
      <c r="N103" s="33">
        <f t="shared" si="13"/>
        <v>1</v>
      </c>
      <c r="O103">
        <f t="shared" si="14"/>
        <v>-1.1803018153685965E-4</v>
      </c>
      <c r="P103" s="6">
        <f>MAX(0,$C$4+SUM($O$5:O103))</f>
        <v>7.9333913696289504E-2</v>
      </c>
      <c r="Q103" s="3"/>
      <c r="R103" s="38"/>
    </row>
    <row r="104" spans="11:18" x14ac:dyDescent="0.25">
      <c r="K104">
        <f t="shared" si="15"/>
        <v>100</v>
      </c>
      <c r="L104" s="16">
        <f t="shared" si="11"/>
        <v>46661</v>
      </c>
      <c r="M104" s="8">
        <f t="shared" si="12"/>
        <v>2027</v>
      </c>
      <c r="N104" s="33">
        <f t="shared" si="13"/>
        <v>1</v>
      </c>
      <c r="O104">
        <f t="shared" si="14"/>
        <v>-1.1803018153685965E-4</v>
      </c>
      <c r="P104" s="6">
        <f>MAX(0,$C$4+SUM($O$5:O104))</f>
        <v>7.9215883514752644E-2</v>
      </c>
      <c r="Q104" s="3"/>
      <c r="R104" s="38"/>
    </row>
    <row r="105" spans="11:18" x14ac:dyDescent="0.25">
      <c r="K105">
        <f t="shared" si="15"/>
        <v>101</v>
      </c>
      <c r="L105" s="16">
        <f t="shared" si="11"/>
        <v>46692</v>
      </c>
      <c r="M105" s="8">
        <f t="shared" si="12"/>
        <v>2027</v>
      </c>
      <c r="N105" s="33">
        <f t="shared" si="13"/>
        <v>1</v>
      </c>
      <c r="O105">
        <f t="shared" si="14"/>
        <v>-1.1803018153685965E-4</v>
      </c>
      <c r="P105" s="6">
        <f>MAX(0,$C$4+SUM($O$5:O105))</f>
        <v>7.9097853333215784E-2</v>
      </c>
      <c r="Q105" s="3"/>
      <c r="R105" s="38"/>
    </row>
    <row r="106" spans="11:18" x14ac:dyDescent="0.25">
      <c r="K106">
        <f t="shared" si="15"/>
        <v>102</v>
      </c>
      <c r="L106" s="16">
        <f t="shared" si="11"/>
        <v>46722</v>
      </c>
      <c r="M106" s="8">
        <f t="shared" si="12"/>
        <v>2027</v>
      </c>
      <c r="N106" s="33">
        <f t="shared" si="13"/>
        <v>1</v>
      </c>
      <c r="O106">
        <f t="shared" si="14"/>
        <v>-1.1803018153685965E-4</v>
      </c>
      <c r="P106" s="6">
        <f>MAX(0,$C$4+SUM($O$5:O106))</f>
        <v>7.8979823151678924E-2</v>
      </c>
      <c r="Q106" s="3"/>
      <c r="R106" s="38"/>
    </row>
    <row r="107" spans="11:18" x14ac:dyDescent="0.25">
      <c r="K107">
        <f t="shared" si="15"/>
        <v>103</v>
      </c>
      <c r="L107" s="16">
        <f t="shared" si="11"/>
        <v>46753</v>
      </c>
      <c r="M107" s="8">
        <f t="shared" si="12"/>
        <v>2028</v>
      </c>
      <c r="N107" s="33">
        <f t="shared" si="13"/>
        <v>1</v>
      </c>
      <c r="O107">
        <f t="shared" si="14"/>
        <v>-1.1803018153685965E-4</v>
      </c>
      <c r="P107" s="6">
        <f>MAX(0,$C$4+SUM($O$5:O107))</f>
        <v>7.8861792970142064E-2</v>
      </c>
      <c r="Q107" s="3"/>
      <c r="R107" s="38"/>
    </row>
    <row r="108" spans="11:18" x14ac:dyDescent="0.25">
      <c r="K108">
        <f t="shared" si="15"/>
        <v>104</v>
      </c>
      <c r="L108" s="16">
        <f t="shared" si="11"/>
        <v>46784</v>
      </c>
      <c r="M108" s="8">
        <f t="shared" si="12"/>
        <v>2028</v>
      </c>
      <c r="N108" s="33">
        <f t="shared" si="13"/>
        <v>1</v>
      </c>
      <c r="O108">
        <f t="shared" si="14"/>
        <v>-1.1803018153685965E-4</v>
      </c>
      <c r="P108" s="6">
        <f>MAX(0,$C$4+SUM($O$5:O108))</f>
        <v>7.8743762788605204E-2</v>
      </c>
      <c r="Q108" s="3"/>
      <c r="R108" s="38"/>
    </row>
    <row r="109" spans="11:18" x14ac:dyDescent="0.25">
      <c r="K109">
        <f t="shared" si="15"/>
        <v>105</v>
      </c>
      <c r="L109" s="16">
        <f t="shared" si="11"/>
        <v>46813</v>
      </c>
      <c r="M109" s="8">
        <f t="shared" si="12"/>
        <v>2028</v>
      </c>
      <c r="N109" s="33">
        <f t="shared" si="13"/>
        <v>1</v>
      </c>
      <c r="O109">
        <f t="shared" si="14"/>
        <v>-1.1803018153685965E-4</v>
      </c>
      <c r="P109" s="6">
        <f>MAX(0,$C$4+SUM($O$5:O109))</f>
        <v>7.8625732607068344E-2</v>
      </c>
      <c r="Q109" s="3"/>
      <c r="R109" s="38"/>
    </row>
    <row r="110" spans="11:18" x14ac:dyDescent="0.25">
      <c r="K110">
        <f t="shared" si="15"/>
        <v>106</v>
      </c>
      <c r="L110" s="16">
        <f t="shared" si="11"/>
        <v>46844</v>
      </c>
      <c r="M110" s="8">
        <f t="shared" si="12"/>
        <v>2028</v>
      </c>
      <c r="N110" s="33">
        <f t="shared" si="13"/>
        <v>1</v>
      </c>
      <c r="O110">
        <f t="shared" si="14"/>
        <v>-1.1803018153685965E-4</v>
      </c>
      <c r="P110" s="6">
        <f>MAX(0,$C$4+SUM($O$5:O110))</f>
        <v>7.8507702425531484E-2</v>
      </c>
      <c r="Q110" s="3"/>
      <c r="R110" s="38"/>
    </row>
    <row r="111" spans="11:18" x14ac:dyDescent="0.25">
      <c r="K111">
        <f t="shared" si="15"/>
        <v>107</v>
      </c>
      <c r="L111" s="16">
        <f t="shared" si="11"/>
        <v>46874</v>
      </c>
      <c r="M111" s="8">
        <f t="shared" si="12"/>
        <v>2028</v>
      </c>
      <c r="N111" s="33">
        <f t="shared" si="13"/>
        <v>1</v>
      </c>
      <c r="O111">
        <f t="shared" si="14"/>
        <v>-1.1803018153685965E-4</v>
      </c>
      <c r="P111" s="6">
        <f>MAX(0,$C$4+SUM($O$5:O111))</f>
        <v>7.8389672243994624E-2</v>
      </c>
      <c r="Q111" s="3"/>
      <c r="R111" s="38"/>
    </row>
    <row r="112" spans="11:18" x14ac:dyDescent="0.25">
      <c r="K112">
        <f t="shared" si="15"/>
        <v>108</v>
      </c>
      <c r="L112" s="16">
        <f t="shared" si="11"/>
        <v>46905</v>
      </c>
      <c r="M112" s="8">
        <f t="shared" si="12"/>
        <v>2028</v>
      </c>
      <c r="N112" s="33">
        <f t="shared" si="13"/>
        <v>1</v>
      </c>
      <c r="O112">
        <f t="shared" si="14"/>
        <v>-1.1803018153685965E-4</v>
      </c>
      <c r="P112" s="6">
        <f>MAX(0,$C$4+SUM($O$5:O112))</f>
        <v>7.8271642062457764E-2</v>
      </c>
      <c r="Q112" s="3"/>
      <c r="R112" s="38"/>
    </row>
    <row r="113" spans="11:18" x14ac:dyDescent="0.25">
      <c r="K113">
        <f t="shared" si="15"/>
        <v>109</v>
      </c>
      <c r="L113" s="16">
        <f t="shared" si="11"/>
        <v>46935</v>
      </c>
      <c r="M113" s="8">
        <f t="shared" si="12"/>
        <v>2028</v>
      </c>
      <c r="N113" s="33">
        <f t="shared" si="13"/>
        <v>1</v>
      </c>
      <c r="O113">
        <f t="shared" si="14"/>
        <v>-1.1803018153685965E-4</v>
      </c>
      <c r="P113" s="6">
        <f>MAX(0,$C$4+SUM($O$5:O113))</f>
        <v>7.8153611880920903E-2</v>
      </c>
      <c r="Q113" s="3"/>
      <c r="R113" s="38"/>
    </row>
    <row r="114" spans="11:18" x14ac:dyDescent="0.25">
      <c r="K114">
        <f t="shared" si="15"/>
        <v>110</v>
      </c>
      <c r="L114" s="16">
        <f t="shared" si="11"/>
        <v>46966</v>
      </c>
      <c r="M114" s="8">
        <f t="shared" si="12"/>
        <v>2028</v>
      </c>
      <c r="N114" s="33">
        <f t="shared" si="13"/>
        <v>1</v>
      </c>
      <c r="O114">
        <f t="shared" si="14"/>
        <v>-1.1803018153685965E-4</v>
      </c>
      <c r="P114" s="6">
        <f>MAX(0,$C$4+SUM($O$5:O114))</f>
        <v>7.8035581699384043E-2</v>
      </c>
      <c r="Q114" s="3"/>
      <c r="R114" s="38"/>
    </row>
    <row r="115" spans="11:18" x14ac:dyDescent="0.25">
      <c r="K115">
        <f t="shared" si="15"/>
        <v>111</v>
      </c>
      <c r="L115" s="16">
        <f t="shared" si="11"/>
        <v>46997</v>
      </c>
      <c r="M115" s="8">
        <f t="shared" si="12"/>
        <v>2028</v>
      </c>
      <c r="N115" s="33">
        <f t="shared" si="13"/>
        <v>1</v>
      </c>
      <c r="O115">
        <f t="shared" si="14"/>
        <v>-1.1803018153685965E-4</v>
      </c>
      <c r="P115" s="6">
        <f>MAX(0,$C$4+SUM($O$5:O115))</f>
        <v>7.7917551517847183E-2</v>
      </c>
      <c r="Q115" s="3"/>
      <c r="R115" s="38"/>
    </row>
    <row r="116" spans="11:18" x14ac:dyDescent="0.25">
      <c r="K116">
        <f t="shared" si="15"/>
        <v>112</v>
      </c>
      <c r="L116" s="16">
        <f t="shared" si="11"/>
        <v>47027</v>
      </c>
      <c r="M116" s="8">
        <f t="shared" si="12"/>
        <v>2028</v>
      </c>
      <c r="N116" s="33">
        <f t="shared" si="13"/>
        <v>1</v>
      </c>
      <c r="O116">
        <f t="shared" si="14"/>
        <v>-1.1803018153685965E-4</v>
      </c>
      <c r="P116" s="6">
        <f>MAX(0,$C$4+SUM($O$5:O116))</f>
        <v>7.7799521336310323E-2</v>
      </c>
      <c r="Q116" s="3"/>
      <c r="R116" s="38"/>
    </row>
    <row r="117" spans="11:18" x14ac:dyDescent="0.25">
      <c r="K117">
        <f t="shared" si="15"/>
        <v>113</v>
      </c>
      <c r="L117" s="16">
        <f t="shared" si="11"/>
        <v>47058</v>
      </c>
      <c r="M117" s="8">
        <f t="shared" si="12"/>
        <v>2028</v>
      </c>
      <c r="N117" s="33">
        <f t="shared" si="13"/>
        <v>1</v>
      </c>
      <c r="O117">
        <f t="shared" si="14"/>
        <v>-1.1803018153685965E-4</v>
      </c>
      <c r="P117" s="6">
        <f>MAX(0,$C$4+SUM($O$5:O117))</f>
        <v>7.7681491154773463E-2</v>
      </c>
      <c r="Q117" s="3"/>
      <c r="R117" s="38"/>
    </row>
    <row r="118" spans="11:18" x14ac:dyDescent="0.25">
      <c r="K118">
        <f t="shared" si="15"/>
        <v>114</v>
      </c>
      <c r="L118" s="16">
        <f t="shared" si="11"/>
        <v>47088</v>
      </c>
      <c r="M118" s="8">
        <f t="shared" si="12"/>
        <v>2028</v>
      </c>
      <c r="N118" s="33">
        <f t="shared" si="13"/>
        <v>1</v>
      </c>
      <c r="O118">
        <f t="shared" si="14"/>
        <v>-1.1803018153685965E-4</v>
      </c>
      <c r="P118" s="6">
        <f>MAX(0,$C$4+SUM($O$5:O118))</f>
        <v>7.7563460973236603E-2</v>
      </c>
      <c r="Q118" s="3"/>
      <c r="R118" s="38"/>
    </row>
    <row r="119" spans="11:18" x14ac:dyDescent="0.25">
      <c r="K119">
        <f t="shared" si="15"/>
        <v>115</v>
      </c>
      <c r="L119" s="16">
        <f t="shared" si="11"/>
        <v>47119</v>
      </c>
      <c r="M119" s="8">
        <f t="shared" si="12"/>
        <v>2029</v>
      </c>
      <c r="N119" s="33">
        <f t="shared" si="13"/>
        <v>1</v>
      </c>
      <c r="O119">
        <f t="shared" si="14"/>
        <v>-1.1803018153685965E-4</v>
      </c>
      <c r="P119" s="6">
        <f>MAX(0,$C$4+SUM($O$5:O119))</f>
        <v>7.7445430791699743E-2</v>
      </c>
      <c r="Q119" s="3"/>
      <c r="R119" s="38"/>
    </row>
    <row r="120" spans="11:18" x14ac:dyDescent="0.25">
      <c r="K120">
        <f t="shared" si="15"/>
        <v>116</v>
      </c>
      <c r="L120" s="16">
        <f t="shared" si="11"/>
        <v>47150</v>
      </c>
      <c r="M120" s="8">
        <f t="shared" si="12"/>
        <v>2029</v>
      </c>
      <c r="N120" s="33">
        <f t="shared" si="13"/>
        <v>1</v>
      </c>
      <c r="O120">
        <f t="shared" si="14"/>
        <v>-1.1803018153685965E-4</v>
      </c>
      <c r="P120" s="6">
        <f>MAX(0,$C$4+SUM($O$5:O120))</f>
        <v>7.7327400610162883E-2</v>
      </c>
      <c r="Q120" s="3"/>
      <c r="R120" s="38"/>
    </row>
    <row r="121" spans="11:18" x14ac:dyDescent="0.25">
      <c r="K121">
        <f t="shared" si="15"/>
        <v>117</v>
      </c>
      <c r="L121" s="16">
        <f t="shared" si="11"/>
        <v>47178</v>
      </c>
      <c r="M121" s="8">
        <f t="shared" si="12"/>
        <v>2029</v>
      </c>
      <c r="N121" s="33">
        <f t="shared" si="13"/>
        <v>1</v>
      </c>
      <c r="O121">
        <f t="shared" si="14"/>
        <v>-1.1803018153685965E-4</v>
      </c>
      <c r="P121" s="6">
        <f>MAX(0,$C$4+SUM($O$5:O121))</f>
        <v>7.7209370428626023E-2</v>
      </c>
      <c r="Q121" s="3"/>
      <c r="R121" s="38"/>
    </row>
    <row r="122" spans="11:18" x14ac:dyDescent="0.25">
      <c r="K122">
        <f t="shared" si="15"/>
        <v>118</v>
      </c>
      <c r="L122" s="16">
        <f t="shared" si="11"/>
        <v>47209</v>
      </c>
      <c r="M122" s="8">
        <f t="shared" si="12"/>
        <v>2029</v>
      </c>
      <c r="N122" s="33">
        <f t="shared" si="13"/>
        <v>1</v>
      </c>
      <c r="O122">
        <f t="shared" si="14"/>
        <v>-1.1803018153685965E-4</v>
      </c>
      <c r="P122" s="6">
        <f>MAX(0,$C$4+SUM($O$5:O122))</f>
        <v>7.7091340247089163E-2</v>
      </c>
      <c r="Q122" s="3"/>
      <c r="R122" s="38"/>
    </row>
    <row r="123" spans="11:18" x14ac:dyDescent="0.25">
      <c r="K123">
        <f t="shared" si="15"/>
        <v>119</v>
      </c>
      <c r="L123" s="16">
        <f t="shared" si="11"/>
        <v>47239</v>
      </c>
      <c r="M123" s="8">
        <f t="shared" si="12"/>
        <v>2029</v>
      </c>
      <c r="N123" s="33">
        <f t="shared" si="13"/>
        <v>1</v>
      </c>
      <c r="O123">
        <f t="shared" si="14"/>
        <v>-1.1803018153685965E-4</v>
      </c>
      <c r="P123" s="6">
        <f>MAX(0,$C$4+SUM($O$5:O123))</f>
        <v>7.6973310065552303E-2</v>
      </c>
      <c r="Q123" s="3"/>
      <c r="R123" s="38"/>
    </row>
    <row r="124" spans="11:18" x14ac:dyDescent="0.25">
      <c r="K124">
        <f t="shared" si="15"/>
        <v>120</v>
      </c>
      <c r="L124" s="16">
        <f t="shared" si="11"/>
        <v>47270</v>
      </c>
      <c r="M124" s="8">
        <f t="shared" si="12"/>
        <v>2029</v>
      </c>
      <c r="N124" s="33">
        <f t="shared" si="13"/>
        <v>1</v>
      </c>
      <c r="O124">
        <f t="shared" si="14"/>
        <v>-1.1803018153685965E-4</v>
      </c>
      <c r="P124" s="6">
        <f>MAX(0,$C$4+SUM($O$5:O124))</f>
        <v>7.6855279884015443E-2</v>
      </c>
      <c r="Q124" s="3"/>
      <c r="R124" s="38"/>
    </row>
    <row r="125" spans="11:18" x14ac:dyDescent="0.25">
      <c r="K125">
        <f t="shared" si="15"/>
        <v>121</v>
      </c>
      <c r="L125" s="16">
        <f t="shared" si="11"/>
        <v>47300</v>
      </c>
      <c r="M125" s="8">
        <f t="shared" si="12"/>
        <v>2029</v>
      </c>
      <c r="N125" s="33">
        <f t="shared" si="13"/>
        <v>1</v>
      </c>
      <c r="O125">
        <f t="shared" si="14"/>
        <v>-1.1803018153685965E-4</v>
      </c>
      <c r="P125" s="6">
        <f>MAX(0,$C$4+SUM($O$5:O125))</f>
        <v>7.6737249702478583E-2</v>
      </c>
      <c r="Q125" s="3"/>
      <c r="R125" s="38"/>
    </row>
    <row r="126" spans="11:18" x14ac:dyDescent="0.25">
      <c r="K126">
        <f t="shared" si="15"/>
        <v>122</v>
      </c>
      <c r="L126" s="16">
        <f t="shared" si="11"/>
        <v>47331</v>
      </c>
      <c r="M126" s="8">
        <f t="shared" si="12"/>
        <v>2029</v>
      </c>
      <c r="N126" s="33">
        <f t="shared" si="13"/>
        <v>1</v>
      </c>
      <c r="O126">
        <f t="shared" si="14"/>
        <v>-1.1803018153685965E-4</v>
      </c>
      <c r="P126" s="6">
        <f>MAX(0,$C$4+SUM($O$5:O126))</f>
        <v>7.6619219520941723E-2</v>
      </c>
      <c r="Q126" s="3"/>
      <c r="R126" s="38"/>
    </row>
    <row r="127" spans="11:18" x14ac:dyDescent="0.25">
      <c r="K127">
        <f t="shared" si="15"/>
        <v>123</v>
      </c>
      <c r="L127" s="16">
        <f t="shared" si="11"/>
        <v>47362</v>
      </c>
      <c r="M127" s="8">
        <f t="shared" si="12"/>
        <v>2029</v>
      </c>
      <c r="N127" s="33">
        <f t="shared" si="13"/>
        <v>1</v>
      </c>
      <c r="O127">
        <f t="shared" si="14"/>
        <v>-1.1803018153685965E-4</v>
      </c>
      <c r="P127" s="6">
        <f>MAX(0,$C$4+SUM($O$5:O127))</f>
        <v>7.6501189339404863E-2</v>
      </c>
      <c r="Q127" s="3"/>
      <c r="R127" s="38"/>
    </row>
    <row r="128" spans="11:18" x14ac:dyDescent="0.25">
      <c r="K128">
        <f t="shared" si="15"/>
        <v>124</v>
      </c>
      <c r="L128" s="16">
        <f t="shared" si="11"/>
        <v>47392</v>
      </c>
      <c r="M128" s="8">
        <f t="shared" si="12"/>
        <v>2029</v>
      </c>
      <c r="N128" s="33">
        <f t="shared" si="13"/>
        <v>1</v>
      </c>
      <c r="O128">
        <f t="shared" si="14"/>
        <v>-1.1803018153685965E-4</v>
      </c>
      <c r="P128" s="6">
        <f>MAX(0,$C$4+SUM($O$5:O128))</f>
        <v>7.6383159157868002E-2</v>
      </c>
      <c r="Q128" s="3"/>
      <c r="R128" s="38"/>
    </row>
    <row r="129" spans="11:18" x14ac:dyDescent="0.25">
      <c r="K129">
        <f t="shared" si="15"/>
        <v>125</v>
      </c>
      <c r="L129" s="16">
        <f t="shared" si="11"/>
        <v>47423</v>
      </c>
      <c r="M129" s="8">
        <f t="shared" si="12"/>
        <v>2029</v>
      </c>
      <c r="N129" s="33">
        <f t="shared" si="13"/>
        <v>1</v>
      </c>
      <c r="O129">
        <f t="shared" si="14"/>
        <v>-1.1803018153685965E-4</v>
      </c>
      <c r="P129" s="6">
        <f>MAX(0,$C$4+SUM($O$5:O129))</f>
        <v>7.6265128976331142E-2</v>
      </c>
      <c r="Q129" s="3"/>
      <c r="R129" s="38"/>
    </row>
    <row r="130" spans="11:18" x14ac:dyDescent="0.25">
      <c r="K130">
        <f t="shared" si="15"/>
        <v>126</v>
      </c>
      <c r="L130" s="16">
        <f t="shared" si="11"/>
        <v>47453</v>
      </c>
      <c r="M130" s="8">
        <f t="shared" si="12"/>
        <v>2029</v>
      </c>
      <c r="N130" s="33">
        <f t="shared" si="13"/>
        <v>1</v>
      </c>
      <c r="O130">
        <f t="shared" si="14"/>
        <v>-1.1803018153685965E-4</v>
      </c>
      <c r="P130" s="6">
        <f>MAX(0,$C$4+SUM($O$5:O130))</f>
        <v>7.6147098794794282E-2</v>
      </c>
      <c r="Q130" s="3"/>
      <c r="R130" s="38"/>
    </row>
    <row r="131" spans="11:18" x14ac:dyDescent="0.25">
      <c r="K131">
        <f t="shared" si="15"/>
        <v>127</v>
      </c>
      <c r="L131" s="16">
        <f t="shared" si="11"/>
        <v>47484</v>
      </c>
      <c r="M131" s="8">
        <f t="shared" si="12"/>
        <v>2030</v>
      </c>
      <c r="N131" s="33">
        <f t="shared" si="13"/>
        <v>1</v>
      </c>
      <c r="O131">
        <f t="shared" si="14"/>
        <v>-1.1803018153685965E-4</v>
      </c>
      <c r="P131" s="6">
        <f>MAX(0,$C$4+SUM($O$5:O131))</f>
        <v>7.6029068613257422E-2</v>
      </c>
      <c r="Q131" s="3"/>
      <c r="R131" s="38"/>
    </row>
    <row r="132" spans="11:18" x14ac:dyDescent="0.25">
      <c r="K132">
        <f t="shared" si="15"/>
        <v>128</v>
      </c>
      <c r="L132" s="16">
        <f t="shared" si="11"/>
        <v>47515</v>
      </c>
      <c r="M132" s="8">
        <f t="shared" si="12"/>
        <v>2030</v>
      </c>
      <c r="N132" s="33">
        <f t="shared" si="13"/>
        <v>1</v>
      </c>
      <c r="O132">
        <f t="shared" si="14"/>
        <v>-1.1803018153685965E-4</v>
      </c>
      <c r="P132" s="6">
        <f>MAX(0,$C$4+SUM($O$5:O132))</f>
        <v>7.5911038431720562E-2</v>
      </c>
      <c r="Q132" s="3"/>
      <c r="R132" s="38"/>
    </row>
    <row r="133" spans="11:18" x14ac:dyDescent="0.25">
      <c r="K133">
        <f t="shared" si="15"/>
        <v>129</v>
      </c>
      <c r="L133" s="16">
        <f t="shared" si="11"/>
        <v>47543</v>
      </c>
      <c r="M133" s="8">
        <f t="shared" si="12"/>
        <v>2030</v>
      </c>
      <c r="N133" s="33">
        <f t="shared" si="13"/>
        <v>1</v>
      </c>
      <c r="O133">
        <f t="shared" si="14"/>
        <v>-1.1803018153685965E-4</v>
      </c>
      <c r="P133" s="6">
        <f>MAX(0,$C$4+SUM($O$5:O133))</f>
        <v>7.5793008250183702E-2</v>
      </c>
      <c r="Q133" s="3"/>
      <c r="R133" s="38"/>
    </row>
    <row r="134" spans="11:18" x14ac:dyDescent="0.25">
      <c r="K134">
        <f t="shared" si="15"/>
        <v>130</v>
      </c>
      <c r="L134" s="16">
        <f t="shared" ref="L134:L197" si="16">DATE(2019,K134+6,1)</f>
        <v>47574</v>
      </c>
      <c r="M134" s="8">
        <f t="shared" ref="M134:M197" si="17">YEAR(L134)</f>
        <v>2030</v>
      </c>
      <c r="N134" s="33">
        <f t="shared" ref="N134:N197" si="18">COUNTIFS(D:D,"&lt;="&amp;L134)</f>
        <v>1</v>
      </c>
      <c r="O134">
        <f t="shared" ref="O134:O197" si="19">INDEX(E:E,MATCH(N134,A:A,0))</f>
        <v>-1.1803018153685965E-4</v>
      </c>
      <c r="P134" s="6">
        <f>MAX(0,$C$4+SUM($O$5:O134))</f>
        <v>7.5674978068646842E-2</v>
      </c>
      <c r="Q134" s="3"/>
      <c r="R134" s="38"/>
    </row>
    <row r="135" spans="11:18" x14ac:dyDescent="0.25">
      <c r="K135">
        <f t="shared" ref="K135:K198" si="20">K134+1</f>
        <v>131</v>
      </c>
      <c r="L135" s="16">
        <f t="shared" si="16"/>
        <v>47604</v>
      </c>
      <c r="M135" s="8">
        <f t="shared" si="17"/>
        <v>2030</v>
      </c>
      <c r="N135" s="33">
        <f t="shared" si="18"/>
        <v>1</v>
      </c>
      <c r="O135">
        <f t="shared" si="19"/>
        <v>-1.1803018153685965E-4</v>
      </c>
      <c r="P135" s="6">
        <f>MAX(0,$C$4+SUM($O$5:O135))</f>
        <v>7.5556947887109982E-2</v>
      </c>
      <c r="Q135" s="3"/>
      <c r="R135" s="38"/>
    </row>
    <row r="136" spans="11:18" x14ac:dyDescent="0.25">
      <c r="K136">
        <f t="shared" si="20"/>
        <v>132</v>
      </c>
      <c r="L136" s="16">
        <f t="shared" si="16"/>
        <v>47635</v>
      </c>
      <c r="M136" s="8">
        <f t="shared" si="17"/>
        <v>2030</v>
      </c>
      <c r="N136" s="33">
        <f t="shared" si="18"/>
        <v>1</v>
      </c>
      <c r="O136">
        <f t="shared" si="19"/>
        <v>-1.1803018153685965E-4</v>
      </c>
      <c r="P136" s="6">
        <f>MAX(0,$C$4+SUM($O$5:O136))</f>
        <v>7.5438917705573122E-2</v>
      </c>
      <c r="Q136" s="3"/>
      <c r="R136" s="38"/>
    </row>
    <row r="137" spans="11:18" x14ac:dyDescent="0.25">
      <c r="K137">
        <f t="shared" si="20"/>
        <v>133</v>
      </c>
      <c r="L137" s="16">
        <f t="shared" si="16"/>
        <v>47665</v>
      </c>
      <c r="M137" s="8">
        <f t="shared" si="17"/>
        <v>2030</v>
      </c>
      <c r="N137" s="33">
        <f t="shared" si="18"/>
        <v>2</v>
      </c>
      <c r="O137">
        <f t="shared" si="19"/>
        <v>-3.4741606838092887E-4</v>
      </c>
      <c r="P137" s="6">
        <f>MAX(0,$C$4+SUM($O$5:O137))</f>
        <v>7.5091501637192193E-2</v>
      </c>
      <c r="Q137" s="3"/>
      <c r="R137" s="38"/>
    </row>
    <row r="138" spans="11:18" x14ac:dyDescent="0.25">
      <c r="K138">
        <f t="shared" si="20"/>
        <v>134</v>
      </c>
      <c r="L138" s="16">
        <f t="shared" si="16"/>
        <v>47696</v>
      </c>
      <c r="M138" s="8">
        <f t="shared" si="17"/>
        <v>2030</v>
      </c>
      <c r="N138" s="33">
        <f t="shared" si="18"/>
        <v>2</v>
      </c>
      <c r="O138">
        <f t="shared" si="19"/>
        <v>-3.4741606838092887E-4</v>
      </c>
      <c r="P138" s="6">
        <f>MAX(0,$C$4+SUM($O$5:O138))</f>
        <v>7.4744085568811264E-2</v>
      </c>
      <c r="Q138" s="3"/>
      <c r="R138" s="38"/>
    </row>
    <row r="139" spans="11:18" x14ac:dyDescent="0.25">
      <c r="K139">
        <f t="shared" si="20"/>
        <v>135</v>
      </c>
      <c r="L139" s="16">
        <f t="shared" si="16"/>
        <v>47727</v>
      </c>
      <c r="M139" s="8">
        <f t="shared" si="17"/>
        <v>2030</v>
      </c>
      <c r="N139" s="33">
        <f t="shared" si="18"/>
        <v>2</v>
      </c>
      <c r="O139">
        <f t="shared" si="19"/>
        <v>-3.4741606838092887E-4</v>
      </c>
      <c r="P139" s="6">
        <f>MAX(0,$C$4+SUM($O$5:O139))</f>
        <v>7.4396669500430335E-2</v>
      </c>
      <c r="Q139" s="3"/>
      <c r="R139" s="38"/>
    </row>
    <row r="140" spans="11:18" x14ac:dyDescent="0.25">
      <c r="K140">
        <f t="shared" si="20"/>
        <v>136</v>
      </c>
      <c r="L140" s="16">
        <f t="shared" si="16"/>
        <v>47757</v>
      </c>
      <c r="M140" s="8">
        <f t="shared" si="17"/>
        <v>2030</v>
      </c>
      <c r="N140" s="33">
        <f t="shared" si="18"/>
        <v>2</v>
      </c>
      <c r="O140">
        <f t="shared" si="19"/>
        <v>-3.4741606838092887E-4</v>
      </c>
      <c r="P140" s="6">
        <f>MAX(0,$C$4+SUM($O$5:O140))</f>
        <v>7.4049253432049406E-2</v>
      </c>
      <c r="Q140" s="3"/>
      <c r="R140" s="38"/>
    </row>
    <row r="141" spans="11:18" x14ac:dyDescent="0.25">
      <c r="K141">
        <f t="shared" si="20"/>
        <v>137</v>
      </c>
      <c r="L141" s="16">
        <f t="shared" si="16"/>
        <v>47788</v>
      </c>
      <c r="M141" s="8">
        <f t="shared" si="17"/>
        <v>2030</v>
      </c>
      <c r="N141" s="33">
        <f t="shared" si="18"/>
        <v>2</v>
      </c>
      <c r="O141">
        <f t="shared" si="19"/>
        <v>-3.4741606838092887E-4</v>
      </c>
      <c r="P141" s="6">
        <f>MAX(0,$C$4+SUM($O$5:O141))</f>
        <v>7.3701837363668476E-2</v>
      </c>
      <c r="Q141" s="3"/>
      <c r="R141" s="38"/>
    </row>
    <row r="142" spans="11:18" x14ac:dyDescent="0.25">
      <c r="K142">
        <f t="shared" si="20"/>
        <v>138</v>
      </c>
      <c r="L142" s="16">
        <f t="shared" si="16"/>
        <v>47818</v>
      </c>
      <c r="M142" s="8">
        <f t="shared" si="17"/>
        <v>2030</v>
      </c>
      <c r="N142" s="33">
        <f t="shared" si="18"/>
        <v>2</v>
      </c>
      <c r="O142">
        <f t="shared" si="19"/>
        <v>-3.4741606838092887E-4</v>
      </c>
      <c r="P142" s="6">
        <f>MAX(0,$C$4+SUM($O$5:O142))</f>
        <v>7.3354421295287547E-2</v>
      </c>
      <c r="Q142" s="3"/>
      <c r="R142" s="38"/>
    </row>
    <row r="143" spans="11:18" x14ac:dyDescent="0.25">
      <c r="K143">
        <f t="shared" si="20"/>
        <v>139</v>
      </c>
      <c r="L143" s="16">
        <f t="shared" si="16"/>
        <v>47849</v>
      </c>
      <c r="M143" s="8">
        <f t="shared" si="17"/>
        <v>2031</v>
      </c>
      <c r="N143" s="33">
        <f t="shared" si="18"/>
        <v>2</v>
      </c>
      <c r="O143">
        <f t="shared" si="19"/>
        <v>-3.4741606838092887E-4</v>
      </c>
      <c r="P143" s="6">
        <f>MAX(0,$C$4+SUM($O$5:O143))</f>
        <v>7.3007005226906618E-2</v>
      </c>
      <c r="Q143" s="3"/>
      <c r="R143" s="38"/>
    </row>
    <row r="144" spans="11:18" x14ac:dyDescent="0.25">
      <c r="K144">
        <f t="shared" si="20"/>
        <v>140</v>
      </c>
      <c r="L144" s="16">
        <f t="shared" si="16"/>
        <v>47880</v>
      </c>
      <c r="M144" s="8">
        <f t="shared" si="17"/>
        <v>2031</v>
      </c>
      <c r="N144" s="33">
        <f t="shared" si="18"/>
        <v>2</v>
      </c>
      <c r="O144">
        <f t="shared" si="19"/>
        <v>-3.4741606838092887E-4</v>
      </c>
      <c r="P144" s="6">
        <f>MAX(0,$C$4+SUM($O$5:O144))</f>
        <v>7.2659589158525689E-2</v>
      </c>
      <c r="Q144" s="3"/>
      <c r="R144" s="38"/>
    </row>
    <row r="145" spans="11:18" x14ac:dyDescent="0.25">
      <c r="K145">
        <f t="shared" si="20"/>
        <v>141</v>
      </c>
      <c r="L145" s="16">
        <f t="shared" si="16"/>
        <v>47908</v>
      </c>
      <c r="M145" s="8">
        <f t="shared" si="17"/>
        <v>2031</v>
      </c>
      <c r="N145" s="33">
        <f t="shared" si="18"/>
        <v>2</v>
      </c>
      <c r="O145">
        <f t="shared" si="19"/>
        <v>-3.4741606838092887E-4</v>
      </c>
      <c r="P145" s="6">
        <f>MAX(0,$C$4+SUM($O$5:O145))</f>
        <v>7.231217309014476E-2</v>
      </c>
      <c r="Q145" s="3"/>
      <c r="R145" s="38"/>
    </row>
    <row r="146" spans="11:18" x14ac:dyDescent="0.25">
      <c r="K146">
        <f t="shared" si="20"/>
        <v>142</v>
      </c>
      <c r="L146" s="16">
        <f t="shared" si="16"/>
        <v>47939</v>
      </c>
      <c r="M146" s="8">
        <f t="shared" si="17"/>
        <v>2031</v>
      </c>
      <c r="N146" s="33">
        <f t="shared" si="18"/>
        <v>2</v>
      </c>
      <c r="O146">
        <f t="shared" si="19"/>
        <v>-3.4741606838092887E-4</v>
      </c>
      <c r="P146" s="6">
        <f>MAX(0,$C$4+SUM($O$5:O146))</f>
        <v>7.1964757021763831E-2</v>
      </c>
      <c r="Q146" s="3"/>
      <c r="R146" s="38"/>
    </row>
    <row r="147" spans="11:18" x14ac:dyDescent="0.25">
      <c r="K147">
        <f t="shared" si="20"/>
        <v>143</v>
      </c>
      <c r="L147" s="16">
        <f t="shared" si="16"/>
        <v>47969</v>
      </c>
      <c r="M147" s="8">
        <f t="shared" si="17"/>
        <v>2031</v>
      </c>
      <c r="N147" s="33">
        <f t="shared" si="18"/>
        <v>2</v>
      </c>
      <c r="O147">
        <f t="shared" si="19"/>
        <v>-3.4741606838092887E-4</v>
      </c>
      <c r="P147" s="6">
        <f>MAX(0,$C$4+SUM($O$5:O147))</f>
        <v>7.1617340953382902E-2</v>
      </c>
      <c r="Q147" s="3"/>
      <c r="R147" s="38"/>
    </row>
    <row r="148" spans="11:18" x14ac:dyDescent="0.25">
      <c r="K148">
        <f t="shared" si="20"/>
        <v>144</v>
      </c>
      <c r="L148" s="16">
        <f t="shared" si="16"/>
        <v>48000</v>
      </c>
      <c r="M148" s="8">
        <f t="shared" si="17"/>
        <v>2031</v>
      </c>
      <c r="N148" s="33">
        <f t="shared" si="18"/>
        <v>2</v>
      </c>
      <c r="O148">
        <f t="shared" si="19"/>
        <v>-3.4741606838092887E-4</v>
      </c>
      <c r="P148" s="6">
        <f>MAX(0,$C$4+SUM($O$5:O148))</f>
        <v>7.1269924885001973E-2</v>
      </c>
      <c r="Q148" s="3"/>
      <c r="R148" s="38"/>
    </row>
    <row r="149" spans="11:18" x14ac:dyDescent="0.25">
      <c r="K149">
        <f t="shared" si="20"/>
        <v>145</v>
      </c>
      <c r="L149" s="16">
        <f t="shared" si="16"/>
        <v>48030</v>
      </c>
      <c r="M149" s="8">
        <f t="shared" si="17"/>
        <v>2031</v>
      </c>
      <c r="N149" s="33">
        <f t="shared" si="18"/>
        <v>2</v>
      </c>
      <c r="O149">
        <f t="shared" si="19"/>
        <v>-3.4741606838092887E-4</v>
      </c>
      <c r="P149" s="6">
        <f>MAX(0,$C$4+SUM($O$5:O149))</f>
        <v>7.0922508816621044E-2</v>
      </c>
      <c r="Q149" s="3"/>
      <c r="R149" s="38"/>
    </row>
    <row r="150" spans="11:18" x14ac:dyDescent="0.25">
      <c r="K150">
        <f t="shared" si="20"/>
        <v>146</v>
      </c>
      <c r="L150" s="16">
        <f t="shared" si="16"/>
        <v>48061</v>
      </c>
      <c r="M150" s="8">
        <f t="shared" si="17"/>
        <v>2031</v>
      </c>
      <c r="N150" s="33">
        <f t="shared" si="18"/>
        <v>2</v>
      </c>
      <c r="O150">
        <f t="shared" si="19"/>
        <v>-3.4741606838092887E-4</v>
      </c>
      <c r="P150" s="6">
        <f>MAX(0,$C$4+SUM($O$5:O150))</f>
        <v>7.0575092748240115E-2</v>
      </c>
      <c r="Q150" s="3"/>
      <c r="R150" s="38"/>
    </row>
    <row r="151" spans="11:18" x14ac:dyDescent="0.25">
      <c r="K151">
        <f t="shared" si="20"/>
        <v>147</v>
      </c>
      <c r="L151" s="16">
        <f t="shared" si="16"/>
        <v>48092</v>
      </c>
      <c r="M151" s="8">
        <f t="shared" si="17"/>
        <v>2031</v>
      </c>
      <c r="N151" s="33">
        <f t="shared" si="18"/>
        <v>2</v>
      </c>
      <c r="O151">
        <f t="shared" si="19"/>
        <v>-3.4741606838092887E-4</v>
      </c>
      <c r="P151" s="6">
        <f>MAX(0,$C$4+SUM($O$5:O151))</f>
        <v>7.0227676679859186E-2</v>
      </c>
      <c r="Q151" s="3"/>
      <c r="R151" s="38"/>
    </row>
    <row r="152" spans="11:18" x14ac:dyDescent="0.25">
      <c r="K152">
        <f t="shared" si="20"/>
        <v>148</v>
      </c>
      <c r="L152" s="16">
        <f t="shared" si="16"/>
        <v>48122</v>
      </c>
      <c r="M152" s="8">
        <f t="shared" si="17"/>
        <v>2031</v>
      </c>
      <c r="N152" s="33">
        <f t="shared" si="18"/>
        <v>2</v>
      </c>
      <c r="O152">
        <f t="shared" si="19"/>
        <v>-3.4741606838092887E-4</v>
      </c>
      <c r="P152" s="6">
        <f>MAX(0,$C$4+SUM($O$5:O152))</f>
        <v>6.9880260611478257E-2</v>
      </c>
      <c r="Q152" s="3"/>
      <c r="R152" s="38"/>
    </row>
    <row r="153" spans="11:18" x14ac:dyDescent="0.25">
      <c r="K153">
        <f t="shared" si="20"/>
        <v>149</v>
      </c>
      <c r="L153" s="16">
        <f t="shared" si="16"/>
        <v>48153</v>
      </c>
      <c r="M153" s="8">
        <f t="shared" si="17"/>
        <v>2031</v>
      </c>
      <c r="N153" s="33">
        <f t="shared" si="18"/>
        <v>2</v>
      </c>
      <c r="O153">
        <f t="shared" si="19"/>
        <v>-3.4741606838092887E-4</v>
      </c>
      <c r="P153" s="6">
        <f>MAX(0,$C$4+SUM($O$5:O153))</f>
        <v>6.9532844543097327E-2</v>
      </c>
      <c r="Q153" s="3"/>
      <c r="R153" s="38"/>
    </row>
    <row r="154" spans="11:18" x14ac:dyDescent="0.25">
      <c r="K154">
        <f t="shared" si="20"/>
        <v>150</v>
      </c>
      <c r="L154" s="16">
        <f t="shared" si="16"/>
        <v>48183</v>
      </c>
      <c r="M154" s="8">
        <f t="shared" si="17"/>
        <v>2031</v>
      </c>
      <c r="N154" s="33">
        <f t="shared" si="18"/>
        <v>2</v>
      </c>
      <c r="O154">
        <f t="shared" si="19"/>
        <v>-3.4741606838092887E-4</v>
      </c>
      <c r="P154" s="6">
        <f>MAX(0,$C$4+SUM($O$5:O154))</f>
        <v>6.9185428474716398E-2</v>
      </c>
      <c r="Q154" s="3"/>
      <c r="R154" s="38"/>
    </row>
    <row r="155" spans="11:18" x14ac:dyDescent="0.25">
      <c r="K155">
        <f t="shared" si="20"/>
        <v>151</v>
      </c>
      <c r="L155" s="16">
        <f t="shared" si="16"/>
        <v>48214</v>
      </c>
      <c r="M155" s="8">
        <f t="shared" si="17"/>
        <v>2032</v>
      </c>
      <c r="N155" s="33">
        <f t="shared" si="18"/>
        <v>2</v>
      </c>
      <c r="O155">
        <f t="shared" si="19"/>
        <v>-3.4741606838092887E-4</v>
      </c>
      <c r="P155" s="6">
        <f>MAX(0,$C$4+SUM($O$5:O155))</f>
        <v>6.8838012406335469E-2</v>
      </c>
      <c r="Q155" s="3"/>
      <c r="R155" s="38"/>
    </row>
    <row r="156" spans="11:18" x14ac:dyDescent="0.25">
      <c r="K156">
        <f t="shared" si="20"/>
        <v>152</v>
      </c>
      <c r="L156" s="16">
        <f t="shared" si="16"/>
        <v>48245</v>
      </c>
      <c r="M156" s="8">
        <f t="shared" si="17"/>
        <v>2032</v>
      </c>
      <c r="N156" s="33">
        <f t="shared" si="18"/>
        <v>2</v>
      </c>
      <c r="O156">
        <f t="shared" si="19"/>
        <v>-3.4741606838092887E-4</v>
      </c>
      <c r="P156" s="6">
        <f>MAX(0,$C$4+SUM($O$5:O156))</f>
        <v>6.849059633795454E-2</v>
      </c>
      <c r="Q156" s="3"/>
      <c r="R156" s="38"/>
    </row>
    <row r="157" spans="11:18" x14ac:dyDescent="0.25">
      <c r="K157">
        <f t="shared" si="20"/>
        <v>153</v>
      </c>
      <c r="L157" s="16">
        <f t="shared" si="16"/>
        <v>48274</v>
      </c>
      <c r="M157" s="8">
        <f t="shared" si="17"/>
        <v>2032</v>
      </c>
      <c r="N157" s="33">
        <f t="shared" si="18"/>
        <v>2</v>
      </c>
      <c r="O157">
        <f t="shared" si="19"/>
        <v>-3.4741606838092887E-4</v>
      </c>
      <c r="P157" s="6">
        <f>MAX(0,$C$4+SUM($O$5:O157))</f>
        <v>6.8143180269573611E-2</v>
      </c>
      <c r="Q157" s="3"/>
      <c r="R157" s="38"/>
    </row>
    <row r="158" spans="11:18" x14ac:dyDescent="0.25">
      <c r="K158">
        <f t="shared" si="20"/>
        <v>154</v>
      </c>
      <c r="L158" s="16">
        <f t="shared" si="16"/>
        <v>48305</v>
      </c>
      <c r="M158" s="8">
        <f t="shared" si="17"/>
        <v>2032</v>
      </c>
      <c r="N158" s="33">
        <f t="shared" si="18"/>
        <v>2</v>
      </c>
      <c r="O158">
        <f t="shared" si="19"/>
        <v>-3.4741606838092887E-4</v>
      </c>
      <c r="P158" s="6">
        <f>MAX(0,$C$4+SUM($O$5:O158))</f>
        <v>6.7795764201192682E-2</v>
      </c>
      <c r="Q158" s="3"/>
      <c r="R158" s="38"/>
    </row>
    <row r="159" spans="11:18" x14ac:dyDescent="0.25">
      <c r="K159">
        <f t="shared" si="20"/>
        <v>155</v>
      </c>
      <c r="L159" s="16">
        <f t="shared" si="16"/>
        <v>48335</v>
      </c>
      <c r="M159" s="8">
        <f t="shared" si="17"/>
        <v>2032</v>
      </c>
      <c r="N159" s="33">
        <f t="shared" si="18"/>
        <v>2</v>
      </c>
      <c r="O159">
        <f t="shared" si="19"/>
        <v>-3.4741606838092887E-4</v>
      </c>
      <c r="P159" s="6">
        <f>MAX(0,$C$4+SUM($O$5:O159))</f>
        <v>6.7448348132811753E-2</v>
      </c>
      <c r="Q159" s="3"/>
      <c r="R159" s="38"/>
    </row>
    <row r="160" spans="11:18" x14ac:dyDescent="0.25">
      <c r="K160">
        <f t="shared" si="20"/>
        <v>156</v>
      </c>
      <c r="L160" s="16">
        <f t="shared" si="16"/>
        <v>48366</v>
      </c>
      <c r="M160" s="8">
        <f t="shared" si="17"/>
        <v>2032</v>
      </c>
      <c r="N160" s="33">
        <f t="shared" si="18"/>
        <v>2</v>
      </c>
      <c r="O160">
        <f t="shared" si="19"/>
        <v>-3.4741606838092887E-4</v>
      </c>
      <c r="P160" s="6">
        <f>MAX(0,$C$4+SUM($O$5:O160))</f>
        <v>6.7100932064430824E-2</v>
      </c>
      <c r="Q160" s="3"/>
      <c r="R160" s="38"/>
    </row>
    <row r="161" spans="11:18" x14ac:dyDescent="0.25">
      <c r="K161">
        <f t="shared" si="20"/>
        <v>157</v>
      </c>
      <c r="L161" s="16">
        <f t="shared" si="16"/>
        <v>48396</v>
      </c>
      <c r="M161" s="8">
        <f t="shared" si="17"/>
        <v>2032</v>
      </c>
      <c r="N161" s="33">
        <f t="shared" si="18"/>
        <v>2</v>
      </c>
      <c r="O161">
        <f t="shared" si="19"/>
        <v>-3.4741606838092887E-4</v>
      </c>
      <c r="P161" s="6">
        <f>MAX(0,$C$4+SUM($O$5:O161))</f>
        <v>6.6753515996049895E-2</v>
      </c>
      <c r="Q161" s="3"/>
      <c r="R161" s="38"/>
    </row>
    <row r="162" spans="11:18" x14ac:dyDescent="0.25">
      <c r="K162">
        <f t="shared" si="20"/>
        <v>158</v>
      </c>
      <c r="L162" s="16">
        <f t="shared" si="16"/>
        <v>48427</v>
      </c>
      <c r="M162" s="8">
        <f t="shared" si="17"/>
        <v>2032</v>
      </c>
      <c r="N162" s="33">
        <f t="shared" si="18"/>
        <v>2</v>
      </c>
      <c r="O162">
        <f t="shared" si="19"/>
        <v>-3.4741606838092887E-4</v>
      </c>
      <c r="P162" s="6">
        <f>MAX(0,$C$4+SUM($O$5:O162))</f>
        <v>6.6406099927668966E-2</v>
      </c>
      <c r="Q162" s="3"/>
      <c r="R162" s="38"/>
    </row>
    <row r="163" spans="11:18" x14ac:dyDescent="0.25">
      <c r="K163">
        <f t="shared" si="20"/>
        <v>159</v>
      </c>
      <c r="L163" s="16">
        <f t="shared" si="16"/>
        <v>48458</v>
      </c>
      <c r="M163" s="8">
        <f t="shared" si="17"/>
        <v>2032</v>
      </c>
      <c r="N163" s="33">
        <f t="shared" si="18"/>
        <v>2</v>
      </c>
      <c r="O163">
        <f t="shared" si="19"/>
        <v>-3.4741606838092887E-4</v>
      </c>
      <c r="P163" s="6">
        <f>MAX(0,$C$4+SUM($O$5:O163))</f>
        <v>6.6058683859288037E-2</v>
      </c>
      <c r="Q163" s="3"/>
      <c r="R163" s="38"/>
    </row>
    <row r="164" spans="11:18" x14ac:dyDescent="0.25">
      <c r="K164">
        <f t="shared" si="20"/>
        <v>160</v>
      </c>
      <c r="L164" s="16">
        <f t="shared" si="16"/>
        <v>48488</v>
      </c>
      <c r="M164" s="8">
        <f t="shared" si="17"/>
        <v>2032</v>
      </c>
      <c r="N164" s="33">
        <f t="shared" si="18"/>
        <v>2</v>
      </c>
      <c r="O164">
        <f t="shared" si="19"/>
        <v>-3.4741606838092887E-4</v>
      </c>
      <c r="P164" s="6">
        <f>MAX(0,$C$4+SUM($O$5:O164))</f>
        <v>6.5711267790907107E-2</v>
      </c>
      <c r="Q164" s="3"/>
      <c r="R164" s="38"/>
    </row>
    <row r="165" spans="11:18" x14ac:dyDescent="0.25">
      <c r="K165">
        <f t="shared" si="20"/>
        <v>161</v>
      </c>
      <c r="L165" s="16">
        <f t="shared" si="16"/>
        <v>48519</v>
      </c>
      <c r="M165" s="8">
        <f t="shared" si="17"/>
        <v>2032</v>
      </c>
      <c r="N165" s="33">
        <f t="shared" si="18"/>
        <v>2</v>
      </c>
      <c r="O165">
        <f t="shared" si="19"/>
        <v>-3.4741606838092887E-4</v>
      </c>
      <c r="P165" s="6">
        <f>MAX(0,$C$4+SUM($O$5:O165))</f>
        <v>6.5363851722526178E-2</v>
      </c>
      <c r="Q165" s="3"/>
      <c r="R165" s="38"/>
    </row>
    <row r="166" spans="11:18" x14ac:dyDescent="0.25">
      <c r="K166">
        <f t="shared" si="20"/>
        <v>162</v>
      </c>
      <c r="L166" s="16">
        <f t="shared" si="16"/>
        <v>48549</v>
      </c>
      <c r="M166" s="8">
        <f t="shared" si="17"/>
        <v>2032</v>
      </c>
      <c r="N166" s="33">
        <f t="shared" si="18"/>
        <v>2</v>
      </c>
      <c r="O166">
        <f t="shared" si="19"/>
        <v>-3.4741606838092887E-4</v>
      </c>
      <c r="P166" s="6">
        <f>MAX(0,$C$4+SUM($O$5:O166))</f>
        <v>6.5016435654145249E-2</v>
      </c>
      <c r="Q166" s="3"/>
      <c r="R166" s="38"/>
    </row>
    <row r="167" spans="11:18" x14ac:dyDescent="0.25">
      <c r="K167">
        <f t="shared" si="20"/>
        <v>163</v>
      </c>
      <c r="L167" s="16">
        <f t="shared" si="16"/>
        <v>48580</v>
      </c>
      <c r="M167" s="8">
        <f t="shared" si="17"/>
        <v>2033</v>
      </c>
      <c r="N167" s="33">
        <f t="shared" si="18"/>
        <v>2</v>
      </c>
      <c r="O167">
        <f t="shared" si="19"/>
        <v>-3.4741606838092887E-4</v>
      </c>
      <c r="P167" s="6">
        <f>MAX(0,$C$4+SUM($O$5:O167))</f>
        <v>6.466901958576432E-2</v>
      </c>
      <c r="Q167" s="3"/>
      <c r="R167" s="38"/>
    </row>
    <row r="168" spans="11:18" x14ac:dyDescent="0.25">
      <c r="K168">
        <f t="shared" si="20"/>
        <v>164</v>
      </c>
      <c r="L168" s="16">
        <f t="shared" si="16"/>
        <v>48611</v>
      </c>
      <c r="M168" s="8">
        <f t="shared" si="17"/>
        <v>2033</v>
      </c>
      <c r="N168" s="33">
        <f t="shared" si="18"/>
        <v>2</v>
      </c>
      <c r="O168">
        <f t="shared" si="19"/>
        <v>-3.4741606838092887E-4</v>
      </c>
      <c r="P168" s="6">
        <f>MAX(0,$C$4+SUM($O$5:O168))</f>
        <v>6.4321603517383391E-2</v>
      </c>
      <c r="Q168" s="3"/>
      <c r="R168" s="38"/>
    </row>
    <row r="169" spans="11:18" x14ac:dyDescent="0.25">
      <c r="K169">
        <f t="shared" si="20"/>
        <v>165</v>
      </c>
      <c r="L169" s="16">
        <f t="shared" si="16"/>
        <v>48639</v>
      </c>
      <c r="M169" s="8">
        <f t="shared" si="17"/>
        <v>2033</v>
      </c>
      <c r="N169" s="33">
        <f t="shared" si="18"/>
        <v>2</v>
      </c>
      <c r="O169">
        <f t="shared" si="19"/>
        <v>-3.4741606838092887E-4</v>
      </c>
      <c r="P169" s="6">
        <f>MAX(0,$C$4+SUM($O$5:O169))</f>
        <v>6.3974187449002462E-2</v>
      </c>
      <c r="Q169" s="3"/>
      <c r="R169" s="38"/>
    </row>
    <row r="170" spans="11:18" x14ac:dyDescent="0.25">
      <c r="K170">
        <f t="shared" si="20"/>
        <v>166</v>
      </c>
      <c r="L170" s="16">
        <f t="shared" si="16"/>
        <v>48670</v>
      </c>
      <c r="M170" s="8">
        <f t="shared" si="17"/>
        <v>2033</v>
      </c>
      <c r="N170" s="33">
        <f t="shared" si="18"/>
        <v>2</v>
      </c>
      <c r="O170">
        <f t="shared" si="19"/>
        <v>-3.4741606838092887E-4</v>
      </c>
      <c r="P170" s="6">
        <f>MAX(0,$C$4+SUM($O$5:O170))</f>
        <v>6.3626771380621533E-2</v>
      </c>
      <c r="Q170" s="3"/>
      <c r="R170" s="38"/>
    </row>
    <row r="171" spans="11:18" x14ac:dyDescent="0.25">
      <c r="K171">
        <f t="shared" si="20"/>
        <v>167</v>
      </c>
      <c r="L171" s="16">
        <f t="shared" si="16"/>
        <v>48700</v>
      </c>
      <c r="M171" s="8">
        <f t="shared" si="17"/>
        <v>2033</v>
      </c>
      <c r="N171" s="33">
        <f t="shared" si="18"/>
        <v>2</v>
      </c>
      <c r="O171">
        <f t="shared" si="19"/>
        <v>-3.4741606838092887E-4</v>
      </c>
      <c r="P171" s="6">
        <f>MAX(0,$C$4+SUM($O$5:O171))</f>
        <v>6.3279355312240604E-2</v>
      </c>
      <c r="Q171" s="3"/>
      <c r="R171" s="38"/>
    </row>
    <row r="172" spans="11:18" x14ac:dyDescent="0.25">
      <c r="K172">
        <f t="shared" si="20"/>
        <v>168</v>
      </c>
      <c r="L172" s="16">
        <f t="shared" si="16"/>
        <v>48731</v>
      </c>
      <c r="M172" s="8">
        <f t="shared" si="17"/>
        <v>2033</v>
      </c>
      <c r="N172" s="33">
        <f t="shared" si="18"/>
        <v>2</v>
      </c>
      <c r="O172">
        <f t="shared" si="19"/>
        <v>-3.4741606838092887E-4</v>
      </c>
      <c r="P172" s="6">
        <f>MAX(0,$C$4+SUM($O$5:O172))</f>
        <v>6.2931939243859675E-2</v>
      </c>
      <c r="Q172" s="3"/>
      <c r="R172" s="38"/>
    </row>
    <row r="173" spans="11:18" x14ac:dyDescent="0.25">
      <c r="K173">
        <f t="shared" si="20"/>
        <v>169</v>
      </c>
      <c r="L173" s="16">
        <f t="shared" si="16"/>
        <v>48761</v>
      </c>
      <c r="M173" s="8">
        <f t="shared" si="17"/>
        <v>2033</v>
      </c>
      <c r="N173" s="33">
        <f t="shared" si="18"/>
        <v>2</v>
      </c>
      <c r="O173">
        <f t="shared" si="19"/>
        <v>-3.4741606838092887E-4</v>
      </c>
      <c r="P173" s="6">
        <f>MAX(0,$C$4+SUM($O$5:O173))</f>
        <v>6.2584523175478746E-2</v>
      </c>
      <c r="Q173" s="3"/>
      <c r="R173" s="38"/>
    </row>
    <row r="174" spans="11:18" x14ac:dyDescent="0.25">
      <c r="K174">
        <f t="shared" si="20"/>
        <v>170</v>
      </c>
      <c r="L174" s="16">
        <f t="shared" si="16"/>
        <v>48792</v>
      </c>
      <c r="M174" s="8">
        <f t="shared" si="17"/>
        <v>2033</v>
      </c>
      <c r="N174" s="33">
        <f t="shared" si="18"/>
        <v>2</v>
      </c>
      <c r="O174">
        <f t="shared" si="19"/>
        <v>-3.4741606838092887E-4</v>
      </c>
      <c r="P174" s="6">
        <f>MAX(0,$C$4+SUM($O$5:O174))</f>
        <v>6.2237107107097817E-2</v>
      </c>
      <c r="Q174" s="3"/>
      <c r="R174" s="38"/>
    </row>
    <row r="175" spans="11:18" x14ac:dyDescent="0.25">
      <c r="K175">
        <f t="shared" si="20"/>
        <v>171</v>
      </c>
      <c r="L175" s="16">
        <f t="shared" si="16"/>
        <v>48823</v>
      </c>
      <c r="M175" s="8">
        <f t="shared" si="17"/>
        <v>2033</v>
      </c>
      <c r="N175" s="33">
        <f t="shared" si="18"/>
        <v>2</v>
      </c>
      <c r="O175">
        <f t="shared" si="19"/>
        <v>-3.4741606838092887E-4</v>
      </c>
      <c r="P175" s="6">
        <f>MAX(0,$C$4+SUM($O$5:O175))</f>
        <v>6.1889691038716887E-2</v>
      </c>
      <c r="Q175" s="3"/>
      <c r="R175" s="38"/>
    </row>
    <row r="176" spans="11:18" x14ac:dyDescent="0.25">
      <c r="K176">
        <f t="shared" si="20"/>
        <v>172</v>
      </c>
      <c r="L176" s="16">
        <f t="shared" si="16"/>
        <v>48853</v>
      </c>
      <c r="M176" s="8">
        <f t="shared" si="17"/>
        <v>2033</v>
      </c>
      <c r="N176" s="33">
        <f t="shared" si="18"/>
        <v>2</v>
      </c>
      <c r="O176">
        <f t="shared" si="19"/>
        <v>-3.4741606838092887E-4</v>
      </c>
      <c r="P176" s="6">
        <f>MAX(0,$C$4+SUM($O$5:O176))</f>
        <v>6.1542274970335958E-2</v>
      </c>
      <c r="Q176" s="3"/>
      <c r="R176" s="38"/>
    </row>
    <row r="177" spans="11:18" x14ac:dyDescent="0.25">
      <c r="K177">
        <f t="shared" si="20"/>
        <v>173</v>
      </c>
      <c r="L177" s="16">
        <f t="shared" si="16"/>
        <v>48884</v>
      </c>
      <c r="M177" s="8">
        <f t="shared" si="17"/>
        <v>2033</v>
      </c>
      <c r="N177" s="33">
        <f t="shared" si="18"/>
        <v>2</v>
      </c>
      <c r="O177">
        <f t="shared" si="19"/>
        <v>-3.4741606838092887E-4</v>
      </c>
      <c r="P177" s="6">
        <f>MAX(0,$C$4+SUM($O$5:O177))</f>
        <v>6.1194858901955029E-2</v>
      </c>
      <c r="Q177" s="3"/>
      <c r="R177" s="38"/>
    </row>
    <row r="178" spans="11:18" x14ac:dyDescent="0.25">
      <c r="K178">
        <f t="shared" si="20"/>
        <v>174</v>
      </c>
      <c r="L178" s="16">
        <f t="shared" si="16"/>
        <v>48914</v>
      </c>
      <c r="M178" s="8">
        <f t="shared" si="17"/>
        <v>2033</v>
      </c>
      <c r="N178" s="33">
        <f t="shared" si="18"/>
        <v>2</v>
      </c>
      <c r="O178">
        <f t="shared" si="19"/>
        <v>-3.4741606838092887E-4</v>
      </c>
      <c r="P178" s="6">
        <f>MAX(0,$C$4+SUM($O$5:O178))</f>
        <v>6.08474428335741E-2</v>
      </c>
      <c r="Q178" s="3"/>
      <c r="R178" s="38"/>
    </row>
    <row r="179" spans="11:18" x14ac:dyDescent="0.25">
      <c r="K179">
        <f t="shared" si="20"/>
        <v>175</v>
      </c>
      <c r="L179" s="16">
        <f t="shared" si="16"/>
        <v>48945</v>
      </c>
      <c r="M179" s="8">
        <f t="shared" si="17"/>
        <v>2034</v>
      </c>
      <c r="N179" s="33">
        <f t="shared" si="18"/>
        <v>2</v>
      </c>
      <c r="O179">
        <f t="shared" si="19"/>
        <v>-3.4741606838092887E-4</v>
      </c>
      <c r="P179" s="6">
        <f>MAX(0,$C$4+SUM($O$5:O179))</f>
        <v>6.0500026765193171E-2</v>
      </c>
      <c r="Q179" s="3"/>
      <c r="R179" s="38"/>
    </row>
    <row r="180" spans="11:18" x14ac:dyDescent="0.25">
      <c r="K180">
        <f t="shared" si="20"/>
        <v>176</v>
      </c>
      <c r="L180" s="16">
        <f t="shared" si="16"/>
        <v>48976</v>
      </c>
      <c r="M180" s="8">
        <f t="shared" si="17"/>
        <v>2034</v>
      </c>
      <c r="N180" s="33">
        <f t="shared" si="18"/>
        <v>2</v>
      </c>
      <c r="O180">
        <f t="shared" si="19"/>
        <v>-3.4741606838092887E-4</v>
      </c>
      <c r="P180" s="6">
        <f>MAX(0,$C$4+SUM($O$5:O180))</f>
        <v>6.0152610696812242E-2</v>
      </c>
      <c r="Q180" s="3"/>
      <c r="R180" s="38"/>
    </row>
    <row r="181" spans="11:18" x14ac:dyDescent="0.25">
      <c r="K181">
        <f t="shared" si="20"/>
        <v>177</v>
      </c>
      <c r="L181" s="16">
        <f t="shared" si="16"/>
        <v>49004</v>
      </c>
      <c r="M181" s="8">
        <f t="shared" si="17"/>
        <v>2034</v>
      </c>
      <c r="N181" s="33">
        <f t="shared" si="18"/>
        <v>2</v>
      </c>
      <c r="O181">
        <f t="shared" si="19"/>
        <v>-3.4741606838092887E-4</v>
      </c>
      <c r="P181" s="6">
        <f>MAX(0,$C$4+SUM($O$5:O181))</f>
        <v>5.9805194628431313E-2</v>
      </c>
      <c r="Q181" s="3"/>
      <c r="R181" s="38"/>
    </row>
    <row r="182" spans="11:18" x14ac:dyDescent="0.25">
      <c r="K182">
        <f t="shared" si="20"/>
        <v>178</v>
      </c>
      <c r="L182" s="16">
        <f t="shared" si="16"/>
        <v>49035</v>
      </c>
      <c r="M182" s="8">
        <f t="shared" si="17"/>
        <v>2034</v>
      </c>
      <c r="N182" s="33">
        <f t="shared" si="18"/>
        <v>2</v>
      </c>
      <c r="O182">
        <f t="shared" si="19"/>
        <v>-3.4741606838092887E-4</v>
      </c>
      <c r="P182" s="6">
        <f>MAX(0,$C$4+SUM($O$5:O182))</f>
        <v>5.9457778560050384E-2</v>
      </c>
      <c r="Q182" s="3"/>
      <c r="R182" s="38"/>
    </row>
    <row r="183" spans="11:18" x14ac:dyDescent="0.25">
      <c r="K183">
        <f t="shared" si="20"/>
        <v>179</v>
      </c>
      <c r="L183" s="16">
        <f t="shared" si="16"/>
        <v>49065</v>
      </c>
      <c r="M183" s="8">
        <f t="shared" si="17"/>
        <v>2034</v>
      </c>
      <c r="N183" s="33">
        <f t="shared" si="18"/>
        <v>2</v>
      </c>
      <c r="O183">
        <f t="shared" si="19"/>
        <v>-3.4741606838092887E-4</v>
      </c>
      <c r="P183" s="6">
        <f>MAX(0,$C$4+SUM($O$5:O183))</f>
        <v>5.9110362491669455E-2</v>
      </c>
      <c r="Q183" s="3"/>
      <c r="R183" s="38"/>
    </row>
    <row r="184" spans="11:18" x14ac:dyDescent="0.25">
      <c r="K184">
        <f t="shared" si="20"/>
        <v>180</v>
      </c>
      <c r="L184" s="16">
        <f t="shared" si="16"/>
        <v>49096</v>
      </c>
      <c r="M184" s="8">
        <f t="shared" si="17"/>
        <v>2034</v>
      </c>
      <c r="N184" s="33">
        <f t="shared" si="18"/>
        <v>2</v>
      </c>
      <c r="O184">
        <f t="shared" si="19"/>
        <v>-3.4741606838092887E-4</v>
      </c>
      <c r="P184" s="6">
        <f>MAX(0,$C$4+SUM($O$5:O184))</f>
        <v>5.8762946423288526E-2</v>
      </c>
      <c r="Q184" s="3"/>
      <c r="R184" s="38"/>
    </row>
    <row r="185" spans="11:18" x14ac:dyDescent="0.25">
      <c r="K185">
        <f t="shared" si="20"/>
        <v>181</v>
      </c>
      <c r="L185" s="16">
        <f t="shared" si="16"/>
        <v>49126</v>
      </c>
      <c r="M185" s="8">
        <f t="shared" si="17"/>
        <v>2034</v>
      </c>
      <c r="N185" s="33">
        <f t="shared" si="18"/>
        <v>2</v>
      </c>
      <c r="O185">
        <f t="shared" si="19"/>
        <v>-3.4741606838092887E-4</v>
      </c>
      <c r="P185" s="6">
        <f>MAX(0,$C$4+SUM($O$5:O185))</f>
        <v>5.8415530354907597E-2</v>
      </c>
      <c r="Q185" s="3"/>
      <c r="R185" s="38"/>
    </row>
    <row r="186" spans="11:18" x14ac:dyDescent="0.25">
      <c r="K186">
        <f t="shared" si="20"/>
        <v>182</v>
      </c>
      <c r="L186" s="16">
        <f t="shared" si="16"/>
        <v>49157</v>
      </c>
      <c r="M186" s="8">
        <f t="shared" si="17"/>
        <v>2034</v>
      </c>
      <c r="N186" s="33">
        <f t="shared" si="18"/>
        <v>2</v>
      </c>
      <c r="O186">
        <f t="shared" si="19"/>
        <v>-3.4741606838092887E-4</v>
      </c>
      <c r="P186" s="6">
        <f>MAX(0,$C$4+SUM($O$5:O186))</f>
        <v>5.8068114286526668E-2</v>
      </c>
      <c r="Q186" s="3"/>
      <c r="R186" s="38"/>
    </row>
    <row r="187" spans="11:18" x14ac:dyDescent="0.25">
      <c r="K187">
        <f t="shared" si="20"/>
        <v>183</v>
      </c>
      <c r="L187" s="16">
        <f t="shared" si="16"/>
        <v>49188</v>
      </c>
      <c r="M187" s="8">
        <f t="shared" si="17"/>
        <v>2034</v>
      </c>
      <c r="N187" s="33">
        <f t="shared" si="18"/>
        <v>2</v>
      </c>
      <c r="O187">
        <f t="shared" si="19"/>
        <v>-3.4741606838092887E-4</v>
      </c>
      <c r="P187" s="6">
        <f>MAX(0,$C$4+SUM($O$5:O187))</f>
        <v>5.7720698218145738E-2</v>
      </c>
      <c r="Q187" s="3"/>
      <c r="R187" s="38"/>
    </row>
    <row r="188" spans="11:18" x14ac:dyDescent="0.25">
      <c r="K188">
        <f t="shared" si="20"/>
        <v>184</v>
      </c>
      <c r="L188" s="16">
        <f t="shared" si="16"/>
        <v>49218</v>
      </c>
      <c r="M188" s="8">
        <f t="shared" si="17"/>
        <v>2034</v>
      </c>
      <c r="N188" s="33">
        <f t="shared" si="18"/>
        <v>2</v>
      </c>
      <c r="O188">
        <f t="shared" si="19"/>
        <v>-3.4741606838092887E-4</v>
      </c>
      <c r="P188" s="6">
        <f>MAX(0,$C$4+SUM($O$5:O188))</f>
        <v>5.7373282149764809E-2</v>
      </c>
      <c r="Q188" s="3"/>
      <c r="R188" s="38"/>
    </row>
    <row r="189" spans="11:18" x14ac:dyDescent="0.25">
      <c r="K189">
        <f t="shared" si="20"/>
        <v>185</v>
      </c>
      <c r="L189" s="16">
        <f t="shared" si="16"/>
        <v>49249</v>
      </c>
      <c r="M189" s="8">
        <f t="shared" si="17"/>
        <v>2034</v>
      </c>
      <c r="N189" s="33">
        <f t="shared" si="18"/>
        <v>2</v>
      </c>
      <c r="O189">
        <f t="shared" si="19"/>
        <v>-3.4741606838092887E-4</v>
      </c>
      <c r="P189" s="6">
        <f>MAX(0,$C$4+SUM($O$5:O189))</f>
        <v>5.702586608138388E-2</v>
      </c>
      <c r="Q189" s="3"/>
      <c r="R189" s="38"/>
    </row>
    <row r="190" spans="11:18" x14ac:dyDescent="0.25">
      <c r="K190">
        <f t="shared" si="20"/>
        <v>186</v>
      </c>
      <c r="L190" s="16">
        <f t="shared" si="16"/>
        <v>49279</v>
      </c>
      <c r="M190" s="8">
        <f t="shared" si="17"/>
        <v>2034</v>
      </c>
      <c r="N190" s="33">
        <f t="shared" si="18"/>
        <v>2</v>
      </c>
      <c r="O190">
        <f t="shared" si="19"/>
        <v>-3.4741606838092887E-4</v>
      </c>
      <c r="P190" s="6">
        <f>MAX(0,$C$4+SUM($O$5:O190))</f>
        <v>5.6678450013002951E-2</v>
      </c>
      <c r="Q190" s="3"/>
      <c r="R190" s="38"/>
    </row>
    <row r="191" spans="11:18" x14ac:dyDescent="0.25">
      <c r="K191">
        <f t="shared" si="20"/>
        <v>187</v>
      </c>
      <c r="L191" s="16">
        <f t="shared" si="16"/>
        <v>49310</v>
      </c>
      <c r="M191" s="8">
        <f t="shared" si="17"/>
        <v>2035</v>
      </c>
      <c r="N191" s="33">
        <f t="shared" si="18"/>
        <v>2</v>
      </c>
      <c r="O191">
        <f t="shared" si="19"/>
        <v>-3.4741606838092887E-4</v>
      </c>
      <c r="P191" s="6">
        <f>MAX(0,$C$4+SUM($O$5:O191))</f>
        <v>5.6331033944622022E-2</v>
      </c>
      <c r="Q191" s="3"/>
      <c r="R191" s="38"/>
    </row>
    <row r="192" spans="11:18" x14ac:dyDescent="0.25">
      <c r="K192">
        <f t="shared" si="20"/>
        <v>188</v>
      </c>
      <c r="L192" s="16">
        <f t="shared" si="16"/>
        <v>49341</v>
      </c>
      <c r="M192" s="8">
        <f t="shared" si="17"/>
        <v>2035</v>
      </c>
      <c r="N192" s="33">
        <f t="shared" si="18"/>
        <v>2</v>
      </c>
      <c r="O192">
        <f t="shared" si="19"/>
        <v>-3.4741606838092887E-4</v>
      </c>
      <c r="P192" s="6">
        <f>MAX(0,$C$4+SUM($O$5:O192))</f>
        <v>5.5983617876241093E-2</v>
      </c>
      <c r="Q192" s="3"/>
      <c r="R192" s="38"/>
    </row>
    <row r="193" spans="11:18" x14ac:dyDescent="0.25">
      <c r="K193">
        <f t="shared" si="20"/>
        <v>189</v>
      </c>
      <c r="L193" s="16">
        <f t="shared" si="16"/>
        <v>49369</v>
      </c>
      <c r="M193" s="8">
        <f t="shared" si="17"/>
        <v>2035</v>
      </c>
      <c r="N193" s="33">
        <f t="shared" si="18"/>
        <v>2</v>
      </c>
      <c r="O193">
        <f t="shared" si="19"/>
        <v>-3.4741606838092887E-4</v>
      </c>
      <c r="P193" s="6">
        <f>MAX(0,$C$4+SUM($O$5:O193))</f>
        <v>5.5636201807860164E-2</v>
      </c>
      <c r="Q193" s="3"/>
      <c r="R193" s="38"/>
    </row>
    <row r="194" spans="11:18" x14ac:dyDescent="0.25">
      <c r="K194">
        <f t="shared" si="20"/>
        <v>190</v>
      </c>
      <c r="L194" s="16">
        <f t="shared" si="16"/>
        <v>49400</v>
      </c>
      <c r="M194" s="8">
        <f t="shared" si="17"/>
        <v>2035</v>
      </c>
      <c r="N194" s="33">
        <f t="shared" si="18"/>
        <v>2</v>
      </c>
      <c r="O194">
        <f t="shared" si="19"/>
        <v>-3.4741606838092887E-4</v>
      </c>
      <c r="P194" s="6">
        <f>MAX(0,$C$4+SUM($O$5:O194))</f>
        <v>5.5288785739479235E-2</v>
      </c>
      <c r="Q194" s="3"/>
      <c r="R194" s="38"/>
    </row>
    <row r="195" spans="11:18" x14ac:dyDescent="0.25">
      <c r="K195">
        <f t="shared" si="20"/>
        <v>191</v>
      </c>
      <c r="L195" s="16">
        <f t="shared" si="16"/>
        <v>49430</v>
      </c>
      <c r="M195" s="8">
        <f t="shared" si="17"/>
        <v>2035</v>
      </c>
      <c r="N195" s="33">
        <f t="shared" si="18"/>
        <v>2</v>
      </c>
      <c r="O195">
        <f t="shared" si="19"/>
        <v>-3.4741606838092887E-4</v>
      </c>
      <c r="P195" s="6">
        <f>MAX(0,$C$4+SUM($O$5:O195))</f>
        <v>5.4941369671098306E-2</v>
      </c>
      <c r="Q195" s="3"/>
      <c r="R195" s="38"/>
    </row>
    <row r="196" spans="11:18" x14ac:dyDescent="0.25">
      <c r="K196">
        <f t="shared" si="20"/>
        <v>192</v>
      </c>
      <c r="L196" s="16">
        <f t="shared" si="16"/>
        <v>49461</v>
      </c>
      <c r="M196" s="8">
        <f t="shared" si="17"/>
        <v>2035</v>
      </c>
      <c r="N196" s="33">
        <f t="shared" si="18"/>
        <v>2</v>
      </c>
      <c r="O196">
        <f t="shared" si="19"/>
        <v>-3.4741606838092887E-4</v>
      </c>
      <c r="P196" s="6">
        <f>MAX(0,$C$4+SUM($O$5:O196))</f>
        <v>5.4593953602717377E-2</v>
      </c>
      <c r="Q196" s="3"/>
      <c r="R196" s="38"/>
    </row>
    <row r="197" spans="11:18" x14ac:dyDescent="0.25">
      <c r="K197">
        <f t="shared" si="20"/>
        <v>193</v>
      </c>
      <c r="L197" s="16">
        <f t="shared" si="16"/>
        <v>49491</v>
      </c>
      <c r="M197" s="8">
        <f t="shared" si="17"/>
        <v>2035</v>
      </c>
      <c r="N197" s="33">
        <f t="shared" si="18"/>
        <v>2</v>
      </c>
      <c r="O197">
        <f t="shared" si="19"/>
        <v>-3.4741606838092887E-4</v>
      </c>
      <c r="P197" s="6">
        <f>MAX(0,$C$4+SUM($O$5:O197))</f>
        <v>5.4246537534336448E-2</v>
      </c>
      <c r="Q197" s="3"/>
      <c r="R197" s="38"/>
    </row>
    <row r="198" spans="11:18" x14ac:dyDescent="0.25">
      <c r="K198">
        <f t="shared" si="20"/>
        <v>194</v>
      </c>
      <c r="L198" s="16">
        <f t="shared" ref="L198:L261" si="21">DATE(2019,K198+6,1)</f>
        <v>49522</v>
      </c>
      <c r="M198" s="8">
        <f t="shared" ref="M198:M261" si="22">YEAR(L198)</f>
        <v>2035</v>
      </c>
      <c r="N198" s="33">
        <f t="shared" ref="N198:N261" si="23">COUNTIFS(D:D,"&lt;="&amp;L198)</f>
        <v>2</v>
      </c>
      <c r="O198">
        <f t="shared" ref="O198:O261" si="24">INDEX(E:E,MATCH(N198,A:A,0))</f>
        <v>-3.4741606838092887E-4</v>
      </c>
      <c r="P198" s="6">
        <f>MAX(0,$C$4+SUM($O$5:O198))</f>
        <v>5.3899121465955518E-2</v>
      </c>
      <c r="Q198" s="3"/>
      <c r="R198" s="38"/>
    </row>
    <row r="199" spans="11:18" x14ac:dyDescent="0.25">
      <c r="K199">
        <f t="shared" ref="K199:K262" si="25">K198+1</f>
        <v>195</v>
      </c>
      <c r="L199" s="16">
        <f t="shared" si="21"/>
        <v>49553</v>
      </c>
      <c r="M199" s="8">
        <f t="shared" si="22"/>
        <v>2035</v>
      </c>
      <c r="N199" s="33">
        <f t="shared" si="23"/>
        <v>2</v>
      </c>
      <c r="O199">
        <f t="shared" si="24"/>
        <v>-3.4741606838092887E-4</v>
      </c>
      <c r="P199" s="6">
        <f>MAX(0,$C$4+SUM($O$5:O199))</f>
        <v>5.3551705397574589E-2</v>
      </c>
      <c r="Q199" s="3"/>
      <c r="R199" s="38"/>
    </row>
    <row r="200" spans="11:18" x14ac:dyDescent="0.25">
      <c r="K200">
        <f t="shared" si="25"/>
        <v>196</v>
      </c>
      <c r="L200" s="16">
        <f t="shared" si="21"/>
        <v>49583</v>
      </c>
      <c r="M200" s="8">
        <f t="shared" si="22"/>
        <v>2035</v>
      </c>
      <c r="N200" s="33">
        <f t="shared" si="23"/>
        <v>2</v>
      </c>
      <c r="O200">
        <f t="shared" si="24"/>
        <v>-3.4741606838092887E-4</v>
      </c>
      <c r="P200" s="6">
        <f>MAX(0,$C$4+SUM($O$5:O200))</f>
        <v>5.320428932919366E-2</v>
      </c>
      <c r="Q200" s="3"/>
      <c r="R200" s="38"/>
    </row>
    <row r="201" spans="11:18" x14ac:dyDescent="0.25">
      <c r="K201">
        <f t="shared" si="25"/>
        <v>197</v>
      </c>
      <c r="L201" s="16">
        <f t="shared" si="21"/>
        <v>49614</v>
      </c>
      <c r="M201" s="8">
        <f t="shared" si="22"/>
        <v>2035</v>
      </c>
      <c r="N201" s="33">
        <f t="shared" si="23"/>
        <v>2</v>
      </c>
      <c r="O201">
        <f t="shared" si="24"/>
        <v>-3.4741606838092887E-4</v>
      </c>
      <c r="P201" s="6">
        <f>MAX(0,$C$4+SUM($O$5:O201))</f>
        <v>5.2856873260812731E-2</v>
      </c>
      <c r="Q201" s="3"/>
      <c r="R201" s="38"/>
    </row>
    <row r="202" spans="11:18" x14ac:dyDescent="0.25">
      <c r="K202">
        <f t="shared" si="25"/>
        <v>198</v>
      </c>
      <c r="L202" s="16">
        <f t="shared" si="21"/>
        <v>49644</v>
      </c>
      <c r="M202" s="8">
        <f t="shared" si="22"/>
        <v>2035</v>
      </c>
      <c r="N202" s="33">
        <f t="shared" si="23"/>
        <v>2</v>
      </c>
      <c r="O202">
        <f t="shared" si="24"/>
        <v>-3.4741606838092887E-4</v>
      </c>
      <c r="P202" s="6">
        <f>MAX(0,$C$4+SUM($O$5:O202))</f>
        <v>5.2509457192431802E-2</v>
      </c>
      <c r="Q202" s="3"/>
      <c r="R202" s="38"/>
    </row>
    <row r="203" spans="11:18" x14ac:dyDescent="0.25">
      <c r="K203">
        <f t="shared" si="25"/>
        <v>199</v>
      </c>
      <c r="L203" s="16">
        <f t="shared" si="21"/>
        <v>49675</v>
      </c>
      <c r="M203" s="8">
        <f t="shared" si="22"/>
        <v>2036</v>
      </c>
      <c r="N203" s="33">
        <f t="shared" si="23"/>
        <v>2</v>
      </c>
      <c r="O203">
        <f t="shared" si="24"/>
        <v>-3.4741606838092887E-4</v>
      </c>
      <c r="P203" s="6">
        <f>MAX(0,$C$4+SUM($O$5:O203))</f>
        <v>5.2162041124050873E-2</v>
      </c>
      <c r="Q203" s="3"/>
      <c r="R203" s="38"/>
    </row>
    <row r="204" spans="11:18" x14ac:dyDescent="0.25">
      <c r="K204">
        <f t="shared" si="25"/>
        <v>200</v>
      </c>
      <c r="L204" s="16">
        <f t="shared" si="21"/>
        <v>49706</v>
      </c>
      <c r="M204" s="8">
        <f t="shared" si="22"/>
        <v>2036</v>
      </c>
      <c r="N204" s="33">
        <f t="shared" si="23"/>
        <v>2</v>
      </c>
      <c r="O204">
        <f t="shared" si="24"/>
        <v>-3.4741606838092887E-4</v>
      </c>
      <c r="P204" s="6">
        <f>MAX(0,$C$4+SUM($O$5:O204))</f>
        <v>5.1814625055669944E-2</v>
      </c>
      <c r="Q204" s="3"/>
      <c r="R204" s="38"/>
    </row>
    <row r="205" spans="11:18" x14ac:dyDescent="0.25">
      <c r="K205">
        <f t="shared" si="25"/>
        <v>201</v>
      </c>
      <c r="L205" s="16">
        <f t="shared" si="21"/>
        <v>49735</v>
      </c>
      <c r="M205" s="8">
        <f t="shared" si="22"/>
        <v>2036</v>
      </c>
      <c r="N205" s="33">
        <f t="shared" si="23"/>
        <v>2</v>
      </c>
      <c r="O205">
        <f t="shared" si="24"/>
        <v>-3.4741606838092887E-4</v>
      </c>
      <c r="P205" s="6">
        <f>MAX(0,$C$4+SUM($O$5:O205))</f>
        <v>5.1467208987289015E-2</v>
      </c>
      <c r="Q205" s="3"/>
      <c r="R205" s="38"/>
    </row>
    <row r="206" spans="11:18" x14ac:dyDescent="0.25">
      <c r="K206">
        <f t="shared" si="25"/>
        <v>202</v>
      </c>
      <c r="L206" s="16">
        <f t="shared" si="21"/>
        <v>49766</v>
      </c>
      <c r="M206" s="8">
        <f t="shared" si="22"/>
        <v>2036</v>
      </c>
      <c r="N206" s="33">
        <f t="shared" si="23"/>
        <v>2</v>
      </c>
      <c r="O206">
        <f t="shared" si="24"/>
        <v>-3.4741606838092887E-4</v>
      </c>
      <c r="P206" s="6">
        <f>MAX(0,$C$4+SUM($O$5:O206))</f>
        <v>5.1119792918908086E-2</v>
      </c>
      <c r="Q206" s="3"/>
      <c r="R206" s="38"/>
    </row>
    <row r="207" spans="11:18" x14ac:dyDescent="0.25">
      <c r="K207">
        <f t="shared" si="25"/>
        <v>203</v>
      </c>
      <c r="L207" s="16">
        <f t="shared" si="21"/>
        <v>49796</v>
      </c>
      <c r="M207" s="8">
        <f t="shared" si="22"/>
        <v>2036</v>
      </c>
      <c r="N207" s="33">
        <f t="shared" si="23"/>
        <v>2</v>
      </c>
      <c r="O207">
        <f t="shared" si="24"/>
        <v>-3.4741606838092887E-4</v>
      </c>
      <c r="P207" s="6">
        <f>MAX(0,$C$4+SUM($O$5:O207))</f>
        <v>5.0772376850527157E-2</v>
      </c>
      <c r="Q207" s="3"/>
      <c r="R207" s="38"/>
    </row>
    <row r="208" spans="11:18" x14ac:dyDescent="0.25">
      <c r="K208">
        <f t="shared" si="25"/>
        <v>204</v>
      </c>
      <c r="L208" s="16">
        <f t="shared" si="21"/>
        <v>49827</v>
      </c>
      <c r="M208" s="8">
        <f t="shared" si="22"/>
        <v>2036</v>
      </c>
      <c r="N208" s="33">
        <f t="shared" si="23"/>
        <v>2</v>
      </c>
      <c r="O208">
        <f t="shared" si="24"/>
        <v>-3.4741606838092887E-4</v>
      </c>
      <c r="P208" s="6">
        <f>MAX(0,$C$4+SUM($O$5:O208))</f>
        <v>5.0424960782146228E-2</v>
      </c>
      <c r="Q208" s="3"/>
      <c r="R208" s="38"/>
    </row>
    <row r="209" spans="11:18" x14ac:dyDescent="0.25">
      <c r="K209">
        <f t="shared" si="25"/>
        <v>205</v>
      </c>
      <c r="L209" s="16">
        <f t="shared" si="21"/>
        <v>49857</v>
      </c>
      <c r="M209" s="8">
        <f t="shared" si="22"/>
        <v>2036</v>
      </c>
      <c r="N209" s="33">
        <f t="shared" si="23"/>
        <v>2</v>
      </c>
      <c r="O209">
        <f t="shared" si="24"/>
        <v>-3.4741606838092887E-4</v>
      </c>
      <c r="P209" s="6">
        <f>MAX(0,$C$4+SUM($O$5:O209))</f>
        <v>5.0077544713765298E-2</v>
      </c>
      <c r="Q209" s="3"/>
      <c r="R209" s="38"/>
    </row>
    <row r="210" spans="11:18" x14ac:dyDescent="0.25">
      <c r="K210">
        <f t="shared" si="25"/>
        <v>206</v>
      </c>
      <c r="L210" s="16">
        <f t="shared" si="21"/>
        <v>49888</v>
      </c>
      <c r="M210" s="8">
        <f t="shared" si="22"/>
        <v>2036</v>
      </c>
      <c r="N210" s="33">
        <f t="shared" si="23"/>
        <v>2</v>
      </c>
      <c r="O210">
        <f t="shared" si="24"/>
        <v>-3.4741606838092887E-4</v>
      </c>
      <c r="P210" s="6">
        <f>MAX(0,$C$4+SUM($O$5:O210))</f>
        <v>4.9730128645384369E-2</v>
      </c>
      <c r="Q210" s="3"/>
      <c r="R210" s="38"/>
    </row>
    <row r="211" spans="11:18" x14ac:dyDescent="0.25">
      <c r="K211">
        <f t="shared" si="25"/>
        <v>207</v>
      </c>
      <c r="L211" s="16">
        <f t="shared" si="21"/>
        <v>49919</v>
      </c>
      <c r="M211" s="8">
        <f t="shared" si="22"/>
        <v>2036</v>
      </c>
      <c r="N211" s="33">
        <f t="shared" si="23"/>
        <v>2</v>
      </c>
      <c r="O211">
        <f t="shared" si="24"/>
        <v>-3.4741606838092887E-4</v>
      </c>
      <c r="P211" s="6">
        <f>MAX(0,$C$4+SUM($O$5:O211))</f>
        <v>4.938271257700344E-2</v>
      </c>
      <c r="Q211" s="3"/>
      <c r="R211" s="38"/>
    </row>
    <row r="212" spans="11:18" x14ac:dyDescent="0.25">
      <c r="K212">
        <f t="shared" si="25"/>
        <v>208</v>
      </c>
      <c r="L212" s="16">
        <f t="shared" si="21"/>
        <v>49949</v>
      </c>
      <c r="M212" s="8">
        <f t="shared" si="22"/>
        <v>2036</v>
      </c>
      <c r="N212" s="33">
        <f t="shared" si="23"/>
        <v>2</v>
      </c>
      <c r="O212">
        <f t="shared" si="24"/>
        <v>-3.4741606838092887E-4</v>
      </c>
      <c r="P212" s="6">
        <f>MAX(0,$C$4+SUM($O$5:O212))</f>
        <v>4.9035296508622511E-2</v>
      </c>
      <c r="Q212" s="3"/>
      <c r="R212" s="38"/>
    </row>
    <row r="213" spans="11:18" x14ac:dyDescent="0.25">
      <c r="K213">
        <f t="shared" si="25"/>
        <v>209</v>
      </c>
      <c r="L213" s="16">
        <f t="shared" si="21"/>
        <v>49980</v>
      </c>
      <c r="M213" s="8">
        <f t="shared" si="22"/>
        <v>2036</v>
      </c>
      <c r="N213" s="33">
        <f t="shared" si="23"/>
        <v>2</v>
      </c>
      <c r="O213">
        <f t="shared" si="24"/>
        <v>-3.4741606838092887E-4</v>
      </c>
      <c r="P213" s="6">
        <f>MAX(0,$C$4+SUM($O$5:O213))</f>
        <v>4.8687880440241582E-2</v>
      </c>
      <c r="Q213" s="3"/>
      <c r="R213" s="38"/>
    </row>
    <row r="214" spans="11:18" x14ac:dyDescent="0.25">
      <c r="K214">
        <f t="shared" si="25"/>
        <v>210</v>
      </c>
      <c r="L214" s="16">
        <f t="shared" si="21"/>
        <v>50010</v>
      </c>
      <c r="M214" s="8">
        <f t="shared" si="22"/>
        <v>2036</v>
      </c>
      <c r="N214" s="33">
        <f t="shared" si="23"/>
        <v>2</v>
      </c>
      <c r="O214">
        <f t="shared" si="24"/>
        <v>-3.4741606838092887E-4</v>
      </c>
      <c r="P214" s="6">
        <f>MAX(0,$C$4+SUM($O$5:O214))</f>
        <v>4.8340464371860653E-2</v>
      </c>
      <c r="Q214" s="3"/>
      <c r="R214" s="38"/>
    </row>
    <row r="215" spans="11:18" x14ac:dyDescent="0.25">
      <c r="K215">
        <f t="shared" si="25"/>
        <v>211</v>
      </c>
      <c r="L215" s="16">
        <f t="shared" si="21"/>
        <v>50041</v>
      </c>
      <c r="M215" s="8">
        <f t="shared" si="22"/>
        <v>2037</v>
      </c>
      <c r="N215" s="33">
        <f t="shared" si="23"/>
        <v>2</v>
      </c>
      <c r="O215">
        <f t="shared" si="24"/>
        <v>-3.4741606838092887E-4</v>
      </c>
      <c r="P215" s="6">
        <f>MAX(0,$C$4+SUM($O$5:O215))</f>
        <v>4.7993048303479724E-2</v>
      </c>
      <c r="Q215" s="3"/>
      <c r="R215" s="38"/>
    </row>
    <row r="216" spans="11:18" x14ac:dyDescent="0.25">
      <c r="K216">
        <f t="shared" si="25"/>
        <v>212</v>
      </c>
      <c r="L216" s="16">
        <f t="shared" si="21"/>
        <v>50072</v>
      </c>
      <c r="M216" s="8">
        <f t="shared" si="22"/>
        <v>2037</v>
      </c>
      <c r="N216" s="33">
        <f t="shared" si="23"/>
        <v>2</v>
      </c>
      <c r="O216">
        <f t="shared" si="24"/>
        <v>-3.4741606838092887E-4</v>
      </c>
      <c r="P216" s="6">
        <f>MAX(0,$C$4+SUM($O$5:O216))</f>
        <v>4.7645632235098795E-2</v>
      </c>
      <c r="Q216" s="3"/>
      <c r="R216" s="38"/>
    </row>
    <row r="217" spans="11:18" x14ac:dyDescent="0.25">
      <c r="K217">
        <f t="shared" si="25"/>
        <v>213</v>
      </c>
      <c r="L217" s="16">
        <f t="shared" si="21"/>
        <v>50100</v>
      </c>
      <c r="M217" s="8">
        <f t="shared" si="22"/>
        <v>2037</v>
      </c>
      <c r="N217" s="33">
        <f t="shared" si="23"/>
        <v>2</v>
      </c>
      <c r="O217">
        <f t="shared" si="24"/>
        <v>-3.4741606838092887E-4</v>
      </c>
      <c r="P217" s="6">
        <f>MAX(0,$C$4+SUM($O$5:O217))</f>
        <v>4.7298216166717866E-2</v>
      </c>
      <c r="Q217" s="3"/>
      <c r="R217" s="38"/>
    </row>
    <row r="218" spans="11:18" x14ac:dyDescent="0.25">
      <c r="K218">
        <f t="shared" si="25"/>
        <v>214</v>
      </c>
      <c r="L218" s="16">
        <f t="shared" si="21"/>
        <v>50131</v>
      </c>
      <c r="M218" s="8">
        <f t="shared" si="22"/>
        <v>2037</v>
      </c>
      <c r="N218" s="33">
        <f t="shared" si="23"/>
        <v>2</v>
      </c>
      <c r="O218">
        <f t="shared" si="24"/>
        <v>-3.4741606838092887E-4</v>
      </c>
      <c r="P218" s="6">
        <f>MAX(0,$C$4+SUM($O$5:O218))</f>
        <v>4.6950800098336937E-2</v>
      </c>
      <c r="Q218" s="3"/>
      <c r="R218" s="38"/>
    </row>
    <row r="219" spans="11:18" x14ac:dyDescent="0.25">
      <c r="K219">
        <f t="shared" si="25"/>
        <v>215</v>
      </c>
      <c r="L219" s="16">
        <f t="shared" si="21"/>
        <v>50161</v>
      </c>
      <c r="M219" s="8">
        <f t="shared" si="22"/>
        <v>2037</v>
      </c>
      <c r="N219" s="33">
        <f t="shared" si="23"/>
        <v>2</v>
      </c>
      <c r="O219">
        <f t="shared" si="24"/>
        <v>-3.4741606838092887E-4</v>
      </c>
      <c r="P219" s="6">
        <f>MAX(0,$C$4+SUM($O$5:O219))</f>
        <v>4.6603384029956008E-2</v>
      </c>
      <c r="Q219" s="3"/>
      <c r="R219" s="38"/>
    </row>
    <row r="220" spans="11:18" x14ac:dyDescent="0.25">
      <c r="K220">
        <f t="shared" si="25"/>
        <v>216</v>
      </c>
      <c r="L220" s="16">
        <f t="shared" si="21"/>
        <v>50192</v>
      </c>
      <c r="M220" s="8">
        <f t="shared" si="22"/>
        <v>2037</v>
      </c>
      <c r="N220" s="33">
        <f t="shared" si="23"/>
        <v>2</v>
      </c>
      <c r="O220">
        <f t="shared" si="24"/>
        <v>-3.4741606838092887E-4</v>
      </c>
      <c r="P220" s="6">
        <f>MAX(0,$C$4+SUM($O$5:O220))</f>
        <v>4.6255967961575079E-2</v>
      </c>
      <c r="Q220" s="3"/>
      <c r="R220" s="38"/>
    </row>
    <row r="221" spans="11:18" x14ac:dyDescent="0.25">
      <c r="K221">
        <f t="shared" si="25"/>
        <v>217</v>
      </c>
      <c r="L221" s="16">
        <f t="shared" si="21"/>
        <v>50222</v>
      </c>
      <c r="M221" s="8">
        <f t="shared" si="22"/>
        <v>2037</v>
      </c>
      <c r="N221" s="33">
        <f t="shared" si="23"/>
        <v>2</v>
      </c>
      <c r="O221">
        <f t="shared" si="24"/>
        <v>-3.4741606838092887E-4</v>
      </c>
      <c r="P221" s="6">
        <f>MAX(0,$C$4+SUM($O$5:O221))</f>
        <v>4.5908551893194149E-2</v>
      </c>
      <c r="Q221" s="3"/>
      <c r="R221" s="38"/>
    </row>
    <row r="222" spans="11:18" x14ac:dyDescent="0.25">
      <c r="K222">
        <f t="shared" si="25"/>
        <v>218</v>
      </c>
      <c r="L222" s="16">
        <f t="shared" si="21"/>
        <v>50253</v>
      </c>
      <c r="M222" s="8">
        <f t="shared" si="22"/>
        <v>2037</v>
      </c>
      <c r="N222" s="33">
        <f t="shared" si="23"/>
        <v>2</v>
      </c>
      <c r="O222">
        <f t="shared" si="24"/>
        <v>-3.4741606838092887E-4</v>
      </c>
      <c r="P222" s="6">
        <f>MAX(0,$C$4+SUM($O$5:O222))</f>
        <v>4.556113582481322E-2</v>
      </c>
      <c r="Q222" s="3"/>
      <c r="R222" s="38"/>
    </row>
    <row r="223" spans="11:18" x14ac:dyDescent="0.25">
      <c r="K223">
        <f t="shared" si="25"/>
        <v>219</v>
      </c>
      <c r="L223" s="16">
        <f t="shared" si="21"/>
        <v>50284</v>
      </c>
      <c r="M223" s="8">
        <f t="shared" si="22"/>
        <v>2037</v>
      </c>
      <c r="N223" s="33">
        <f t="shared" si="23"/>
        <v>2</v>
      </c>
      <c r="O223">
        <f t="shared" si="24"/>
        <v>-3.4741606838092887E-4</v>
      </c>
      <c r="P223" s="6">
        <f>MAX(0,$C$4+SUM($O$5:O223))</f>
        <v>4.5213719756432291E-2</v>
      </c>
      <c r="Q223" s="3"/>
      <c r="R223" s="38"/>
    </row>
    <row r="224" spans="11:18" x14ac:dyDescent="0.25">
      <c r="K224">
        <f t="shared" si="25"/>
        <v>220</v>
      </c>
      <c r="L224" s="16">
        <f t="shared" si="21"/>
        <v>50314</v>
      </c>
      <c r="M224" s="8">
        <f t="shared" si="22"/>
        <v>2037</v>
      </c>
      <c r="N224" s="33">
        <f t="shared" si="23"/>
        <v>2</v>
      </c>
      <c r="O224">
        <f t="shared" si="24"/>
        <v>-3.4741606838092887E-4</v>
      </c>
      <c r="P224" s="6">
        <f>MAX(0,$C$4+SUM($O$5:O224))</f>
        <v>4.4866303688051362E-2</v>
      </c>
      <c r="Q224" s="3"/>
      <c r="R224" s="38"/>
    </row>
    <row r="225" spans="11:18" x14ac:dyDescent="0.25">
      <c r="K225">
        <f t="shared" si="25"/>
        <v>221</v>
      </c>
      <c r="L225" s="16">
        <f t="shared" si="21"/>
        <v>50345</v>
      </c>
      <c r="M225" s="8">
        <f t="shared" si="22"/>
        <v>2037</v>
      </c>
      <c r="N225" s="33">
        <f t="shared" si="23"/>
        <v>2</v>
      </c>
      <c r="O225">
        <f t="shared" si="24"/>
        <v>-3.4741606838092887E-4</v>
      </c>
      <c r="P225" s="6">
        <f>MAX(0,$C$4+SUM($O$5:O225))</f>
        <v>4.4518887619670433E-2</v>
      </c>
      <c r="Q225" s="3"/>
      <c r="R225" s="38"/>
    </row>
    <row r="226" spans="11:18" x14ac:dyDescent="0.25">
      <c r="K226">
        <f t="shared" si="25"/>
        <v>222</v>
      </c>
      <c r="L226" s="16">
        <f t="shared" si="21"/>
        <v>50375</v>
      </c>
      <c r="M226" s="8">
        <f t="shared" si="22"/>
        <v>2037</v>
      </c>
      <c r="N226" s="33">
        <f t="shared" si="23"/>
        <v>2</v>
      </c>
      <c r="O226">
        <f t="shared" si="24"/>
        <v>-3.4741606838092887E-4</v>
      </c>
      <c r="P226" s="6">
        <f>MAX(0,$C$4+SUM($O$5:O226))</f>
        <v>4.4171471551289504E-2</v>
      </c>
      <c r="Q226" s="3"/>
      <c r="R226" s="38"/>
    </row>
    <row r="227" spans="11:18" x14ac:dyDescent="0.25">
      <c r="K227">
        <f t="shared" si="25"/>
        <v>223</v>
      </c>
      <c r="L227" s="16">
        <f t="shared" si="21"/>
        <v>50406</v>
      </c>
      <c r="M227" s="8">
        <f t="shared" si="22"/>
        <v>2038</v>
      </c>
      <c r="N227" s="33">
        <f t="shared" si="23"/>
        <v>2</v>
      </c>
      <c r="O227">
        <f t="shared" si="24"/>
        <v>-3.4741606838092887E-4</v>
      </c>
      <c r="P227" s="6">
        <f>MAX(0,$C$4+SUM($O$5:O227))</f>
        <v>4.3824055482908575E-2</v>
      </c>
      <c r="Q227" s="3"/>
      <c r="R227" s="38"/>
    </row>
    <row r="228" spans="11:18" x14ac:dyDescent="0.25">
      <c r="K228">
        <f t="shared" si="25"/>
        <v>224</v>
      </c>
      <c r="L228" s="16">
        <f t="shared" si="21"/>
        <v>50437</v>
      </c>
      <c r="M228" s="8">
        <f t="shared" si="22"/>
        <v>2038</v>
      </c>
      <c r="N228" s="33">
        <f t="shared" si="23"/>
        <v>2</v>
      </c>
      <c r="O228">
        <f t="shared" si="24"/>
        <v>-3.4741606838092887E-4</v>
      </c>
      <c r="P228" s="6">
        <f>MAX(0,$C$4+SUM($O$5:O228))</f>
        <v>4.3476639414527646E-2</v>
      </c>
      <c r="Q228" s="3"/>
      <c r="R228" s="38"/>
    </row>
    <row r="229" spans="11:18" x14ac:dyDescent="0.25">
      <c r="K229">
        <f t="shared" si="25"/>
        <v>225</v>
      </c>
      <c r="L229" s="16">
        <f t="shared" si="21"/>
        <v>50465</v>
      </c>
      <c r="M229" s="8">
        <f t="shared" si="22"/>
        <v>2038</v>
      </c>
      <c r="N229" s="33">
        <f t="shared" si="23"/>
        <v>2</v>
      </c>
      <c r="O229">
        <f t="shared" si="24"/>
        <v>-3.4741606838092887E-4</v>
      </c>
      <c r="P229" s="6">
        <f>MAX(0,$C$4+SUM($O$5:O229))</f>
        <v>4.3129223346146717E-2</v>
      </c>
      <c r="Q229" s="3"/>
      <c r="R229" s="38"/>
    </row>
    <row r="230" spans="11:18" x14ac:dyDescent="0.25">
      <c r="K230">
        <f t="shared" si="25"/>
        <v>226</v>
      </c>
      <c r="L230" s="16">
        <f t="shared" si="21"/>
        <v>50496</v>
      </c>
      <c r="M230" s="8">
        <f t="shared" si="22"/>
        <v>2038</v>
      </c>
      <c r="N230" s="33">
        <f t="shared" si="23"/>
        <v>2</v>
      </c>
      <c r="O230">
        <f t="shared" si="24"/>
        <v>-3.4741606838092887E-4</v>
      </c>
      <c r="P230" s="6">
        <f>MAX(0,$C$4+SUM($O$5:O230))</f>
        <v>4.2781807277765788E-2</v>
      </c>
      <c r="Q230" s="3"/>
      <c r="R230" s="38"/>
    </row>
    <row r="231" spans="11:18" x14ac:dyDescent="0.25">
      <c r="K231">
        <f t="shared" si="25"/>
        <v>227</v>
      </c>
      <c r="L231" s="16">
        <f t="shared" si="21"/>
        <v>50526</v>
      </c>
      <c r="M231" s="8">
        <f t="shared" si="22"/>
        <v>2038</v>
      </c>
      <c r="N231" s="33">
        <f t="shared" si="23"/>
        <v>2</v>
      </c>
      <c r="O231">
        <f t="shared" si="24"/>
        <v>-3.4741606838092887E-4</v>
      </c>
      <c r="P231" s="6">
        <f>MAX(0,$C$4+SUM($O$5:O231))</f>
        <v>4.2434391209384859E-2</v>
      </c>
      <c r="Q231" s="3"/>
      <c r="R231" s="38"/>
    </row>
    <row r="232" spans="11:18" x14ac:dyDescent="0.25">
      <c r="K232">
        <f t="shared" si="25"/>
        <v>228</v>
      </c>
      <c r="L232" s="16">
        <f t="shared" si="21"/>
        <v>50557</v>
      </c>
      <c r="M232" s="8">
        <f t="shared" si="22"/>
        <v>2038</v>
      </c>
      <c r="N232" s="33">
        <f t="shared" si="23"/>
        <v>2</v>
      </c>
      <c r="O232">
        <f t="shared" si="24"/>
        <v>-3.4741606838092887E-4</v>
      </c>
      <c r="P232" s="6">
        <f>MAX(0,$C$4+SUM($O$5:O232))</f>
        <v>4.2086975141003929E-2</v>
      </c>
      <c r="Q232" s="3"/>
      <c r="R232" s="38"/>
    </row>
    <row r="233" spans="11:18" x14ac:dyDescent="0.25">
      <c r="K233">
        <f t="shared" si="25"/>
        <v>229</v>
      </c>
      <c r="L233" s="16">
        <f t="shared" si="21"/>
        <v>50587</v>
      </c>
      <c r="M233" s="8">
        <f t="shared" si="22"/>
        <v>2038</v>
      </c>
      <c r="N233" s="33">
        <f t="shared" si="23"/>
        <v>2</v>
      </c>
      <c r="O233">
        <f t="shared" si="24"/>
        <v>-3.4741606838092887E-4</v>
      </c>
      <c r="P233" s="6">
        <f>MAX(0,$C$4+SUM($O$5:O233))</f>
        <v>4.1739559072623E-2</v>
      </c>
      <c r="Q233" s="3"/>
      <c r="R233" s="38"/>
    </row>
    <row r="234" spans="11:18" x14ac:dyDescent="0.25">
      <c r="K234">
        <f t="shared" si="25"/>
        <v>230</v>
      </c>
      <c r="L234" s="16">
        <f t="shared" si="21"/>
        <v>50618</v>
      </c>
      <c r="M234" s="8">
        <f t="shared" si="22"/>
        <v>2038</v>
      </c>
      <c r="N234" s="33">
        <f t="shared" si="23"/>
        <v>2</v>
      </c>
      <c r="O234">
        <f t="shared" si="24"/>
        <v>-3.4741606838092887E-4</v>
      </c>
      <c r="P234" s="6">
        <f>MAX(0,$C$4+SUM($O$5:O234))</f>
        <v>4.1392143004242071E-2</v>
      </c>
      <c r="Q234" s="3"/>
      <c r="R234" s="38"/>
    </row>
    <row r="235" spans="11:18" x14ac:dyDescent="0.25">
      <c r="K235">
        <f t="shared" si="25"/>
        <v>231</v>
      </c>
      <c r="L235" s="16">
        <f t="shared" si="21"/>
        <v>50649</v>
      </c>
      <c r="M235" s="8">
        <f t="shared" si="22"/>
        <v>2038</v>
      </c>
      <c r="N235" s="33">
        <f t="shared" si="23"/>
        <v>2</v>
      </c>
      <c r="O235">
        <f t="shared" si="24"/>
        <v>-3.4741606838092887E-4</v>
      </c>
      <c r="P235" s="6">
        <f>MAX(0,$C$4+SUM($O$5:O235))</f>
        <v>4.1044726935861142E-2</v>
      </c>
      <c r="Q235" s="3"/>
      <c r="R235" s="38"/>
    </row>
    <row r="236" spans="11:18" x14ac:dyDescent="0.25">
      <c r="K236">
        <f t="shared" si="25"/>
        <v>232</v>
      </c>
      <c r="L236" s="16">
        <f t="shared" si="21"/>
        <v>50679</v>
      </c>
      <c r="M236" s="8">
        <f t="shared" si="22"/>
        <v>2038</v>
      </c>
      <c r="N236" s="33">
        <f t="shared" si="23"/>
        <v>2</v>
      </c>
      <c r="O236">
        <f t="shared" si="24"/>
        <v>-3.4741606838092887E-4</v>
      </c>
      <c r="P236" s="6">
        <f>MAX(0,$C$4+SUM($O$5:O236))</f>
        <v>4.0697310867480213E-2</v>
      </c>
      <c r="Q236" s="3"/>
      <c r="R236" s="38"/>
    </row>
    <row r="237" spans="11:18" x14ac:dyDescent="0.25">
      <c r="K237">
        <f t="shared" si="25"/>
        <v>233</v>
      </c>
      <c r="L237" s="16">
        <f t="shared" si="21"/>
        <v>50710</v>
      </c>
      <c r="M237" s="8">
        <f t="shared" si="22"/>
        <v>2038</v>
      </c>
      <c r="N237" s="33">
        <f t="shared" si="23"/>
        <v>2</v>
      </c>
      <c r="O237">
        <f t="shared" si="24"/>
        <v>-3.4741606838092887E-4</v>
      </c>
      <c r="P237" s="6">
        <f>MAX(0,$C$4+SUM($O$5:O237))</f>
        <v>4.0349894799099284E-2</v>
      </c>
      <c r="Q237" s="3"/>
      <c r="R237" s="38"/>
    </row>
    <row r="238" spans="11:18" x14ac:dyDescent="0.25">
      <c r="K238">
        <f t="shared" si="25"/>
        <v>234</v>
      </c>
      <c r="L238" s="16">
        <f t="shared" si="21"/>
        <v>50740</v>
      </c>
      <c r="M238" s="8">
        <f t="shared" si="22"/>
        <v>2038</v>
      </c>
      <c r="N238" s="33">
        <f t="shared" si="23"/>
        <v>2</v>
      </c>
      <c r="O238">
        <f t="shared" si="24"/>
        <v>-3.4741606838092887E-4</v>
      </c>
      <c r="P238" s="6">
        <f>MAX(0,$C$4+SUM($O$5:O238))</f>
        <v>4.0002478730718355E-2</v>
      </c>
      <c r="Q238" s="3"/>
      <c r="R238" s="38"/>
    </row>
    <row r="239" spans="11:18" x14ac:dyDescent="0.25">
      <c r="K239">
        <f t="shared" si="25"/>
        <v>235</v>
      </c>
      <c r="L239" s="16">
        <f t="shared" si="21"/>
        <v>50771</v>
      </c>
      <c r="M239" s="8">
        <f t="shared" si="22"/>
        <v>2039</v>
      </c>
      <c r="N239" s="33">
        <f t="shared" si="23"/>
        <v>2</v>
      </c>
      <c r="O239">
        <f t="shared" si="24"/>
        <v>-3.4741606838092887E-4</v>
      </c>
      <c r="P239" s="6">
        <f>MAX(0,$C$4+SUM($O$5:O239))</f>
        <v>3.9655062662337426E-2</v>
      </c>
      <c r="Q239" s="3"/>
      <c r="R239" s="38"/>
    </row>
    <row r="240" spans="11:18" x14ac:dyDescent="0.25">
      <c r="K240">
        <f t="shared" si="25"/>
        <v>236</v>
      </c>
      <c r="L240" s="16">
        <f t="shared" si="21"/>
        <v>50802</v>
      </c>
      <c r="M240" s="8">
        <f t="shared" si="22"/>
        <v>2039</v>
      </c>
      <c r="N240" s="33">
        <f t="shared" si="23"/>
        <v>2</v>
      </c>
      <c r="O240">
        <f t="shared" si="24"/>
        <v>-3.4741606838092887E-4</v>
      </c>
      <c r="P240" s="6">
        <f>MAX(0,$C$4+SUM($O$5:O240))</f>
        <v>3.9307646593956497E-2</v>
      </c>
      <c r="Q240" s="3"/>
      <c r="R240" s="38"/>
    </row>
    <row r="241" spans="11:18" x14ac:dyDescent="0.25">
      <c r="K241">
        <f t="shared" si="25"/>
        <v>237</v>
      </c>
      <c r="L241" s="16">
        <f t="shared" si="21"/>
        <v>50830</v>
      </c>
      <c r="M241" s="8">
        <f t="shared" si="22"/>
        <v>2039</v>
      </c>
      <c r="N241" s="33">
        <f t="shared" si="23"/>
        <v>2</v>
      </c>
      <c r="O241">
        <f t="shared" si="24"/>
        <v>-3.4741606838092887E-4</v>
      </c>
      <c r="P241" s="6">
        <f>MAX(0,$C$4+SUM($O$5:O241))</f>
        <v>3.8960230525575568E-2</v>
      </c>
      <c r="Q241" s="3"/>
      <c r="R241" s="38"/>
    </row>
    <row r="242" spans="11:18" x14ac:dyDescent="0.25">
      <c r="K242">
        <f t="shared" si="25"/>
        <v>238</v>
      </c>
      <c r="L242" s="16">
        <f t="shared" si="21"/>
        <v>50861</v>
      </c>
      <c r="M242" s="8">
        <f t="shared" si="22"/>
        <v>2039</v>
      </c>
      <c r="N242" s="33">
        <f t="shared" si="23"/>
        <v>2</v>
      </c>
      <c r="O242">
        <f t="shared" si="24"/>
        <v>-3.4741606838092887E-4</v>
      </c>
      <c r="P242" s="6">
        <f>MAX(0,$C$4+SUM($O$5:O242))</f>
        <v>3.8612814457194639E-2</v>
      </c>
      <c r="Q242" s="3"/>
      <c r="R242" s="38"/>
    </row>
    <row r="243" spans="11:18" x14ac:dyDescent="0.25">
      <c r="K243">
        <f t="shared" si="25"/>
        <v>239</v>
      </c>
      <c r="L243" s="16">
        <f t="shared" si="21"/>
        <v>50891</v>
      </c>
      <c r="M243" s="8">
        <f t="shared" si="22"/>
        <v>2039</v>
      </c>
      <c r="N243" s="33">
        <f t="shared" si="23"/>
        <v>2</v>
      </c>
      <c r="O243">
        <f t="shared" si="24"/>
        <v>-3.4741606838092887E-4</v>
      </c>
      <c r="P243" s="6">
        <f>MAX(0,$C$4+SUM($O$5:O243))</f>
        <v>3.8265398388813709E-2</v>
      </c>
      <c r="Q243" s="3"/>
      <c r="R243" s="38"/>
    </row>
    <row r="244" spans="11:18" x14ac:dyDescent="0.25">
      <c r="K244">
        <f t="shared" si="25"/>
        <v>240</v>
      </c>
      <c r="L244" s="16">
        <f t="shared" si="21"/>
        <v>50922</v>
      </c>
      <c r="M244" s="8">
        <f t="shared" si="22"/>
        <v>2039</v>
      </c>
      <c r="N244" s="33">
        <f t="shared" si="23"/>
        <v>2</v>
      </c>
      <c r="O244">
        <f t="shared" si="24"/>
        <v>-3.4741606838092887E-4</v>
      </c>
      <c r="P244" s="6">
        <f>MAX(0,$C$4+SUM($O$5:O244))</f>
        <v>3.791798232043278E-2</v>
      </c>
      <c r="Q244" s="3"/>
      <c r="R244" s="38"/>
    </row>
    <row r="245" spans="11:18" x14ac:dyDescent="0.25">
      <c r="K245">
        <f t="shared" si="25"/>
        <v>241</v>
      </c>
      <c r="L245" s="16">
        <f t="shared" si="21"/>
        <v>50952</v>
      </c>
      <c r="M245" s="8">
        <f t="shared" si="22"/>
        <v>2039</v>
      </c>
      <c r="N245" s="33">
        <f t="shared" si="23"/>
        <v>2</v>
      </c>
      <c r="O245">
        <f t="shared" si="24"/>
        <v>-3.4741606838092887E-4</v>
      </c>
      <c r="P245" s="6">
        <f>MAX(0,$C$4+SUM($O$5:O245))</f>
        <v>3.7570566252051851E-2</v>
      </c>
      <c r="Q245" s="3"/>
      <c r="R245" s="38"/>
    </row>
    <row r="246" spans="11:18" x14ac:dyDescent="0.25">
      <c r="K246">
        <f t="shared" si="25"/>
        <v>242</v>
      </c>
      <c r="L246" s="16">
        <f t="shared" si="21"/>
        <v>50983</v>
      </c>
      <c r="M246" s="8">
        <f t="shared" si="22"/>
        <v>2039</v>
      </c>
      <c r="N246" s="33">
        <f t="shared" si="23"/>
        <v>2</v>
      </c>
      <c r="O246">
        <f t="shared" si="24"/>
        <v>-3.4741606838092887E-4</v>
      </c>
      <c r="P246" s="6">
        <f>MAX(0,$C$4+SUM($O$5:O246))</f>
        <v>3.7223150183670922E-2</v>
      </c>
      <c r="Q246" s="3"/>
      <c r="R246" s="38"/>
    </row>
    <row r="247" spans="11:18" x14ac:dyDescent="0.25">
      <c r="K247">
        <f t="shared" si="25"/>
        <v>243</v>
      </c>
      <c r="L247" s="16">
        <f t="shared" si="21"/>
        <v>51014</v>
      </c>
      <c r="M247" s="8">
        <f t="shared" si="22"/>
        <v>2039</v>
      </c>
      <c r="N247" s="33">
        <f t="shared" si="23"/>
        <v>2</v>
      </c>
      <c r="O247">
        <f t="shared" si="24"/>
        <v>-3.4741606838092887E-4</v>
      </c>
      <c r="P247" s="6">
        <f>MAX(0,$C$4+SUM($O$5:O247))</f>
        <v>3.6875734115289993E-2</v>
      </c>
      <c r="Q247" s="3"/>
      <c r="R247" s="38"/>
    </row>
    <row r="248" spans="11:18" x14ac:dyDescent="0.25">
      <c r="K248">
        <f t="shared" si="25"/>
        <v>244</v>
      </c>
      <c r="L248" s="16">
        <f t="shared" si="21"/>
        <v>51044</v>
      </c>
      <c r="M248" s="8">
        <f t="shared" si="22"/>
        <v>2039</v>
      </c>
      <c r="N248" s="33">
        <f t="shared" si="23"/>
        <v>2</v>
      </c>
      <c r="O248">
        <f t="shared" si="24"/>
        <v>-3.4741606838092887E-4</v>
      </c>
      <c r="P248" s="6">
        <f>MAX(0,$C$4+SUM($O$5:O248))</f>
        <v>3.6528318046909064E-2</v>
      </c>
      <c r="Q248" s="3"/>
      <c r="R248" s="38"/>
    </row>
    <row r="249" spans="11:18" x14ac:dyDescent="0.25">
      <c r="K249">
        <f t="shared" si="25"/>
        <v>245</v>
      </c>
      <c r="L249" s="16">
        <f t="shared" si="21"/>
        <v>51075</v>
      </c>
      <c r="M249" s="8">
        <f t="shared" si="22"/>
        <v>2039</v>
      </c>
      <c r="N249" s="33">
        <f t="shared" si="23"/>
        <v>2</v>
      </c>
      <c r="O249">
        <f t="shared" si="24"/>
        <v>-3.4741606838092887E-4</v>
      </c>
      <c r="P249" s="6">
        <f>MAX(0,$C$4+SUM($O$5:O249))</f>
        <v>3.6180901978528135E-2</v>
      </c>
      <c r="Q249" s="3"/>
      <c r="R249" s="38"/>
    </row>
    <row r="250" spans="11:18" x14ac:dyDescent="0.25">
      <c r="K250">
        <f t="shared" si="25"/>
        <v>246</v>
      </c>
      <c r="L250" s="16">
        <f t="shared" si="21"/>
        <v>51105</v>
      </c>
      <c r="M250" s="8">
        <f t="shared" si="22"/>
        <v>2039</v>
      </c>
      <c r="N250" s="33">
        <f t="shared" si="23"/>
        <v>2</v>
      </c>
      <c r="O250">
        <f t="shared" si="24"/>
        <v>-3.4741606838092887E-4</v>
      </c>
      <c r="P250" s="6">
        <f>MAX(0,$C$4+SUM($O$5:O250))</f>
        <v>3.5833485910147206E-2</v>
      </c>
      <c r="Q250" s="3"/>
      <c r="R250" s="38"/>
    </row>
    <row r="251" spans="11:18" x14ac:dyDescent="0.25">
      <c r="K251">
        <f t="shared" si="25"/>
        <v>247</v>
      </c>
      <c r="L251" s="16">
        <f t="shared" si="21"/>
        <v>51136</v>
      </c>
      <c r="M251" s="8">
        <f t="shared" si="22"/>
        <v>2040</v>
      </c>
      <c r="N251" s="33">
        <f t="shared" si="23"/>
        <v>2</v>
      </c>
      <c r="O251">
        <f t="shared" si="24"/>
        <v>-3.4741606838092887E-4</v>
      </c>
      <c r="P251" s="6">
        <f>MAX(0,$C$4+SUM($O$5:O251))</f>
        <v>3.5486069841766277E-2</v>
      </c>
      <c r="Q251" s="3"/>
      <c r="R251" s="38"/>
    </row>
    <row r="252" spans="11:18" x14ac:dyDescent="0.25">
      <c r="K252">
        <f t="shared" si="25"/>
        <v>248</v>
      </c>
      <c r="L252" s="16">
        <f t="shared" si="21"/>
        <v>51167</v>
      </c>
      <c r="M252" s="8">
        <f t="shared" si="22"/>
        <v>2040</v>
      </c>
      <c r="N252" s="33">
        <f t="shared" si="23"/>
        <v>2</v>
      </c>
      <c r="O252">
        <f t="shared" si="24"/>
        <v>-3.4741606838092887E-4</v>
      </c>
      <c r="P252" s="6">
        <f>MAX(0,$C$4+SUM($O$5:O252))</f>
        <v>3.5138653773385348E-2</v>
      </c>
      <c r="Q252" s="3"/>
      <c r="R252" s="38"/>
    </row>
    <row r="253" spans="11:18" x14ac:dyDescent="0.25">
      <c r="K253">
        <f t="shared" si="25"/>
        <v>249</v>
      </c>
      <c r="L253" s="16">
        <f t="shared" si="21"/>
        <v>51196</v>
      </c>
      <c r="M253" s="8">
        <f t="shared" si="22"/>
        <v>2040</v>
      </c>
      <c r="N253" s="33">
        <f t="shared" si="23"/>
        <v>2</v>
      </c>
      <c r="O253">
        <f t="shared" si="24"/>
        <v>-3.4741606838092887E-4</v>
      </c>
      <c r="P253" s="6">
        <f>MAX(0,$C$4+SUM($O$5:O253))</f>
        <v>3.4791237705004419E-2</v>
      </c>
      <c r="Q253" s="3"/>
      <c r="R253" s="38"/>
    </row>
    <row r="254" spans="11:18" x14ac:dyDescent="0.25">
      <c r="K254">
        <f t="shared" si="25"/>
        <v>250</v>
      </c>
      <c r="L254" s="16">
        <f t="shared" si="21"/>
        <v>51227</v>
      </c>
      <c r="M254" s="8">
        <f t="shared" si="22"/>
        <v>2040</v>
      </c>
      <c r="N254" s="33">
        <f t="shared" si="23"/>
        <v>2</v>
      </c>
      <c r="O254">
        <f t="shared" si="24"/>
        <v>-3.4741606838092887E-4</v>
      </c>
      <c r="P254" s="6">
        <f>MAX(0,$C$4+SUM($O$5:O254))</f>
        <v>3.444382163662349E-2</v>
      </c>
      <c r="Q254" s="3"/>
      <c r="R254" s="38"/>
    </row>
    <row r="255" spans="11:18" x14ac:dyDescent="0.25">
      <c r="K255">
        <f t="shared" si="25"/>
        <v>251</v>
      </c>
      <c r="L255" s="16">
        <f t="shared" si="21"/>
        <v>51257</v>
      </c>
      <c r="M255" s="8">
        <f t="shared" si="22"/>
        <v>2040</v>
      </c>
      <c r="N255" s="33">
        <f t="shared" si="23"/>
        <v>2</v>
      </c>
      <c r="O255">
        <f t="shared" si="24"/>
        <v>-3.4741606838092887E-4</v>
      </c>
      <c r="P255" s="6">
        <f>MAX(0,$C$4+SUM($O$5:O255))</f>
        <v>3.409640556824256E-2</v>
      </c>
      <c r="Q255" s="3"/>
      <c r="R255" s="38"/>
    </row>
    <row r="256" spans="11:18" x14ac:dyDescent="0.25">
      <c r="K256">
        <f t="shared" si="25"/>
        <v>252</v>
      </c>
      <c r="L256" s="16">
        <f t="shared" si="21"/>
        <v>51288</v>
      </c>
      <c r="M256" s="8">
        <f t="shared" si="22"/>
        <v>2040</v>
      </c>
      <c r="N256" s="33">
        <f t="shared" si="23"/>
        <v>2</v>
      </c>
      <c r="O256">
        <f t="shared" si="24"/>
        <v>-3.4741606838092887E-4</v>
      </c>
      <c r="P256" s="6">
        <f>MAX(0,$C$4+SUM($O$5:O256))</f>
        <v>3.3748989499861631E-2</v>
      </c>
      <c r="Q256" s="3"/>
      <c r="R256" s="38"/>
    </row>
    <row r="257" spans="11:18" x14ac:dyDescent="0.25">
      <c r="K257">
        <f t="shared" si="25"/>
        <v>253</v>
      </c>
      <c r="L257" s="16">
        <f t="shared" si="21"/>
        <v>51318</v>
      </c>
      <c r="M257" s="8">
        <f t="shared" si="22"/>
        <v>2040</v>
      </c>
      <c r="N257" s="33">
        <f t="shared" si="23"/>
        <v>3</v>
      </c>
      <c r="O257">
        <f t="shared" si="24"/>
        <v>-5.6248315833102821E-4</v>
      </c>
      <c r="P257" s="6">
        <f>MAX(0,$C$4+SUM($O$5:O257))</f>
        <v>3.31865063415306E-2</v>
      </c>
      <c r="Q257" s="3"/>
      <c r="R257" s="38"/>
    </row>
    <row r="258" spans="11:18" x14ac:dyDescent="0.25">
      <c r="K258">
        <f t="shared" si="25"/>
        <v>254</v>
      </c>
      <c r="L258" s="16">
        <f t="shared" si="21"/>
        <v>51349</v>
      </c>
      <c r="M258" s="8">
        <f t="shared" si="22"/>
        <v>2040</v>
      </c>
      <c r="N258" s="33">
        <f t="shared" si="23"/>
        <v>3</v>
      </c>
      <c r="O258">
        <f t="shared" si="24"/>
        <v>-5.6248315833102821E-4</v>
      </c>
      <c r="P258" s="6">
        <f>MAX(0,$C$4+SUM($O$5:O258))</f>
        <v>3.2624023183199569E-2</v>
      </c>
      <c r="Q258" s="3"/>
      <c r="R258" s="38"/>
    </row>
    <row r="259" spans="11:18" x14ac:dyDescent="0.25">
      <c r="K259">
        <f t="shared" si="25"/>
        <v>255</v>
      </c>
      <c r="L259" s="16">
        <f t="shared" si="21"/>
        <v>51380</v>
      </c>
      <c r="M259" s="8">
        <f t="shared" si="22"/>
        <v>2040</v>
      </c>
      <c r="N259" s="33">
        <f t="shared" si="23"/>
        <v>3</v>
      </c>
      <c r="O259">
        <f t="shared" si="24"/>
        <v>-5.6248315833102821E-4</v>
      </c>
      <c r="P259" s="6">
        <f>MAX(0,$C$4+SUM($O$5:O259))</f>
        <v>3.2061540024868537E-2</v>
      </c>
      <c r="Q259" s="3"/>
      <c r="R259" s="38"/>
    </row>
    <row r="260" spans="11:18" x14ac:dyDescent="0.25">
      <c r="K260">
        <f t="shared" si="25"/>
        <v>256</v>
      </c>
      <c r="L260" s="16">
        <f t="shared" si="21"/>
        <v>51410</v>
      </c>
      <c r="M260" s="8">
        <f t="shared" si="22"/>
        <v>2040</v>
      </c>
      <c r="N260" s="33">
        <f t="shared" si="23"/>
        <v>3</v>
      </c>
      <c r="O260">
        <f t="shared" si="24"/>
        <v>-5.6248315833102821E-4</v>
      </c>
      <c r="P260" s="6">
        <f>MAX(0,$C$4+SUM($O$5:O260))</f>
        <v>3.1499056866537506E-2</v>
      </c>
      <c r="Q260" s="3"/>
      <c r="R260" s="38"/>
    </row>
    <row r="261" spans="11:18" x14ac:dyDescent="0.25">
      <c r="K261">
        <f t="shared" si="25"/>
        <v>257</v>
      </c>
      <c r="L261" s="16">
        <f t="shared" si="21"/>
        <v>51441</v>
      </c>
      <c r="M261" s="8">
        <f t="shared" si="22"/>
        <v>2040</v>
      </c>
      <c r="N261" s="33">
        <f t="shared" si="23"/>
        <v>3</v>
      </c>
      <c r="O261">
        <f t="shared" si="24"/>
        <v>-5.6248315833102821E-4</v>
      </c>
      <c r="P261" s="6">
        <f>MAX(0,$C$4+SUM($O$5:O261))</f>
        <v>3.0936573708206475E-2</v>
      </c>
      <c r="Q261" s="3"/>
      <c r="R261" s="38"/>
    </row>
    <row r="262" spans="11:18" x14ac:dyDescent="0.25">
      <c r="K262">
        <f t="shared" si="25"/>
        <v>258</v>
      </c>
      <c r="L262" s="16">
        <f t="shared" ref="L262:L325" si="26">DATE(2019,K262+6,1)</f>
        <v>51471</v>
      </c>
      <c r="M262" s="8">
        <f t="shared" ref="M262:M325" si="27">YEAR(L262)</f>
        <v>2040</v>
      </c>
      <c r="N262" s="33">
        <f t="shared" ref="N262:N325" si="28">COUNTIFS(D:D,"&lt;="&amp;L262)</f>
        <v>3</v>
      </c>
      <c r="O262">
        <f t="shared" ref="O262:O325" si="29">INDEX(E:E,MATCH(N262,A:A,0))</f>
        <v>-5.6248315833102821E-4</v>
      </c>
      <c r="P262" s="6">
        <f>MAX(0,$C$4+SUM($O$5:O262))</f>
        <v>3.0374090549875443E-2</v>
      </c>
      <c r="Q262" s="3"/>
      <c r="R262" s="38"/>
    </row>
    <row r="263" spans="11:18" x14ac:dyDescent="0.25">
      <c r="K263">
        <f t="shared" ref="K263:K316" si="30">K262+1</f>
        <v>259</v>
      </c>
      <c r="L263" s="16">
        <f t="shared" si="26"/>
        <v>51502</v>
      </c>
      <c r="M263" s="8">
        <f t="shared" si="27"/>
        <v>2041</v>
      </c>
      <c r="N263" s="33">
        <f t="shared" si="28"/>
        <v>3</v>
      </c>
      <c r="O263">
        <f t="shared" si="29"/>
        <v>-5.6248315833102821E-4</v>
      </c>
      <c r="P263" s="6">
        <f>MAX(0,$C$4+SUM($O$5:O263))</f>
        <v>2.9811607391544412E-2</v>
      </c>
      <c r="Q263" s="3"/>
      <c r="R263" s="38"/>
    </row>
    <row r="264" spans="11:18" x14ac:dyDescent="0.25">
      <c r="K264">
        <f t="shared" si="30"/>
        <v>260</v>
      </c>
      <c r="L264" s="16">
        <f t="shared" si="26"/>
        <v>51533</v>
      </c>
      <c r="M264" s="8">
        <f t="shared" si="27"/>
        <v>2041</v>
      </c>
      <c r="N264" s="33">
        <f t="shared" si="28"/>
        <v>3</v>
      </c>
      <c r="O264">
        <f t="shared" si="29"/>
        <v>-5.6248315833102821E-4</v>
      </c>
      <c r="P264" s="6">
        <f>MAX(0,$C$4+SUM($O$5:O264))</f>
        <v>2.9249124233213381E-2</v>
      </c>
      <c r="Q264" s="3"/>
      <c r="R264" s="38"/>
    </row>
    <row r="265" spans="11:18" x14ac:dyDescent="0.25">
      <c r="K265">
        <f t="shared" si="30"/>
        <v>261</v>
      </c>
      <c r="L265" s="16">
        <f t="shared" si="26"/>
        <v>51561</v>
      </c>
      <c r="M265" s="8">
        <f t="shared" si="27"/>
        <v>2041</v>
      </c>
      <c r="N265" s="33">
        <f t="shared" si="28"/>
        <v>3</v>
      </c>
      <c r="O265">
        <f t="shared" si="29"/>
        <v>-5.6248315833102821E-4</v>
      </c>
      <c r="P265" s="6">
        <f>MAX(0,$C$4+SUM($O$5:O265))</f>
        <v>2.8686641074882349E-2</v>
      </c>
      <c r="Q265" s="3"/>
      <c r="R265" s="38"/>
    </row>
    <row r="266" spans="11:18" x14ac:dyDescent="0.25">
      <c r="K266">
        <f t="shared" si="30"/>
        <v>262</v>
      </c>
      <c r="L266" s="16">
        <f t="shared" si="26"/>
        <v>51592</v>
      </c>
      <c r="M266" s="8">
        <f t="shared" si="27"/>
        <v>2041</v>
      </c>
      <c r="N266" s="33">
        <f t="shared" si="28"/>
        <v>3</v>
      </c>
      <c r="O266">
        <f t="shared" si="29"/>
        <v>-5.6248315833102821E-4</v>
      </c>
      <c r="P266" s="6">
        <f>MAX(0,$C$4+SUM($O$5:O266))</f>
        <v>2.8124157916551318E-2</v>
      </c>
      <c r="Q266" s="3"/>
      <c r="R266" s="38"/>
    </row>
    <row r="267" spans="11:18" x14ac:dyDescent="0.25">
      <c r="K267">
        <f t="shared" si="30"/>
        <v>263</v>
      </c>
      <c r="L267" s="16">
        <f t="shared" si="26"/>
        <v>51622</v>
      </c>
      <c r="M267" s="8">
        <f t="shared" si="27"/>
        <v>2041</v>
      </c>
      <c r="N267" s="33">
        <f t="shared" si="28"/>
        <v>3</v>
      </c>
      <c r="O267">
        <f t="shared" si="29"/>
        <v>-5.6248315833102821E-4</v>
      </c>
      <c r="P267" s="6">
        <f>MAX(0,$C$4+SUM($O$5:O267))</f>
        <v>2.7561674758220286E-2</v>
      </c>
      <c r="Q267" s="3"/>
      <c r="R267" s="38"/>
    </row>
    <row r="268" spans="11:18" x14ac:dyDescent="0.25">
      <c r="K268">
        <f t="shared" si="30"/>
        <v>264</v>
      </c>
      <c r="L268" s="16">
        <f t="shared" si="26"/>
        <v>51653</v>
      </c>
      <c r="M268" s="8">
        <f t="shared" si="27"/>
        <v>2041</v>
      </c>
      <c r="N268" s="33">
        <f t="shared" si="28"/>
        <v>3</v>
      </c>
      <c r="O268">
        <f t="shared" si="29"/>
        <v>-5.6248315833102821E-4</v>
      </c>
      <c r="P268" s="6">
        <f>MAX(0,$C$4+SUM($O$5:O268))</f>
        <v>2.6999191599889255E-2</v>
      </c>
      <c r="Q268" s="3"/>
      <c r="R268" s="38"/>
    </row>
    <row r="269" spans="11:18" x14ac:dyDescent="0.25">
      <c r="K269">
        <f t="shared" si="30"/>
        <v>265</v>
      </c>
      <c r="L269" s="16">
        <f t="shared" si="26"/>
        <v>51683</v>
      </c>
      <c r="M269" s="8">
        <f t="shared" si="27"/>
        <v>2041</v>
      </c>
      <c r="N269" s="33">
        <f t="shared" si="28"/>
        <v>3</v>
      </c>
      <c r="O269">
        <f t="shared" si="29"/>
        <v>-5.6248315833102821E-4</v>
      </c>
      <c r="P269" s="6">
        <f>MAX(0,$C$4+SUM($O$5:O269))</f>
        <v>2.6436708441558224E-2</v>
      </c>
      <c r="Q269" s="3"/>
      <c r="R269" s="38"/>
    </row>
    <row r="270" spans="11:18" x14ac:dyDescent="0.25">
      <c r="K270">
        <f t="shared" si="30"/>
        <v>266</v>
      </c>
      <c r="L270" s="16">
        <f t="shared" si="26"/>
        <v>51714</v>
      </c>
      <c r="M270" s="8">
        <f t="shared" si="27"/>
        <v>2041</v>
      </c>
      <c r="N270" s="33">
        <f t="shared" si="28"/>
        <v>3</v>
      </c>
      <c r="O270">
        <f t="shared" si="29"/>
        <v>-5.6248315833102821E-4</v>
      </c>
      <c r="P270" s="6">
        <f>MAX(0,$C$4+SUM($O$5:O270))</f>
        <v>2.5874225283227192E-2</v>
      </c>
      <c r="Q270" s="3"/>
      <c r="R270" s="38"/>
    </row>
    <row r="271" spans="11:18" x14ac:dyDescent="0.25">
      <c r="K271">
        <f t="shared" si="30"/>
        <v>267</v>
      </c>
      <c r="L271" s="16">
        <f t="shared" si="26"/>
        <v>51745</v>
      </c>
      <c r="M271" s="8">
        <f t="shared" si="27"/>
        <v>2041</v>
      </c>
      <c r="N271" s="33">
        <f t="shared" si="28"/>
        <v>3</v>
      </c>
      <c r="O271">
        <f t="shared" si="29"/>
        <v>-5.6248315833102821E-4</v>
      </c>
      <c r="P271" s="6">
        <f>MAX(0,$C$4+SUM($O$5:O271))</f>
        <v>2.5311742124896161E-2</v>
      </c>
      <c r="Q271" s="3"/>
      <c r="R271" s="38"/>
    </row>
    <row r="272" spans="11:18" x14ac:dyDescent="0.25">
      <c r="K272">
        <f t="shared" si="30"/>
        <v>268</v>
      </c>
      <c r="L272" s="16">
        <f t="shared" si="26"/>
        <v>51775</v>
      </c>
      <c r="M272" s="8">
        <f t="shared" si="27"/>
        <v>2041</v>
      </c>
      <c r="N272" s="33">
        <f t="shared" si="28"/>
        <v>3</v>
      </c>
      <c r="O272">
        <f t="shared" si="29"/>
        <v>-5.6248315833102821E-4</v>
      </c>
      <c r="P272" s="6">
        <f>MAX(0,$C$4+SUM($O$5:O272))</f>
        <v>2.474925896656513E-2</v>
      </c>
      <c r="Q272" s="3"/>
      <c r="R272" s="38"/>
    </row>
    <row r="273" spans="11:18" x14ac:dyDescent="0.25">
      <c r="K273">
        <f t="shared" si="30"/>
        <v>269</v>
      </c>
      <c r="L273" s="16">
        <f t="shared" si="26"/>
        <v>51806</v>
      </c>
      <c r="M273" s="8">
        <f t="shared" si="27"/>
        <v>2041</v>
      </c>
      <c r="N273" s="33">
        <f t="shared" si="28"/>
        <v>3</v>
      </c>
      <c r="O273">
        <f t="shared" si="29"/>
        <v>-5.6248315833102821E-4</v>
      </c>
      <c r="P273" s="6">
        <f>MAX(0,$C$4+SUM($O$5:O273))</f>
        <v>2.4186775808234098E-2</v>
      </c>
      <c r="Q273" s="3"/>
      <c r="R273" s="38"/>
    </row>
    <row r="274" spans="11:18" x14ac:dyDescent="0.25">
      <c r="K274">
        <f t="shared" si="30"/>
        <v>270</v>
      </c>
      <c r="L274" s="16">
        <f t="shared" si="26"/>
        <v>51836</v>
      </c>
      <c r="M274" s="8">
        <f t="shared" si="27"/>
        <v>2041</v>
      </c>
      <c r="N274" s="33">
        <f t="shared" si="28"/>
        <v>3</v>
      </c>
      <c r="O274">
        <f t="shared" si="29"/>
        <v>-5.6248315833102821E-4</v>
      </c>
      <c r="P274" s="6">
        <f>MAX(0,$C$4+SUM($O$5:O274))</f>
        <v>2.3624292649903067E-2</v>
      </c>
      <c r="Q274" s="3"/>
      <c r="R274" s="38"/>
    </row>
    <row r="275" spans="11:18" x14ac:dyDescent="0.25">
      <c r="K275">
        <f t="shared" si="30"/>
        <v>271</v>
      </c>
      <c r="L275" s="16">
        <f t="shared" si="26"/>
        <v>51867</v>
      </c>
      <c r="M275" s="8">
        <f t="shared" si="27"/>
        <v>2042</v>
      </c>
      <c r="N275" s="33">
        <f t="shared" si="28"/>
        <v>3</v>
      </c>
      <c r="O275">
        <f t="shared" si="29"/>
        <v>-5.6248315833102821E-4</v>
      </c>
      <c r="P275" s="6">
        <f>MAX(0,$C$4+SUM($O$5:O275))</f>
        <v>2.3061809491572036E-2</v>
      </c>
      <c r="Q275" s="3"/>
      <c r="R275" s="38"/>
    </row>
    <row r="276" spans="11:18" x14ac:dyDescent="0.25">
      <c r="K276">
        <f t="shared" si="30"/>
        <v>272</v>
      </c>
      <c r="L276" s="16">
        <f t="shared" si="26"/>
        <v>51898</v>
      </c>
      <c r="M276" s="8">
        <f t="shared" si="27"/>
        <v>2042</v>
      </c>
      <c r="N276" s="33">
        <f t="shared" si="28"/>
        <v>3</v>
      </c>
      <c r="O276">
        <f t="shared" si="29"/>
        <v>-5.6248315833102821E-4</v>
      </c>
      <c r="P276" s="6">
        <f>MAX(0,$C$4+SUM($O$5:O276))</f>
        <v>2.2499326333241004E-2</v>
      </c>
      <c r="Q276" s="3"/>
      <c r="R276" s="38"/>
    </row>
    <row r="277" spans="11:18" x14ac:dyDescent="0.25">
      <c r="K277">
        <f t="shared" si="30"/>
        <v>273</v>
      </c>
      <c r="L277" s="16">
        <f t="shared" si="26"/>
        <v>51926</v>
      </c>
      <c r="M277" s="8">
        <f t="shared" si="27"/>
        <v>2042</v>
      </c>
      <c r="N277" s="33">
        <f t="shared" si="28"/>
        <v>3</v>
      </c>
      <c r="O277">
        <f t="shared" si="29"/>
        <v>-5.6248315833102821E-4</v>
      </c>
      <c r="P277" s="6">
        <f>MAX(0,$C$4+SUM($O$5:O277))</f>
        <v>2.1936843174909973E-2</v>
      </c>
      <c r="Q277" s="3"/>
      <c r="R277" s="38"/>
    </row>
    <row r="278" spans="11:18" x14ac:dyDescent="0.25">
      <c r="K278">
        <f t="shared" si="30"/>
        <v>274</v>
      </c>
      <c r="L278" s="16">
        <f t="shared" si="26"/>
        <v>51957</v>
      </c>
      <c r="M278" s="8">
        <f t="shared" si="27"/>
        <v>2042</v>
      </c>
      <c r="N278" s="33">
        <f t="shared" si="28"/>
        <v>3</v>
      </c>
      <c r="O278">
        <f t="shared" si="29"/>
        <v>-5.6248315833102821E-4</v>
      </c>
      <c r="P278" s="6">
        <f>MAX(0,$C$4+SUM($O$5:O278))</f>
        <v>2.1374360016578942E-2</v>
      </c>
      <c r="Q278" s="3"/>
      <c r="R278" s="38"/>
    </row>
    <row r="279" spans="11:18" x14ac:dyDescent="0.25">
      <c r="K279">
        <f t="shared" si="30"/>
        <v>275</v>
      </c>
      <c r="L279" s="16">
        <f t="shared" si="26"/>
        <v>51987</v>
      </c>
      <c r="M279" s="8">
        <f t="shared" si="27"/>
        <v>2042</v>
      </c>
      <c r="N279" s="33">
        <f t="shared" si="28"/>
        <v>3</v>
      </c>
      <c r="O279">
        <f t="shared" si="29"/>
        <v>-5.6248315833102821E-4</v>
      </c>
      <c r="P279" s="6">
        <f>MAX(0,$C$4+SUM($O$5:O279))</f>
        <v>2.081187685824791E-2</v>
      </c>
      <c r="Q279" s="3"/>
      <c r="R279" s="38"/>
    </row>
    <row r="280" spans="11:18" x14ac:dyDescent="0.25">
      <c r="K280">
        <f t="shared" si="30"/>
        <v>276</v>
      </c>
      <c r="L280" s="16">
        <f t="shared" si="26"/>
        <v>52018</v>
      </c>
      <c r="M280" s="8">
        <f t="shared" si="27"/>
        <v>2042</v>
      </c>
      <c r="N280" s="33">
        <f t="shared" si="28"/>
        <v>3</v>
      </c>
      <c r="O280">
        <f t="shared" si="29"/>
        <v>-5.6248315833102821E-4</v>
      </c>
      <c r="P280" s="6">
        <f>MAX(0,$C$4+SUM($O$5:O280))</f>
        <v>2.0249393699916879E-2</v>
      </c>
      <c r="Q280" s="3"/>
      <c r="R280" s="38"/>
    </row>
    <row r="281" spans="11:18" x14ac:dyDescent="0.25">
      <c r="K281">
        <f t="shared" si="30"/>
        <v>277</v>
      </c>
      <c r="L281" s="16">
        <f t="shared" si="26"/>
        <v>52048</v>
      </c>
      <c r="M281" s="8">
        <f t="shared" si="27"/>
        <v>2042</v>
      </c>
      <c r="N281" s="33">
        <f t="shared" si="28"/>
        <v>3</v>
      </c>
      <c r="O281">
        <f t="shared" si="29"/>
        <v>-5.6248315833102821E-4</v>
      </c>
      <c r="P281" s="6">
        <f>MAX(0,$C$4+SUM($O$5:O281))</f>
        <v>1.9686910541585848E-2</v>
      </c>
      <c r="Q281" s="3"/>
      <c r="R281" s="38"/>
    </row>
    <row r="282" spans="11:18" x14ac:dyDescent="0.25">
      <c r="K282">
        <f t="shared" si="30"/>
        <v>278</v>
      </c>
      <c r="L282" s="16">
        <f t="shared" si="26"/>
        <v>52079</v>
      </c>
      <c r="M282" s="8">
        <f t="shared" si="27"/>
        <v>2042</v>
      </c>
      <c r="N282" s="33">
        <f t="shared" si="28"/>
        <v>3</v>
      </c>
      <c r="O282">
        <f t="shared" si="29"/>
        <v>-5.6248315833102821E-4</v>
      </c>
      <c r="P282" s="6">
        <f>MAX(0,$C$4+SUM($O$5:O282))</f>
        <v>1.9124427383254816E-2</v>
      </c>
      <c r="Q282" s="3"/>
      <c r="R282" s="38"/>
    </row>
    <row r="283" spans="11:18" x14ac:dyDescent="0.25">
      <c r="K283">
        <f t="shared" si="30"/>
        <v>279</v>
      </c>
      <c r="L283" s="16">
        <f t="shared" si="26"/>
        <v>52110</v>
      </c>
      <c r="M283" s="8">
        <f t="shared" si="27"/>
        <v>2042</v>
      </c>
      <c r="N283" s="33">
        <f t="shared" si="28"/>
        <v>3</v>
      </c>
      <c r="O283">
        <f t="shared" si="29"/>
        <v>-5.6248315833102821E-4</v>
      </c>
      <c r="P283" s="6">
        <f>MAX(0,$C$4+SUM($O$5:O283))</f>
        <v>1.8561944224923785E-2</v>
      </c>
      <c r="Q283" s="3"/>
      <c r="R283" s="38"/>
    </row>
    <row r="284" spans="11:18" x14ac:dyDescent="0.25">
      <c r="K284">
        <f t="shared" si="30"/>
        <v>280</v>
      </c>
      <c r="L284" s="16">
        <f t="shared" si="26"/>
        <v>52140</v>
      </c>
      <c r="M284" s="8">
        <f t="shared" si="27"/>
        <v>2042</v>
      </c>
      <c r="N284" s="33">
        <f t="shared" si="28"/>
        <v>3</v>
      </c>
      <c r="O284">
        <f t="shared" si="29"/>
        <v>-5.6248315833102821E-4</v>
      </c>
      <c r="P284" s="6">
        <f>MAX(0,$C$4+SUM($O$5:O284))</f>
        <v>1.7999461066592753E-2</v>
      </c>
      <c r="Q284" s="3"/>
      <c r="R284" s="38"/>
    </row>
    <row r="285" spans="11:18" x14ac:dyDescent="0.25">
      <c r="K285">
        <f t="shared" si="30"/>
        <v>281</v>
      </c>
      <c r="L285" s="16">
        <f t="shared" si="26"/>
        <v>52171</v>
      </c>
      <c r="M285" s="8">
        <f t="shared" si="27"/>
        <v>2042</v>
      </c>
      <c r="N285" s="33">
        <f t="shared" si="28"/>
        <v>3</v>
      </c>
      <c r="O285">
        <f t="shared" si="29"/>
        <v>-5.6248315833102821E-4</v>
      </c>
      <c r="P285" s="6">
        <f>MAX(0,$C$4+SUM($O$5:O285))</f>
        <v>1.7436977908261722E-2</v>
      </c>
      <c r="Q285" s="3"/>
      <c r="R285" s="38"/>
    </row>
    <row r="286" spans="11:18" x14ac:dyDescent="0.25">
      <c r="K286">
        <f t="shared" si="30"/>
        <v>282</v>
      </c>
      <c r="L286" s="16">
        <f t="shared" si="26"/>
        <v>52201</v>
      </c>
      <c r="M286" s="8">
        <f t="shared" si="27"/>
        <v>2042</v>
      </c>
      <c r="N286" s="33">
        <f t="shared" si="28"/>
        <v>3</v>
      </c>
      <c r="O286">
        <f t="shared" si="29"/>
        <v>-5.6248315833102821E-4</v>
      </c>
      <c r="P286" s="6">
        <f>MAX(0,$C$4+SUM($O$5:O286))</f>
        <v>1.6874494749930691E-2</v>
      </c>
      <c r="Q286" s="3"/>
      <c r="R286" s="38"/>
    </row>
    <row r="287" spans="11:18" x14ac:dyDescent="0.25">
      <c r="K287">
        <f t="shared" si="30"/>
        <v>283</v>
      </c>
      <c r="L287" s="16">
        <f t="shared" si="26"/>
        <v>52232</v>
      </c>
      <c r="M287" s="8">
        <f t="shared" si="27"/>
        <v>2043</v>
      </c>
      <c r="N287" s="33">
        <f t="shared" si="28"/>
        <v>3</v>
      </c>
      <c r="O287">
        <f t="shared" si="29"/>
        <v>-5.6248315833102821E-4</v>
      </c>
      <c r="P287" s="6">
        <f>MAX(0,$C$4+SUM($O$5:O287))</f>
        <v>1.6312011591599659E-2</v>
      </c>
      <c r="Q287" s="3"/>
      <c r="R287" s="38"/>
    </row>
    <row r="288" spans="11:18" x14ac:dyDescent="0.25">
      <c r="K288">
        <f t="shared" si="30"/>
        <v>284</v>
      </c>
      <c r="L288" s="16">
        <f t="shared" si="26"/>
        <v>52263</v>
      </c>
      <c r="M288" s="8">
        <f t="shared" si="27"/>
        <v>2043</v>
      </c>
      <c r="N288" s="33">
        <f t="shared" si="28"/>
        <v>3</v>
      </c>
      <c r="O288">
        <f t="shared" si="29"/>
        <v>-5.6248315833102821E-4</v>
      </c>
      <c r="P288" s="6">
        <f>MAX(0,$C$4+SUM($O$5:O288))</f>
        <v>1.5749528433268628E-2</v>
      </c>
      <c r="Q288" s="3"/>
      <c r="R288" s="38"/>
    </row>
    <row r="289" spans="11:18" x14ac:dyDescent="0.25">
      <c r="K289">
        <f t="shared" si="30"/>
        <v>285</v>
      </c>
      <c r="L289" s="16">
        <f t="shared" si="26"/>
        <v>52291</v>
      </c>
      <c r="M289" s="8">
        <f t="shared" si="27"/>
        <v>2043</v>
      </c>
      <c r="N289" s="33">
        <f t="shared" si="28"/>
        <v>3</v>
      </c>
      <c r="O289">
        <f t="shared" si="29"/>
        <v>-5.6248315833102821E-4</v>
      </c>
      <c r="P289" s="6">
        <f>MAX(0,$C$4+SUM($O$5:O289))</f>
        <v>1.5187045274937597E-2</v>
      </c>
      <c r="Q289" s="3"/>
      <c r="R289" s="38"/>
    </row>
    <row r="290" spans="11:18" x14ac:dyDescent="0.25">
      <c r="K290">
        <f t="shared" si="30"/>
        <v>286</v>
      </c>
      <c r="L290" s="16">
        <f t="shared" si="26"/>
        <v>52322</v>
      </c>
      <c r="M290" s="8">
        <f t="shared" si="27"/>
        <v>2043</v>
      </c>
      <c r="N290" s="33">
        <f t="shared" si="28"/>
        <v>3</v>
      </c>
      <c r="O290">
        <f t="shared" si="29"/>
        <v>-5.6248315833102821E-4</v>
      </c>
      <c r="P290" s="6">
        <f>MAX(0,$C$4+SUM($O$5:O290))</f>
        <v>1.4624562116606565E-2</v>
      </c>
      <c r="Q290" s="3"/>
      <c r="R290" s="38"/>
    </row>
    <row r="291" spans="11:18" x14ac:dyDescent="0.25">
      <c r="K291">
        <f t="shared" si="30"/>
        <v>287</v>
      </c>
      <c r="L291" s="16">
        <f t="shared" si="26"/>
        <v>52352</v>
      </c>
      <c r="M291" s="8">
        <f t="shared" si="27"/>
        <v>2043</v>
      </c>
      <c r="N291" s="33">
        <f t="shared" si="28"/>
        <v>3</v>
      </c>
      <c r="O291">
        <f t="shared" si="29"/>
        <v>-5.6248315833102821E-4</v>
      </c>
      <c r="P291" s="6">
        <f>MAX(0,$C$4+SUM($O$5:O291))</f>
        <v>1.4062078958275534E-2</v>
      </c>
      <c r="Q291" s="3"/>
      <c r="R291" s="38"/>
    </row>
    <row r="292" spans="11:18" x14ac:dyDescent="0.25">
      <c r="K292">
        <f t="shared" si="30"/>
        <v>288</v>
      </c>
      <c r="L292" s="16">
        <f t="shared" si="26"/>
        <v>52383</v>
      </c>
      <c r="M292" s="8">
        <f t="shared" si="27"/>
        <v>2043</v>
      </c>
      <c r="N292" s="33">
        <f t="shared" si="28"/>
        <v>3</v>
      </c>
      <c r="O292">
        <f t="shared" si="29"/>
        <v>-5.6248315833102821E-4</v>
      </c>
      <c r="P292" s="6">
        <f>MAX(0,$C$4+SUM($O$5:O292))</f>
        <v>1.3499595799944503E-2</v>
      </c>
      <c r="Q292" s="3"/>
      <c r="R292" s="38"/>
    </row>
    <row r="293" spans="11:18" x14ac:dyDescent="0.25">
      <c r="K293">
        <f t="shared" si="30"/>
        <v>289</v>
      </c>
      <c r="L293" s="16">
        <f t="shared" si="26"/>
        <v>52413</v>
      </c>
      <c r="M293" s="8">
        <f t="shared" si="27"/>
        <v>2043</v>
      </c>
      <c r="N293" s="33">
        <f t="shared" si="28"/>
        <v>3</v>
      </c>
      <c r="O293">
        <f t="shared" si="29"/>
        <v>-5.6248315833102821E-4</v>
      </c>
      <c r="P293" s="6">
        <f>MAX(0,$C$4+SUM($O$5:O293))</f>
        <v>1.2937112641613471E-2</v>
      </c>
      <c r="Q293" s="3"/>
      <c r="R293" s="38"/>
    </row>
    <row r="294" spans="11:18" x14ac:dyDescent="0.25">
      <c r="K294">
        <f t="shared" si="30"/>
        <v>290</v>
      </c>
      <c r="L294" s="16">
        <f t="shared" si="26"/>
        <v>52444</v>
      </c>
      <c r="M294" s="8">
        <f t="shared" si="27"/>
        <v>2043</v>
      </c>
      <c r="N294" s="33">
        <f t="shared" si="28"/>
        <v>3</v>
      </c>
      <c r="O294">
        <f t="shared" si="29"/>
        <v>-5.6248315833102821E-4</v>
      </c>
      <c r="P294" s="6">
        <f>MAX(0,$C$4+SUM($O$5:O294))</f>
        <v>1.237462948328244E-2</v>
      </c>
      <c r="Q294" s="3"/>
      <c r="R294" s="38"/>
    </row>
    <row r="295" spans="11:18" x14ac:dyDescent="0.25">
      <c r="K295">
        <f t="shared" si="30"/>
        <v>291</v>
      </c>
      <c r="L295" s="16">
        <f t="shared" si="26"/>
        <v>52475</v>
      </c>
      <c r="M295" s="8">
        <f t="shared" si="27"/>
        <v>2043</v>
      </c>
      <c r="N295" s="33">
        <f t="shared" si="28"/>
        <v>3</v>
      </c>
      <c r="O295">
        <f t="shared" si="29"/>
        <v>-5.6248315833102821E-4</v>
      </c>
      <c r="P295" s="6">
        <f>MAX(0,$C$4+SUM($O$5:O295))</f>
        <v>1.1812146324951409E-2</v>
      </c>
      <c r="Q295" s="3"/>
      <c r="R295" s="38"/>
    </row>
    <row r="296" spans="11:18" x14ac:dyDescent="0.25">
      <c r="K296">
        <f t="shared" si="30"/>
        <v>292</v>
      </c>
      <c r="L296" s="16">
        <f t="shared" si="26"/>
        <v>52505</v>
      </c>
      <c r="M296" s="8">
        <f t="shared" si="27"/>
        <v>2043</v>
      </c>
      <c r="N296" s="33">
        <f t="shared" si="28"/>
        <v>3</v>
      </c>
      <c r="O296">
        <f t="shared" si="29"/>
        <v>-5.6248315833102821E-4</v>
      </c>
      <c r="P296" s="6">
        <f>MAX(0,$C$4+SUM($O$5:O296))</f>
        <v>1.1249663166620377E-2</v>
      </c>
      <c r="Q296" s="3"/>
      <c r="R296" s="38"/>
    </row>
    <row r="297" spans="11:18" x14ac:dyDescent="0.25">
      <c r="K297">
        <f t="shared" si="30"/>
        <v>293</v>
      </c>
      <c r="L297" s="16">
        <f t="shared" si="26"/>
        <v>52536</v>
      </c>
      <c r="M297" s="8">
        <f t="shared" si="27"/>
        <v>2043</v>
      </c>
      <c r="N297" s="33">
        <f t="shared" si="28"/>
        <v>3</v>
      </c>
      <c r="O297">
        <f t="shared" si="29"/>
        <v>-5.6248315833102821E-4</v>
      </c>
      <c r="P297" s="6">
        <f>MAX(0,$C$4+SUM($O$5:O297))</f>
        <v>1.0687180008289346E-2</v>
      </c>
      <c r="Q297" s="3"/>
      <c r="R297" s="38"/>
    </row>
    <row r="298" spans="11:18" x14ac:dyDescent="0.25">
      <c r="K298">
        <f t="shared" si="30"/>
        <v>294</v>
      </c>
      <c r="L298" s="16">
        <f t="shared" si="26"/>
        <v>52566</v>
      </c>
      <c r="M298" s="8">
        <f t="shared" si="27"/>
        <v>2043</v>
      </c>
      <c r="N298" s="33">
        <f t="shared" si="28"/>
        <v>3</v>
      </c>
      <c r="O298">
        <f t="shared" si="29"/>
        <v>-5.6248315833102821E-4</v>
      </c>
      <c r="P298" s="6">
        <f>MAX(0,$C$4+SUM($O$5:O298))</f>
        <v>1.0124696849958315E-2</v>
      </c>
      <c r="Q298" s="3"/>
      <c r="R298" s="38"/>
    </row>
    <row r="299" spans="11:18" x14ac:dyDescent="0.25">
      <c r="K299">
        <f t="shared" si="30"/>
        <v>295</v>
      </c>
      <c r="L299" s="16">
        <f t="shared" si="26"/>
        <v>52597</v>
      </c>
      <c r="M299" s="8">
        <f t="shared" si="27"/>
        <v>2044</v>
      </c>
      <c r="N299" s="33">
        <f t="shared" si="28"/>
        <v>3</v>
      </c>
      <c r="O299">
        <f t="shared" si="29"/>
        <v>-5.6248315833102821E-4</v>
      </c>
      <c r="P299" s="6">
        <f>MAX(0,$C$4+SUM($O$5:O299))</f>
        <v>9.5622136916272832E-3</v>
      </c>
      <c r="Q299" s="3"/>
      <c r="R299" s="38"/>
    </row>
    <row r="300" spans="11:18" x14ac:dyDescent="0.25">
      <c r="K300">
        <f t="shared" si="30"/>
        <v>296</v>
      </c>
      <c r="L300" s="16">
        <f t="shared" si="26"/>
        <v>52628</v>
      </c>
      <c r="M300" s="8">
        <f t="shared" si="27"/>
        <v>2044</v>
      </c>
      <c r="N300" s="33">
        <f t="shared" si="28"/>
        <v>3</v>
      </c>
      <c r="O300">
        <f t="shared" si="29"/>
        <v>-5.6248315833102821E-4</v>
      </c>
      <c r="P300" s="6">
        <f>MAX(0,$C$4+SUM($O$5:O300))</f>
        <v>8.9997305332962518E-3</v>
      </c>
      <c r="Q300" s="3"/>
      <c r="R300" s="38"/>
    </row>
    <row r="301" spans="11:18" x14ac:dyDescent="0.25">
      <c r="K301">
        <f t="shared" si="30"/>
        <v>297</v>
      </c>
      <c r="L301" s="16">
        <f t="shared" si="26"/>
        <v>52657</v>
      </c>
      <c r="M301" s="8">
        <f t="shared" si="27"/>
        <v>2044</v>
      </c>
      <c r="N301" s="33">
        <f t="shared" si="28"/>
        <v>3</v>
      </c>
      <c r="O301">
        <f t="shared" si="29"/>
        <v>-5.6248315833102821E-4</v>
      </c>
      <c r="P301" s="6">
        <f>MAX(0,$C$4+SUM($O$5:O301))</f>
        <v>8.4372473749652205E-3</v>
      </c>
      <c r="Q301" s="3"/>
      <c r="R301" s="38"/>
    </row>
    <row r="302" spans="11:18" x14ac:dyDescent="0.25">
      <c r="K302">
        <f t="shared" si="30"/>
        <v>298</v>
      </c>
      <c r="L302" s="16">
        <f t="shared" si="26"/>
        <v>52688</v>
      </c>
      <c r="M302" s="8">
        <f t="shared" si="27"/>
        <v>2044</v>
      </c>
      <c r="N302" s="33">
        <f t="shared" si="28"/>
        <v>3</v>
      </c>
      <c r="O302">
        <f t="shared" si="29"/>
        <v>-5.6248315833102821E-4</v>
      </c>
      <c r="P302" s="6">
        <f>MAX(0,$C$4+SUM($O$5:O302))</f>
        <v>7.8747642166341891E-3</v>
      </c>
      <c r="Q302" s="3"/>
      <c r="R302" s="38"/>
    </row>
    <row r="303" spans="11:18" x14ac:dyDescent="0.25">
      <c r="K303">
        <f t="shared" si="30"/>
        <v>299</v>
      </c>
      <c r="L303" s="16">
        <f t="shared" si="26"/>
        <v>52718</v>
      </c>
      <c r="M303" s="8">
        <f t="shared" si="27"/>
        <v>2044</v>
      </c>
      <c r="N303" s="33">
        <f t="shared" si="28"/>
        <v>3</v>
      </c>
      <c r="O303">
        <f t="shared" si="29"/>
        <v>-5.6248315833102821E-4</v>
      </c>
      <c r="P303" s="6">
        <f>MAX(0,$C$4+SUM($O$5:O303))</f>
        <v>7.3122810583031578E-3</v>
      </c>
      <c r="Q303" s="3"/>
      <c r="R303" s="38"/>
    </row>
    <row r="304" spans="11:18" x14ac:dyDescent="0.25">
      <c r="K304">
        <f t="shared" si="30"/>
        <v>300</v>
      </c>
      <c r="L304" s="16">
        <f t="shared" si="26"/>
        <v>52749</v>
      </c>
      <c r="M304" s="8">
        <f t="shared" si="27"/>
        <v>2044</v>
      </c>
      <c r="N304" s="33">
        <f t="shared" si="28"/>
        <v>3</v>
      </c>
      <c r="O304">
        <f t="shared" si="29"/>
        <v>-5.6248315833102821E-4</v>
      </c>
      <c r="P304" s="6">
        <f>MAX(0,$C$4+SUM($O$5:O304))</f>
        <v>6.7497978999721264E-3</v>
      </c>
      <c r="Q304" s="3"/>
      <c r="R304" s="38"/>
    </row>
    <row r="305" spans="11:18" x14ac:dyDescent="0.25">
      <c r="K305">
        <f t="shared" si="30"/>
        <v>301</v>
      </c>
      <c r="L305" s="16">
        <f t="shared" si="26"/>
        <v>52779</v>
      </c>
      <c r="M305" s="8">
        <f t="shared" si="27"/>
        <v>2044</v>
      </c>
      <c r="N305" s="33">
        <f t="shared" si="28"/>
        <v>3</v>
      </c>
      <c r="O305">
        <f t="shared" si="29"/>
        <v>-5.6248315833102821E-4</v>
      </c>
      <c r="P305" s="6">
        <f>MAX(0,$C$4+SUM($O$5:O305))</f>
        <v>6.1873147416410951E-3</v>
      </c>
      <c r="Q305" s="3"/>
      <c r="R305" s="38"/>
    </row>
    <row r="306" spans="11:18" x14ac:dyDescent="0.25">
      <c r="K306">
        <f t="shared" si="30"/>
        <v>302</v>
      </c>
      <c r="L306" s="16">
        <f t="shared" si="26"/>
        <v>52810</v>
      </c>
      <c r="M306" s="8">
        <f t="shared" si="27"/>
        <v>2044</v>
      </c>
      <c r="N306" s="33">
        <f t="shared" si="28"/>
        <v>3</v>
      </c>
      <c r="O306">
        <f t="shared" si="29"/>
        <v>-5.6248315833102821E-4</v>
      </c>
      <c r="P306" s="6">
        <f>MAX(0,$C$4+SUM($O$5:O306))</f>
        <v>5.6248315833100637E-3</v>
      </c>
      <c r="Q306" s="3"/>
      <c r="R306" s="38"/>
    </row>
    <row r="307" spans="11:18" x14ac:dyDescent="0.25">
      <c r="K307">
        <f t="shared" si="30"/>
        <v>303</v>
      </c>
      <c r="L307" s="16">
        <f t="shared" si="26"/>
        <v>52841</v>
      </c>
      <c r="M307" s="8">
        <f t="shared" si="27"/>
        <v>2044</v>
      </c>
      <c r="N307" s="33">
        <f t="shared" si="28"/>
        <v>3</v>
      </c>
      <c r="O307">
        <f t="shared" si="29"/>
        <v>-5.6248315833102821E-4</v>
      </c>
      <c r="P307" s="6">
        <f>MAX(0,$C$4+SUM($O$5:O307))</f>
        <v>5.0623484249790324E-3</v>
      </c>
      <c r="Q307" s="3"/>
      <c r="R307" s="38"/>
    </row>
    <row r="308" spans="11:18" x14ac:dyDescent="0.25">
      <c r="K308">
        <f t="shared" si="30"/>
        <v>304</v>
      </c>
      <c r="L308" s="16">
        <f t="shared" si="26"/>
        <v>52871</v>
      </c>
      <c r="M308" s="8">
        <f t="shared" si="27"/>
        <v>2044</v>
      </c>
      <c r="N308" s="33">
        <f t="shared" si="28"/>
        <v>3</v>
      </c>
      <c r="O308">
        <f t="shared" si="29"/>
        <v>-5.6248315833102821E-4</v>
      </c>
      <c r="P308" s="6">
        <f>MAX(0,$C$4+SUM($O$5:O308))</f>
        <v>4.499865266648001E-3</v>
      </c>
      <c r="Q308" s="3"/>
      <c r="R308" s="38"/>
    </row>
    <row r="309" spans="11:18" x14ac:dyDescent="0.25">
      <c r="K309">
        <f t="shared" si="30"/>
        <v>305</v>
      </c>
      <c r="L309" s="16">
        <f t="shared" si="26"/>
        <v>52902</v>
      </c>
      <c r="M309" s="8">
        <f t="shared" si="27"/>
        <v>2044</v>
      </c>
      <c r="N309" s="33">
        <f t="shared" si="28"/>
        <v>3</v>
      </c>
      <c r="O309">
        <f t="shared" si="29"/>
        <v>-5.6248315833102821E-4</v>
      </c>
      <c r="P309" s="6">
        <f>MAX(0,$C$4+SUM($O$5:O309))</f>
        <v>3.9373821083169697E-3</v>
      </c>
      <c r="Q309" s="3"/>
      <c r="R309" s="38"/>
    </row>
    <row r="310" spans="11:18" x14ac:dyDescent="0.25">
      <c r="K310">
        <f t="shared" si="30"/>
        <v>306</v>
      </c>
      <c r="L310" s="16">
        <f t="shared" si="26"/>
        <v>52932</v>
      </c>
      <c r="M310" s="8">
        <f t="shared" si="27"/>
        <v>2044</v>
      </c>
      <c r="N310" s="33">
        <f t="shared" si="28"/>
        <v>3</v>
      </c>
      <c r="O310">
        <f t="shared" si="29"/>
        <v>-5.6248315833102821E-4</v>
      </c>
      <c r="P310" s="6">
        <f>MAX(0,$C$4+SUM($O$5:O310))</f>
        <v>3.3748989499859383E-3</v>
      </c>
      <c r="Q310" s="3"/>
      <c r="R310" s="38"/>
    </row>
    <row r="311" spans="11:18" x14ac:dyDescent="0.25">
      <c r="K311">
        <f t="shared" si="30"/>
        <v>307</v>
      </c>
      <c r="L311" s="16">
        <f t="shared" si="26"/>
        <v>52963</v>
      </c>
      <c r="M311" s="8">
        <f t="shared" si="27"/>
        <v>2045</v>
      </c>
      <c r="N311" s="33">
        <f t="shared" si="28"/>
        <v>3</v>
      </c>
      <c r="O311">
        <f t="shared" si="29"/>
        <v>-5.6248315833102821E-4</v>
      </c>
      <c r="P311" s="6">
        <f>MAX(0,$C$4+SUM($O$5:O311))</f>
        <v>2.812415791654907E-3</v>
      </c>
      <c r="Q311" s="3"/>
      <c r="R311" s="38"/>
    </row>
    <row r="312" spans="11:18" x14ac:dyDescent="0.25">
      <c r="K312">
        <f t="shared" si="30"/>
        <v>308</v>
      </c>
      <c r="L312" s="16">
        <f t="shared" si="26"/>
        <v>52994</v>
      </c>
      <c r="M312" s="8">
        <f t="shared" si="27"/>
        <v>2045</v>
      </c>
      <c r="N312" s="33">
        <f t="shared" si="28"/>
        <v>3</v>
      </c>
      <c r="O312">
        <f t="shared" si="29"/>
        <v>-5.6248315833102821E-4</v>
      </c>
      <c r="P312" s="6">
        <f>MAX(0,$C$4+SUM($O$5:O312))</f>
        <v>2.2499326333238756E-3</v>
      </c>
      <c r="Q312" s="3"/>
      <c r="R312" s="38"/>
    </row>
    <row r="313" spans="11:18" x14ac:dyDescent="0.25">
      <c r="K313">
        <f t="shared" si="30"/>
        <v>309</v>
      </c>
      <c r="L313" s="16">
        <f t="shared" si="26"/>
        <v>53022</v>
      </c>
      <c r="M313" s="8">
        <f t="shared" si="27"/>
        <v>2045</v>
      </c>
      <c r="N313" s="33">
        <f t="shared" si="28"/>
        <v>3</v>
      </c>
      <c r="O313">
        <f t="shared" si="29"/>
        <v>-5.6248315833102821E-4</v>
      </c>
      <c r="P313" s="6">
        <f>MAX(0,$C$4+SUM($O$5:O313))</f>
        <v>1.6874494749928443E-3</v>
      </c>
      <c r="Q313" s="3"/>
      <c r="R313" s="38"/>
    </row>
    <row r="314" spans="11:18" x14ac:dyDescent="0.25">
      <c r="K314">
        <f t="shared" si="30"/>
        <v>310</v>
      </c>
      <c r="L314" s="16">
        <f t="shared" si="26"/>
        <v>53053</v>
      </c>
      <c r="M314" s="8">
        <f t="shared" si="27"/>
        <v>2045</v>
      </c>
      <c r="N314" s="33">
        <f t="shared" si="28"/>
        <v>3</v>
      </c>
      <c r="O314">
        <f t="shared" si="29"/>
        <v>-5.6248315833102821E-4</v>
      </c>
      <c r="P314" s="6">
        <f>MAX(0,$C$4+SUM($O$5:O314))</f>
        <v>1.1249663166618129E-3</v>
      </c>
      <c r="Q314" s="3"/>
      <c r="R314" s="38"/>
    </row>
    <row r="315" spans="11:18" x14ac:dyDescent="0.25">
      <c r="K315">
        <f t="shared" si="30"/>
        <v>311</v>
      </c>
      <c r="L315" s="16">
        <f t="shared" si="26"/>
        <v>53083</v>
      </c>
      <c r="M315" s="8">
        <f t="shared" si="27"/>
        <v>2045</v>
      </c>
      <c r="N315" s="33">
        <f t="shared" si="28"/>
        <v>3</v>
      </c>
      <c r="O315">
        <f t="shared" si="29"/>
        <v>-5.6248315833102821E-4</v>
      </c>
      <c r="P315" s="6">
        <f>MAX(0,$C$4+SUM($O$5:O315))</f>
        <v>5.6248315833078155E-4</v>
      </c>
      <c r="Q315" s="3"/>
      <c r="R315" s="38"/>
    </row>
    <row r="316" spans="11:18" x14ac:dyDescent="0.25">
      <c r="K316">
        <f t="shared" si="30"/>
        <v>312</v>
      </c>
      <c r="L316" s="16">
        <f t="shared" si="26"/>
        <v>53114</v>
      </c>
      <c r="M316" s="8">
        <f t="shared" si="27"/>
        <v>2045</v>
      </c>
      <c r="N316" s="33">
        <f t="shared" si="28"/>
        <v>3</v>
      </c>
      <c r="O316">
        <f t="shared" si="29"/>
        <v>-5.6248315833102821E-4</v>
      </c>
      <c r="P316" s="6">
        <f>MAX(0,$C$4+SUM($O$5:O316))</f>
        <v>0</v>
      </c>
      <c r="Q316" s="3"/>
      <c r="R316" s="38"/>
    </row>
    <row r="317" spans="11:18" x14ac:dyDescent="0.25">
      <c r="K317">
        <f t="shared" ref="K317:K380" si="31">K316+1</f>
        <v>313</v>
      </c>
      <c r="L317" s="16">
        <f t="shared" si="26"/>
        <v>53144</v>
      </c>
      <c r="M317" s="8">
        <f t="shared" si="27"/>
        <v>2045</v>
      </c>
      <c r="N317" s="33">
        <f t="shared" si="28"/>
        <v>4</v>
      </c>
      <c r="O317" t="str">
        <f t="shared" si="29"/>
        <v>NA</v>
      </c>
      <c r="P317" s="6">
        <f>MAX(0,$C$4+SUM($O$5:O317))</f>
        <v>0</v>
      </c>
      <c r="Q317" s="3"/>
      <c r="R317" s="38"/>
    </row>
    <row r="318" spans="11:18" x14ac:dyDescent="0.25">
      <c r="K318">
        <f t="shared" si="31"/>
        <v>314</v>
      </c>
      <c r="L318" s="16">
        <f t="shared" si="26"/>
        <v>53175</v>
      </c>
      <c r="M318" s="8">
        <f t="shared" si="27"/>
        <v>2045</v>
      </c>
      <c r="N318" s="33">
        <f t="shared" si="28"/>
        <v>4</v>
      </c>
      <c r="O318" t="str">
        <f t="shared" si="29"/>
        <v>NA</v>
      </c>
      <c r="P318" s="6">
        <f>MAX(0,$C$4+SUM($O$5:O318))</f>
        <v>0</v>
      </c>
      <c r="Q318" s="3"/>
      <c r="R318" s="38"/>
    </row>
    <row r="319" spans="11:18" x14ac:dyDescent="0.25">
      <c r="K319">
        <f t="shared" si="31"/>
        <v>315</v>
      </c>
      <c r="L319" s="16">
        <f t="shared" si="26"/>
        <v>53206</v>
      </c>
      <c r="M319" s="8">
        <f t="shared" si="27"/>
        <v>2045</v>
      </c>
      <c r="N319" s="33">
        <f t="shared" si="28"/>
        <v>4</v>
      </c>
      <c r="O319" t="str">
        <f t="shared" si="29"/>
        <v>NA</v>
      </c>
      <c r="P319" s="6">
        <f>MAX(0,$C$4+SUM($O$5:O319))</f>
        <v>0</v>
      </c>
      <c r="Q319" s="3"/>
      <c r="R319" s="38"/>
    </row>
    <row r="320" spans="11:18" x14ac:dyDescent="0.25">
      <c r="K320">
        <f t="shared" si="31"/>
        <v>316</v>
      </c>
      <c r="L320" s="16">
        <f t="shared" si="26"/>
        <v>53236</v>
      </c>
      <c r="M320" s="8">
        <f t="shared" si="27"/>
        <v>2045</v>
      </c>
      <c r="N320" s="33">
        <f t="shared" si="28"/>
        <v>4</v>
      </c>
      <c r="O320" t="str">
        <f t="shared" si="29"/>
        <v>NA</v>
      </c>
      <c r="P320" s="6">
        <f>MAX(0,$C$4+SUM($O$5:O320))</f>
        <v>0</v>
      </c>
      <c r="Q320" s="3"/>
      <c r="R320" s="38"/>
    </row>
    <row r="321" spans="11:18" x14ac:dyDescent="0.25">
      <c r="K321">
        <f t="shared" si="31"/>
        <v>317</v>
      </c>
      <c r="L321" s="16">
        <f t="shared" si="26"/>
        <v>53267</v>
      </c>
      <c r="M321" s="8">
        <f t="shared" si="27"/>
        <v>2045</v>
      </c>
      <c r="N321" s="33">
        <f t="shared" si="28"/>
        <v>4</v>
      </c>
      <c r="O321" t="str">
        <f t="shared" si="29"/>
        <v>NA</v>
      </c>
      <c r="P321" s="6">
        <f>MAX(0,$C$4+SUM($O$5:O321))</f>
        <v>0</v>
      </c>
      <c r="Q321" s="3"/>
      <c r="R321" s="38"/>
    </row>
    <row r="322" spans="11:18" x14ac:dyDescent="0.25">
      <c r="K322">
        <f t="shared" si="31"/>
        <v>318</v>
      </c>
      <c r="L322" s="16">
        <f t="shared" si="26"/>
        <v>53297</v>
      </c>
      <c r="M322" s="8">
        <f t="shared" si="27"/>
        <v>2045</v>
      </c>
      <c r="N322" s="33">
        <f t="shared" si="28"/>
        <v>4</v>
      </c>
      <c r="O322" t="str">
        <f t="shared" si="29"/>
        <v>NA</v>
      </c>
      <c r="P322" s="6">
        <f>MAX(0,$C$4+SUM($O$5:O322))</f>
        <v>0</v>
      </c>
      <c r="Q322" s="3"/>
      <c r="R322" s="38"/>
    </row>
    <row r="323" spans="11:18" x14ac:dyDescent="0.25">
      <c r="K323">
        <f t="shared" si="31"/>
        <v>319</v>
      </c>
      <c r="L323" s="16">
        <f t="shared" si="26"/>
        <v>53328</v>
      </c>
      <c r="M323" s="8">
        <f t="shared" si="27"/>
        <v>2046</v>
      </c>
      <c r="N323" s="33">
        <f t="shared" si="28"/>
        <v>4</v>
      </c>
      <c r="O323" t="str">
        <f t="shared" si="29"/>
        <v>NA</v>
      </c>
      <c r="P323" s="6">
        <f>MAX(0,$C$4+SUM($O$5:O323))</f>
        <v>0</v>
      </c>
      <c r="Q323" s="3"/>
      <c r="R323" s="38"/>
    </row>
    <row r="324" spans="11:18" x14ac:dyDescent="0.25">
      <c r="K324">
        <f t="shared" si="31"/>
        <v>320</v>
      </c>
      <c r="L324" s="16">
        <f t="shared" si="26"/>
        <v>53359</v>
      </c>
      <c r="M324" s="8">
        <f t="shared" si="27"/>
        <v>2046</v>
      </c>
      <c r="N324" s="33">
        <f t="shared" si="28"/>
        <v>4</v>
      </c>
      <c r="O324" t="str">
        <f t="shared" si="29"/>
        <v>NA</v>
      </c>
      <c r="P324" s="6">
        <f>MAX(0,$C$4+SUM($O$5:O324))</f>
        <v>0</v>
      </c>
      <c r="Q324" s="3"/>
      <c r="R324" s="38"/>
    </row>
    <row r="325" spans="11:18" x14ac:dyDescent="0.25">
      <c r="K325">
        <f t="shared" si="31"/>
        <v>321</v>
      </c>
      <c r="L325" s="16">
        <f t="shared" si="26"/>
        <v>53387</v>
      </c>
      <c r="M325" s="8">
        <f t="shared" si="27"/>
        <v>2046</v>
      </c>
      <c r="N325" s="33">
        <f t="shared" si="28"/>
        <v>4</v>
      </c>
      <c r="O325" t="str">
        <f t="shared" si="29"/>
        <v>NA</v>
      </c>
      <c r="P325" s="6">
        <f>MAX(0,$C$4+SUM($O$5:O325))</f>
        <v>0</v>
      </c>
      <c r="Q325" s="3"/>
      <c r="R325" s="38"/>
    </row>
    <row r="326" spans="11:18" x14ac:dyDescent="0.25">
      <c r="K326">
        <f t="shared" si="31"/>
        <v>322</v>
      </c>
      <c r="L326" s="16">
        <f t="shared" ref="L326:L382" si="32">DATE(2019,K326+6,1)</f>
        <v>53418</v>
      </c>
      <c r="M326" s="8">
        <f t="shared" ref="M326:M382" si="33">YEAR(L326)</f>
        <v>2046</v>
      </c>
      <c r="N326" s="33">
        <f t="shared" ref="N326:N382" si="34">COUNTIFS(D:D,"&lt;="&amp;L326)</f>
        <v>4</v>
      </c>
      <c r="O326" t="str">
        <f t="shared" ref="O326:O382" si="35">INDEX(E:E,MATCH(N326,A:A,0))</f>
        <v>NA</v>
      </c>
      <c r="P326" s="6">
        <f>MAX(0,$C$4+SUM($O$5:O326))</f>
        <v>0</v>
      </c>
      <c r="Q326" s="3"/>
      <c r="R326" s="38"/>
    </row>
    <row r="327" spans="11:18" x14ac:dyDescent="0.25">
      <c r="K327">
        <f t="shared" si="31"/>
        <v>323</v>
      </c>
      <c r="L327" s="16">
        <f t="shared" si="32"/>
        <v>53448</v>
      </c>
      <c r="M327" s="8">
        <f t="shared" si="33"/>
        <v>2046</v>
      </c>
      <c r="N327" s="33">
        <f t="shared" si="34"/>
        <v>4</v>
      </c>
      <c r="O327" t="str">
        <f t="shared" si="35"/>
        <v>NA</v>
      </c>
      <c r="P327" s="6">
        <f>MAX(0,$C$4+SUM($O$5:O327))</f>
        <v>0</v>
      </c>
      <c r="Q327" s="3"/>
      <c r="R327" s="38"/>
    </row>
    <row r="328" spans="11:18" x14ac:dyDescent="0.25">
      <c r="K328">
        <f t="shared" si="31"/>
        <v>324</v>
      </c>
      <c r="L328" s="16">
        <f t="shared" si="32"/>
        <v>53479</v>
      </c>
      <c r="M328" s="8">
        <f t="shared" si="33"/>
        <v>2046</v>
      </c>
      <c r="N328" s="33">
        <f t="shared" si="34"/>
        <v>4</v>
      </c>
      <c r="O328" t="str">
        <f t="shared" si="35"/>
        <v>NA</v>
      </c>
      <c r="P328" s="6">
        <f>MAX(0,$C$4+SUM($O$5:O328))</f>
        <v>0</v>
      </c>
      <c r="Q328" s="3"/>
      <c r="R328" s="38"/>
    </row>
    <row r="329" spans="11:18" x14ac:dyDescent="0.25">
      <c r="K329">
        <f t="shared" si="31"/>
        <v>325</v>
      </c>
      <c r="L329" s="16">
        <f t="shared" si="32"/>
        <v>53509</v>
      </c>
      <c r="M329" s="8">
        <f t="shared" si="33"/>
        <v>2046</v>
      </c>
      <c r="N329" s="33">
        <f t="shared" si="34"/>
        <v>4</v>
      </c>
      <c r="O329" t="str">
        <f t="shared" si="35"/>
        <v>NA</v>
      </c>
      <c r="P329" s="6">
        <f>MAX(0,$C$4+SUM($O$5:O329))</f>
        <v>0</v>
      </c>
      <c r="Q329" s="3"/>
      <c r="R329" s="38"/>
    </row>
    <row r="330" spans="11:18" x14ac:dyDescent="0.25">
      <c r="K330">
        <f t="shared" si="31"/>
        <v>326</v>
      </c>
      <c r="L330" s="16">
        <f t="shared" si="32"/>
        <v>53540</v>
      </c>
      <c r="M330" s="8">
        <f t="shared" si="33"/>
        <v>2046</v>
      </c>
      <c r="N330" s="33">
        <f t="shared" si="34"/>
        <v>4</v>
      </c>
      <c r="O330" t="str">
        <f t="shared" si="35"/>
        <v>NA</v>
      </c>
      <c r="P330" s="6">
        <f>MAX(0,$C$4+SUM($O$5:O330))</f>
        <v>0</v>
      </c>
      <c r="Q330" s="3"/>
      <c r="R330" s="38"/>
    </row>
    <row r="331" spans="11:18" x14ac:dyDescent="0.25">
      <c r="K331">
        <f t="shared" si="31"/>
        <v>327</v>
      </c>
      <c r="L331" s="16">
        <f t="shared" si="32"/>
        <v>53571</v>
      </c>
      <c r="M331" s="8">
        <f t="shared" si="33"/>
        <v>2046</v>
      </c>
      <c r="N331" s="33">
        <f t="shared" si="34"/>
        <v>4</v>
      </c>
      <c r="O331" t="str">
        <f t="shared" si="35"/>
        <v>NA</v>
      </c>
      <c r="P331" s="6">
        <f>MAX(0,$C$4+SUM($O$5:O331))</f>
        <v>0</v>
      </c>
      <c r="Q331" s="3"/>
      <c r="R331" s="38"/>
    </row>
    <row r="332" spans="11:18" x14ac:dyDescent="0.25">
      <c r="K332">
        <f t="shared" si="31"/>
        <v>328</v>
      </c>
      <c r="L332" s="16">
        <f t="shared" si="32"/>
        <v>53601</v>
      </c>
      <c r="M332" s="8">
        <f t="shared" si="33"/>
        <v>2046</v>
      </c>
      <c r="N332" s="33">
        <f t="shared" si="34"/>
        <v>4</v>
      </c>
      <c r="O332" t="str">
        <f t="shared" si="35"/>
        <v>NA</v>
      </c>
      <c r="P332" s="6">
        <f>MAX(0,$C$4+SUM($O$5:O332))</f>
        <v>0</v>
      </c>
      <c r="Q332" s="3"/>
      <c r="R332" s="38"/>
    </row>
    <row r="333" spans="11:18" x14ac:dyDescent="0.25">
      <c r="K333">
        <f t="shared" si="31"/>
        <v>329</v>
      </c>
      <c r="L333" s="16">
        <f t="shared" si="32"/>
        <v>53632</v>
      </c>
      <c r="M333" s="8">
        <f t="shared" si="33"/>
        <v>2046</v>
      </c>
      <c r="N333" s="33">
        <f t="shared" si="34"/>
        <v>4</v>
      </c>
      <c r="O333" t="str">
        <f t="shared" si="35"/>
        <v>NA</v>
      </c>
      <c r="P333" s="6">
        <f>MAX(0,$C$4+SUM($O$5:O333))</f>
        <v>0</v>
      </c>
      <c r="Q333" s="3"/>
      <c r="R333" s="38"/>
    </row>
    <row r="334" spans="11:18" x14ac:dyDescent="0.25">
      <c r="K334">
        <f t="shared" si="31"/>
        <v>330</v>
      </c>
      <c r="L334" s="16">
        <f t="shared" si="32"/>
        <v>53662</v>
      </c>
      <c r="M334" s="8">
        <f t="shared" si="33"/>
        <v>2046</v>
      </c>
      <c r="N334" s="33">
        <f t="shared" si="34"/>
        <v>4</v>
      </c>
      <c r="O334" t="str">
        <f t="shared" si="35"/>
        <v>NA</v>
      </c>
      <c r="P334" s="6">
        <f>MAX(0,$C$4+SUM($O$5:O334))</f>
        <v>0</v>
      </c>
      <c r="Q334" s="3"/>
      <c r="R334" s="38"/>
    </row>
    <row r="335" spans="11:18" x14ac:dyDescent="0.25">
      <c r="K335">
        <f t="shared" si="31"/>
        <v>331</v>
      </c>
      <c r="L335" s="16">
        <f t="shared" si="32"/>
        <v>53693</v>
      </c>
      <c r="M335" s="8">
        <f t="shared" si="33"/>
        <v>2047</v>
      </c>
      <c r="N335" s="33">
        <f t="shared" si="34"/>
        <v>4</v>
      </c>
      <c r="O335" t="str">
        <f t="shared" si="35"/>
        <v>NA</v>
      </c>
      <c r="P335" s="6">
        <f>MAX(0,$C$4+SUM($O$5:O335))</f>
        <v>0</v>
      </c>
      <c r="Q335" s="3"/>
      <c r="R335" s="38"/>
    </row>
    <row r="336" spans="11:18" x14ac:dyDescent="0.25">
      <c r="K336">
        <f t="shared" si="31"/>
        <v>332</v>
      </c>
      <c r="L336" s="16">
        <f t="shared" si="32"/>
        <v>53724</v>
      </c>
      <c r="M336" s="8">
        <f t="shared" si="33"/>
        <v>2047</v>
      </c>
      <c r="N336" s="33">
        <f t="shared" si="34"/>
        <v>4</v>
      </c>
      <c r="O336" t="str">
        <f t="shared" si="35"/>
        <v>NA</v>
      </c>
      <c r="P336" s="6">
        <f>MAX(0,$C$4+SUM($O$5:O336))</f>
        <v>0</v>
      </c>
      <c r="Q336" s="3"/>
      <c r="R336" s="38"/>
    </row>
    <row r="337" spans="11:18" x14ac:dyDescent="0.25">
      <c r="K337">
        <f t="shared" si="31"/>
        <v>333</v>
      </c>
      <c r="L337" s="16">
        <f t="shared" si="32"/>
        <v>53752</v>
      </c>
      <c r="M337" s="8">
        <f t="shared" si="33"/>
        <v>2047</v>
      </c>
      <c r="N337" s="33">
        <f t="shared" si="34"/>
        <v>4</v>
      </c>
      <c r="O337" t="str">
        <f t="shared" si="35"/>
        <v>NA</v>
      </c>
      <c r="P337" s="6">
        <f>MAX(0,$C$4+SUM($O$5:O337))</f>
        <v>0</v>
      </c>
      <c r="Q337" s="3"/>
      <c r="R337" s="38"/>
    </row>
    <row r="338" spans="11:18" x14ac:dyDescent="0.25">
      <c r="K338">
        <f t="shared" si="31"/>
        <v>334</v>
      </c>
      <c r="L338" s="16">
        <f t="shared" si="32"/>
        <v>53783</v>
      </c>
      <c r="M338" s="8">
        <f t="shared" si="33"/>
        <v>2047</v>
      </c>
      <c r="N338" s="33">
        <f t="shared" si="34"/>
        <v>4</v>
      </c>
      <c r="O338" t="str">
        <f t="shared" si="35"/>
        <v>NA</v>
      </c>
      <c r="P338" s="6">
        <f>MAX(0,$C$4+SUM($O$5:O338))</f>
        <v>0</v>
      </c>
      <c r="Q338" s="3"/>
      <c r="R338" s="38"/>
    </row>
    <row r="339" spans="11:18" x14ac:dyDescent="0.25">
      <c r="K339">
        <f t="shared" si="31"/>
        <v>335</v>
      </c>
      <c r="L339" s="16">
        <f t="shared" si="32"/>
        <v>53813</v>
      </c>
      <c r="M339" s="8">
        <f t="shared" si="33"/>
        <v>2047</v>
      </c>
      <c r="N339" s="33">
        <f t="shared" si="34"/>
        <v>4</v>
      </c>
      <c r="O339" t="str">
        <f t="shared" si="35"/>
        <v>NA</v>
      </c>
      <c r="P339" s="6">
        <f>MAX(0,$C$4+SUM($O$5:O339))</f>
        <v>0</v>
      </c>
      <c r="Q339" s="3"/>
      <c r="R339" s="38"/>
    </row>
    <row r="340" spans="11:18" x14ac:dyDescent="0.25">
      <c r="K340">
        <f t="shared" si="31"/>
        <v>336</v>
      </c>
      <c r="L340" s="16">
        <f t="shared" si="32"/>
        <v>53844</v>
      </c>
      <c r="M340" s="8">
        <f t="shared" si="33"/>
        <v>2047</v>
      </c>
      <c r="N340" s="33">
        <f t="shared" si="34"/>
        <v>4</v>
      </c>
      <c r="O340" t="str">
        <f t="shared" si="35"/>
        <v>NA</v>
      </c>
      <c r="P340" s="6">
        <f>MAX(0,$C$4+SUM($O$5:O340))</f>
        <v>0</v>
      </c>
      <c r="Q340" s="3"/>
      <c r="R340" s="38"/>
    </row>
    <row r="341" spans="11:18" x14ac:dyDescent="0.25">
      <c r="K341">
        <f t="shared" si="31"/>
        <v>337</v>
      </c>
      <c r="L341" s="16">
        <f t="shared" si="32"/>
        <v>53874</v>
      </c>
      <c r="M341" s="8">
        <f t="shared" si="33"/>
        <v>2047</v>
      </c>
      <c r="N341" s="33">
        <f t="shared" si="34"/>
        <v>4</v>
      </c>
      <c r="O341" t="str">
        <f t="shared" si="35"/>
        <v>NA</v>
      </c>
      <c r="P341" s="6">
        <f>MAX(0,$C$4+SUM($O$5:O341))</f>
        <v>0</v>
      </c>
      <c r="Q341" s="3"/>
      <c r="R341" s="38"/>
    </row>
    <row r="342" spans="11:18" x14ac:dyDescent="0.25">
      <c r="K342">
        <f t="shared" si="31"/>
        <v>338</v>
      </c>
      <c r="L342" s="16">
        <f t="shared" si="32"/>
        <v>53905</v>
      </c>
      <c r="M342" s="8">
        <f t="shared" si="33"/>
        <v>2047</v>
      </c>
      <c r="N342" s="33">
        <f t="shared" si="34"/>
        <v>4</v>
      </c>
      <c r="O342" t="str">
        <f t="shared" si="35"/>
        <v>NA</v>
      </c>
      <c r="P342" s="6">
        <f>MAX(0,$C$4+SUM($O$5:O342))</f>
        <v>0</v>
      </c>
      <c r="Q342" s="3"/>
      <c r="R342" s="38"/>
    </row>
    <row r="343" spans="11:18" x14ac:dyDescent="0.25">
      <c r="K343">
        <f t="shared" si="31"/>
        <v>339</v>
      </c>
      <c r="L343" s="16">
        <f t="shared" si="32"/>
        <v>53936</v>
      </c>
      <c r="M343" s="8">
        <f t="shared" si="33"/>
        <v>2047</v>
      </c>
      <c r="N343" s="33">
        <f t="shared" si="34"/>
        <v>4</v>
      </c>
      <c r="O343" t="str">
        <f t="shared" si="35"/>
        <v>NA</v>
      </c>
      <c r="P343" s="6">
        <f>MAX(0,$C$4+SUM($O$5:O343))</f>
        <v>0</v>
      </c>
      <c r="Q343" s="3"/>
      <c r="R343" s="38"/>
    </row>
    <row r="344" spans="11:18" x14ac:dyDescent="0.25">
      <c r="K344">
        <f t="shared" si="31"/>
        <v>340</v>
      </c>
      <c r="L344" s="16">
        <f t="shared" si="32"/>
        <v>53966</v>
      </c>
      <c r="M344" s="8">
        <f t="shared" si="33"/>
        <v>2047</v>
      </c>
      <c r="N344" s="33">
        <f t="shared" si="34"/>
        <v>4</v>
      </c>
      <c r="O344" t="str">
        <f t="shared" si="35"/>
        <v>NA</v>
      </c>
      <c r="P344" s="6">
        <f>MAX(0,$C$4+SUM($O$5:O344))</f>
        <v>0</v>
      </c>
      <c r="Q344" s="3"/>
      <c r="R344" s="38"/>
    </row>
    <row r="345" spans="11:18" x14ac:dyDescent="0.25">
      <c r="K345">
        <f t="shared" si="31"/>
        <v>341</v>
      </c>
      <c r="L345" s="16">
        <f t="shared" si="32"/>
        <v>53997</v>
      </c>
      <c r="M345" s="8">
        <f t="shared" si="33"/>
        <v>2047</v>
      </c>
      <c r="N345" s="33">
        <f t="shared" si="34"/>
        <v>4</v>
      </c>
      <c r="O345" t="str">
        <f t="shared" si="35"/>
        <v>NA</v>
      </c>
      <c r="P345" s="6">
        <f>MAX(0,$C$4+SUM($O$5:O345))</f>
        <v>0</v>
      </c>
      <c r="Q345" s="3"/>
      <c r="R345" s="38"/>
    </row>
    <row r="346" spans="11:18" x14ac:dyDescent="0.25">
      <c r="K346">
        <f t="shared" si="31"/>
        <v>342</v>
      </c>
      <c r="L346" s="16">
        <f t="shared" si="32"/>
        <v>54027</v>
      </c>
      <c r="M346" s="8">
        <f t="shared" si="33"/>
        <v>2047</v>
      </c>
      <c r="N346" s="33">
        <f t="shared" si="34"/>
        <v>4</v>
      </c>
      <c r="O346" t="str">
        <f t="shared" si="35"/>
        <v>NA</v>
      </c>
      <c r="P346" s="6">
        <f>MAX(0,$C$4+SUM($O$5:O346))</f>
        <v>0</v>
      </c>
      <c r="Q346" s="3"/>
      <c r="R346" s="38"/>
    </row>
    <row r="347" spans="11:18" x14ac:dyDescent="0.25">
      <c r="K347">
        <f t="shared" si="31"/>
        <v>343</v>
      </c>
      <c r="L347" s="16">
        <f t="shared" si="32"/>
        <v>54058</v>
      </c>
      <c r="M347" s="8">
        <f t="shared" si="33"/>
        <v>2048</v>
      </c>
      <c r="N347" s="33">
        <f t="shared" si="34"/>
        <v>4</v>
      </c>
      <c r="O347" t="str">
        <f t="shared" si="35"/>
        <v>NA</v>
      </c>
      <c r="P347" s="6">
        <f>MAX(0,$C$4+SUM($O$5:O347))</f>
        <v>0</v>
      </c>
      <c r="Q347" s="3"/>
      <c r="R347" s="38"/>
    </row>
    <row r="348" spans="11:18" x14ac:dyDescent="0.25">
      <c r="K348">
        <f t="shared" si="31"/>
        <v>344</v>
      </c>
      <c r="L348" s="16">
        <f t="shared" si="32"/>
        <v>54089</v>
      </c>
      <c r="M348" s="8">
        <f t="shared" si="33"/>
        <v>2048</v>
      </c>
      <c r="N348" s="33">
        <f t="shared" si="34"/>
        <v>4</v>
      </c>
      <c r="O348" t="str">
        <f t="shared" si="35"/>
        <v>NA</v>
      </c>
      <c r="P348" s="6">
        <f>MAX(0,$C$4+SUM($O$5:O348))</f>
        <v>0</v>
      </c>
      <c r="Q348" s="3"/>
      <c r="R348" s="38"/>
    </row>
    <row r="349" spans="11:18" x14ac:dyDescent="0.25">
      <c r="K349">
        <f t="shared" si="31"/>
        <v>345</v>
      </c>
      <c r="L349" s="16">
        <f t="shared" si="32"/>
        <v>54118</v>
      </c>
      <c r="M349" s="8">
        <f t="shared" si="33"/>
        <v>2048</v>
      </c>
      <c r="N349" s="33">
        <f t="shared" si="34"/>
        <v>4</v>
      </c>
      <c r="O349" t="str">
        <f t="shared" si="35"/>
        <v>NA</v>
      </c>
      <c r="P349" s="6">
        <f>MAX(0,$C$4+SUM($O$5:O349))</f>
        <v>0</v>
      </c>
      <c r="Q349" s="3"/>
      <c r="R349" s="38"/>
    </row>
    <row r="350" spans="11:18" x14ac:dyDescent="0.25">
      <c r="K350">
        <f t="shared" si="31"/>
        <v>346</v>
      </c>
      <c r="L350" s="16">
        <f t="shared" si="32"/>
        <v>54149</v>
      </c>
      <c r="M350" s="8">
        <f t="shared" si="33"/>
        <v>2048</v>
      </c>
      <c r="N350" s="33">
        <f t="shared" si="34"/>
        <v>4</v>
      </c>
      <c r="O350" t="str">
        <f t="shared" si="35"/>
        <v>NA</v>
      </c>
      <c r="P350" s="6">
        <f>MAX(0,$C$4+SUM($O$5:O350))</f>
        <v>0</v>
      </c>
      <c r="Q350" s="3"/>
      <c r="R350" s="38"/>
    </row>
    <row r="351" spans="11:18" x14ac:dyDescent="0.25">
      <c r="K351">
        <f t="shared" si="31"/>
        <v>347</v>
      </c>
      <c r="L351" s="16">
        <f t="shared" si="32"/>
        <v>54179</v>
      </c>
      <c r="M351" s="8">
        <f t="shared" si="33"/>
        <v>2048</v>
      </c>
      <c r="N351" s="33">
        <f t="shared" si="34"/>
        <v>4</v>
      </c>
      <c r="O351" t="str">
        <f t="shared" si="35"/>
        <v>NA</v>
      </c>
      <c r="P351" s="6">
        <f>MAX(0,$C$4+SUM($O$5:O351))</f>
        <v>0</v>
      </c>
      <c r="Q351" s="3"/>
      <c r="R351" s="38"/>
    </row>
    <row r="352" spans="11:18" x14ac:dyDescent="0.25">
      <c r="K352">
        <f t="shared" si="31"/>
        <v>348</v>
      </c>
      <c r="L352" s="16">
        <f t="shared" si="32"/>
        <v>54210</v>
      </c>
      <c r="M352" s="8">
        <f t="shared" si="33"/>
        <v>2048</v>
      </c>
      <c r="N352" s="33">
        <f t="shared" si="34"/>
        <v>4</v>
      </c>
      <c r="O352" t="str">
        <f t="shared" si="35"/>
        <v>NA</v>
      </c>
      <c r="P352" s="6">
        <f>MAX(0,$C$4+SUM($O$5:O352))</f>
        <v>0</v>
      </c>
      <c r="Q352" s="3"/>
      <c r="R352" s="38"/>
    </row>
    <row r="353" spans="11:18" x14ac:dyDescent="0.25">
      <c r="K353">
        <f t="shared" si="31"/>
        <v>349</v>
      </c>
      <c r="L353" s="16">
        <f t="shared" si="32"/>
        <v>54240</v>
      </c>
      <c r="M353" s="8">
        <f t="shared" si="33"/>
        <v>2048</v>
      </c>
      <c r="N353" s="33">
        <f t="shared" si="34"/>
        <v>4</v>
      </c>
      <c r="O353" t="str">
        <f t="shared" si="35"/>
        <v>NA</v>
      </c>
      <c r="P353" s="6">
        <f>MAX(0,$C$4+SUM($O$5:O353))</f>
        <v>0</v>
      </c>
      <c r="Q353" s="3"/>
      <c r="R353" s="38"/>
    </row>
    <row r="354" spans="11:18" x14ac:dyDescent="0.25">
      <c r="K354">
        <f t="shared" si="31"/>
        <v>350</v>
      </c>
      <c r="L354" s="16">
        <f t="shared" si="32"/>
        <v>54271</v>
      </c>
      <c r="M354" s="8">
        <f t="shared" si="33"/>
        <v>2048</v>
      </c>
      <c r="N354" s="33">
        <f t="shared" si="34"/>
        <v>4</v>
      </c>
      <c r="O354" t="str">
        <f t="shared" si="35"/>
        <v>NA</v>
      </c>
      <c r="P354" s="6">
        <f>MAX(0,$C$4+SUM($O$5:O354))</f>
        <v>0</v>
      </c>
      <c r="Q354" s="3"/>
      <c r="R354" s="38"/>
    </row>
    <row r="355" spans="11:18" x14ac:dyDescent="0.25">
      <c r="K355">
        <f t="shared" si="31"/>
        <v>351</v>
      </c>
      <c r="L355" s="16">
        <f t="shared" si="32"/>
        <v>54302</v>
      </c>
      <c r="M355" s="8">
        <f t="shared" si="33"/>
        <v>2048</v>
      </c>
      <c r="N355" s="33">
        <f t="shared" si="34"/>
        <v>4</v>
      </c>
      <c r="O355" t="str">
        <f t="shared" si="35"/>
        <v>NA</v>
      </c>
      <c r="P355" s="6">
        <f>MAX(0,$C$4+SUM($O$5:O355))</f>
        <v>0</v>
      </c>
      <c r="Q355" s="3"/>
      <c r="R355" s="38"/>
    </row>
    <row r="356" spans="11:18" x14ac:dyDescent="0.25">
      <c r="K356">
        <f t="shared" si="31"/>
        <v>352</v>
      </c>
      <c r="L356" s="16">
        <f t="shared" si="32"/>
        <v>54332</v>
      </c>
      <c r="M356" s="8">
        <f t="shared" si="33"/>
        <v>2048</v>
      </c>
      <c r="N356" s="33">
        <f t="shared" si="34"/>
        <v>4</v>
      </c>
      <c r="O356" t="str">
        <f t="shared" si="35"/>
        <v>NA</v>
      </c>
      <c r="P356" s="6">
        <f>MAX(0,$C$4+SUM($O$5:O356))</f>
        <v>0</v>
      </c>
      <c r="Q356" s="3"/>
      <c r="R356" s="38"/>
    </row>
    <row r="357" spans="11:18" x14ac:dyDescent="0.25">
      <c r="K357">
        <f t="shared" si="31"/>
        <v>353</v>
      </c>
      <c r="L357" s="16">
        <f t="shared" si="32"/>
        <v>54363</v>
      </c>
      <c r="M357" s="8">
        <f t="shared" si="33"/>
        <v>2048</v>
      </c>
      <c r="N357" s="33">
        <f t="shared" si="34"/>
        <v>4</v>
      </c>
      <c r="O357" t="str">
        <f t="shared" si="35"/>
        <v>NA</v>
      </c>
      <c r="P357" s="6">
        <f>MAX(0,$C$4+SUM($O$5:O357))</f>
        <v>0</v>
      </c>
      <c r="Q357" s="3"/>
      <c r="R357" s="38"/>
    </row>
    <row r="358" spans="11:18" x14ac:dyDescent="0.25">
      <c r="K358">
        <f t="shared" si="31"/>
        <v>354</v>
      </c>
      <c r="L358" s="16">
        <f t="shared" si="32"/>
        <v>54393</v>
      </c>
      <c r="M358" s="8">
        <f t="shared" si="33"/>
        <v>2048</v>
      </c>
      <c r="N358" s="33">
        <f t="shared" si="34"/>
        <v>4</v>
      </c>
      <c r="O358" t="str">
        <f t="shared" si="35"/>
        <v>NA</v>
      </c>
      <c r="P358" s="6">
        <f>MAX(0,$C$4+SUM($O$5:O358))</f>
        <v>0</v>
      </c>
      <c r="Q358" s="3"/>
      <c r="R358" s="38"/>
    </row>
    <row r="359" spans="11:18" x14ac:dyDescent="0.25">
      <c r="K359">
        <f t="shared" si="31"/>
        <v>355</v>
      </c>
      <c r="L359" s="16">
        <f t="shared" si="32"/>
        <v>54424</v>
      </c>
      <c r="M359" s="8">
        <f t="shared" si="33"/>
        <v>2049</v>
      </c>
      <c r="N359" s="33">
        <f t="shared" si="34"/>
        <v>4</v>
      </c>
      <c r="O359" t="str">
        <f t="shared" si="35"/>
        <v>NA</v>
      </c>
      <c r="P359" s="6">
        <f>MAX(0,$C$4+SUM($O$5:O359))</f>
        <v>0</v>
      </c>
      <c r="Q359" s="3"/>
      <c r="R359" s="38"/>
    </row>
    <row r="360" spans="11:18" x14ac:dyDescent="0.25">
      <c r="K360">
        <f t="shared" si="31"/>
        <v>356</v>
      </c>
      <c r="L360" s="16">
        <f t="shared" si="32"/>
        <v>54455</v>
      </c>
      <c r="M360" s="8">
        <f t="shared" si="33"/>
        <v>2049</v>
      </c>
      <c r="N360" s="33">
        <f t="shared" si="34"/>
        <v>4</v>
      </c>
      <c r="O360" t="str">
        <f t="shared" si="35"/>
        <v>NA</v>
      </c>
      <c r="P360" s="6">
        <f>MAX(0,$C$4+SUM($O$5:O360))</f>
        <v>0</v>
      </c>
      <c r="Q360" s="3"/>
      <c r="R360" s="38"/>
    </row>
    <row r="361" spans="11:18" x14ac:dyDescent="0.25">
      <c r="K361">
        <f t="shared" si="31"/>
        <v>357</v>
      </c>
      <c r="L361" s="16">
        <f t="shared" si="32"/>
        <v>54483</v>
      </c>
      <c r="M361" s="8">
        <f t="shared" si="33"/>
        <v>2049</v>
      </c>
      <c r="N361" s="33">
        <f t="shared" si="34"/>
        <v>4</v>
      </c>
      <c r="O361" t="str">
        <f t="shared" si="35"/>
        <v>NA</v>
      </c>
      <c r="P361" s="6">
        <f>MAX(0,$C$4+SUM($O$5:O361))</f>
        <v>0</v>
      </c>
      <c r="Q361" s="3"/>
      <c r="R361" s="38"/>
    </row>
    <row r="362" spans="11:18" x14ac:dyDescent="0.25">
      <c r="K362">
        <f t="shared" si="31"/>
        <v>358</v>
      </c>
      <c r="L362" s="16">
        <f t="shared" si="32"/>
        <v>54514</v>
      </c>
      <c r="M362" s="8">
        <f t="shared" si="33"/>
        <v>2049</v>
      </c>
      <c r="N362" s="33">
        <f t="shared" si="34"/>
        <v>4</v>
      </c>
      <c r="O362" t="str">
        <f t="shared" si="35"/>
        <v>NA</v>
      </c>
      <c r="P362" s="6">
        <f>MAX(0,$C$4+SUM($O$5:O362))</f>
        <v>0</v>
      </c>
      <c r="Q362" s="3"/>
      <c r="R362" s="38"/>
    </row>
    <row r="363" spans="11:18" x14ac:dyDescent="0.25">
      <c r="K363">
        <f t="shared" si="31"/>
        <v>359</v>
      </c>
      <c r="L363" s="16">
        <f t="shared" si="32"/>
        <v>54544</v>
      </c>
      <c r="M363" s="8">
        <f t="shared" si="33"/>
        <v>2049</v>
      </c>
      <c r="N363" s="33">
        <f t="shared" si="34"/>
        <v>4</v>
      </c>
      <c r="O363" t="str">
        <f t="shared" si="35"/>
        <v>NA</v>
      </c>
      <c r="P363" s="6">
        <f>MAX(0,$C$4+SUM($O$5:O363))</f>
        <v>0</v>
      </c>
      <c r="Q363" s="3"/>
      <c r="R363" s="38"/>
    </row>
    <row r="364" spans="11:18" x14ac:dyDescent="0.25">
      <c r="K364">
        <f t="shared" si="31"/>
        <v>360</v>
      </c>
      <c r="L364" s="16">
        <f t="shared" si="32"/>
        <v>54575</v>
      </c>
      <c r="M364" s="8">
        <f t="shared" si="33"/>
        <v>2049</v>
      </c>
      <c r="N364" s="33">
        <f t="shared" si="34"/>
        <v>4</v>
      </c>
      <c r="O364" t="str">
        <f t="shared" si="35"/>
        <v>NA</v>
      </c>
      <c r="P364" s="6">
        <f>MAX(0,$C$4+SUM($O$5:O364))</f>
        <v>0</v>
      </c>
      <c r="Q364" s="3"/>
      <c r="R364" s="38"/>
    </row>
    <row r="365" spans="11:18" x14ac:dyDescent="0.25">
      <c r="K365">
        <f t="shared" si="31"/>
        <v>361</v>
      </c>
      <c r="L365" s="16">
        <f t="shared" si="32"/>
        <v>54605</v>
      </c>
      <c r="M365" s="8">
        <f t="shared" si="33"/>
        <v>2049</v>
      </c>
      <c r="N365" s="33">
        <f t="shared" si="34"/>
        <v>4</v>
      </c>
      <c r="O365" t="str">
        <f t="shared" si="35"/>
        <v>NA</v>
      </c>
      <c r="P365" s="6">
        <f>MAX(0,$C$4+SUM($O$5:O365))</f>
        <v>0</v>
      </c>
      <c r="Q365" s="3"/>
      <c r="R365" s="38"/>
    </row>
    <row r="366" spans="11:18" x14ac:dyDescent="0.25">
      <c r="K366">
        <f t="shared" si="31"/>
        <v>362</v>
      </c>
      <c r="L366" s="16">
        <f t="shared" si="32"/>
        <v>54636</v>
      </c>
      <c r="M366" s="8">
        <f t="shared" si="33"/>
        <v>2049</v>
      </c>
      <c r="N366" s="33">
        <f t="shared" si="34"/>
        <v>4</v>
      </c>
      <c r="O366" t="str">
        <f t="shared" si="35"/>
        <v>NA</v>
      </c>
      <c r="P366" s="6">
        <f>MAX(0,$C$4+SUM($O$5:O366))</f>
        <v>0</v>
      </c>
      <c r="Q366" s="3"/>
      <c r="R366" s="38"/>
    </row>
    <row r="367" spans="11:18" x14ac:dyDescent="0.25">
      <c r="K367">
        <f t="shared" si="31"/>
        <v>363</v>
      </c>
      <c r="L367" s="16">
        <f t="shared" si="32"/>
        <v>54667</v>
      </c>
      <c r="M367" s="8">
        <f t="shared" si="33"/>
        <v>2049</v>
      </c>
      <c r="N367" s="33">
        <f t="shared" si="34"/>
        <v>4</v>
      </c>
      <c r="O367" t="str">
        <f t="shared" si="35"/>
        <v>NA</v>
      </c>
      <c r="P367" s="6">
        <f>MAX(0,$C$4+SUM($O$5:O367))</f>
        <v>0</v>
      </c>
      <c r="Q367" s="3"/>
      <c r="R367" s="38"/>
    </row>
    <row r="368" spans="11:18" x14ac:dyDescent="0.25">
      <c r="K368">
        <f t="shared" si="31"/>
        <v>364</v>
      </c>
      <c r="L368" s="16">
        <f t="shared" si="32"/>
        <v>54697</v>
      </c>
      <c r="M368" s="8">
        <f t="shared" si="33"/>
        <v>2049</v>
      </c>
      <c r="N368" s="33">
        <f t="shared" si="34"/>
        <v>4</v>
      </c>
      <c r="O368" t="str">
        <f t="shared" si="35"/>
        <v>NA</v>
      </c>
      <c r="P368" s="6">
        <f>MAX(0,$C$4+SUM($O$5:O368))</f>
        <v>0</v>
      </c>
      <c r="Q368" s="3"/>
      <c r="R368" s="38"/>
    </row>
    <row r="369" spans="11:18" x14ac:dyDescent="0.25">
      <c r="K369">
        <f t="shared" si="31"/>
        <v>365</v>
      </c>
      <c r="L369" s="16">
        <f t="shared" si="32"/>
        <v>54728</v>
      </c>
      <c r="M369" s="8">
        <f t="shared" si="33"/>
        <v>2049</v>
      </c>
      <c r="N369" s="33">
        <f t="shared" si="34"/>
        <v>4</v>
      </c>
      <c r="O369" t="str">
        <f t="shared" si="35"/>
        <v>NA</v>
      </c>
      <c r="P369" s="6">
        <f>MAX(0,$C$4+SUM($O$5:O369))</f>
        <v>0</v>
      </c>
      <c r="Q369" s="3"/>
      <c r="R369" s="38"/>
    </row>
    <row r="370" spans="11:18" x14ac:dyDescent="0.25">
      <c r="K370">
        <f t="shared" si="31"/>
        <v>366</v>
      </c>
      <c r="L370" s="16">
        <f t="shared" si="32"/>
        <v>54758</v>
      </c>
      <c r="M370" s="8">
        <f t="shared" si="33"/>
        <v>2049</v>
      </c>
      <c r="N370" s="33">
        <f t="shared" si="34"/>
        <v>4</v>
      </c>
      <c r="O370" t="str">
        <f t="shared" si="35"/>
        <v>NA</v>
      </c>
      <c r="P370" s="6">
        <f>MAX(0,$C$4+SUM($O$5:O370))</f>
        <v>0</v>
      </c>
      <c r="Q370" s="3"/>
      <c r="R370" s="38"/>
    </row>
    <row r="371" spans="11:18" x14ac:dyDescent="0.25">
      <c r="K371">
        <f t="shared" si="31"/>
        <v>367</v>
      </c>
      <c r="L371" s="16">
        <f t="shared" si="32"/>
        <v>54789</v>
      </c>
      <c r="M371" s="8">
        <f t="shared" si="33"/>
        <v>2050</v>
      </c>
      <c r="N371" s="33">
        <f t="shared" si="34"/>
        <v>4</v>
      </c>
      <c r="O371" t="str">
        <f t="shared" si="35"/>
        <v>NA</v>
      </c>
      <c r="P371" s="6">
        <f>MAX(0,$C$4+SUM($O$5:O371))</f>
        <v>0</v>
      </c>
      <c r="Q371" s="3"/>
      <c r="R371" s="38"/>
    </row>
    <row r="372" spans="11:18" x14ac:dyDescent="0.25">
      <c r="K372">
        <f t="shared" si="31"/>
        <v>368</v>
      </c>
      <c r="L372" s="16">
        <f t="shared" si="32"/>
        <v>54820</v>
      </c>
      <c r="M372" s="8">
        <f t="shared" si="33"/>
        <v>2050</v>
      </c>
      <c r="N372" s="33">
        <f t="shared" si="34"/>
        <v>4</v>
      </c>
      <c r="O372" t="str">
        <f t="shared" si="35"/>
        <v>NA</v>
      </c>
      <c r="P372" s="6">
        <f>MAX(0,$C$4+SUM($O$5:O372))</f>
        <v>0</v>
      </c>
      <c r="Q372" s="3"/>
      <c r="R372" s="38"/>
    </row>
    <row r="373" spans="11:18" x14ac:dyDescent="0.25">
      <c r="K373">
        <f t="shared" si="31"/>
        <v>369</v>
      </c>
      <c r="L373" s="16">
        <f t="shared" si="32"/>
        <v>54848</v>
      </c>
      <c r="M373" s="8">
        <f t="shared" si="33"/>
        <v>2050</v>
      </c>
      <c r="N373" s="33">
        <f t="shared" si="34"/>
        <v>4</v>
      </c>
      <c r="O373" t="str">
        <f t="shared" si="35"/>
        <v>NA</v>
      </c>
      <c r="P373" s="6">
        <f>MAX(0,$C$4+SUM($O$5:O373))</f>
        <v>0</v>
      </c>
      <c r="Q373" s="3"/>
      <c r="R373" s="38"/>
    </row>
    <row r="374" spans="11:18" x14ac:dyDescent="0.25">
      <c r="K374">
        <f t="shared" si="31"/>
        <v>370</v>
      </c>
      <c r="L374" s="16">
        <f t="shared" si="32"/>
        <v>54879</v>
      </c>
      <c r="M374" s="8">
        <f t="shared" si="33"/>
        <v>2050</v>
      </c>
      <c r="N374" s="33">
        <f t="shared" si="34"/>
        <v>4</v>
      </c>
      <c r="O374" t="str">
        <f t="shared" si="35"/>
        <v>NA</v>
      </c>
      <c r="P374" s="6">
        <f>MAX(0,$C$4+SUM($O$5:O374))</f>
        <v>0</v>
      </c>
      <c r="Q374" s="3"/>
      <c r="R374" s="38"/>
    </row>
    <row r="375" spans="11:18" x14ac:dyDescent="0.25">
      <c r="K375">
        <f t="shared" si="31"/>
        <v>371</v>
      </c>
      <c r="L375" s="16">
        <f t="shared" si="32"/>
        <v>54909</v>
      </c>
      <c r="M375" s="8">
        <f t="shared" si="33"/>
        <v>2050</v>
      </c>
      <c r="N375" s="33">
        <f t="shared" si="34"/>
        <v>4</v>
      </c>
      <c r="O375" t="str">
        <f t="shared" si="35"/>
        <v>NA</v>
      </c>
      <c r="P375" s="6">
        <f>MAX(0,$C$4+SUM($O$5:O375))</f>
        <v>0</v>
      </c>
      <c r="Q375" s="3"/>
      <c r="R375" s="38"/>
    </row>
    <row r="376" spans="11:18" x14ac:dyDescent="0.25">
      <c r="K376">
        <f t="shared" si="31"/>
        <v>372</v>
      </c>
      <c r="L376" s="16">
        <f t="shared" si="32"/>
        <v>54940</v>
      </c>
      <c r="M376" s="8">
        <f t="shared" si="33"/>
        <v>2050</v>
      </c>
      <c r="N376" s="33">
        <f t="shared" si="34"/>
        <v>4</v>
      </c>
      <c r="O376" t="str">
        <f t="shared" si="35"/>
        <v>NA</v>
      </c>
      <c r="P376" s="6">
        <f>MAX(0,$C$4+SUM($O$5:O376))</f>
        <v>0</v>
      </c>
      <c r="Q376" s="3"/>
      <c r="R376" s="38"/>
    </row>
    <row r="377" spans="11:18" x14ac:dyDescent="0.25">
      <c r="K377">
        <f t="shared" si="31"/>
        <v>373</v>
      </c>
      <c r="L377" s="16">
        <f t="shared" si="32"/>
        <v>54970</v>
      </c>
      <c r="M377" s="8">
        <f t="shared" si="33"/>
        <v>2050</v>
      </c>
      <c r="N377" s="33">
        <f t="shared" si="34"/>
        <v>4</v>
      </c>
      <c r="O377" t="str">
        <f t="shared" si="35"/>
        <v>NA</v>
      </c>
      <c r="P377" s="6">
        <f>MAX(0,$C$4+SUM($O$5:O377))</f>
        <v>0</v>
      </c>
      <c r="Q377" s="3"/>
      <c r="R377" s="38"/>
    </row>
    <row r="378" spans="11:18" x14ac:dyDescent="0.25">
      <c r="K378">
        <f t="shared" si="31"/>
        <v>374</v>
      </c>
      <c r="L378" s="16">
        <f t="shared" si="32"/>
        <v>55001</v>
      </c>
      <c r="M378" s="8">
        <f t="shared" si="33"/>
        <v>2050</v>
      </c>
      <c r="N378" s="33">
        <f t="shared" si="34"/>
        <v>4</v>
      </c>
      <c r="O378" t="str">
        <f t="shared" si="35"/>
        <v>NA</v>
      </c>
      <c r="P378" s="6">
        <f>MAX(0,$C$4+SUM($O$5:O378))</f>
        <v>0</v>
      </c>
      <c r="Q378" s="3"/>
      <c r="R378" s="38"/>
    </row>
    <row r="379" spans="11:18" x14ac:dyDescent="0.25">
      <c r="K379">
        <f t="shared" si="31"/>
        <v>375</v>
      </c>
      <c r="L379" s="16">
        <f t="shared" si="32"/>
        <v>55032</v>
      </c>
      <c r="M379" s="8">
        <f t="shared" si="33"/>
        <v>2050</v>
      </c>
      <c r="N379" s="33">
        <f t="shared" si="34"/>
        <v>4</v>
      </c>
      <c r="O379" t="str">
        <f t="shared" si="35"/>
        <v>NA</v>
      </c>
      <c r="P379" s="6">
        <f>MAX(0,$C$4+SUM($O$5:O379))</f>
        <v>0</v>
      </c>
      <c r="Q379" s="3"/>
      <c r="R379" s="38"/>
    </row>
    <row r="380" spans="11:18" x14ac:dyDescent="0.25">
      <c r="K380">
        <f t="shared" si="31"/>
        <v>376</v>
      </c>
      <c r="L380" s="16">
        <f t="shared" si="32"/>
        <v>55062</v>
      </c>
      <c r="M380" s="8">
        <f t="shared" si="33"/>
        <v>2050</v>
      </c>
      <c r="N380" s="33">
        <f t="shared" si="34"/>
        <v>4</v>
      </c>
      <c r="O380" t="str">
        <f t="shared" si="35"/>
        <v>NA</v>
      </c>
      <c r="P380" s="6">
        <f>MAX(0,$C$4+SUM($O$5:O380))</f>
        <v>0</v>
      </c>
      <c r="Q380" s="3"/>
      <c r="R380" s="38"/>
    </row>
    <row r="381" spans="11:18" x14ac:dyDescent="0.25">
      <c r="K381">
        <f t="shared" ref="K381:K382" si="36">K380+1</f>
        <v>377</v>
      </c>
      <c r="L381" s="16">
        <f t="shared" si="32"/>
        <v>55093</v>
      </c>
      <c r="M381" s="8">
        <f t="shared" si="33"/>
        <v>2050</v>
      </c>
      <c r="N381" s="33">
        <f t="shared" si="34"/>
        <v>4</v>
      </c>
      <c r="O381" t="str">
        <f t="shared" si="35"/>
        <v>NA</v>
      </c>
      <c r="P381" s="6">
        <f>MAX(0,$C$4+SUM($O$5:O381))</f>
        <v>0</v>
      </c>
      <c r="Q381" s="3"/>
      <c r="R381" s="38"/>
    </row>
    <row r="382" spans="11:18" x14ac:dyDescent="0.25">
      <c r="K382">
        <f t="shared" si="36"/>
        <v>378</v>
      </c>
      <c r="L382" s="16">
        <f t="shared" si="32"/>
        <v>55123</v>
      </c>
      <c r="M382" s="8">
        <f t="shared" si="33"/>
        <v>2050</v>
      </c>
      <c r="N382" s="33">
        <f t="shared" si="34"/>
        <v>4</v>
      </c>
      <c r="O382" t="str">
        <f t="shared" si="35"/>
        <v>NA</v>
      </c>
      <c r="P382" s="6">
        <f>MAX(0,$C$4+SUM($O$5:O382))</f>
        <v>0</v>
      </c>
      <c r="Q382" s="3"/>
      <c r="R382" s="38"/>
    </row>
    <row r="383" spans="11:18" x14ac:dyDescent="0.25">
      <c r="L383" s="16"/>
      <c r="M383" s="16"/>
      <c r="N383" s="33"/>
      <c r="P383" s="6"/>
    </row>
    <row r="384" spans="11:18" x14ac:dyDescent="0.25">
      <c r="L384" s="16"/>
      <c r="M384" s="16"/>
      <c r="N384" s="33"/>
      <c r="P384" s="6"/>
    </row>
    <row r="385" spans="12:16" x14ac:dyDescent="0.25">
      <c r="L385" s="16"/>
      <c r="M385" s="16"/>
      <c r="N385" s="33"/>
      <c r="P385" s="6"/>
    </row>
    <row r="386" spans="12:16" x14ac:dyDescent="0.25">
      <c r="L386" s="16"/>
      <c r="M386" s="16"/>
      <c r="N386" s="33"/>
      <c r="P386" s="6"/>
    </row>
    <row r="387" spans="12:16" x14ac:dyDescent="0.25">
      <c r="L387" s="16"/>
      <c r="M387" s="16"/>
      <c r="N387" s="33"/>
      <c r="P387" s="6"/>
    </row>
    <row r="388" spans="12:16" x14ac:dyDescent="0.25">
      <c r="L388" s="16"/>
      <c r="M388" s="16"/>
      <c r="N388" s="33"/>
      <c r="P388" s="6"/>
    </row>
    <row r="389" spans="12:16" x14ac:dyDescent="0.25">
      <c r="L389" s="16"/>
      <c r="M389" s="16"/>
      <c r="N389" s="33"/>
      <c r="P389" s="6"/>
    </row>
    <row r="390" spans="12:16" x14ac:dyDescent="0.25">
      <c r="L390" s="16"/>
      <c r="M390" s="16"/>
      <c r="N390" s="33"/>
      <c r="P390" s="6"/>
    </row>
    <row r="391" spans="12:16" x14ac:dyDescent="0.25">
      <c r="L391" s="16"/>
      <c r="M391" s="16"/>
      <c r="N391" s="33"/>
      <c r="P391" s="6"/>
    </row>
    <row r="392" spans="12:16" x14ac:dyDescent="0.25">
      <c r="L392" s="16"/>
      <c r="M392" s="16"/>
      <c r="N392" s="33"/>
      <c r="P392" s="6"/>
    </row>
    <row r="393" spans="12:16" x14ac:dyDescent="0.25">
      <c r="L393" s="16"/>
      <c r="M393" s="16"/>
      <c r="N393" s="33"/>
      <c r="P393" s="6"/>
    </row>
    <row r="394" spans="12:16" x14ac:dyDescent="0.25">
      <c r="L394" s="16"/>
      <c r="M394" s="16"/>
      <c r="N394" s="33"/>
      <c r="P394" s="6"/>
    </row>
    <row r="395" spans="12:16" x14ac:dyDescent="0.25">
      <c r="L395" s="16"/>
      <c r="M395" s="16"/>
      <c r="N395" s="33"/>
      <c r="P395" s="6"/>
    </row>
    <row r="396" spans="12:16" x14ac:dyDescent="0.25">
      <c r="L396" s="16"/>
      <c r="M396" s="16"/>
      <c r="N396" s="33"/>
      <c r="P396" s="6"/>
    </row>
    <row r="397" spans="12:16" x14ac:dyDescent="0.25">
      <c r="L397" s="16"/>
      <c r="M397" s="16"/>
      <c r="N397" s="33"/>
      <c r="P397" s="6"/>
    </row>
    <row r="398" spans="12:16" x14ac:dyDescent="0.25">
      <c r="L398" s="16"/>
      <c r="M398" s="16"/>
      <c r="N398" s="33"/>
      <c r="P398" s="6"/>
    </row>
    <row r="399" spans="12:16" x14ac:dyDescent="0.25">
      <c r="L399" s="16"/>
      <c r="M399" s="16"/>
      <c r="N399" s="33"/>
      <c r="P399" s="6"/>
    </row>
    <row r="400" spans="12:16" x14ac:dyDescent="0.25">
      <c r="L400" s="16"/>
      <c r="M400" s="16"/>
      <c r="N400" s="33"/>
      <c r="P400" s="6"/>
    </row>
    <row r="401" spans="12:16" x14ac:dyDescent="0.25">
      <c r="L401" s="16"/>
      <c r="M401" s="16"/>
      <c r="N401" s="33"/>
      <c r="P401" s="6"/>
    </row>
    <row r="402" spans="12:16" x14ac:dyDescent="0.25">
      <c r="L402" s="16"/>
      <c r="M402" s="16"/>
      <c r="N402" s="33"/>
      <c r="P402" s="6"/>
    </row>
    <row r="403" spans="12:16" x14ac:dyDescent="0.25">
      <c r="L403" s="16"/>
      <c r="M403" s="16"/>
      <c r="N403" s="33"/>
      <c r="P403" s="6"/>
    </row>
    <row r="404" spans="12:16" x14ac:dyDescent="0.25">
      <c r="L404" s="16"/>
      <c r="M404" s="16"/>
      <c r="N404" s="33"/>
      <c r="P404" s="6"/>
    </row>
    <row r="405" spans="12:16" x14ac:dyDescent="0.25">
      <c r="L405" s="16"/>
      <c r="M405" s="16"/>
      <c r="N405" s="33"/>
      <c r="P405" s="6"/>
    </row>
    <row r="406" spans="12:16" x14ac:dyDescent="0.25">
      <c r="L406" s="16"/>
      <c r="M406" s="16"/>
      <c r="N406" s="33"/>
      <c r="P406" s="6"/>
    </row>
    <row r="407" spans="12:16" x14ac:dyDescent="0.25">
      <c r="L407" s="16"/>
      <c r="M407" s="16"/>
      <c r="N407" s="33"/>
      <c r="P407" s="6"/>
    </row>
    <row r="408" spans="12:16" x14ac:dyDescent="0.25">
      <c r="L408" s="16"/>
      <c r="M408" s="16"/>
      <c r="N408" s="33"/>
      <c r="P408" s="6"/>
    </row>
    <row r="409" spans="12:16" x14ac:dyDescent="0.25">
      <c r="L409" s="16"/>
      <c r="M409" s="16"/>
      <c r="N409" s="33"/>
      <c r="P409" s="6"/>
    </row>
    <row r="410" spans="12:16" x14ac:dyDescent="0.25">
      <c r="L410" s="16"/>
      <c r="M410" s="16"/>
      <c r="N410" s="33"/>
      <c r="P410" s="6"/>
    </row>
    <row r="411" spans="12:16" x14ac:dyDescent="0.25">
      <c r="L411" s="16"/>
      <c r="M411" s="16"/>
      <c r="N411" s="33"/>
      <c r="P411" s="6"/>
    </row>
    <row r="412" spans="12:16" x14ac:dyDescent="0.25">
      <c r="L412" s="16"/>
      <c r="M412" s="16"/>
      <c r="N412" s="33"/>
      <c r="P412" s="6"/>
    </row>
    <row r="413" spans="12:16" x14ac:dyDescent="0.25">
      <c r="L413" s="16"/>
      <c r="M413" s="16"/>
      <c r="N413" s="33"/>
      <c r="P413" s="6"/>
    </row>
    <row r="414" spans="12:16" x14ac:dyDescent="0.25">
      <c r="L414" s="16"/>
      <c r="M414" s="16"/>
      <c r="N414" s="33"/>
      <c r="P414" s="6"/>
    </row>
    <row r="415" spans="12:16" x14ac:dyDescent="0.25">
      <c r="L415" s="16"/>
      <c r="M415" s="16"/>
      <c r="N415" s="33"/>
      <c r="P415" s="6"/>
    </row>
    <row r="416" spans="12:16" x14ac:dyDescent="0.25">
      <c r="L416" s="16"/>
      <c r="M416" s="16"/>
      <c r="N416" s="33"/>
      <c r="P416" s="6"/>
    </row>
    <row r="417" spans="12:16" x14ac:dyDescent="0.25">
      <c r="L417" s="16"/>
      <c r="M417" s="16"/>
      <c r="N417" s="33"/>
      <c r="P417" s="6"/>
    </row>
    <row r="418" spans="12:16" x14ac:dyDescent="0.25">
      <c r="L418" s="16"/>
      <c r="M418" s="16"/>
      <c r="N418" s="33"/>
      <c r="P418" s="6"/>
    </row>
    <row r="419" spans="12:16" x14ac:dyDescent="0.25">
      <c r="L419" s="16"/>
      <c r="M419" s="16"/>
      <c r="N419" s="33"/>
      <c r="P419" s="6"/>
    </row>
    <row r="420" spans="12:16" x14ac:dyDescent="0.25">
      <c r="L420" s="16"/>
      <c r="M420" s="16"/>
      <c r="N420" s="33"/>
      <c r="P420" s="6"/>
    </row>
    <row r="421" spans="12:16" x14ac:dyDescent="0.25">
      <c r="L421" s="16"/>
      <c r="M421" s="16"/>
      <c r="N421" s="33"/>
      <c r="P421" s="6"/>
    </row>
    <row r="422" spans="12:16" x14ac:dyDescent="0.25">
      <c r="L422" s="16"/>
      <c r="M422" s="16"/>
      <c r="N422" s="33"/>
      <c r="P422" s="6"/>
    </row>
    <row r="423" spans="12:16" x14ac:dyDescent="0.25">
      <c r="L423" s="16"/>
      <c r="M423" s="16"/>
      <c r="N423" s="33"/>
      <c r="P423" s="6"/>
    </row>
    <row r="424" spans="12:16" x14ac:dyDescent="0.25">
      <c r="L424" s="16"/>
      <c r="M424" s="16"/>
      <c r="N424" s="33"/>
      <c r="P424" s="6"/>
    </row>
    <row r="425" spans="12:16" x14ac:dyDescent="0.25">
      <c r="L425" s="16"/>
      <c r="M425" s="16"/>
      <c r="N425" s="33"/>
      <c r="P425" s="6"/>
    </row>
    <row r="426" spans="12:16" x14ac:dyDescent="0.25">
      <c r="L426" s="16"/>
      <c r="M426" s="16"/>
      <c r="N426" s="33"/>
      <c r="P426" s="6"/>
    </row>
    <row r="427" spans="12:16" x14ac:dyDescent="0.25">
      <c r="L427" s="16"/>
      <c r="M427" s="16"/>
      <c r="N427" s="33"/>
      <c r="P427" s="6"/>
    </row>
    <row r="428" spans="12:16" x14ac:dyDescent="0.25">
      <c r="L428" s="16"/>
      <c r="M428" s="16"/>
      <c r="N428" s="33"/>
      <c r="P428" s="6"/>
    </row>
    <row r="429" spans="12:16" x14ac:dyDescent="0.25">
      <c r="L429" s="16"/>
      <c r="M429" s="16"/>
      <c r="N429" s="33"/>
      <c r="P429" s="6"/>
    </row>
    <row r="430" spans="12:16" x14ac:dyDescent="0.25">
      <c r="L430" s="16"/>
      <c r="M430" s="16"/>
      <c r="N430" s="33"/>
      <c r="P430" s="6"/>
    </row>
    <row r="431" spans="12:16" x14ac:dyDescent="0.25">
      <c r="L431" s="16"/>
      <c r="M431" s="16"/>
      <c r="N431" s="33"/>
      <c r="P431" s="6"/>
    </row>
    <row r="432" spans="12:16" x14ac:dyDescent="0.25">
      <c r="L432" s="16"/>
      <c r="M432" s="16"/>
      <c r="N432" s="33"/>
      <c r="P432" s="6"/>
    </row>
    <row r="433" spans="12:16" x14ac:dyDescent="0.25">
      <c r="L433" s="16"/>
      <c r="M433" s="16"/>
      <c r="N433" s="33"/>
      <c r="P433" s="6"/>
    </row>
    <row r="434" spans="12:16" x14ac:dyDescent="0.25">
      <c r="L434" s="16"/>
      <c r="M434" s="16"/>
      <c r="N434" s="33"/>
      <c r="P434" s="6"/>
    </row>
    <row r="435" spans="12:16" x14ac:dyDescent="0.25">
      <c r="L435" s="16"/>
      <c r="M435" s="16"/>
      <c r="N435" s="33"/>
      <c r="P435" s="6"/>
    </row>
    <row r="436" spans="12:16" x14ac:dyDescent="0.25">
      <c r="L436" s="16"/>
      <c r="M436" s="16"/>
      <c r="N436" s="33"/>
      <c r="P436" s="6"/>
    </row>
    <row r="437" spans="12:16" x14ac:dyDescent="0.25">
      <c r="L437" s="16"/>
      <c r="M437" s="16"/>
      <c r="N437" s="33"/>
      <c r="P437" s="6"/>
    </row>
    <row r="438" spans="12:16" x14ac:dyDescent="0.25">
      <c r="L438" s="16"/>
      <c r="M438" s="16"/>
      <c r="N438" s="33"/>
      <c r="P438" s="6"/>
    </row>
    <row r="439" spans="12:16" x14ac:dyDescent="0.25">
      <c r="L439" s="16"/>
      <c r="M439" s="16"/>
      <c r="N439" s="33"/>
      <c r="P439" s="6"/>
    </row>
    <row r="440" spans="12:16" x14ac:dyDescent="0.25">
      <c r="L440" s="16"/>
      <c r="M440" s="16"/>
      <c r="N440" s="33"/>
      <c r="P440" s="6"/>
    </row>
    <row r="441" spans="12:16" x14ac:dyDescent="0.25">
      <c r="L441" s="16"/>
      <c r="M441" s="16"/>
      <c r="N441" s="33"/>
      <c r="P441" s="6"/>
    </row>
    <row r="442" spans="12:16" x14ac:dyDescent="0.25">
      <c r="L442" s="16"/>
      <c r="M442" s="16"/>
      <c r="N442" s="33"/>
      <c r="P442" s="6"/>
    </row>
    <row r="443" spans="12:16" x14ac:dyDescent="0.25">
      <c r="L443" s="16"/>
      <c r="M443" s="16"/>
      <c r="N443" s="33"/>
      <c r="P443" s="6"/>
    </row>
    <row r="444" spans="12:16" x14ac:dyDescent="0.25">
      <c r="L444" s="16"/>
      <c r="M444" s="16"/>
      <c r="N444" s="33"/>
      <c r="P444" s="6"/>
    </row>
    <row r="445" spans="12:16" x14ac:dyDescent="0.25">
      <c r="L445" s="16"/>
      <c r="M445" s="16"/>
      <c r="N445" s="33"/>
      <c r="P445" s="6"/>
    </row>
    <row r="446" spans="12:16" x14ac:dyDescent="0.25">
      <c r="L446" s="16"/>
      <c r="M446" s="16"/>
      <c r="N446" s="33"/>
      <c r="P446" s="6"/>
    </row>
    <row r="447" spans="12:16" x14ac:dyDescent="0.25">
      <c r="L447" s="16"/>
      <c r="M447" s="16"/>
      <c r="N447" s="33"/>
      <c r="P447" s="6"/>
    </row>
    <row r="448" spans="12:16" x14ac:dyDescent="0.25">
      <c r="L448" s="16"/>
      <c r="M448" s="16"/>
      <c r="N448" s="33"/>
      <c r="P448" s="6"/>
    </row>
    <row r="449" spans="12:16" x14ac:dyDescent="0.25">
      <c r="L449" s="16"/>
      <c r="M449" s="16"/>
      <c r="N449" s="33"/>
      <c r="P449" s="6"/>
    </row>
    <row r="450" spans="12:16" x14ac:dyDescent="0.25">
      <c r="L450" s="16"/>
      <c r="M450" s="16"/>
      <c r="N450" s="33"/>
      <c r="P450" s="6"/>
    </row>
    <row r="451" spans="12:16" x14ac:dyDescent="0.25">
      <c r="L451" s="16"/>
      <c r="M451" s="16"/>
      <c r="N451" s="33"/>
      <c r="P451" s="6"/>
    </row>
    <row r="452" spans="12:16" x14ac:dyDescent="0.25">
      <c r="L452" s="16"/>
      <c r="M452" s="16"/>
      <c r="N452" s="33"/>
      <c r="P452" s="6"/>
    </row>
    <row r="453" spans="12:16" x14ac:dyDescent="0.25">
      <c r="L453" s="16"/>
      <c r="M453" s="16"/>
      <c r="N453" s="33"/>
      <c r="P453" s="6"/>
    </row>
    <row r="454" spans="12:16" x14ac:dyDescent="0.25">
      <c r="L454" s="16"/>
      <c r="M454" s="16"/>
      <c r="N454" s="33"/>
      <c r="P454" s="6"/>
    </row>
    <row r="455" spans="12:16" x14ac:dyDescent="0.25">
      <c r="L455" s="16"/>
      <c r="M455" s="16"/>
      <c r="N455" s="33"/>
      <c r="P455" s="6"/>
    </row>
    <row r="456" spans="12:16" x14ac:dyDescent="0.25">
      <c r="L456" s="16"/>
      <c r="M456" s="16"/>
      <c r="N456" s="33"/>
      <c r="P456" s="6"/>
    </row>
    <row r="457" spans="12:16" x14ac:dyDescent="0.25">
      <c r="L457" s="16"/>
      <c r="M457" s="16"/>
      <c r="N457" s="33"/>
      <c r="P457" s="6"/>
    </row>
    <row r="458" spans="12:16" x14ac:dyDescent="0.25">
      <c r="L458" s="16"/>
      <c r="M458" s="16"/>
      <c r="N458" s="33"/>
      <c r="P458" s="6"/>
    </row>
    <row r="459" spans="12:16" x14ac:dyDescent="0.25">
      <c r="L459" s="16"/>
      <c r="M459" s="16"/>
      <c r="N459" s="33"/>
      <c r="P459" s="6"/>
    </row>
    <row r="460" spans="12:16" x14ac:dyDescent="0.25">
      <c r="L460" s="16"/>
      <c r="M460" s="16"/>
      <c r="N460" s="33"/>
      <c r="P460" s="6"/>
    </row>
    <row r="461" spans="12:16" x14ac:dyDescent="0.25">
      <c r="L461" s="16"/>
      <c r="M461" s="16"/>
      <c r="N461" s="33"/>
      <c r="P461" s="6"/>
    </row>
    <row r="462" spans="12:16" x14ac:dyDescent="0.25">
      <c r="L462" s="16"/>
      <c r="M462" s="16"/>
      <c r="N462" s="33"/>
      <c r="P462" s="6"/>
    </row>
    <row r="463" spans="12:16" x14ac:dyDescent="0.25">
      <c r="L463" s="16"/>
      <c r="M463" s="16"/>
      <c r="N463" s="33"/>
      <c r="P463" s="6"/>
    </row>
    <row r="464" spans="12:16" x14ac:dyDescent="0.25">
      <c r="L464" s="16"/>
      <c r="M464" s="16"/>
      <c r="N464" s="33"/>
      <c r="P464" s="6"/>
    </row>
    <row r="465" spans="12:16" x14ac:dyDescent="0.25">
      <c r="L465" s="16"/>
      <c r="M465" s="16"/>
      <c r="N465" s="33"/>
      <c r="P465" s="6"/>
    </row>
    <row r="466" spans="12:16" x14ac:dyDescent="0.25">
      <c r="L466" s="16"/>
      <c r="M466" s="16"/>
      <c r="N466" s="33"/>
      <c r="P466" s="6"/>
    </row>
    <row r="467" spans="12:16" x14ac:dyDescent="0.25">
      <c r="L467" s="16"/>
      <c r="M467" s="16"/>
      <c r="N467" s="33"/>
      <c r="P467" s="6"/>
    </row>
    <row r="468" spans="12:16" x14ac:dyDescent="0.25">
      <c r="L468" s="16"/>
      <c r="M468" s="16"/>
      <c r="N468" s="33"/>
      <c r="P468" s="6"/>
    </row>
    <row r="469" spans="12:16" x14ac:dyDescent="0.25">
      <c r="L469" s="16"/>
      <c r="M469" s="16"/>
      <c r="N469" s="33"/>
      <c r="P469" s="6"/>
    </row>
    <row r="470" spans="12:16" x14ac:dyDescent="0.25">
      <c r="L470" s="16"/>
      <c r="M470" s="16"/>
      <c r="N470" s="33"/>
      <c r="P470" s="6"/>
    </row>
    <row r="471" spans="12:16" x14ac:dyDescent="0.25">
      <c r="L471" s="16"/>
      <c r="M471" s="16"/>
      <c r="N471" s="33"/>
      <c r="P471" s="6"/>
    </row>
    <row r="472" spans="12:16" x14ac:dyDescent="0.25">
      <c r="L472" s="16"/>
      <c r="M472" s="16"/>
      <c r="N472" s="33"/>
      <c r="P472" s="6"/>
    </row>
    <row r="473" spans="12:16" x14ac:dyDescent="0.25">
      <c r="L473" s="16"/>
      <c r="M473" s="16"/>
      <c r="N473" s="33"/>
      <c r="P473" s="6"/>
    </row>
    <row r="474" spans="12:16" x14ac:dyDescent="0.25">
      <c r="L474" s="16"/>
      <c r="M474" s="16"/>
      <c r="N474" s="33"/>
      <c r="P474" s="6"/>
    </row>
    <row r="475" spans="12:16" x14ac:dyDescent="0.25">
      <c r="L475" s="16"/>
      <c r="M475" s="16"/>
      <c r="N475" s="33"/>
      <c r="P475" s="6"/>
    </row>
    <row r="476" spans="12:16" x14ac:dyDescent="0.25">
      <c r="L476" s="16"/>
      <c r="M476" s="16"/>
      <c r="N476" s="33"/>
      <c r="P476" s="6"/>
    </row>
    <row r="477" spans="12:16" x14ac:dyDescent="0.25">
      <c r="L477" s="16"/>
      <c r="M477" s="16"/>
      <c r="N477" s="33"/>
      <c r="P477" s="6"/>
    </row>
    <row r="478" spans="12:16" x14ac:dyDescent="0.25">
      <c r="L478" s="16"/>
      <c r="M478" s="16"/>
      <c r="N478" s="33"/>
      <c r="P478" s="6"/>
    </row>
    <row r="479" spans="12:16" x14ac:dyDescent="0.25">
      <c r="L479" s="16"/>
      <c r="M479" s="16"/>
      <c r="N479" s="33"/>
      <c r="P479" s="6"/>
    </row>
    <row r="480" spans="12:16" x14ac:dyDescent="0.25">
      <c r="L480" s="16"/>
      <c r="M480" s="16"/>
      <c r="N480" s="33"/>
      <c r="P480" s="6"/>
    </row>
    <row r="481" spans="12:16" x14ac:dyDescent="0.25">
      <c r="L481" s="16"/>
      <c r="M481" s="16"/>
      <c r="N481" s="33"/>
      <c r="P481" s="6"/>
    </row>
    <row r="482" spans="12:16" x14ac:dyDescent="0.25">
      <c r="L482" s="16"/>
      <c r="M482" s="16"/>
      <c r="N482" s="33"/>
      <c r="P482" s="6"/>
    </row>
    <row r="483" spans="12:16" x14ac:dyDescent="0.25">
      <c r="L483" s="16"/>
      <c r="M483" s="16"/>
      <c r="N483" s="33"/>
      <c r="P483" s="6"/>
    </row>
    <row r="484" spans="12:16" x14ac:dyDescent="0.25">
      <c r="L484" s="16"/>
      <c r="M484" s="16"/>
      <c r="N484" s="33"/>
      <c r="P484" s="6"/>
    </row>
    <row r="485" spans="12:16" x14ac:dyDescent="0.25">
      <c r="L485" s="16"/>
      <c r="M485" s="16"/>
      <c r="N485" s="33"/>
      <c r="P485" s="6"/>
    </row>
    <row r="486" spans="12:16" x14ac:dyDescent="0.25">
      <c r="L486" s="16"/>
      <c r="M486" s="16"/>
      <c r="N486" s="33"/>
      <c r="P486" s="6"/>
    </row>
    <row r="487" spans="12:16" x14ac:dyDescent="0.25">
      <c r="L487" s="16"/>
      <c r="M487" s="16"/>
      <c r="N487" s="33"/>
      <c r="P487" s="6"/>
    </row>
    <row r="488" spans="12:16" x14ac:dyDescent="0.25">
      <c r="L488" s="16"/>
      <c r="M488" s="16"/>
      <c r="N488" s="33"/>
      <c r="P488" s="6"/>
    </row>
    <row r="489" spans="12:16" x14ac:dyDescent="0.25">
      <c r="L489" s="16"/>
      <c r="M489" s="16"/>
      <c r="N489" s="33"/>
      <c r="P489" s="6"/>
    </row>
    <row r="490" spans="12:16" x14ac:dyDescent="0.25">
      <c r="L490" s="16"/>
      <c r="M490" s="16"/>
      <c r="N490" s="33"/>
      <c r="P490" s="6"/>
    </row>
    <row r="491" spans="12:16" x14ac:dyDescent="0.25">
      <c r="L491" s="16"/>
      <c r="M491" s="16"/>
      <c r="N491" s="33"/>
      <c r="P491" s="6"/>
    </row>
    <row r="492" spans="12:16" x14ac:dyDescent="0.25">
      <c r="L492" s="16"/>
      <c r="M492" s="16"/>
      <c r="N492" s="33"/>
      <c r="P492" s="6"/>
    </row>
    <row r="493" spans="12:16" x14ac:dyDescent="0.25">
      <c r="L493" s="16"/>
      <c r="M493" s="16"/>
      <c r="N493" s="33"/>
      <c r="P493" s="6"/>
    </row>
    <row r="494" spans="12:16" x14ac:dyDescent="0.25">
      <c r="L494" s="16"/>
      <c r="M494" s="16"/>
      <c r="N494" s="33"/>
      <c r="P494" s="6"/>
    </row>
    <row r="495" spans="12:16" x14ac:dyDescent="0.25">
      <c r="L495" s="16"/>
      <c r="M495" s="16"/>
      <c r="N495" s="33"/>
      <c r="P495" s="6"/>
    </row>
    <row r="496" spans="12:16" x14ac:dyDescent="0.25">
      <c r="L496" s="16"/>
      <c r="M496" s="16"/>
      <c r="N496" s="33"/>
      <c r="P496" s="6"/>
    </row>
    <row r="497" spans="12:16" x14ac:dyDescent="0.25">
      <c r="L497" s="16"/>
      <c r="M497" s="16"/>
      <c r="N497" s="33"/>
      <c r="P497" s="6"/>
    </row>
    <row r="498" spans="12:16" x14ac:dyDescent="0.25">
      <c r="L498" s="16"/>
      <c r="M498" s="16"/>
      <c r="N498" s="33"/>
      <c r="P498" s="6"/>
    </row>
    <row r="499" spans="12:16" x14ac:dyDescent="0.25">
      <c r="L499" s="16"/>
      <c r="M499" s="16"/>
      <c r="N499" s="33"/>
      <c r="P499" s="6"/>
    </row>
    <row r="500" spans="12:16" x14ac:dyDescent="0.25">
      <c r="L500" s="16"/>
      <c r="M500" s="16"/>
      <c r="N500" s="33"/>
      <c r="P500" s="6"/>
    </row>
    <row r="501" spans="12:16" x14ac:dyDescent="0.25">
      <c r="L501" s="16"/>
      <c r="M501" s="16"/>
      <c r="N501" s="33"/>
      <c r="P501" s="6"/>
    </row>
    <row r="502" spans="12:16" x14ac:dyDescent="0.25">
      <c r="L502" s="16"/>
      <c r="M502" s="16"/>
      <c r="N502" s="33"/>
      <c r="P502" s="6"/>
    </row>
    <row r="503" spans="12:16" x14ac:dyDescent="0.25">
      <c r="L503" s="16"/>
      <c r="M503" s="16"/>
      <c r="N503" s="33"/>
      <c r="P503" s="6"/>
    </row>
    <row r="504" spans="12:16" x14ac:dyDescent="0.25">
      <c r="L504" s="16"/>
      <c r="M504" s="16"/>
      <c r="N504" s="33"/>
      <c r="P504" s="6"/>
    </row>
    <row r="505" spans="12:16" x14ac:dyDescent="0.25">
      <c r="L505" s="16"/>
      <c r="M505" s="16"/>
      <c r="N505" s="33"/>
      <c r="P505" s="6"/>
    </row>
    <row r="506" spans="12:16" x14ac:dyDescent="0.25">
      <c r="L506" s="16"/>
      <c r="M506" s="16"/>
      <c r="N506" s="33"/>
      <c r="P506" s="6"/>
    </row>
    <row r="507" spans="12:16" x14ac:dyDescent="0.25">
      <c r="L507" s="16"/>
      <c r="M507" s="16"/>
      <c r="N507" s="33"/>
      <c r="P507" s="6"/>
    </row>
    <row r="508" spans="12:16" x14ac:dyDescent="0.25">
      <c r="L508" s="16"/>
      <c r="M508" s="16"/>
      <c r="N508" s="33"/>
      <c r="P508" s="6"/>
    </row>
    <row r="509" spans="12:16" x14ac:dyDescent="0.25">
      <c r="L509" s="16"/>
      <c r="M509" s="16"/>
      <c r="N509" s="33"/>
      <c r="P509" s="6"/>
    </row>
    <row r="510" spans="12:16" x14ac:dyDescent="0.25">
      <c r="L510" s="16"/>
      <c r="M510" s="16"/>
      <c r="N510" s="33"/>
      <c r="P510" s="6"/>
    </row>
    <row r="511" spans="12:16" x14ac:dyDescent="0.25">
      <c r="L511" s="16"/>
      <c r="M511" s="16"/>
      <c r="N511" s="33"/>
      <c r="P511" s="6"/>
    </row>
    <row r="512" spans="12:16" x14ac:dyDescent="0.25">
      <c r="L512" s="16"/>
      <c r="M512" s="16"/>
      <c r="N512" s="33"/>
      <c r="P512" s="6"/>
    </row>
    <row r="513" spans="12:16" x14ac:dyDescent="0.25">
      <c r="L513" s="16"/>
      <c r="M513" s="16"/>
      <c r="N513" s="33"/>
      <c r="P513" s="6"/>
    </row>
    <row r="514" spans="12:16" x14ac:dyDescent="0.25">
      <c r="L514" s="16"/>
      <c r="M514" s="16"/>
      <c r="N514" s="33"/>
      <c r="P514" s="6"/>
    </row>
    <row r="515" spans="12:16" x14ac:dyDescent="0.25">
      <c r="L515" s="16"/>
      <c r="M515" s="16"/>
      <c r="N515" s="33"/>
      <c r="P515" s="6"/>
    </row>
    <row r="516" spans="12:16" x14ac:dyDescent="0.25">
      <c r="L516" s="16"/>
      <c r="M516" s="16"/>
      <c r="N516" s="33"/>
      <c r="P516" s="6"/>
    </row>
    <row r="517" spans="12:16" x14ac:dyDescent="0.25">
      <c r="L517" s="16"/>
      <c r="M517" s="16"/>
      <c r="N517" s="33"/>
      <c r="P517" s="6"/>
    </row>
    <row r="518" spans="12:16" x14ac:dyDescent="0.25">
      <c r="L518" s="16"/>
      <c r="M518" s="16"/>
      <c r="N518" s="33"/>
      <c r="P518" s="6"/>
    </row>
    <row r="519" spans="12:16" x14ac:dyDescent="0.25">
      <c r="L519" s="16"/>
      <c r="M519" s="16"/>
      <c r="N519" s="33"/>
      <c r="P519" s="6"/>
    </row>
    <row r="520" spans="12:16" x14ac:dyDescent="0.25">
      <c r="L520" s="16"/>
      <c r="M520" s="16"/>
      <c r="N520" s="33"/>
      <c r="P520" s="6"/>
    </row>
    <row r="521" spans="12:16" x14ac:dyDescent="0.25">
      <c r="L521" s="16"/>
      <c r="M521" s="16"/>
      <c r="N521" s="33"/>
      <c r="P521" s="6"/>
    </row>
    <row r="522" spans="12:16" x14ac:dyDescent="0.25">
      <c r="L522" s="16"/>
      <c r="M522" s="16"/>
      <c r="N522" s="33"/>
      <c r="P522" s="6"/>
    </row>
    <row r="523" spans="12:16" x14ac:dyDescent="0.25">
      <c r="L523" s="16"/>
      <c r="M523" s="16"/>
      <c r="N523" s="33"/>
      <c r="P523" s="6"/>
    </row>
    <row r="524" spans="12:16" x14ac:dyDescent="0.25">
      <c r="L524" s="16"/>
      <c r="M524" s="16"/>
      <c r="N524" s="33"/>
      <c r="P524" s="6"/>
    </row>
    <row r="525" spans="12:16" x14ac:dyDescent="0.25">
      <c r="L525" s="16"/>
      <c r="M525" s="16"/>
      <c r="N525" s="33"/>
      <c r="P525" s="6"/>
    </row>
    <row r="526" spans="12:16" x14ac:dyDescent="0.25">
      <c r="L526" s="16"/>
      <c r="M526" s="16"/>
      <c r="N526" s="33"/>
      <c r="P526" s="6"/>
    </row>
    <row r="527" spans="12:16" x14ac:dyDescent="0.25">
      <c r="L527" s="16"/>
      <c r="M527" s="16"/>
      <c r="N527" s="33"/>
      <c r="P527" s="6"/>
    </row>
    <row r="528" spans="12:16" x14ac:dyDescent="0.25">
      <c r="L528" s="16"/>
      <c r="M528" s="16"/>
      <c r="N528" s="33"/>
      <c r="P528" s="6"/>
    </row>
    <row r="529" spans="12:16" x14ac:dyDescent="0.25">
      <c r="L529" s="16"/>
      <c r="M529" s="16"/>
      <c r="N529" s="33"/>
      <c r="P529" s="6"/>
    </row>
    <row r="530" spans="12:16" x14ac:dyDescent="0.25">
      <c r="L530" s="16"/>
      <c r="M530" s="16"/>
      <c r="N530" s="33"/>
      <c r="P530" s="6"/>
    </row>
    <row r="531" spans="12:16" x14ac:dyDescent="0.25">
      <c r="L531" s="16"/>
      <c r="M531" s="16"/>
      <c r="N531" s="33"/>
      <c r="P531" s="6"/>
    </row>
    <row r="532" spans="12:16" x14ac:dyDescent="0.25">
      <c r="L532" s="16"/>
      <c r="M532" s="16"/>
      <c r="N532" s="33"/>
      <c r="P532" s="6"/>
    </row>
    <row r="533" spans="12:16" x14ac:dyDescent="0.25">
      <c r="L533" s="16"/>
      <c r="M533" s="16"/>
      <c r="N533" s="33"/>
      <c r="P533" s="6"/>
    </row>
    <row r="534" spans="12:16" x14ac:dyDescent="0.25">
      <c r="L534" s="16"/>
      <c r="M534" s="16"/>
      <c r="N534" s="33"/>
      <c r="P534" s="6"/>
    </row>
    <row r="535" spans="12:16" x14ac:dyDescent="0.25">
      <c r="L535" s="16"/>
      <c r="M535" s="16"/>
      <c r="N535" s="33"/>
      <c r="P535" s="6"/>
    </row>
    <row r="536" spans="12:16" x14ac:dyDescent="0.25">
      <c r="L536" s="16"/>
      <c r="M536" s="16"/>
      <c r="N536" s="33"/>
      <c r="P536" s="6"/>
    </row>
    <row r="537" spans="12:16" x14ac:dyDescent="0.25">
      <c r="L537" s="16"/>
      <c r="M537" s="16"/>
      <c r="N537" s="33"/>
      <c r="P537" s="6"/>
    </row>
    <row r="538" spans="12:16" x14ac:dyDescent="0.25">
      <c r="L538" s="16"/>
      <c r="M538" s="16"/>
      <c r="N538" s="33"/>
      <c r="P538" s="6"/>
    </row>
    <row r="539" spans="12:16" x14ac:dyDescent="0.25">
      <c r="L539" s="16"/>
      <c r="M539" s="16"/>
      <c r="N539" s="33"/>
      <c r="P539" s="6"/>
    </row>
    <row r="540" spans="12:16" x14ac:dyDescent="0.25">
      <c r="L540" s="16"/>
      <c r="M540" s="16"/>
      <c r="N540" s="33"/>
      <c r="P540" s="6"/>
    </row>
    <row r="541" spans="12:16" x14ac:dyDescent="0.25">
      <c r="L541" s="16"/>
      <c r="M541" s="16"/>
      <c r="N541" s="33"/>
      <c r="P541" s="6"/>
    </row>
    <row r="542" spans="12:16" x14ac:dyDescent="0.25">
      <c r="L542" s="16"/>
      <c r="M542" s="16"/>
      <c r="N542" s="33"/>
      <c r="P542" s="6"/>
    </row>
    <row r="543" spans="12:16" x14ac:dyDescent="0.25">
      <c r="L543" s="16"/>
      <c r="M543" s="16"/>
      <c r="N543" s="33"/>
      <c r="P543" s="6"/>
    </row>
    <row r="544" spans="12:16" x14ac:dyDescent="0.25">
      <c r="L544" s="16"/>
      <c r="M544" s="16"/>
      <c r="N544" s="33"/>
      <c r="P544" s="6"/>
    </row>
    <row r="545" spans="12:16" x14ac:dyDescent="0.25">
      <c r="L545" s="16"/>
      <c r="M545" s="16"/>
      <c r="N545" s="33"/>
      <c r="P545" s="6"/>
    </row>
    <row r="546" spans="12:16" x14ac:dyDescent="0.25">
      <c r="L546" s="16"/>
      <c r="M546" s="16"/>
      <c r="N546" s="33"/>
      <c r="P546" s="6"/>
    </row>
    <row r="547" spans="12:16" x14ac:dyDescent="0.25">
      <c r="L547" s="16"/>
      <c r="M547" s="16"/>
      <c r="N547" s="33"/>
      <c r="P547" s="6"/>
    </row>
    <row r="548" spans="12:16" x14ac:dyDescent="0.25">
      <c r="L548" s="16"/>
      <c r="M548" s="16"/>
      <c r="N548" s="33"/>
      <c r="P548" s="6"/>
    </row>
    <row r="549" spans="12:16" x14ac:dyDescent="0.25">
      <c r="L549" s="16"/>
      <c r="M549" s="16"/>
      <c r="N549" s="33"/>
      <c r="P549" s="6"/>
    </row>
    <row r="550" spans="12:16" x14ac:dyDescent="0.25">
      <c r="L550" s="16"/>
      <c r="M550" s="16"/>
      <c r="N550" s="33"/>
      <c r="P550" s="6"/>
    </row>
    <row r="551" spans="12:16" x14ac:dyDescent="0.25">
      <c r="L551" s="16"/>
      <c r="M551" s="16"/>
      <c r="N551" s="33"/>
      <c r="P551" s="6"/>
    </row>
    <row r="552" spans="12:16" x14ac:dyDescent="0.25">
      <c r="L552" s="16"/>
      <c r="M552" s="16"/>
      <c r="N552" s="33"/>
      <c r="P552" s="6"/>
    </row>
    <row r="553" spans="12:16" x14ac:dyDescent="0.25">
      <c r="L553" s="16"/>
      <c r="M553" s="16"/>
      <c r="N553" s="33"/>
      <c r="P553" s="6"/>
    </row>
    <row r="554" spans="12:16" x14ac:dyDescent="0.25">
      <c r="L554" s="16"/>
      <c r="M554" s="16"/>
      <c r="N554" s="33"/>
      <c r="P554" s="6"/>
    </row>
    <row r="555" spans="12:16" x14ac:dyDescent="0.25">
      <c r="L555" s="16"/>
      <c r="M555" s="16"/>
      <c r="N555" s="33"/>
      <c r="P555" s="6"/>
    </row>
    <row r="556" spans="12:16" x14ac:dyDescent="0.25">
      <c r="L556" s="16"/>
      <c r="M556" s="16"/>
      <c r="N556" s="33"/>
      <c r="P556" s="6"/>
    </row>
    <row r="557" spans="12:16" x14ac:dyDescent="0.25">
      <c r="L557" s="16"/>
      <c r="M557" s="16"/>
      <c r="N557" s="33"/>
      <c r="P557" s="6"/>
    </row>
    <row r="558" spans="12:16" x14ac:dyDescent="0.25">
      <c r="L558" s="16"/>
      <c r="M558" s="16"/>
      <c r="N558" s="33"/>
      <c r="P558" s="6"/>
    </row>
    <row r="559" spans="12:16" x14ac:dyDescent="0.25">
      <c r="L559" s="16"/>
      <c r="M559" s="16"/>
      <c r="N559" s="33"/>
      <c r="P559" s="6"/>
    </row>
    <row r="560" spans="12:16" x14ac:dyDescent="0.25">
      <c r="L560" s="16"/>
      <c r="M560" s="16"/>
      <c r="N560" s="33"/>
      <c r="P560" s="6"/>
    </row>
    <row r="561" spans="12:16" x14ac:dyDescent="0.25">
      <c r="L561" s="16"/>
      <c r="M561" s="16"/>
      <c r="N561" s="33"/>
      <c r="P561" s="6"/>
    </row>
    <row r="562" spans="12:16" x14ac:dyDescent="0.25">
      <c r="L562" s="16"/>
      <c r="M562" s="16"/>
      <c r="N562" s="33"/>
      <c r="P562" s="6"/>
    </row>
    <row r="563" spans="12:16" x14ac:dyDescent="0.25">
      <c r="L563" s="16"/>
      <c r="M563" s="16"/>
      <c r="N563" s="33"/>
      <c r="P563" s="6"/>
    </row>
    <row r="564" spans="12:16" x14ac:dyDescent="0.25">
      <c r="L564" s="16"/>
      <c r="M564" s="16"/>
      <c r="N564" s="33"/>
      <c r="P564" s="6"/>
    </row>
    <row r="565" spans="12:16" x14ac:dyDescent="0.25">
      <c r="L565" s="16"/>
      <c r="M565" s="16"/>
      <c r="N565" s="33"/>
      <c r="P565" s="6"/>
    </row>
    <row r="566" spans="12:16" x14ac:dyDescent="0.25">
      <c r="L566" s="16"/>
      <c r="M566" s="16"/>
      <c r="N566" s="33"/>
      <c r="P566" s="6"/>
    </row>
    <row r="567" spans="12:16" x14ac:dyDescent="0.25">
      <c r="L567" s="16"/>
      <c r="M567" s="16"/>
      <c r="N567" s="33"/>
      <c r="P567" s="6"/>
    </row>
    <row r="568" spans="12:16" x14ac:dyDescent="0.25">
      <c r="L568" s="16"/>
      <c r="M568" s="16"/>
      <c r="N568" s="33"/>
      <c r="P568" s="6"/>
    </row>
    <row r="569" spans="12:16" x14ac:dyDescent="0.25">
      <c r="L569" s="16"/>
      <c r="M569" s="16"/>
      <c r="N569" s="33"/>
      <c r="P569" s="6"/>
    </row>
    <row r="570" spans="12:16" x14ac:dyDescent="0.25">
      <c r="L570" s="16"/>
      <c r="M570" s="16"/>
      <c r="N570" s="33"/>
      <c r="P570" s="6"/>
    </row>
    <row r="571" spans="12:16" x14ac:dyDescent="0.25">
      <c r="L571" s="16"/>
      <c r="M571" s="16"/>
      <c r="N571" s="33"/>
      <c r="P571" s="6"/>
    </row>
    <row r="572" spans="12:16" x14ac:dyDescent="0.25">
      <c r="L572" s="16"/>
      <c r="M572" s="16"/>
      <c r="N572" s="33"/>
      <c r="P572" s="6"/>
    </row>
    <row r="573" spans="12:16" x14ac:dyDescent="0.25">
      <c r="L573" s="16"/>
      <c r="M573" s="16"/>
      <c r="N573" s="33"/>
      <c r="P573" s="6"/>
    </row>
    <row r="574" spans="12:16" x14ac:dyDescent="0.25">
      <c r="L574" s="16"/>
      <c r="M574" s="16"/>
      <c r="N574" s="33"/>
      <c r="P574" s="6"/>
    </row>
    <row r="575" spans="12:16" x14ac:dyDescent="0.25">
      <c r="L575" s="16"/>
      <c r="M575" s="16"/>
      <c r="N575" s="33"/>
      <c r="P575" s="6"/>
    </row>
    <row r="576" spans="12:16" x14ac:dyDescent="0.25">
      <c r="L576" s="16"/>
      <c r="M576" s="16"/>
      <c r="N576" s="33"/>
      <c r="P576" s="6"/>
    </row>
    <row r="577" spans="12:16" x14ac:dyDescent="0.25">
      <c r="L577" s="16"/>
      <c r="M577" s="16"/>
      <c r="N577" s="33"/>
      <c r="P577" s="6"/>
    </row>
    <row r="578" spans="12:16" x14ac:dyDescent="0.25">
      <c r="L578" s="16"/>
      <c r="M578" s="16"/>
      <c r="N578" s="33"/>
      <c r="P578" s="6"/>
    </row>
    <row r="579" spans="12:16" x14ac:dyDescent="0.25">
      <c r="L579" s="16"/>
      <c r="M579" s="16"/>
      <c r="N579" s="33"/>
      <c r="P579" s="6"/>
    </row>
    <row r="580" spans="12:16" x14ac:dyDescent="0.25">
      <c r="L580" s="16"/>
      <c r="M580" s="16"/>
      <c r="N580" s="33"/>
      <c r="P580" s="6"/>
    </row>
    <row r="581" spans="12:16" x14ac:dyDescent="0.25">
      <c r="L581" s="16"/>
      <c r="M581" s="16"/>
      <c r="N581" s="33"/>
      <c r="P581" s="6"/>
    </row>
    <row r="582" spans="12:16" x14ac:dyDescent="0.25">
      <c r="L582" s="16"/>
      <c r="M582" s="16"/>
      <c r="N582" s="33"/>
      <c r="P582" s="6"/>
    </row>
    <row r="583" spans="12:16" x14ac:dyDescent="0.25">
      <c r="L583" s="16"/>
      <c r="M583" s="16"/>
      <c r="N583" s="33"/>
      <c r="P583" s="6"/>
    </row>
    <row r="584" spans="12:16" x14ac:dyDescent="0.25">
      <c r="L584" s="16"/>
      <c r="M584" s="16"/>
      <c r="N584" s="33"/>
      <c r="P584" s="6"/>
    </row>
    <row r="585" spans="12:16" x14ac:dyDescent="0.25">
      <c r="L585" s="16"/>
      <c r="M585" s="16"/>
      <c r="N585" s="33"/>
      <c r="P585" s="6"/>
    </row>
    <row r="586" spans="12:16" x14ac:dyDescent="0.25">
      <c r="L586" s="16"/>
      <c r="M586" s="16"/>
      <c r="N586" s="33"/>
      <c r="P586" s="6"/>
    </row>
    <row r="587" spans="12:16" x14ac:dyDescent="0.25">
      <c r="L587" s="16"/>
      <c r="M587" s="16"/>
      <c r="N587" s="33"/>
      <c r="P587" s="6"/>
    </row>
    <row r="588" spans="12:16" x14ac:dyDescent="0.25">
      <c r="L588" s="16"/>
      <c r="M588" s="16"/>
      <c r="N588" s="33"/>
      <c r="P588" s="6"/>
    </row>
    <row r="589" spans="12:16" x14ac:dyDescent="0.25">
      <c r="L589" s="16"/>
      <c r="M589" s="16"/>
      <c r="N589" s="33"/>
      <c r="P589" s="6"/>
    </row>
    <row r="590" spans="12:16" x14ac:dyDescent="0.25">
      <c r="L590" s="16"/>
      <c r="M590" s="16"/>
      <c r="N590" s="33"/>
      <c r="P590" s="6"/>
    </row>
    <row r="591" spans="12:16" x14ac:dyDescent="0.25">
      <c r="L591" s="16"/>
      <c r="M591" s="16"/>
      <c r="N591" s="33"/>
      <c r="P591" s="6"/>
    </row>
    <row r="592" spans="12:16" x14ac:dyDescent="0.25">
      <c r="L592" s="16"/>
      <c r="M592" s="16"/>
      <c r="N592" s="33"/>
      <c r="P592" s="6"/>
    </row>
    <row r="593" spans="12:16" x14ac:dyDescent="0.25">
      <c r="L593" s="16"/>
      <c r="M593" s="16"/>
      <c r="N593" s="33"/>
      <c r="P593" s="6"/>
    </row>
    <row r="594" spans="12:16" x14ac:dyDescent="0.25">
      <c r="L594" s="16"/>
      <c r="M594" s="16"/>
      <c r="N594" s="33"/>
      <c r="P594" s="6"/>
    </row>
    <row r="595" spans="12:16" x14ac:dyDescent="0.25">
      <c r="L595" s="16"/>
      <c r="M595" s="16"/>
      <c r="N595" s="33"/>
      <c r="P595" s="6"/>
    </row>
    <row r="596" spans="12:16" x14ac:dyDescent="0.25">
      <c r="L596" s="16"/>
      <c r="M596" s="16"/>
      <c r="N596" s="33"/>
      <c r="P596" s="6"/>
    </row>
    <row r="597" spans="12:16" x14ac:dyDescent="0.25">
      <c r="L597" s="16"/>
      <c r="M597" s="16"/>
      <c r="N597" s="33"/>
      <c r="P597" s="6"/>
    </row>
    <row r="598" spans="12:16" x14ac:dyDescent="0.25">
      <c r="L598" s="16"/>
      <c r="M598" s="16"/>
      <c r="N598" s="33"/>
      <c r="P598" s="6"/>
    </row>
    <row r="599" spans="12:16" x14ac:dyDescent="0.25">
      <c r="L599" s="16"/>
      <c r="M599" s="16"/>
      <c r="N599" s="33"/>
      <c r="P599" s="6"/>
    </row>
    <row r="600" spans="12:16" x14ac:dyDescent="0.25">
      <c r="L600" s="16"/>
      <c r="M600" s="16"/>
      <c r="N600" s="33"/>
      <c r="P600" s="6"/>
    </row>
    <row r="601" spans="12:16" x14ac:dyDescent="0.25">
      <c r="L601" s="16"/>
      <c r="M601" s="16"/>
      <c r="N601" s="33"/>
      <c r="P601" s="6"/>
    </row>
    <row r="602" spans="12:16" x14ac:dyDescent="0.25">
      <c r="L602" s="16"/>
      <c r="M602" s="16"/>
      <c r="N602" s="33"/>
      <c r="P602" s="6"/>
    </row>
    <row r="603" spans="12:16" x14ac:dyDescent="0.25">
      <c r="L603" s="16"/>
      <c r="M603" s="16"/>
      <c r="N603" s="33"/>
      <c r="P603" s="6"/>
    </row>
    <row r="604" spans="12:16" x14ac:dyDescent="0.25">
      <c r="L604" s="16"/>
      <c r="M604" s="16"/>
      <c r="N604" s="33"/>
      <c r="P604" s="6"/>
    </row>
    <row r="605" spans="12:16" x14ac:dyDescent="0.25">
      <c r="L605" s="16"/>
      <c r="M605" s="16"/>
      <c r="N605" s="33"/>
      <c r="P605" s="6"/>
    </row>
    <row r="606" spans="12:16" x14ac:dyDescent="0.25">
      <c r="L606" s="16"/>
      <c r="M606" s="16"/>
      <c r="N606" s="33"/>
      <c r="P606" s="6"/>
    </row>
    <row r="607" spans="12:16" x14ac:dyDescent="0.25">
      <c r="L607" s="16"/>
      <c r="M607" s="16"/>
      <c r="N607" s="33"/>
      <c r="P607" s="6"/>
    </row>
    <row r="608" spans="12:16" x14ac:dyDescent="0.25">
      <c r="L608" s="16"/>
      <c r="M608" s="16"/>
      <c r="N608" s="33"/>
      <c r="P608" s="6"/>
    </row>
    <row r="609" spans="12:16" x14ac:dyDescent="0.25">
      <c r="L609" s="16"/>
      <c r="M609" s="16"/>
      <c r="N609" s="33"/>
      <c r="P609" s="6"/>
    </row>
    <row r="610" spans="12:16" x14ac:dyDescent="0.25">
      <c r="L610" s="16"/>
      <c r="M610" s="16"/>
      <c r="N610" s="33"/>
      <c r="P610" s="6"/>
    </row>
    <row r="611" spans="12:16" x14ac:dyDescent="0.25">
      <c r="L611" s="16"/>
      <c r="M611" s="16"/>
      <c r="N611" s="33"/>
      <c r="P611" s="6"/>
    </row>
    <row r="612" spans="12:16" x14ac:dyDescent="0.25">
      <c r="L612" s="16"/>
      <c r="M612" s="16"/>
      <c r="N612" s="33"/>
      <c r="P612" s="6"/>
    </row>
    <row r="613" spans="12:16" x14ac:dyDescent="0.25">
      <c r="L613" s="16"/>
      <c r="M613" s="16"/>
      <c r="N613" s="33"/>
      <c r="P613" s="6"/>
    </row>
    <row r="614" spans="12:16" x14ac:dyDescent="0.25">
      <c r="L614" s="16"/>
      <c r="M614" s="16"/>
      <c r="N614" s="33"/>
      <c r="P614" s="6"/>
    </row>
    <row r="615" spans="12:16" x14ac:dyDescent="0.25">
      <c r="L615" s="16"/>
      <c r="M615" s="16"/>
      <c r="N615" s="33"/>
      <c r="P615" s="6"/>
    </row>
    <row r="616" spans="12:16" x14ac:dyDescent="0.25">
      <c r="L616" s="16"/>
      <c r="M616" s="16"/>
      <c r="N616" s="33"/>
      <c r="P616" s="6"/>
    </row>
    <row r="617" spans="12:16" x14ac:dyDescent="0.25">
      <c r="L617" s="16"/>
      <c r="M617" s="16"/>
      <c r="N617" s="33"/>
      <c r="P617" s="6"/>
    </row>
    <row r="618" spans="12:16" x14ac:dyDescent="0.25">
      <c r="L618" s="16"/>
      <c r="M618" s="16"/>
      <c r="N618" s="33"/>
      <c r="P618" s="6"/>
    </row>
    <row r="619" spans="12:16" x14ac:dyDescent="0.25">
      <c r="L619" s="16"/>
      <c r="M619" s="16"/>
      <c r="N619" s="33"/>
      <c r="P619" s="6"/>
    </row>
    <row r="620" spans="12:16" x14ac:dyDescent="0.25">
      <c r="L620" s="16"/>
      <c r="M620" s="16"/>
      <c r="N620" s="33"/>
      <c r="P620" s="6"/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A5385-DEE1-4642-91D5-F3F405F75A51}">
  <sheetPr filterMode="1">
    <tabColor rgb="FFFFFF00"/>
  </sheetPr>
  <dimension ref="A1:W1220"/>
  <sheetViews>
    <sheetView workbookViewId="0">
      <selection activeCell="D938" sqref="D938"/>
    </sheetView>
  </sheetViews>
  <sheetFormatPr defaultRowHeight="15" x14ac:dyDescent="0.25"/>
  <cols>
    <col min="1" max="1" width="30.140625" bestFit="1" customWidth="1"/>
    <col min="2" max="2" width="24.28515625" customWidth="1"/>
    <col min="3" max="3" width="11" customWidth="1"/>
    <col min="4" max="4" width="52" customWidth="1"/>
    <col min="5" max="5" width="23.85546875" customWidth="1"/>
    <col min="6" max="6" width="14.7109375" bestFit="1" customWidth="1"/>
    <col min="7" max="7" width="16.140625" customWidth="1"/>
    <col min="8" max="8" width="17.28515625" customWidth="1"/>
    <col min="9" max="9" width="11.140625" bestFit="1" customWidth="1"/>
    <col min="10" max="10" width="9" bestFit="1" customWidth="1"/>
    <col min="11" max="11" width="18.85546875" bestFit="1" customWidth="1"/>
    <col min="12" max="12" width="15.7109375" bestFit="1" customWidth="1"/>
    <col min="13" max="13" width="41.7109375" customWidth="1"/>
    <col min="14" max="14" width="8.85546875" bestFit="1" customWidth="1"/>
    <col min="15" max="15" width="13.42578125" customWidth="1"/>
    <col min="16" max="16" width="9" bestFit="1" customWidth="1"/>
    <col min="17" max="17" width="12" bestFit="1" customWidth="1"/>
    <col min="18" max="18" width="7.85546875" bestFit="1" customWidth="1"/>
    <col min="19" max="19" width="15.5703125" bestFit="1" customWidth="1"/>
    <col min="20" max="20" width="14.5703125" bestFit="1" customWidth="1"/>
    <col min="21" max="22" width="13.5703125" bestFit="1" customWidth="1"/>
    <col min="23" max="23" width="14.5703125" bestFit="1" customWidth="1"/>
  </cols>
  <sheetData>
    <row r="1" spans="1:23" ht="60" x14ac:dyDescent="0.25">
      <c r="A1" s="22" t="s">
        <v>2229</v>
      </c>
      <c r="B1" s="23" t="s">
        <v>2228</v>
      </c>
      <c r="C1" s="23" t="s">
        <v>2227</v>
      </c>
      <c r="D1" s="23" t="s">
        <v>4</v>
      </c>
      <c r="E1" s="23" t="s">
        <v>2226</v>
      </c>
      <c r="F1" s="23" t="s">
        <v>2225</v>
      </c>
      <c r="G1" s="23" t="s">
        <v>2224</v>
      </c>
      <c r="H1" s="23" t="s">
        <v>2223</v>
      </c>
      <c r="I1" s="23" t="s">
        <v>2222</v>
      </c>
      <c r="J1" s="23" t="s">
        <v>2221</v>
      </c>
      <c r="K1" s="23" t="s">
        <v>2220</v>
      </c>
      <c r="L1" s="23" t="s">
        <v>2219</v>
      </c>
      <c r="M1" s="22" t="s">
        <v>2218</v>
      </c>
      <c r="N1" s="22" t="s">
        <v>2217</v>
      </c>
      <c r="O1" s="22" t="s">
        <v>2216</v>
      </c>
      <c r="P1" s="22" t="s">
        <v>2215</v>
      </c>
      <c r="Q1" s="22" t="s">
        <v>2214</v>
      </c>
      <c r="R1" s="22" t="s">
        <v>2213</v>
      </c>
      <c r="S1" s="21" t="s">
        <v>2212</v>
      </c>
      <c r="T1" s="21" t="s">
        <v>2211</v>
      </c>
      <c r="U1" s="21" t="s">
        <v>2210</v>
      </c>
      <c r="V1" s="21" t="s">
        <v>2209</v>
      </c>
      <c r="W1" s="20" t="s">
        <v>2208</v>
      </c>
    </row>
    <row r="2" spans="1:23" hidden="1" x14ac:dyDescent="0.25">
      <c r="A2" t="s">
        <v>43</v>
      </c>
      <c r="B2" t="s">
        <v>32</v>
      </c>
      <c r="C2">
        <v>1985</v>
      </c>
      <c r="D2" t="s">
        <v>2207</v>
      </c>
      <c r="E2" t="s">
        <v>30</v>
      </c>
      <c r="F2" t="s">
        <v>29</v>
      </c>
      <c r="G2" t="s">
        <v>81</v>
      </c>
      <c r="H2" t="s">
        <v>80</v>
      </c>
      <c r="I2" t="s">
        <v>26</v>
      </c>
      <c r="J2">
        <v>93501</v>
      </c>
      <c r="K2">
        <v>35.0625</v>
      </c>
      <c r="L2">
        <v>-118.316666</v>
      </c>
      <c r="M2" t="s">
        <v>1463</v>
      </c>
      <c r="N2">
        <v>30</v>
      </c>
      <c r="O2" t="s">
        <v>24</v>
      </c>
      <c r="P2">
        <v>14</v>
      </c>
      <c r="Q2">
        <v>30.88</v>
      </c>
    </row>
    <row r="3" spans="1:23" hidden="1" x14ac:dyDescent="0.25">
      <c r="A3" t="s">
        <v>43</v>
      </c>
      <c r="B3" t="s">
        <v>32</v>
      </c>
      <c r="C3">
        <v>1985</v>
      </c>
      <c r="D3" t="s">
        <v>1855</v>
      </c>
      <c r="E3" t="s">
        <v>105</v>
      </c>
      <c r="F3" t="s">
        <v>29</v>
      </c>
      <c r="G3" t="s">
        <v>104</v>
      </c>
      <c r="H3" t="s">
        <v>133</v>
      </c>
      <c r="I3" t="s">
        <v>26</v>
      </c>
      <c r="J3">
        <v>93516</v>
      </c>
      <c r="K3">
        <v>35.014200000000002</v>
      </c>
      <c r="L3">
        <v>-117.54765999999999</v>
      </c>
      <c r="M3" t="s">
        <v>1855</v>
      </c>
      <c r="N3">
        <v>30</v>
      </c>
      <c r="O3" t="s">
        <v>24</v>
      </c>
      <c r="P3">
        <v>35</v>
      </c>
      <c r="Q3">
        <v>62.88</v>
      </c>
    </row>
    <row r="4" spans="1:23" hidden="1" x14ac:dyDescent="0.25">
      <c r="A4" t="s">
        <v>43</v>
      </c>
      <c r="B4" t="s">
        <v>32</v>
      </c>
      <c r="C4">
        <v>1985</v>
      </c>
      <c r="D4" t="s">
        <v>2206</v>
      </c>
      <c r="E4" t="s">
        <v>105</v>
      </c>
      <c r="F4" t="s">
        <v>29</v>
      </c>
      <c r="G4" t="s">
        <v>104</v>
      </c>
      <c r="H4" t="s">
        <v>133</v>
      </c>
      <c r="I4" t="s">
        <v>26</v>
      </c>
      <c r="J4">
        <v>93516</v>
      </c>
      <c r="K4">
        <v>35.014200000000002</v>
      </c>
      <c r="L4">
        <v>-117.54765999999999</v>
      </c>
      <c r="M4" t="s">
        <v>2206</v>
      </c>
      <c r="N4">
        <v>30</v>
      </c>
      <c r="O4" t="s">
        <v>24</v>
      </c>
      <c r="P4">
        <v>35</v>
      </c>
      <c r="Q4">
        <v>58.98</v>
      </c>
    </row>
    <row r="5" spans="1:23" hidden="1" x14ac:dyDescent="0.25">
      <c r="A5" t="s">
        <v>43</v>
      </c>
      <c r="B5" t="s">
        <v>32</v>
      </c>
      <c r="C5">
        <v>1985</v>
      </c>
      <c r="D5" t="s">
        <v>2205</v>
      </c>
      <c r="E5" t="s">
        <v>105</v>
      </c>
      <c r="F5" t="s">
        <v>29</v>
      </c>
      <c r="G5" t="s">
        <v>104</v>
      </c>
      <c r="H5" t="s">
        <v>133</v>
      </c>
      <c r="I5" t="s">
        <v>26</v>
      </c>
      <c r="J5">
        <v>93516</v>
      </c>
      <c r="K5">
        <v>35.014200000000002</v>
      </c>
      <c r="L5">
        <v>-117.54765999999999</v>
      </c>
      <c r="M5" t="s">
        <v>2205</v>
      </c>
      <c r="N5">
        <v>30</v>
      </c>
      <c r="O5" t="s">
        <v>24</v>
      </c>
      <c r="P5">
        <v>35</v>
      </c>
      <c r="Q5">
        <v>54.73</v>
      </c>
    </row>
    <row r="6" spans="1:23" hidden="1" x14ac:dyDescent="0.25">
      <c r="A6" t="s">
        <v>43</v>
      </c>
      <c r="B6" t="s">
        <v>32</v>
      </c>
      <c r="C6">
        <v>1988</v>
      </c>
      <c r="D6" t="s">
        <v>2204</v>
      </c>
      <c r="E6" t="s">
        <v>105</v>
      </c>
      <c r="F6" t="s">
        <v>29</v>
      </c>
      <c r="G6" t="s">
        <v>134</v>
      </c>
      <c r="H6" t="s">
        <v>133</v>
      </c>
      <c r="I6" t="s">
        <v>26</v>
      </c>
      <c r="J6">
        <v>92347</v>
      </c>
      <c r="K6">
        <v>35.033099999999997</v>
      </c>
      <c r="L6">
        <v>-117.34909</v>
      </c>
      <c r="M6" t="s">
        <v>2204</v>
      </c>
      <c r="N6">
        <v>30</v>
      </c>
      <c r="O6" t="s">
        <v>24</v>
      </c>
      <c r="P6">
        <v>80</v>
      </c>
      <c r="Q6">
        <v>158.88</v>
      </c>
    </row>
    <row r="7" spans="1:23" hidden="1" x14ac:dyDescent="0.25">
      <c r="A7" t="s">
        <v>43</v>
      </c>
      <c r="B7" t="s">
        <v>32</v>
      </c>
      <c r="C7">
        <v>1985</v>
      </c>
      <c r="D7" t="s">
        <v>2203</v>
      </c>
      <c r="E7" t="s">
        <v>30</v>
      </c>
      <c r="F7" t="s">
        <v>29</v>
      </c>
      <c r="G7" t="s">
        <v>149</v>
      </c>
      <c r="H7" t="s">
        <v>12</v>
      </c>
      <c r="I7" t="s">
        <v>26</v>
      </c>
      <c r="J7">
        <v>93561</v>
      </c>
      <c r="K7">
        <v>35.087499999999999</v>
      </c>
      <c r="L7">
        <v>-118.35</v>
      </c>
      <c r="M7" t="s">
        <v>2203</v>
      </c>
      <c r="N7">
        <v>30</v>
      </c>
      <c r="O7" t="s">
        <v>24</v>
      </c>
      <c r="P7">
        <v>5.67</v>
      </c>
      <c r="Q7">
        <v>7.66</v>
      </c>
    </row>
    <row r="8" spans="1:23" hidden="1" x14ac:dyDescent="0.25">
      <c r="A8" t="s">
        <v>33</v>
      </c>
      <c r="B8" t="s">
        <v>32</v>
      </c>
      <c r="C8">
        <v>1984</v>
      </c>
      <c r="D8" t="s">
        <v>2202</v>
      </c>
      <c r="E8" t="s">
        <v>47</v>
      </c>
      <c r="F8" t="s">
        <v>29</v>
      </c>
      <c r="G8" t="s">
        <v>2201</v>
      </c>
      <c r="H8" t="s">
        <v>649</v>
      </c>
      <c r="I8" t="s">
        <v>26</v>
      </c>
      <c r="J8">
        <v>95954</v>
      </c>
      <c r="K8">
        <v>39.870834000000002</v>
      </c>
      <c r="L8">
        <v>-121.632221</v>
      </c>
      <c r="M8" t="s">
        <v>2200</v>
      </c>
      <c r="N8">
        <v>30</v>
      </c>
      <c r="O8" t="s">
        <v>24</v>
      </c>
      <c r="P8">
        <v>10.8</v>
      </c>
      <c r="Q8">
        <v>41.99</v>
      </c>
    </row>
    <row r="9" spans="1:23" hidden="1" x14ac:dyDescent="0.25">
      <c r="A9" t="s">
        <v>43</v>
      </c>
      <c r="B9" t="s">
        <v>32</v>
      </c>
      <c r="C9">
        <v>1985</v>
      </c>
      <c r="D9" t="s">
        <v>2199</v>
      </c>
      <c r="E9" t="s">
        <v>30</v>
      </c>
      <c r="F9" t="s">
        <v>29</v>
      </c>
      <c r="G9" t="s">
        <v>149</v>
      </c>
      <c r="H9" t="s">
        <v>12</v>
      </c>
      <c r="I9" t="s">
        <v>26</v>
      </c>
      <c r="J9">
        <v>93561</v>
      </c>
      <c r="K9">
        <v>35.087499999999999</v>
      </c>
      <c r="L9">
        <v>-118.35</v>
      </c>
      <c r="M9" t="s">
        <v>2199</v>
      </c>
      <c r="N9">
        <v>30</v>
      </c>
      <c r="O9" t="s">
        <v>24</v>
      </c>
      <c r="P9">
        <v>6.9749999999999996</v>
      </c>
      <c r="Q9">
        <v>12.81</v>
      </c>
      <c r="R9" t="s">
        <v>785</v>
      </c>
    </row>
    <row r="10" spans="1:23" hidden="1" x14ac:dyDescent="0.25">
      <c r="A10" t="s">
        <v>43</v>
      </c>
      <c r="B10" t="s">
        <v>32</v>
      </c>
      <c r="C10">
        <v>1985</v>
      </c>
      <c r="D10" t="s">
        <v>2198</v>
      </c>
      <c r="E10" t="s">
        <v>30</v>
      </c>
      <c r="F10" t="s">
        <v>29</v>
      </c>
      <c r="G10" t="s">
        <v>81</v>
      </c>
      <c r="H10" t="s">
        <v>12</v>
      </c>
      <c r="I10" t="s">
        <v>26</v>
      </c>
      <c r="J10">
        <v>93501</v>
      </c>
      <c r="K10">
        <v>35.049999999999997</v>
      </c>
      <c r="L10">
        <v>-118.291667</v>
      </c>
      <c r="M10" t="s">
        <v>2198</v>
      </c>
      <c r="N10">
        <v>30</v>
      </c>
      <c r="O10" t="s">
        <v>24</v>
      </c>
      <c r="P10">
        <v>40.5</v>
      </c>
      <c r="Q10">
        <v>74.459999999999994</v>
      </c>
    </row>
    <row r="11" spans="1:23" hidden="1" x14ac:dyDescent="0.25">
      <c r="A11" t="s">
        <v>43</v>
      </c>
      <c r="B11" t="s">
        <v>32</v>
      </c>
      <c r="C11">
        <v>1984</v>
      </c>
      <c r="D11" t="s">
        <v>2064</v>
      </c>
      <c r="E11" t="s">
        <v>30</v>
      </c>
      <c r="F11" t="s">
        <v>29</v>
      </c>
      <c r="G11" t="s">
        <v>2065</v>
      </c>
      <c r="H11" t="s">
        <v>59</v>
      </c>
      <c r="I11" t="s">
        <v>26</v>
      </c>
      <c r="J11">
        <v>92234</v>
      </c>
      <c r="K11">
        <v>33.866700000000002</v>
      </c>
      <c r="L11">
        <v>-116.441667</v>
      </c>
      <c r="M11" t="s">
        <v>2197</v>
      </c>
      <c r="N11">
        <v>30</v>
      </c>
      <c r="O11" t="s">
        <v>24</v>
      </c>
      <c r="P11">
        <v>20</v>
      </c>
      <c r="Q11">
        <v>43.93</v>
      </c>
      <c r="W11" s="18">
        <v>42277</v>
      </c>
    </row>
    <row r="12" spans="1:23" hidden="1" x14ac:dyDescent="0.25">
      <c r="A12" t="s">
        <v>33</v>
      </c>
      <c r="B12" t="s">
        <v>32</v>
      </c>
      <c r="C12">
        <v>1985</v>
      </c>
      <c r="D12" t="s">
        <v>2196</v>
      </c>
      <c r="E12" t="s">
        <v>41</v>
      </c>
      <c r="F12" t="s">
        <v>29</v>
      </c>
      <c r="G12" t="s">
        <v>290</v>
      </c>
      <c r="H12" t="s">
        <v>146</v>
      </c>
      <c r="I12" t="s">
        <v>26</v>
      </c>
      <c r="J12">
        <v>93610</v>
      </c>
      <c r="K12">
        <v>36.755837</v>
      </c>
      <c r="L12">
        <v>-120.365292</v>
      </c>
      <c r="M12" t="s">
        <v>2195</v>
      </c>
      <c r="N12">
        <v>25</v>
      </c>
      <c r="O12" t="s">
        <v>24</v>
      </c>
      <c r="P12">
        <v>25</v>
      </c>
      <c r="Q12">
        <v>169.97399999999999</v>
      </c>
    </row>
    <row r="13" spans="1:23" hidden="1" x14ac:dyDescent="0.25">
      <c r="A13" t="s">
        <v>33</v>
      </c>
      <c r="B13" t="s">
        <v>32</v>
      </c>
      <c r="C13">
        <v>1987</v>
      </c>
      <c r="D13" t="s">
        <v>177</v>
      </c>
      <c r="E13" t="s">
        <v>47</v>
      </c>
      <c r="F13" t="s">
        <v>29</v>
      </c>
      <c r="G13" t="s">
        <v>178</v>
      </c>
      <c r="H13" t="s">
        <v>178</v>
      </c>
      <c r="I13" t="s">
        <v>26</v>
      </c>
      <c r="J13">
        <v>93637</v>
      </c>
      <c r="K13">
        <v>37.056809999999999</v>
      </c>
      <c r="L13">
        <v>-119.899692</v>
      </c>
      <c r="M13" t="s">
        <v>177</v>
      </c>
      <c r="N13">
        <v>30</v>
      </c>
      <c r="O13" t="s">
        <v>24</v>
      </c>
      <c r="P13">
        <v>2</v>
      </c>
      <c r="Q13">
        <v>3.9750000000000001</v>
      </c>
    </row>
    <row r="14" spans="1:23" hidden="1" x14ac:dyDescent="0.25">
      <c r="A14" t="s">
        <v>43</v>
      </c>
      <c r="B14" t="s">
        <v>32</v>
      </c>
      <c r="C14">
        <v>1985</v>
      </c>
      <c r="D14" t="s">
        <v>2194</v>
      </c>
      <c r="E14" t="s">
        <v>30</v>
      </c>
      <c r="F14" t="s">
        <v>29</v>
      </c>
      <c r="G14" t="s">
        <v>60</v>
      </c>
      <c r="H14" t="s">
        <v>59</v>
      </c>
      <c r="I14" t="s">
        <v>26</v>
      </c>
      <c r="J14">
        <v>92262</v>
      </c>
      <c r="K14">
        <v>33.895800000000001</v>
      </c>
      <c r="L14">
        <v>-116.5625</v>
      </c>
      <c r="M14" t="s">
        <v>58</v>
      </c>
      <c r="N14">
        <v>30</v>
      </c>
      <c r="O14" t="s">
        <v>24</v>
      </c>
      <c r="P14">
        <v>18.95</v>
      </c>
      <c r="Q14">
        <v>42.18</v>
      </c>
    </row>
    <row r="15" spans="1:23" hidden="1" x14ac:dyDescent="0.25">
      <c r="A15" t="s">
        <v>43</v>
      </c>
      <c r="B15" t="s">
        <v>92</v>
      </c>
      <c r="C15">
        <v>1904</v>
      </c>
      <c r="D15" t="s">
        <v>2193</v>
      </c>
      <c r="E15" t="s">
        <v>47</v>
      </c>
      <c r="F15" t="s">
        <v>40</v>
      </c>
      <c r="G15" t="s">
        <v>2193</v>
      </c>
      <c r="H15" t="s">
        <v>133</v>
      </c>
      <c r="I15" t="s">
        <v>26</v>
      </c>
      <c r="J15">
        <v>92358</v>
      </c>
      <c r="K15">
        <v>34.204020999999997</v>
      </c>
      <c r="L15">
        <v>-117.446916</v>
      </c>
      <c r="M15" t="s">
        <v>2193</v>
      </c>
      <c r="N15">
        <v>999</v>
      </c>
      <c r="O15" t="s">
        <v>24</v>
      </c>
      <c r="P15">
        <v>0.5</v>
      </c>
      <c r="Q15">
        <v>2.2260212149999998</v>
      </c>
    </row>
    <row r="16" spans="1:23" hidden="1" x14ac:dyDescent="0.25">
      <c r="A16" t="s">
        <v>43</v>
      </c>
      <c r="B16" t="s">
        <v>92</v>
      </c>
      <c r="C16">
        <v>1900</v>
      </c>
      <c r="D16" t="s">
        <v>2192</v>
      </c>
      <c r="E16" t="s">
        <v>47</v>
      </c>
      <c r="F16" t="s">
        <v>40</v>
      </c>
      <c r="G16" t="s">
        <v>2141</v>
      </c>
      <c r="H16" t="s">
        <v>133</v>
      </c>
      <c r="I16" t="s">
        <v>26</v>
      </c>
      <c r="J16">
        <v>92359</v>
      </c>
      <c r="K16">
        <v>34.087997000000001</v>
      </c>
      <c r="L16">
        <v>-117.03949900000001</v>
      </c>
      <c r="M16" t="s">
        <v>2192</v>
      </c>
      <c r="N16">
        <v>999</v>
      </c>
      <c r="O16" t="s">
        <v>24</v>
      </c>
      <c r="P16">
        <v>0.8</v>
      </c>
      <c r="Q16">
        <v>5.3532621799999998</v>
      </c>
    </row>
    <row r="17" spans="1:23" hidden="1" x14ac:dyDescent="0.25">
      <c r="A17" t="s">
        <v>33</v>
      </c>
      <c r="B17" t="s">
        <v>127</v>
      </c>
      <c r="C17">
        <v>2017</v>
      </c>
      <c r="D17" t="s">
        <v>126</v>
      </c>
      <c r="E17" t="s">
        <v>47</v>
      </c>
      <c r="F17" t="s">
        <v>29</v>
      </c>
      <c r="G17" t="s">
        <v>125</v>
      </c>
      <c r="H17" t="s">
        <v>124</v>
      </c>
      <c r="I17" t="s">
        <v>26</v>
      </c>
      <c r="J17">
        <v>95423</v>
      </c>
      <c r="K17">
        <v>39.142000000000003</v>
      </c>
      <c r="L17">
        <v>-122.892</v>
      </c>
      <c r="M17" t="s">
        <v>123</v>
      </c>
      <c r="N17">
        <v>1</v>
      </c>
      <c r="O17" t="s">
        <v>36</v>
      </c>
      <c r="P17">
        <v>2.9</v>
      </c>
      <c r="Q17">
        <v>25.4</v>
      </c>
    </row>
    <row r="18" spans="1:23" hidden="1" x14ac:dyDescent="0.25">
      <c r="A18" t="s">
        <v>43</v>
      </c>
      <c r="B18" t="s">
        <v>92</v>
      </c>
      <c r="C18">
        <v>1924</v>
      </c>
      <c r="D18" t="s">
        <v>2191</v>
      </c>
      <c r="E18" t="s">
        <v>47</v>
      </c>
      <c r="F18" t="s">
        <v>40</v>
      </c>
      <c r="G18" t="s">
        <v>1450</v>
      </c>
      <c r="H18" t="s">
        <v>236</v>
      </c>
      <c r="I18" t="s">
        <v>26</v>
      </c>
      <c r="J18">
        <v>93541</v>
      </c>
      <c r="K18">
        <v>37.944339999999997</v>
      </c>
      <c r="L18">
        <v>-119.215881</v>
      </c>
      <c r="M18" t="s">
        <v>2191</v>
      </c>
      <c r="N18">
        <v>999</v>
      </c>
      <c r="O18" t="s">
        <v>24</v>
      </c>
      <c r="P18">
        <v>11.25</v>
      </c>
      <c r="Q18">
        <v>42.189907654000002</v>
      </c>
    </row>
    <row r="19" spans="1:23" hidden="1" x14ac:dyDescent="0.25">
      <c r="A19" t="s">
        <v>33</v>
      </c>
      <c r="B19" t="s">
        <v>32</v>
      </c>
      <c r="C19">
        <v>1984</v>
      </c>
      <c r="D19" t="s">
        <v>2190</v>
      </c>
      <c r="E19" t="s">
        <v>47</v>
      </c>
      <c r="F19" t="s">
        <v>52</v>
      </c>
      <c r="G19" t="s">
        <v>832</v>
      </c>
      <c r="H19" t="s">
        <v>831</v>
      </c>
      <c r="I19" t="s">
        <v>26</v>
      </c>
      <c r="J19">
        <v>95469</v>
      </c>
      <c r="K19">
        <v>39.348919000000002</v>
      </c>
      <c r="L19">
        <v>-123.12219399999999</v>
      </c>
      <c r="M19" t="s">
        <v>2190</v>
      </c>
      <c r="N19">
        <v>30</v>
      </c>
      <c r="P19">
        <v>0.4</v>
      </c>
      <c r="Q19">
        <v>0.19600000000000001</v>
      </c>
    </row>
    <row r="20" spans="1:23" hidden="1" x14ac:dyDescent="0.25">
      <c r="A20" t="s">
        <v>43</v>
      </c>
      <c r="B20" t="s">
        <v>92</v>
      </c>
      <c r="C20">
        <v>1929</v>
      </c>
      <c r="D20" t="s">
        <v>2189</v>
      </c>
      <c r="E20" t="s">
        <v>47</v>
      </c>
      <c r="F20" t="s">
        <v>40</v>
      </c>
      <c r="G20" t="s">
        <v>1189</v>
      </c>
      <c r="H20" t="s">
        <v>181</v>
      </c>
      <c r="I20" t="s">
        <v>26</v>
      </c>
      <c r="J20">
        <v>93271</v>
      </c>
      <c r="K20">
        <v>36.461624</v>
      </c>
      <c r="L20">
        <v>-118.879806</v>
      </c>
      <c r="M20" t="s">
        <v>2189</v>
      </c>
      <c r="N20">
        <v>999</v>
      </c>
      <c r="O20" t="s">
        <v>24</v>
      </c>
      <c r="P20">
        <v>1.8</v>
      </c>
      <c r="Q20">
        <v>7.7127755579999997</v>
      </c>
    </row>
    <row r="21" spans="1:23" hidden="1" x14ac:dyDescent="0.25">
      <c r="A21" t="s">
        <v>33</v>
      </c>
      <c r="B21" t="s">
        <v>92</v>
      </c>
      <c r="C21">
        <v>1986</v>
      </c>
      <c r="D21" t="s">
        <v>2188</v>
      </c>
      <c r="E21" t="s">
        <v>47</v>
      </c>
      <c r="F21" t="s">
        <v>40</v>
      </c>
      <c r="G21" t="s">
        <v>1918</v>
      </c>
      <c r="H21" t="s">
        <v>136</v>
      </c>
      <c r="I21" t="s">
        <v>26</v>
      </c>
      <c r="J21">
        <v>95603</v>
      </c>
      <c r="K21">
        <v>38.835182000000003</v>
      </c>
      <c r="L21">
        <v>-121.09298200000001</v>
      </c>
      <c r="M21" t="s">
        <v>2188</v>
      </c>
      <c r="N21">
        <v>999</v>
      </c>
      <c r="O21" t="s">
        <v>24</v>
      </c>
      <c r="P21">
        <v>11.5</v>
      </c>
      <c r="Q21">
        <v>26.238736441</v>
      </c>
    </row>
    <row r="22" spans="1:23" hidden="1" x14ac:dyDescent="0.25">
      <c r="A22" t="s">
        <v>33</v>
      </c>
      <c r="B22" t="s">
        <v>32</v>
      </c>
      <c r="C22">
        <v>1985</v>
      </c>
      <c r="D22" t="s">
        <v>2187</v>
      </c>
      <c r="E22" t="s">
        <v>47</v>
      </c>
      <c r="F22" t="s">
        <v>29</v>
      </c>
      <c r="G22" t="s">
        <v>163</v>
      </c>
      <c r="H22" t="s">
        <v>74</v>
      </c>
      <c r="I22" t="s">
        <v>26</v>
      </c>
      <c r="J22">
        <v>96013</v>
      </c>
      <c r="K22">
        <v>40.858058999999997</v>
      </c>
      <c r="L22">
        <v>-121.722498</v>
      </c>
      <c r="M22" t="s">
        <v>1983</v>
      </c>
      <c r="N22">
        <v>30</v>
      </c>
      <c r="O22" t="s">
        <v>24</v>
      </c>
      <c r="P22">
        <v>3</v>
      </c>
      <c r="Q22">
        <v>5.56</v>
      </c>
    </row>
    <row r="23" spans="1:23" hidden="1" x14ac:dyDescent="0.25">
      <c r="A23" t="s">
        <v>43</v>
      </c>
      <c r="B23" t="s">
        <v>32</v>
      </c>
      <c r="C23">
        <v>1986</v>
      </c>
      <c r="D23" t="s">
        <v>2186</v>
      </c>
      <c r="E23" t="s">
        <v>30</v>
      </c>
      <c r="F23" t="s">
        <v>29</v>
      </c>
      <c r="G23" t="s">
        <v>60</v>
      </c>
      <c r="H23" t="s">
        <v>59</v>
      </c>
      <c r="I23" t="s">
        <v>26</v>
      </c>
      <c r="J23">
        <v>92262</v>
      </c>
      <c r="K23">
        <v>33.912100000000002</v>
      </c>
      <c r="L23">
        <v>-116.56074</v>
      </c>
      <c r="M23" t="s">
        <v>2185</v>
      </c>
      <c r="N23">
        <v>30</v>
      </c>
      <c r="O23" t="s">
        <v>24</v>
      </c>
      <c r="P23">
        <v>5.93</v>
      </c>
      <c r="Q23">
        <v>17.769732999999999</v>
      </c>
    </row>
    <row r="24" spans="1:23" hidden="1" x14ac:dyDescent="0.25">
      <c r="A24" t="s">
        <v>43</v>
      </c>
      <c r="B24" t="s">
        <v>32</v>
      </c>
      <c r="C24">
        <v>1985</v>
      </c>
      <c r="D24" t="s">
        <v>2184</v>
      </c>
      <c r="E24" t="s">
        <v>30</v>
      </c>
      <c r="F24" t="s">
        <v>29</v>
      </c>
      <c r="G24" t="s">
        <v>149</v>
      </c>
      <c r="H24" t="s">
        <v>80</v>
      </c>
      <c r="I24" t="s">
        <v>26</v>
      </c>
      <c r="J24">
        <v>93561</v>
      </c>
      <c r="K24">
        <v>35.070799999999998</v>
      </c>
      <c r="L24">
        <v>-118.379167</v>
      </c>
      <c r="M24" t="s">
        <v>58</v>
      </c>
      <c r="N24">
        <v>30</v>
      </c>
      <c r="O24" t="s">
        <v>24</v>
      </c>
      <c r="P24">
        <v>6.4450000000000003</v>
      </c>
      <c r="Q24">
        <v>8.65</v>
      </c>
    </row>
    <row r="25" spans="1:23" hidden="1" x14ac:dyDescent="0.25">
      <c r="A25" t="s">
        <v>43</v>
      </c>
      <c r="B25" t="s">
        <v>32</v>
      </c>
      <c r="C25">
        <v>1984</v>
      </c>
      <c r="D25" t="s">
        <v>2183</v>
      </c>
      <c r="E25" t="s">
        <v>30</v>
      </c>
      <c r="F25" t="s">
        <v>29</v>
      </c>
      <c r="G25" t="s">
        <v>149</v>
      </c>
      <c r="H25" t="s">
        <v>80</v>
      </c>
      <c r="I25" t="s">
        <v>1445</v>
      </c>
      <c r="J25">
        <v>93561</v>
      </c>
      <c r="K25">
        <v>35.070833299999997</v>
      </c>
      <c r="L25">
        <v>-118.3791666</v>
      </c>
      <c r="M25" t="s">
        <v>58</v>
      </c>
      <c r="N25">
        <v>30</v>
      </c>
      <c r="O25" t="s">
        <v>24</v>
      </c>
      <c r="P25">
        <v>6.9249999999999998</v>
      </c>
      <c r="Q25">
        <v>10.84</v>
      </c>
    </row>
    <row r="26" spans="1:23" hidden="1" x14ac:dyDescent="0.25">
      <c r="A26" t="s">
        <v>43</v>
      </c>
      <c r="B26" t="s">
        <v>32</v>
      </c>
      <c r="C26">
        <v>1985</v>
      </c>
      <c r="D26" t="s">
        <v>2182</v>
      </c>
      <c r="E26" t="s">
        <v>30</v>
      </c>
      <c r="F26" t="s">
        <v>29</v>
      </c>
      <c r="G26" t="s">
        <v>1798</v>
      </c>
      <c r="H26" t="s">
        <v>88</v>
      </c>
      <c r="I26" t="s">
        <v>26</v>
      </c>
      <c r="J26">
        <v>92282</v>
      </c>
      <c r="K26">
        <v>33.941699999999997</v>
      </c>
      <c r="L26">
        <v>-116.658333</v>
      </c>
      <c r="M26" t="s">
        <v>2182</v>
      </c>
      <c r="N26">
        <v>30</v>
      </c>
      <c r="O26" t="s">
        <v>24</v>
      </c>
      <c r="P26">
        <v>27</v>
      </c>
      <c r="Q26">
        <v>62.9</v>
      </c>
    </row>
    <row r="27" spans="1:23" hidden="1" x14ac:dyDescent="0.25">
      <c r="A27" t="s">
        <v>43</v>
      </c>
      <c r="B27" t="s">
        <v>32</v>
      </c>
      <c r="C27">
        <v>1983</v>
      </c>
      <c r="D27" t="s">
        <v>2181</v>
      </c>
      <c r="E27" t="s">
        <v>143</v>
      </c>
      <c r="F27" t="s">
        <v>40</v>
      </c>
      <c r="G27" t="s">
        <v>2048</v>
      </c>
      <c r="H27" t="s">
        <v>141</v>
      </c>
      <c r="I27" t="s">
        <v>26</v>
      </c>
      <c r="J27">
        <v>92249</v>
      </c>
      <c r="K27">
        <v>32.7149</v>
      </c>
      <c r="L27">
        <v>-115.517776</v>
      </c>
      <c r="M27" t="s">
        <v>2181</v>
      </c>
      <c r="N27">
        <v>30</v>
      </c>
      <c r="O27" t="s">
        <v>24</v>
      </c>
      <c r="P27">
        <v>52</v>
      </c>
      <c r="Q27">
        <v>297.7</v>
      </c>
    </row>
    <row r="28" spans="1:23" hidden="1" x14ac:dyDescent="0.25">
      <c r="A28" t="s">
        <v>43</v>
      </c>
      <c r="B28" t="s">
        <v>111</v>
      </c>
      <c r="C28">
        <v>2022</v>
      </c>
      <c r="D28" t="s">
        <v>109</v>
      </c>
      <c r="E28" t="s">
        <v>109</v>
      </c>
      <c r="F28" t="s">
        <v>40</v>
      </c>
      <c r="G28" t="s">
        <v>109</v>
      </c>
      <c r="H28" t="s">
        <v>109</v>
      </c>
      <c r="I28" t="s">
        <v>2180</v>
      </c>
      <c r="J28" t="s">
        <v>110</v>
      </c>
      <c r="K28" t="s">
        <v>109</v>
      </c>
      <c r="L28" t="s">
        <v>109</v>
      </c>
      <c r="M28" t="s">
        <v>1197</v>
      </c>
      <c r="N28">
        <v>2</v>
      </c>
      <c r="O28" t="s">
        <v>36</v>
      </c>
    </row>
    <row r="29" spans="1:23" hidden="1" x14ac:dyDescent="0.25">
      <c r="A29" t="s">
        <v>43</v>
      </c>
      <c r="B29" t="s">
        <v>32</v>
      </c>
      <c r="C29">
        <v>1984</v>
      </c>
      <c r="D29" t="s">
        <v>2178</v>
      </c>
      <c r="E29" t="s">
        <v>47</v>
      </c>
      <c r="F29" t="s">
        <v>29</v>
      </c>
      <c r="G29" t="s">
        <v>2179</v>
      </c>
      <c r="H29" t="s">
        <v>259</v>
      </c>
      <c r="I29" t="s">
        <v>26</v>
      </c>
      <c r="J29">
        <v>91702</v>
      </c>
      <c r="K29">
        <v>34.200164000000001</v>
      </c>
      <c r="L29">
        <v>-117.859162</v>
      </c>
      <c r="M29" t="s">
        <v>2178</v>
      </c>
      <c r="N29">
        <v>30</v>
      </c>
      <c r="O29" t="s">
        <v>24</v>
      </c>
      <c r="P29">
        <v>4.9749999999999996</v>
      </c>
      <c r="Q29">
        <v>16.510000000000002</v>
      </c>
    </row>
    <row r="30" spans="1:23" hidden="1" x14ac:dyDescent="0.25">
      <c r="A30" t="s">
        <v>43</v>
      </c>
      <c r="B30" t="s">
        <v>32</v>
      </c>
      <c r="C30">
        <v>1984</v>
      </c>
      <c r="D30" t="s">
        <v>1007</v>
      </c>
      <c r="E30" t="s">
        <v>143</v>
      </c>
      <c r="F30" t="s">
        <v>29</v>
      </c>
      <c r="G30" t="s">
        <v>1009</v>
      </c>
      <c r="H30" t="s">
        <v>1008</v>
      </c>
      <c r="I30" t="s">
        <v>294</v>
      </c>
      <c r="J30">
        <v>89407</v>
      </c>
      <c r="K30">
        <v>39.965600000000002</v>
      </c>
      <c r="L30">
        <v>-117.855931</v>
      </c>
      <c r="M30" t="s">
        <v>1007</v>
      </c>
      <c r="N30">
        <v>30</v>
      </c>
      <c r="O30" t="s">
        <v>24</v>
      </c>
      <c r="P30">
        <v>56</v>
      </c>
      <c r="Q30">
        <v>490</v>
      </c>
    </row>
    <row r="31" spans="1:23" hidden="1" x14ac:dyDescent="0.25">
      <c r="A31" t="s">
        <v>33</v>
      </c>
      <c r="B31" t="s">
        <v>32</v>
      </c>
      <c r="C31">
        <v>1993</v>
      </c>
      <c r="D31" t="s">
        <v>2177</v>
      </c>
      <c r="E31" t="s">
        <v>130</v>
      </c>
      <c r="F31" t="s">
        <v>40</v>
      </c>
      <c r="G31" t="s">
        <v>120</v>
      </c>
      <c r="H31" t="s">
        <v>120</v>
      </c>
      <c r="I31" t="s">
        <v>26</v>
      </c>
      <c r="J31">
        <v>94558</v>
      </c>
      <c r="K31">
        <v>38.432077</v>
      </c>
      <c r="L31">
        <v>-122.48772599999999</v>
      </c>
      <c r="M31" t="s">
        <v>2176</v>
      </c>
      <c r="N31">
        <v>999</v>
      </c>
      <c r="O31" t="s">
        <v>24</v>
      </c>
      <c r="P31">
        <v>7.1999999999999998E-3</v>
      </c>
    </row>
    <row r="32" spans="1:23" hidden="1" x14ac:dyDescent="0.25">
      <c r="A32" t="s">
        <v>33</v>
      </c>
      <c r="B32" t="s">
        <v>923</v>
      </c>
      <c r="C32">
        <v>2018</v>
      </c>
      <c r="D32" t="s">
        <v>2175</v>
      </c>
      <c r="E32" t="s">
        <v>948</v>
      </c>
      <c r="F32" t="s">
        <v>52</v>
      </c>
      <c r="G32" t="s">
        <v>973</v>
      </c>
      <c r="H32" t="s">
        <v>533</v>
      </c>
      <c r="I32" t="s">
        <v>26</v>
      </c>
      <c r="J32">
        <v>93230</v>
      </c>
      <c r="K32">
        <v>36.398582269999999</v>
      </c>
      <c r="L32">
        <v>-119.522582</v>
      </c>
      <c r="M32" t="s">
        <v>2174</v>
      </c>
      <c r="N32">
        <v>20</v>
      </c>
      <c r="O32" t="s">
        <v>36</v>
      </c>
      <c r="P32">
        <v>1</v>
      </c>
      <c r="Q32">
        <v>6.1440000000000001</v>
      </c>
      <c r="W32" s="18">
        <v>45185</v>
      </c>
    </row>
    <row r="33" spans="1:20" hidden="1" x14ac:dyDescent="0.25">
      <c r="A33" t="s">
        <v>33</v>
      </c>
      <c r="B33" t="s">
        <v>32</v>
      </c>
      <c r="C33">
        <v>1985</v>
      </c>
      <c r="D33" t="s">
        <v>2173</v>
      </c>
      <c r="E33" t="s">
        <v>30</v>
      </c>
      <c r="F33" t="s">
        <v>29</v>
      </c>
      <c r="G33" t="s">
        <v>28</v>
      </c>
      <c r="H33" t="s">
        <v>35</v>
      </c>
      <c r="I33" t="s">
        <v>26</v>
      </c>
      <c r="J33">
        <v>95391</v>
      </c>
      <c r="K33">
        <v>37.745234000000004</v>
      </c>
      <c r="L33">
        <v>-121.603399</v>
      </c>
      <c r="M33" t="s">
        <v>86</v>
      </c>
      <c r="N33">
        <v>30</v>
      </c>
      <c r="O33" t="s">
        <v>24</v>
      </c>
      <c r="P33">
        <v>2.1</v>
      </c>
      <c r="Q33">
        <v>0.53700000000000003</v>
      </c>
    </row>
    <row r="34" spans="1:20" hidden="1" x14ac:dyDescent="0.25">
      <c r="A34" t="s">
        <v>33</v>
      </c>
      <c r="B34" t="s">
        <v>206</v>
      </c>
      <c r="C34">
        <v>2012</v>
      </c>
      <c r="D34" t="s">
        <v>2172</v>
      </c>
      <c r="E34" t="s">
        <v>30</v>
      </c>
      <c r="F34" t="s">
        <v>29</v>
      </c>
      <c r="G34" t="s">
        <v>149</v>
      </c>
      <c r="H34" t="s">
        <v>12</v>
      </c>
      <c r="I34" t="s">
        <v>26</v>
      </c>
      <c r="J34">
        <v>93561</v>
      </c>
      <c r="K34">
        <v>35.106499999999997</v>
      </c>
      <c r="L34">
        <v>-118.313</v>
      </c>
      <c r="M34" t="s">
        <v>2114</v>
      </c>
      <c r="N34">
        <v>10</v>
      </c>
      <c r="O34" t="s">
        <v>36</v>
      </c>
      <c r="P34">
        <v>19.954999999999998</v>
      </c>
      <c r="Q34">
        <v>46.41</v>
      </c>
      <c r="R34" t="s">
        <v>370</v>
      </c>
      <c r="S34" s="18">
        <v>41180</v>
      </c>
      <c r="T34" s="18">
        <v>41222</v>
      </c>
    </row>
    <row r="35" spans="1:20" hidden="1" x14ac:dyDescent="0.25">
      <c r="A35" t="s">
        <v>43</v>
      </c>
      <c r="B35" t="s">
        <v>32</v>
      </c>
      <c r="C35">
        <v>1984</v>
      </c>
      <c r="D35" t="s">
        <v>2171</v>
      </c>
      <c r="E35" t="s">
        <v>30</v>
      </c>
      <c r="F35" t="s">
        <v>29</v>
      </c>
      <c r="G35" t="s">
        <v>149</v>
      </c>
      <c r="H35" t="s">
        <v>80</v>
      </c>
      <c r="I35" t="s">
        <v>26</v>
      </c>
      <c r="J35">
        <v>93561</v>
      </c>
      <c r="K35">
        <v>35.087499999999999</v>
      </c>
      <c r="L35">
        <v>-118.35</v>
      </c>
      <c r="M35" t="s">
        <v>58</v>
      </c>
      <c r="N35">
        <v>30</v>
      </c>
      <c r="O35" t="s">
        <v>24</v>
      </c>
      <c r="P35">
        <v>17</v>
      </c>
      <c r="Q35">
        <v>20.46</v>
      </c>
    </row>
    <row r="36" spans="1:20" hidden="1" x14ac:dyDescent="0.25">
      <c r="A36" t="s">
        <v>33</v>
      </c>
      <c r="B36" t="s">
        <v>263</v>
      </c>
      <c r="C36">
        <v>2014</v>
      </c>
      <c r="D36" t="s">
        <v>2170</v>
      </c>
      <c r="E36" t="s">
        <v>130</v>
      </c>
      <c r="F36" t="s">
        <v>52</v>
      </c>
      <c r="G36" t="s">
        <v>931</v>
      </c>
      <c r="H36" t="s">
        <v>518</v>
      </c>
      <c r="I36" t="s">
        <v>26</v>
      </c>
      <c r="J36">
        <v>95695</v>
      </c>
      <c r="K36">
        <v>38.632261</v>
      </c>
      <c r="L36">
        <v>-121.893096</v>
      </c>
      <c r="M36" t="s">
        <v>2169</v>
      </c>
      <c r="N36">
        <v>20</v>
      </c>
      <c r="P36">
        <v>0.5</v>
      </c>
      <c r="Q36">
        <v>0.88600000000000001</v>
      </c>
    </row>
    <row r="37" spans="1:20" hidden="1" x14ac:dyDescent="0.25">
      <c r="A37" t="s">
        <v>43</v>
      </c>
      <c r="B37" t="s">
        <v>92</v>
      </c>
      <c r="C37">
        <v>2008</v>
      </c>
      <c r="D37" t="s">
        <v>2167</v>
      </c>
      <c r="E37" t="s">
        <v>90</v>
      </c>
      <c r="F37" t="s">
        <v>40</v>
      </c>
      <c r="G37" t="s">
        <v>190</v>
      </c>
      <c r="H37" t="s">
        <v>133</v>
      </c>
      <c r="I37" t="s">
        <v>26</v>
      </c>
      <c r="J37">
        <v>92374</v>
      </c>
      <c r="K37" s="19" t="s">
        <v>2168</v>
      </c>
      <c r="L37">
        <v>-117.23609999999999</v>
      </c>
      <c r="M37" t="s">
        <v>2167</v>
      </c>
      <c r="N37">
        <v>999</v>
      </c>
      <c r="O37" t="s">
        <v>36</v>
      </c>
      <c r="P37">
        <v>3.5</v>
      </c>
      <c r="Q37">
        <v>6.3379198280000004</v>
      </c>
    </row>
    <row r="38" spans="1:20" hidden="1" x14ac:dyDescent="0.25">
      <c r="A38" t="s">
        <v>43</v>
      </c>
      <c r="B38" t="s">
        <v>92</v>
      </c>
      <c r="C38">
        <v>2008</v>
      </c>
      <c r="D38" t="s">
        <v>2165</v>
      </c>
      <c r="E38" t="s">
        <v>90</v>
      </c>
      <c r="F38" t="s">
        <v>40</v>
      </c>
      <c r="G38" t="s">
        <v>1511</v>
      </c>
      <c r="H38" t="s">
        <v>133</v>
      </c>
      <c r="I38" t="s">
        <v>26</v>
      </c>
      <c r="J38">
        <v>92335</v>
      </c>
      <c r="K38" s="19" t="s">
        <v>2166</v>
      </c>
      <c r="L38">
        <v>-117.517661111111</v>
      </c>
      <c r="M38" t="s">
        <v>2165</v>
      </c>
      <c r="N38">
        <v>999</v>
      </c>
      <c r="O38" t="s">
        <v>36</v>
      </c>
      <c r="P38">
        <v>3.5</v>
      </c>
      <c r="Q38">
        <v>6.3379198280000004</v>
      </c>
    </row>
    <row r="39" spans="1:20" hidden="1" x14ac:dyDescent="0.25">
      <c r="A39" t="s">
        <v>33</v>
      </c>
      <c r="B39" t="s">
        <v>32</v>
      </c>
      <c r="C39">
        <v>1985</v>
      </c>
      <c r="D39" t="s">
        <v>872</v>
      </c>
      <c r="E39" t="s">
        <v>47</v>
      </c>
      <c r="F39" t="s">
        <v>29</v>
      </c>
      <c r="G39" t="s">
        <v>650</v>
      </c>
      <c r="H39" t="s">
        <v>649</v>
      </c>
      <c r="I39" t="s">
        <v>26</v>
      </c>
      <c r="J39">
        <v>95965</v>
      </c>
      <c r="K39">
        <v>39.769427</v>
      </c>
      <c r="L39">
        <v>-121.50325599999999</v>
      </c>
      <c r="M39" t="s">
        <v>2164</v>
      </c>
      <c r="N39">
        <v>30</v>
      </c>
      <c r="O39" t="s">
        <v>24</v>
      </c>
      <c r="P39">
        <v>0.99</v>
      </c>
      <c r="Q39">
        <v>2.6880000000000002</v>
      </c>
    </row>
    <row r="40" spans="1:20" hidden="1" x14ac:dyDescent="0.25">
      <c r="A40" t="s">
        <v>67</v>
      </c>
      <c r="B40" t="s">
        <v>197</v>
      </c>
      <c r="C40">
        <v>2005</v>
      </c>
      <c r="D40" t="s">
        <v>2163</v>
      </c>
      <c r="E40" t="s">
        <v>71</v>
      </c>
      <c r="F40" t="s">
        <v>29</v>
      </c>
      <c r="G40" t="s">
        <v>2162</v>
      </c>
      <c r="H40" t="s">
        <v>129</v>
      </c>
      <c r="I40" t="s">
        <v>26</v>
      </c>
      <c r="J40">
        <v>91911</v>
      </c>
      <c r="K40">
        <v>32.599899999999998</v>
      </c>
      <c r="L40">
        <v>-117.018</v>
      </c>
      <c r="M40" t="s">
        <v>2161</v>
      </c>
      <c r="N40">
        <v>10</v>
      </c>
      <c r="O40" t="s">
        <v>24</v>
      </c>
      <c r="P40">
        <v>3.75</v>
      </c>
      <c r="Q40">
        <v>22</v>
      </c>
      <c r="S40" s="18">
        <v>38671</v>
      </c>
      <c r="T40" s="18">
        <v>38701</v>
      </c>
    </row>
    <row r="41" spans="1:20" hidden="1" x14ac:dyDescent="0.25">
      <c r="A41" t="s">
        <v>33</v>
      </c>
      <c r="B41" t="s">
        <v>32</v>
      </c>
      <c r="C41">
        <v>1984</v>
      </c>
      <c r="D41" t="s">
        <v>2159</v>
      </c>
      <c r="E41" t="s">
        <v>47</v>
      </c>
      <c r="F41" t="s">
        <v>29</v>
      </c>
      <c r="G41" t="s">
        <v>2160</v>
      </c>
      <c r="H41" t="s">
        <v>38</v>
      </c>
      <c r="I41" t="s">
        <v>26</v>
      </c>
      <c r="J41">
        <v>95375</v>
      </c>
      <c r="K41">
        <v>38.186106000000002</v>
      </c>
      <c r="L41">
        <v>-120.150172</v>
      </c>
      <c r="M41" t="s">
        <v>2159</v>
      </c>
      <c r="N41">
        <v>30</v>
      </c>
      <c r="O41" t="s">
        <v>24</v>
      </c>
      <c r="P41">
        <v>16.2</v>
      </c>
      <c r="Q41">
        <v>78.197000000000003</v>
      </c>
    </row>
    <row r="42" spans="1:20" hidden="1" x14ac:dyDescent="0.25">
      <c r="A42" t="s">
        <v>43</v>
      </c>
      <c r="B42" t="s">
        <v>92</v>
      </c>
      <c r="C42">
        <v>2008</v>
      </c>
      <c r="D42" t="s">
        <v>2157</v>
      </c>
      <c r="E42" t="s">
        <v>90</v>
      </c>
      <c r="F42" t="s">
        <v>40</v>
      </c>
      <c r="G42" t="s">
        <v>190</v>
      </c>
      <c r="H42" t="s">
        <v>133</v>
      </c>
      <c r="I42" t="s">
        <v>26</v>
      </c>
      <c r="J42">
        <v>92374</v>
      </c>
      <c r="K42" s="19" t="s">
        <v>2158</v>
      </c>
      <c r="L42">
        <v>-117.23504166666601</v>
      </c>
      <c r="M42" t="s">
        <v>2157</v>
      </c>
      <c r="N42">
        <v>999</v>
      </c>
      <c r="O42" t="s">
        <v>36</v>
      </c>
      <c r="P42">
        <v>1.5</v>
      </c>
      <c r="Q42">
        <v>2.7162513549999998</v>
      </c>
    </row>
    <row r="43" spans="1:20" hidden="1" x14ac:dyDescent="0.25">
      <c r="A43" t="s">
        <v>43</v>
      </c>
      <c r="B43" t="s">
        <v>32</v>
      </c>
      <c r="C43">
        <v>1985</v>
      </c>
      <c r="D43" t="s">
        <v>2156</v>
      </c>
      <c r="E43" t="s">
        <v>143</v>
      </c>
      <c r="F43" t="s">
        <v>29</v>
      </c>
      <c r="G43" t="s">
        <v>379</v>
      </c>
      <c r="H43" t="s">
        <v>305</v>
      </c>
      <c r="I43" t="s">
        <v>26</v>
      </c>
      <c r="J43">
        <v>92233</v>
      </c>
      <c r="K43">
        <v>33.157600000000002</v>
      </c>
      <c r="L43">
        <v>-115.64037999999999</v>
      </c>
      <c r="M43" t="s">
        <v>2156</v>
      </c>
      <c r="N43">
        <v>30</v>
      </c>
      <c r="O43" t="s">
        <v>24</v>
      </c>
      <c r="P43">
        <v>20</v>
      </c>
      <c r="Q43">
        <v>108.21</v>
      </c>
    </row>
    <row r="44" spans="1:20" hidden="1" x14ac:dyDescent="0.25">
      <c r="A44" t="s">
        <v>67</v>
      </c>
      <c r="B44" t="s">
        <v>201</v>
      </c>
      <c r="C44">
        <v>2006</v>
      </c>
      <c r="D44" t="s">
        <v>2155</v>
      </c>
      <c r="E44" t="s">
        <v>41</v>
      </c>
      <c r="F44" t="s">
        <v>29</v>
      </c>
      <c r="G44" t="s">
        <v>1161</v>
      </c>
      <c r="H44" t="s">
        <v>12</v>
      </c>
      <c r="I44" t="s">
        <v>26</v>
      </c>
      <c r="J44">
        <v>93215</v>
      </c>
      <c r="K44">
        <v>35.72195</v>
      </c>
      <c r="L44">
        <v>-119.23399999999999</v>
      </c>
      <c r="M44" t="s">
        <v>2154</v>
      </c>
      <c r="N44">
        <v>10</v>
      </c>
      <c r="O44" t="s">
        <v>24</v>
      </c>
      <c r="P44">
        <v>49</v>
      </c>
      <c r="Q44">
        <v>332.661</v>
      </c>
      <c r="S44" s="18">
        <v>39115</v>
      </c>
      <c r="T44" s="18">
        <v>39184</v>
      </c>
    </row>
    <row r="45" spans="1:20" hidden="1" x14ac:dyDescent="0.25">
      <c r="A45" t="s">
        <v>33</v>
      </c>
      <c r="B45" t="s">
        <v>32</v>
      </c>
      <c r="C45">
        <v>1984</v>
      </c>
      <c r="D45" t="s">
        <v>2153</v>
      </c>
      <c r="E45" t="s">
        <v>30</v>
      </c>
      <c r="F45" t="s">
        <v>29</v>
      </c>
      <c r="G45" t="s">
        <v>95</v>
      </c>
      <c r="H45" t="s">
        <v>94</v>
      </c>
      <c r="I45" t="s">
        <v>26</v>
      </c>
      <c r="J45">
        <v>94585</v>
      </c>
      <c r="K45">
        <v>38.142386000000002</v>
      </c>
      <c r="L45">
        <v>-121.841044</v>
      </c>
      <c r="M45" t="s">
        <v>93</v>
      </c>
      <c r="N45">
        <v>28</v>
      </c>
      <c r="O45" t="s">
        <v>24</v>
      </c>
      <c r="P45">
        <v>10</v>
      </c>
      <c r="Q45">
        <v>21.831</v>
      </c>
    </row>
    <row r="46" spans="1:20" hidden="1" x14ac:dyDescent="0.25">
      <c r="A46" t="s">
        <v>43</v>
      </c>
      <c r="B46" t="s">
        <v>92</v>
      </c>
      <c r="C46">
        <v>1919</v>
      </c>
      <c r="D46" t="s">
        <v>2152</v>
      </c>
      <c r="E46" t="s">
        <v>47</v>
      </c>
      <c r="F46" t="s">
        <v>40</v>
      </c>
      <c r="G46" t="s">
        <v>237</v>
      </c>
      <c r="H46" t="s">
        <v>1224</v>
      </c>
      <c r="I46" t="s">
        <v>26</v>
      </c>
      <c r="J46">
        <v>93514</v>
      </c>
      <c r="K46">
        <v>37.334442000000003</v>
      </c>
      <c r="L46">
        <v>-118.47965499999999</v>
      </c>
      <c r="M46" t="s">
        <v>2152</v>
      </c>
      <c r="N46">
        <v>999</v>
      </c>
      <c r="O46" t="s">
        <v>24</v>
      </c>
      <c r="P46">
        <v>4.53</v>
      </c>
      <c r="Q46">
        <v>21.437581951999999</v>
      </c>
    </row>
    <row r="47" spans="1:20" hidden="1" x14ac:dyDescent="0.25">
      <c r="A47" t="s">
        <v>43</v>
      </c>
      <c r="B47" t="s">
        <v>92</v>
      </c>
      <c r="C47">
        <v>1913</v>
      </c>
      <c r="D47" t="s">
        <v>2151</v>
      </c>
      <c r="E47" t="s">
        <v>47</v>
      </c>
      <c r="F47" t="s">
        <v>40</v>
      </c>
      <c r="G47" t="s">
        <v>237</v>
      </c>
      <c r="H47" t="s">
        <v>1224</v>
      </c>
      <c r="I47" t="s">
        <v>26</v>
      </c>
      <c r="J47">
        <v>93514</v>
      </c>
      <c r="K47">
        <v>37.349997999999999</v>
      </c>
      <c r="L47">
        <v>-118.462773</v>
      </c>
      <c r="M47" t="s">
        <v>2151</v>
      </c>
      <c r="N47">
        <v>999</v>
      </c>
      <c r="O47" t="s">
        <v>24</v>
      </c>
      <c r="P47">
        <v>1.6</v>
      </c>
      <c r="Q47">
        <v>13.367533993</v>
      </c>
    </row>
    <row r="48" spans="1:20" hidden="1" x14ac:dyDescent="0.25">
      <c r="A48" t="s">
        <v>43</v>
      </c>
      <c r="B48" t="s">
        <v>92</v>
      </c>
      <c r="C48">
        <v>1917</v>
      </c>
      <c r="D48" t="s">
        <v>1511</v>
      </c>
      <c r="E48" t="s">
        <v>47</v>
      </c>
      <c r="F48" t="s">
        <v>40</v>
      </c>
      <c r="G48" t="s">
        <v>2120</v>
      </c>
      <c r="H48" t="s">
        <v>133</v>
      </c>
      <c r="I48" t="s">
        <v>26</v>
      </c>
      <c r="J48">
        <v>92376</v>
      </c>
      <c r="K48">
        <v>34.155369999999998</v>
      </c>
      <c r="L48">
        <v>-117.39729699999999</v>
      </c>
      <c r="M48" t="s">
        <v>1511</v>
      </c>
      <c r="N48">
        <v>999</v>
      </c>
      <c r="O48" t="s">
        <v>24</v>
      </c>
      <c r="P48">
        <v>2.95</v>
      </c>
      <c r="Q48">
        <v>3.7597465809999999</v>
      </c>
    </row>
    <row r="49" spans="1:20" hidden="1" x14ac:dyDescent="0.25">
      <c r="A49" t="s">
        <v>43</v>
      </c>
      <c r="B49" t="s">
        <v>92</v>
      </c>
      <c r="C49">
        <v>2008</v>
      </c>
      <c r="D49" t="s">
        <v>2149</v>
      </c>
      <c r="E49" t="s">
        <v>90</v>
      </c>
      <c r="F49" t="s">
        <v>40</v>
      </c>
      <c r="G49" t="s">
        <v>1511</v>
      </c>
      <c r="H49" t="s">
        <v>133</v>
      </c>
      <c r="I49" t="s">
        <v>26</v>
      </c>
      <c r="J49">
        <v>92335</v>
      </c>
      <c r="K49" s="19" t="s">
        <v>2150</v>
      </c>
      <c r="L49">
        <v>-117.51388611111101</v>
      </c>
      <c r="M49" t="s">
        <v>2149</v>
      </c>
      <c r="N49">
        <v>999</v>
      </c>
      <c r="O49" t="s">
        <v>36</v>
      </c>
      <c r="P49">
        <v>3.5</v>
      </c>
      <c r="Q49">
        <v>6.3379198280000004</v>
      </c>
    </row>
    <row r="50" spans="1:20" hidden="1" x14ac:dyDescent="0.25">
      <c r="A50" t="s">
        <v>43</v>
      </c>
      <c r="B50" t="s">
        <v>92</v>
      </c>
      <c r="C50">
        <v>1929</v>
      </c>
      <c r="D50" t="s">
        <v>2148</v>
      </c>
      <c r="E50" t="s">
        <v>47</v>
      </c>
      <c r="F50" t="s">
        <v>40</v>
      </c>
      <c r="G50" t="s">
        <v>1189</v>
      </c>
      <c r="H50" t="s">
        <v>181</v>
      </c>
      <c r="I50" t="s">
        <v>26</v>
      </c>
      <c r="J50">
        <v>93271</v>
      </c>
      <c r="K50">
        <v>36.465305999999998</v>
      </c>
      <c r="L50">
        <v>-118.861942</v>
      </c>
      <c r="M50" t="s">
        <v>2148</v>
      </c>
      <c r="N50">
        <v>999</v>
      </c>
      <c r="O50" t="s">
        <v>24</v>
      </c>
      <c r="P50">
        <v>2.25</v>
      </c>
      <c r="Q50">
        <v>8.1230573740000001</v>
      </c>
    </row>
    <row r="51" spans="1:20" hidden="1" x14ac:dyDescent="0.25">
      <c r="A51" t="s">
        <v>43</v>
      </c>
      <c r="B51" t="s">
        <v>92</v>
      </c>
      <c r="C51">
        <v>1913</v>
      </c>
      <c r="D51" t="s">
        <v>2147</v>
      </c>
      <c r="E51" t="s">
        <v>47</v>
      </c>
      <c r="F51" t="s">
        <v>40</v>
      </c>
      <c r="G51" t="s">
        <v>1189</v>
      </c>
      <c r="H51" t="s">
        <v>181</v>
      </c>
      <c r="I51" t="s">
        <v>26</v>
      </c>
      <c r="J51">
        <v>93271</v>
      </c>
      <c r="K51">
        <v>36.486069000000001</v>
      </c>
      <c r="L51">
        <v>-118.835431</v>
      </c>
      <c r="M51" t="s">
        <v>2147</v>
      </c>
      <c r="N51">
        <v>999</v>
      </c>
      <c r="O51" t="s">
        <v>24</v>
      </c>
      <c r="P51">
        <v>4.8</v>
      </c>
      <c r="Q51">
        <v>21.310285919999998</v>
      </c>
    </row>
    <row r="52" spans="1:20" hidden="1" x14ac:dyDescent="0.25">
      <c r="A52" t="s">
        <v>43</v>
      </c>
      <c r="B52" t="s">
        <v>92</v>
      </c>
      <c r="C52">
        <v>1907</v>
      </c>
      <c r="D52" t="s">
        <v>2146</v>
      </c>
      <c r="E52" t="s">
        <v>47</v>
      </c>
      <c r="F52" t="s">
        <v>40</v>
      </c>
      <c r="G52" t="s">
        <v>173</v>
      </c>
      <c r="H52" t="s">
        <v>12</v>
      </c>
      <c r="I52" t="s">
        <v>26</v>
      </c>
      <c r="J52">
        <v>93301</v>
      </c>
      <c r="K52">
        <v>35.460372999999997</v>
      </c>
      <c r="L52">
        <v>-118.779588</v>
      </c>
      <c r="M52" t="s">
        <v>2146</v>
      </c>
      <c r="N52">
        <v>999</v>
      </c>
      <c r="O52" t="s">
        <v>24</v>
      </c>
      <c r="P52">
        <v>26.28</v>
      </c>
      <c r="Q52">
        <v>182.177499555</v>
      </c>
    </row>
    <row r="53" spans="1:20" hidden="1" x14ac:dyDescent="0.25">
      <c r="A53" t="s">
        <v>43</v>
      </c>
      <c r="B53" t="s">
        <v>92</v>
      </c>
      <c r="C53">
        <v>2008</v>
      </c>
      <c r="D53" t="s">
        <v>2144</v>
      </c>
      <c r="E53" t="s">
        <v>90</v>
      </c>
      <c r="F53" t="s">
        <v>40</v>
      </c>
      <c r="G53" t="s">
        <v>1511</v>
      </c>
      <c r="H53" t="s">
        <v>133</v>
      </c>
      <c r="I53" t="s">
        <v>26</v>
      </c>
      <c r="J53">
        <v>92335</v>
      </c>
      <c r="K53" s="19" t="s">
        <v>2145</v>
      </c>
      <c r="L53">
        <v>-117.517530555555</v>
      </c>
      <c r="M53" t="s">
        <v>2144</v>
      </c>
      <c r="N53">
        <v>999</v>
      </c>
      <c r="O53" t="s">
        <v>36</v>
      </c>
      <c r="P53">
        <v>1.5</v>
      </c>
      <c r="Q53">
        <v>2.7162513549999998</v>
      </c>
    </row>
    <row r="54" spans="1:20" hidden="1" x14ac:dyDescent="0.25">
      <c r="A54" t="s">
        <v>67</v>
      </c>
      <c r="B54" t="s">
        <v>197</v>
      </c>
      <c r="C54">
        <v>2002</v>
      </c>
      <c r="D54" t="s">
        <v>2143</v>
      </c>
      <c r="E54" t="s">
        <v>30</v>
      </c>
      <c r="F54" t="s">
        <v>29</v>
      </c>
      <c r="G54" t="s">
        <v>81</v>
      </c>
      <c r="H54" t="s">
        <v>12</v>
      </c>
      <c r="I54" t="s">
        <v>26</v>
      </c>
      <c r="J54">
        <v>93501</v>
      </c>
      <c r="K54">
        <v>35.076650000000001</v>
      </c>
      <c r="L54">
        <v>-118.25529</v>
      </c>
      <c r="M54" t="s">
        <v>2142</v>
      </c>
      <c r="N54">
        <v>15</v>
      </c>
      <c r="O54" t="s">
        <v>24</v>
      </c>
      <c r="P54">
        <v>60</v>
      </c>
      <c r="Q54">
        <v>173</v>
      </c>
      <c r="S54" s="18">
        <v>37564</v>
      </c>
      <c r="T54" s="18">
        <v>37595</v>
      </c>
    </row>
    <row r="55" spans="1:20" hidden="1" x14ac:dyDescent="0.25">
      <c r="A55" t="s">
        <v>43</v>
      </c>
      <c r="B55" t="s">
        <v>92</v>
      </c>
      <c r="C55">
        <v>1903</v>
      </c>
      <c r="D55" t="s">
        <v>2140</v>
      </c>
      <c r="E55" t="s">
        <v>47</v>
      </c>
      <c r="F55" t="s">
        <v>40</v>
      </c>
      <c r="G55" t="s">
        <v>2141</v>
      </c>
      <c r="H55" t="s">
        <v>133</v>
      </c>
      <c r="I55" t="s">
        <v>26</v>
      </c>
      <c r="J55">
        <v>92359</v>
      </c>
      <c r="K55">
        <v>34.077233999999997</v>
      </c>
      <c r="L55">
        <v>-117.06844</v>
      </c>
      <c r="M55" t="s">
        <v>2140</v>
      </c>
      <c r="N55">
        <v>999</v>
      </c>
      <c r="O55" t="s">
        <v>24</v>
      </c>
      <c r="P55">
        <v>3</v>
      </c>
      <c r="Q55">
        <v>13.303723137</v>
      </c>
    </row>
    <row r="56" spans="1:20" hidden="1" x14ac:dyDescent="0.25">
      <c r="A56" t="s">
        <v>43</v>
      </c>
      <c r="B56" t="s">
        <v>92</v>
      </c>
      <c r="C56">
        <v>1905</v>
      </c>
      <c r="D56" t="s">
        <v>2139</v>
      </c>
      <c r="E56" t="s">
        <v>47</v>
      </c>
      <c r="F56" t="s">
        <v>40</v>
      </c>
      <c r="G56" t="s">
        <v>237</v>
      </c>
      <c r="H56" t="s">
        <v>1224</v>
      </c>
      <c r="I56" t="s">
        <v>26</v>
      </c>
      <c r="J56">
        <v>93514</v>
      </c>
      <c r="K56">
        <v>37.322994999999999</v>
      </c>
      <c r="L56">
        <v>-118.501936</v>
      </c>
      <c r="M56" t="s">
        <v>2139</v>
      </c>
      <c r="N56">
        <v>999</v>
      </c>
      <c r="O56" t="s">
        <v>24</v>
      </c>
      <c r="P56">
        <v>7.95</v>
      </c>
      <c r="Q56">
        <v>33.181652108999998</v>
      </c>
    </row>
    <row r="57" spans="1:20" hidden="1" x14ac:dyDescent="0.25">
      <c r="A57" t="s">
        <v>43</v>
      </c>
      <c r="B57" t="s">
        <v>92</v>
      </c>
      <c r="C57">
        <v>2008</v>
      </c>
      <c r="D57" t="s">
        <v>2138</v>
      </c>
      <c r="E57" t="s">
        <v>90</v>
      </c>
      <c r="F57" t="s">
        <v>40</v>
      </c>
      <c r="G57" t="s">
        <v>190</v>
      </c>
      <c r="H57" t="s">
        <v>133</v>
      </c>
      <c r="I57" t="s">
        <v>26</v>
      </c>
      <c r="J57">
        <v>92374</v>
      </c>
      <c r="K57" s="19" t="s">
        <v>2075</v>
      </c>
      <c r="L57">
        <v>-117.21469444444401</v>
      </c>
      <c r="M57" t="s">
        <v>2138</v>
      </c>
      <c r="N57">
        <v>999</v>
      </c>
      <c r="O57" t="s">
        <v>36</v>
      </c>
      <c r="P57">
        <v>2</v>
      </c>
      <c r="Q57">
        <v>3.6216684730000002</v>
      </c>
    </row>
    <row r="58" spans="1:20" hidden="1" x14ac:dyDescent="0.25">
      <c r="A58" t="s">
        <v>43</v>
      </c>
      <c r="B58" t="s">
        <v>92</v>
      </c>
      <c r="C58">
        <v>2008</v>
      </c>
      <c r="D58" t="s">
        <v>2137</v>
      </c>
      <c r="E58" t="s">
        <v>90</v>
      </c>
      <c r="F58" t="s">
        <v>40</v>
      </c>
      <c r="G58" t="s">
        <v>1511</v>
      </c>
      <c r="H58" t="s">
        <v>133</v>
      </c>
      <c r="I58" t="s">
        <v>26</v>
      </c>
      <c r="J58">
        <v>92374</v>
      </c>
      <c r="K58">
        <v>34.0837</v>
      </c>
      <c r="L58">
        <v>-117.220777777777</v>
      </c>
      <c r="M58" t="s">
        <v>2137</v>
      </c>
      <c r="N58">
        <v>999</v>
      </c>
      <c r="O58" t="s">
        <v>36</v>
      </c>
      <c r="P58">
        <v>2.5</v>
      </c>
      <c r="Q58">
        <v>4.5270855919999997</v>
      </c>
    </row>
    <row r="59" spans="1:20" hidden="1" x14ac:dyDescent="0.25">
      <c r="A59" t="s">
        <v>43</v>
      </c>
      <c r="B59" t="s">
        <v>92</v>
      </c>
      <c r="C59">
        <v>2008</v>
      </c>
      <c r="D59" t="s">
        <v>2136</v>
      </c>
      <c r="E59" t="s">
        <v>90</v>
      </c>
      <c r="F59" t="s">
        <v>40</v>
      </c>
      <c r="G59" t="s">
        <v>2120</v>
      </c>
      <c r="H59" t="s">
        <v>133</v>
      </c>
      <c r="I59" t="s">
        <v>26</v>
      </c>
      <c r="J59">
        <v>92336</v>
      </c>
      <c r="K59">
        <v>34.133400000000002</v>
      </c>
      <c r="L59">
        <v>-117.42635</v>
      </c>
      <c r="M59" t="s">
        <v>2136</v>
      </c>
      <c r="N59">
        <v>999</v>
      </c>
      <c r="O59" t="s">
        <v>36</v>
      </c>
      <c r="P59">
        <v>6</v>
      </c>
      <c r="Q59">
        <v>10.865005419999999</v>
      </c>
    </row>
    <row r="60" spans="1:20" hidden="1" x14ac:dyDescent="0.25">
      <c r="A60" t="s">
        <v>43</v>
      </c>
      <c r="B60" t="s">
        <v>92</v>
      </c>
      <c r="C60">
        <v>2008</v>
      </c>
      <c r="D60" t="s">
        <v>2134</v>
      </c>
      <c r="E60" t="s">
        <v>90</v>
      </c>
      <c r="F60" t="s">
        <v>40</v>
      </c>
      <c r="G60" t="s">
        <v>2120</v>
      </c>
      <c r="H60" t="s">
        <v>133</v>
      </c>
      <c r="I60" t="s">
        <v>26</v>
      </c>
      <c r="J60">
        <v>92336</v>
      </c>
      <c r="K60" s="19" t="s">
        <v>2135</v>
      </c>
      <c r="L60">
        <v>-117.42659999999999</v>
      </c>
      <c r="M60" t="s">
        <v>2134</v>
      </c>
      <c r="N60">
        <v>999</v>
      </c>
      <c r="O60" t="s">
        <v>36</v>
      </c>
      <c r="P60">
        <v>2</v>
      </c>
      <c r="Q60">
        <v>3.6216684730000002</v>
      </c>
    </row>
    <row r="61" spans="1:20" hidden="1" x14ac:dyDescent="0.25">
      <c r="A61" t="s">
        <v>43</v>
      </c>
      <c r="B61" t="s">
        <v>66</v>
      </c>
      <c r="C61">
        <v>2022</v>
      </c>
      <c r="D61" t="s">
        <v>221</v>
      </c>
      <c r="E61" t="s">
        <v>30</v>
      </c>
      <c r="F61" t="s">
        <v>40</v>
      </c>
      <c r="G61" t="s">
        <v>2133</v>
      </c>
      <c r="H61" t="s">
        <v>1178</v>
      </c>
      <c r="I61" t="s">
        <v>988</v>
      </c>
      <c r="J61">
        <v>88135</v>
      </c>
      <c r="K61" t="s">
        <v>109</v>
      </c>
      <c r="L61" t="s">
        <v>109</v>
      </c>
      <c r="M61" t="s">
        <v>221</v>
      </c>
      <c r="N61">
        <v>1</v>
      </c>
      <c r="O61" t="s">
        <v>220</v>
      </c>
      <c r="Q61">
        <v>8</v>
      </c>
      <c r="S61" s="18">
        <v>44824</v>
      </c>
      <c r="T61" s="18">
        <v>44847</v>
      </c>
    </row>
    <row r="62" spans="1:20" hidden="1" x14ac:dyDescent="0.25">
      <c r="A62" t="s">
        <v>43</v>
      </c>
      <c r="B62" t="s">
        <v>92</v>
      </c>
      <c r="C62">
        <v>1902</v>
      </c>
      <c r="D62" t="s">
        <v>2132</v>
      </c>
      <c r="E62" t="s">
        <v>47</v>
      </c>
      <c r="F62" t="s">
        <v>40</v>
      </c>
      <c r="G62" t="s">
        <v>1754</v>
      </c>
      <c r="H62" t="s">
        <v>259</v>
      </c>
      <c r="I62" t="s">
        <v>26</v>
      </c>
      <c r="J62">
        <v>91711</v>
      </c>
      <c r="K62">
        <v>34.17342</v>
      </c>
      <c r="L62">
        <v>-117.676148</v>
      </c>
      <c r="M62" t="s">
        <v>2132</v>
      </c>
      <c r="N62">
        <v>999</v>
      </c>
      <c r="O62" t="s">
        <v>24</v>
      </c>
      <c r="P62">
        <v>0.6</v>
      </c>
      <c r="Q62">
        <v>3.4843431140000001</v>
      </c>
    </row>
    <row r="63" spans="1:20" hidden="1" x14ac:dyDescent="0.25">
      <c r="A63" t="s">
        <v>43</v>
      </c>
      <c r="B63" t="s">
        <v>92</v>
      </c>
      <c r="C63">
        <v>1962</v>
      </c>
      <c r="D63" t="s">
        <v>2131</v>
      </c>
      <c r="E63" t="s">
        <v>47</v>
      </c>
      <c r="F63" t="s">
        <v>40</v>
      </c>
      <c r="G63" t="s">
        <v>1754</v>
      </c>
      <c r="H63" t="s">
        <v>259</v>
      </c>
      <c r="I63" t="s">
        <v>26</v>
      </c>
      <c r="J63">
        <v>91711</v>
      </c>
      <c r="K63">
        <v>34.223042999999997</v>
      </c>
      <c r="L63">
        <v>-117.66730200000001</v>
      </c>
      <c r="M63" t="s">
        <v>2131</v>
      </c>
      <c r="N63">
        <v>999</v>
      </c>
      <c r="O63" t="s">
        <v>24</v>
      </c>
      <c r="P63">
        <v>0.32</v>
      </c>
      <c r="Q63">
        <v>1.3409881560000001</v>
      </c>
    </row>
    <row r="64" spans="1:20" hidden="1" x14ac:dyDescent="0.25">
      <c r="A64" t="s">
        <v>33</v>
      </c>
      <c r="B64" t="s">
        <v>32</v>
      </c>
      <c r="C64">
        <v>1991</v>
      </c>
      <c r="D64" t="s">
        <v>2129</v>
      </c>
      <c r="E64" t="s">
        <v>47</v>
      </c>
      <c r="F64" t="s">
        <v>40</v>
      </c>
      <c r="G64" t="s">
        <v>2130</v>
      </c>
      <c r="H64" t="s">
        <v>649</v>
      </c>
      <c r="I64" t="s">
        <v>26</v>
      </c>
      <c r="J64">
        <v>95942</v>
      </c>
      <c r="K64">
        <v>39.879975000000002</v>
      </c>
      <c r="L64">
        <v>-121.70105</v>
      </c>
      <c r="M64" t="s">
        <v>2129</v>
      </c>
      <c r="N64">
        <v>999</v>
      </c>
      <c r="O64" t="s">
        <v>24</v>
      </c>
      <c r="P64">
        <v>2.5000000000000001E-3</v>
      </c>
      <c r="Q64">
        <v>0.01</v>
      </c>
    </row>
    <row r="65" spans="1:20" hidden="1" x14ac:dyDescent="0.25">
      <c r="A65" t="s">
        <v>33</v>
      </c>
      <c r="B65" t="s">
        <v>32</v>
      </c>
      <c r="C65">
        <v>1982</v>
      </c>
      <c r="D65" t="s">
        <v>2128</v>
      </c>
      <c r="E65" t="s">
        <v>47</v>
      </c>
      <c r="F65" t="s">
        <v>40</v>
      </c>
      <c r="G65" t="s">
        <v>1804</v>
      </c>
      <c r="H65" t="s">
        <v>74</v>
      </c>
      <c r="I65" t="s">
        <v>26</v>
      </c>
      <c r="J65">
        <v>96040</v>
      </c>
      <c r="K65">
        <v>40.795245000000001</v>
      </c>
      <c r="L65">
        <v>-121.501217</v>
      </c>
      <c r="M65" t="s">
        <v>2128</v>
      </c>
      <c r="N65">
        <v>999</v>
      </c>
      <c r="O65" t="s">
        <v>24</v>
      </c>
      <c r="P65">
        <v>0.1</v>
      </c>
      <c r="Q65">
        <v>0.31</v>
      </c>
    </row>
    <row r="66" spans="1:20" hidden="1" x14ac:dyDescent="0.25">
      <c r="A66" t="s">
        <v>33</v>
      </c>
      <c r="B66" t="s">
        <v>127</v>
      </c>
      <c r="C66">
        <v>2016</v>
      </c>
      <c r="D66" t="s">
        <v>2127</v>
      </c>
      <c r="E66" t="s">
        <v>47</v>
      </c>
      <c r="F66" t="s">
        <v>29</v>
      </c>
      <c r="G66" t="s">
        <v>896</v>
      </c>
      <c r="H66" t="s">
        <v>74</v>
      </c>
      <c r="I66" t="s">
        <v>26</v>
      </c>
      <c r="J66">
        <v>96069</v>
      </c>
      <c r="K66">
        <v>40.685153999999997</v>
      </c>
      <c r="L66">
        <v>-122.02472</v>
      </c>
      <c r="M66" t="s">
        <v>2126</v>
      </c>
      <c r="N66">
        <v>2</v>
      </c>
      <c r="O66" t="s">
        <v>36</v>
      </c>
      <c r="P66">
        <v>0.999</v>
      </c>
      <c r="Q66">
        <v>7.5</v>
      </c>
    </row>
    <row r="67" spans="1:20" hidden="1" x14ac:dyDescent="0.25">
      <c r="A67" t="s">
        <v>33</v>
      </c>
      <c r="B67" t="s">
        <v>32</v>
      </c>
      <c r="C67">
        <v>1985</v>
      </c>
      <c r="D67" t="s">
        <v>2125</v>
      </c>
      <c r="E67" t="s">
        <v>47</v>
      </c>
      <c r="F67" t="s">
        <v>40</v>
      </c>
      <c r="G67" t="s">
        <v>1962</v>
      </c>
      <c r="H67" t="s">
        <v>74</v>
      </c>
      <c r="I67" t="s">
        <v>26</v>
      </c>
      <c r="J67">
        <v>96062</v>
      </c>
      <c r="K67">
        <v>40.566195</v>
      </c>
      <c r="L67">
        <v>-122.027058</v>
      </c>
      <c r="M67" t="s">
        <v>2125</v>
      </c>
      <c r="N67">
        <v>999</v>
      </c>
      <c r="O67" t="s">
        <v>24</v>
      </c>
      <c r="P67">
        <v>0.1</v>
      </c>
      <c r="Q67">
        <v>0.19</v>
      </c>
    </row>
    <row r="68" spans="1:20" hidden="1" x14ac:dyDescent="0.25">
      <c r="A68" t="s">
        <v>43</v>
      </c>
      <c r="B68" t="s">
        <v>92</v>
      </c>
      <c r="C68">
        <v>1900</v>
      </c>
      <c r="D68" t="s">
        <v>2124</v>
      </c>
      <c r="E68" t="s">
        <v>47</v>
      </c>
      <c r="F68" t="s">
        <v>40</v>
      </c>
      <c r="G68" t="s">
        <v>2105</v>
      </c>
      <c r="H68" t="s">
        <v>133</v>
      </c>
      <c r="I68" t="s">
        <v>26</v>
      </c>
      <c r="J68">
        <v>92346</v>
      </c>
      <c r="K68">
        <v>34.107605</v>
      </c>
      <c r="L68">
        <v>-117.099071</v>
      </c>
      <c r="M68" t="s">
        <v>2124</v>
      </c>
      <c r="N68">
        <v>999</v>
      </c>
      <c r="O68" t="s">
        <v>24</v>
      </c>
      <c r="P68">
        <v>3.1</v>
      </c>
      <c r="Q68">
        <v>9.7306773690000004</v>
      </c>
    </row>
    <row r="69" spans="1:20" hidden="1" x14ac:dyDescent="0.25">
      <c r="A69" t="s">
        <v>43</v>
      </c>
      <c r="B69" t="s">
        <v>92</v>
      </c>
      <c r="C69">
        <v>1922</v>
      </c>
      <c r="D69" t="s">
        <v>117</v>
      </c>
      <c r="E69" t="s">
        <v>47</v>
      </c>
      <c r="F69" t="s">
        <v>40</v>
      </c>
      <c r="G69" t="s">
        <v>1754</v>
      </c>
      <c r="H69" t="s">
        <v>259</v>
      </c>
      <c r="I69" t="s">
        <v>26</v>
      </c>
      <c r="J69">
        <v>91711</v>
      </c>
      <c r="K69">
        <v>34.208373000000002</v>
      </c>
      <c r="L69">
        <v>-117.674955</v>
      </c>
      <c r="M69" t="s">
        <v>117</v>
      </c>
      <c r="N69">
        <v>999</v>
      </c>
      <c r="O69" t="s">
        <v>24</v>
      </c>
      <c r="P69">
        <v>0.48</v>
      </c>
      <c r="Q69">
        <v>2.5044110489999998</v>
      </c>
    </row>
    <row r="70" spans="1:20" hidden="1" x14ac:dyDescent="0.25">
      <c r="A70" t="s">
        <v>43</v>
      </c>
      <c r="B70" t="s">
        <v>92</v>
      </c>
      <c r="C70">
        <v>1909</v>
      </c>
      <c r="D70" t="s">
        <v>2123</v>
      </c>
      <c r="E70" t="s">
        <v>47</v>
      </c>
      <c r="F70" t="s">
        <v>40</v>
      </c>
      <c r="G70" t="s">
        <v>1925</v>
      </c>
      <c r="H70" t="s">
        <v>181</v>
      </c>
      <c r="I70" t="s">
        <v>26</v>
      </c>
      <c r="J70">
        <v>93265</v>
      </c>
      <c r="K70">
        <v>36.135708999999999</v>
      </c>
      <c r="L70">
        <v>-118.788825</v>
      </c>
      <c r="M70" t="s">
        <v>2123</v>
      </c>
      <c r="N70">
        <v>999</v>
      </c>
      <c r="O70" t="s">
        <v>24</v>
      </c>
      <c r="P70">
        <v>2.52</v>
      </c>
      <c r="Q70">
        <v>6.1132603760000004</v>
      </c>
    </row>
    <row r="71" spans="1:20" hidden="1" x14ac:dyDescent="0.25">
      <c r="A71" t="s">
        <v>43</v>
      </c>
      <c r="B71" t="s">
        <v>92</v>
      </c>
      <c r="C71">
        <v>2008</v>
      </c>
      <c r="D71" t="s">
        <v>2122</v>
      </c>
      <c r="E71" t="s">
        <v>90</v>
      </c>
      <c r="F71" t="s">
        <v>40</v>
      </c>
      <c r="G71" t="s">
        <v>171</v>
      </c>
      <c r="H71" t="s">
        <v>133</v>
      </c>
      <c r="I71" t="s">
        <v>26</v>
      </c>
      <c r="J71">
        <v>91710</v>
      </c>
      <c r="K71">
        <v>33.986111000000001</v>
      </c>
      <c r="L71">
        <v>-117.701364</v>
      </c>
      <c r="M71" t="s">
        <v>2122</v>
      </c>
      <c r="N71">
        <v>999</v>
      </c>
      <c r="O71" t="s">
        <v>24</v>
      </c>
      <c r="P71">
        <v>1</v>
      </c>
      <c r="Q71">
        <v>1.8108342369999999</v>
      </c>
    </row>
    <row r="72" spans="1:20" hidden="1" x14ac:dyDescent="0.25">
      <c r="A72" t="s">
        <v>33</v>
      </c>
      <c r="B72" t="s">
        <v>32</v>
      </c>
      <c r="C72">
        <v>1984</v>
      </c>
      <c r="D72" t="s">
        <v>2121</v>
      </c>
      <c r="E72" t="s">
        <v>47</v>
      </c>
      <c r="F72" t="s">
        <v>29</v>
      </c>
      <c r="G72" t="s">
        <v>118</v>
      </c>
      <c r="H72" t="s">
        <v>117</v>
      </c>
      <c r="I72" t="s">
        <v>26</v>
      </c>
      <c r="J72">
        <v>96125</v>
      </c>
      <c r="K72">
        <v>39.568705999999999</v>
      </c>
      <c r="L72">
        <v>-120.614896</v>
      </c>
      <c r="M72" t="s">
        <v>2016</v>
      </c>
      <c r="N72">
        <v>30</v>
      </c>
      <c r="O72" t="s">
        <v>24</v>
      </c>
      <c r="P72">
        <v>6.1</v>
      </c>
      <c r="Q72">
        <v>8.2100000000000009</v>
      </c>
    </row>
    <row r="73" spans="1:20" hidden="1" x14ac:dyDescent="0.25">
      <c r="A73" t="s">
        <v>43</v>
      </c>
      <c r="B73" t="s">
        <v>92</v>
      </c>
      <c r="C73">
        <v>2008</v>
      </c>
      <c r="D73" t="s">
        <v>2119</v>
      </c>
      <c r="E73" t="s">
        <v>90</v>
      </c>
      <c r="F73" t="s">
        <v>40</v>
      </c>
      <c r="G73" t="s">
        <v>2120</v>
      </c>
      <c r="H73" t="s">
        <v>133</v>
      </c>
      <c r="I73" t="s">
        <v>26</v>
      </c>
      <c r="J73">
        <v>92376</v>
      </c>
      <c r="K73">
        <v>34.095757999999996</v>
      </c>
      <c r="L73">
        <v>-117.400617</v>
      </c>
      <c r="M73" t="s">
        <v>2119</v>
      </c>
      <c r="N73">
        <v>999</v>
      </c>
      <c r="O73" t="s">
        <v>36</v>
      </c>
      <c r="P73">
        <v>1</v>
      </c>
      <c r="Q73">
        <v>1.8108342369999999</v>
      </c>
    </row>
    <row r="74" spans="1:20" hidden="1" x14ac:dyDescent="0.25">
      <c r="A74" t="s">
        <v>43</v>
      </c>
      <c r="B74" t="s">
        <v>92</v>
      </c>
      <c r="C74">
        <v>2008</v>
      </c>
      <c r="D74" t="s">
        <v>2118</v>
      </c>
      <c r="E74" t="s">
        <v>90</v>
      </c>
      <c r="F74" t="s">
        <v>40</v>
      </c>
      <c r="G74" t="s">
        <v>190</v>
      </c>
      <c r="H74" t="s">
        <v>133</v>
      </c>
      <c r="I74" t="s">
        <v>26</v>
      </c>
      <c r="J74">
        <v>92374</v>
      </c>
      <c r="K74">
        <v>34.087105999999999</v>
      </c>
      <c r="L74">
        <v>-117.229214</v>
      </c>
      <c r="M74" t="s">
        <v>2118</v>
      </c>
      <c r="N74">
        <v>999</v>
      </c>
      <c r="O74" t="s">
        <v>36</v>
      </c>
      <c r="P74">
        <v>2.5</v>
      </c>
      <c r="Q74">
        <v>4.5270855919999997</v>
      </c>
    </row>
    <row r="75" spans="1:20" hidden="1" x14ac:dyDescent="0.25">
      <c r="A75" t="s">
        <v>43</v>
      </c>
      <c r="B75" t="s">
        <v>92</v>
      </c>
      <c r="C75">
        <v>2008</v>
      </c>
      <c r="D75" t="s">
        <v>2117</v>
      </c>
      <c r="E75" t="s">
        <v>90</v>
      </c>
      <c r="F75" t="s">
        <v>40</v>
      </c>
      <c r="G75" t="s">
        <v>1000</v>
      </c>
      <c r="H75" t="s">
        <v>133</v>
      </c>
      <c r="I75" t="s">
        <v>26</v>
      </c>
      <c r="J75">
        <v>91761</v>
      </c>
      <c r="K75">
        <v>34.042025000000002</v>
      </c>
      <c r="L75">
        <v>-117.574894</v>
      </c>
      <c r="M75" t="s">
        <v>2117</v>
      </c>
      <c r="N75">
        <v>999</v>
      </c>
      <c r="O75" t="s">
        <v>36</v>
      </c>
      <c r="P75">
        <v>2</v>
      </c>
      <c r="Q75">
        <v>3.6216684730000002</v>
      </c>
    </row>
    <row r="76" spans="1:20" hidden="1" x14ac:dyDescent="0.25">
      <c r="A76" t="s">
        <v>33</v>
      </c>
      <c r="B76" t="s">
        <v>127</v>
      </c>
      <c r="C76">
        <v>2020</v>
      </c>
      <c r="D76" t="s">
        <v>277</v>
      </c>
      <c r="E76" t="s">
        <v>47</v>
      </c>
      <c r="F76" t="s">
        <v>29</v>
      </c>
      <c r="G76" t="s">
        <v>278</v>
      </c>
      <c r="H76" t="s">
        <v>146</v>
      </c>
      <c r="I76" t="s">
        <v>26</v>
      </c>
      <c r="J76">
        <v>93626</v>
      </c>
      <c r="K76">
        <v>37.000556000000003</v>
      </c>
      <c r="L76">
        <v>-119.70527800000001</v>
      </c>
      <c r="M76" t="s">
        <v>277</v>
      </c>
      <c r="N76">
        <v>1</v>
      </c>
      <c r="O76" t="s">
        <v>36</v>
      </c>
      <c r="P76">
        <v>0.47499999999999998</v>
      </c>
      <c r="Q76">
        <v>3.5</v>
      </c>
    </row>
    <row r="77" spans="1:20" hidden="1" x14ac:dyDescent="0.25">
      <c r="A77" t="s">
        <v>43</v>
      </c>
      <c r="B77" t="s">
        <v>32</v>
      </c>
      <c r="C77">
        <v>1984</v>
      </c>
      <c r="D77" t="s">
        <v>2116</v>
      </c>
      <c r="E77" t="s">
        <v>143</v>
      </c>
      <c r="F77" t="s">
        <v>29</v>
      </c>
      <c r="G77" t="s">
        <v>142</v>
      </c>
      <c r="H77" t="s">
        <v>305</v>
      </c>
      <c r="I77" t="s">
        <v>26</v>
      </c>
      <c r="J77">
        <v>92257</v>
      </c>
      <c r="K77">
        <v>33.164900000000003</v>
      </c>
      <c r="L77">
        <v>-115.615611</v>
      </c>
      <c r="M77" t="s">
        <v>2116</v>
      </c>
      <c r="N77">
        <v>30</v>
      </c>
      <c r="O77" t="s">
        <v>24</v>
      </c>
      <c r="P77">
        <v>38</v>
      </c>
      <c r="Q77">
        <v>308.98</v>
      </c>
    </row>
    <row r="78" spans="1:20" hidden="1" x14ac:dyDescent="0.25">
      <c r="A78" t="s">
        <v>33</v>
      </c>
      <c r="B78" t="s">
        <v>206</v>
      </c>
      <c r="C78">
        <v>2011</v>
      </c>
      <c r="D78" t="s">
        <v>2115</v>
      </c>
      <c r="E78" t="s">
        <v>30</v>
      </c>
      <c r="F78" t="s">
        <v>29</v>
      </c>
      <c r="G78" t="s">
        <v>149</v>
      </c>
      <c r="H78" t="s">
        <v>12</v>
      </c>
      <c r="I78" t="s">
        <v>26</v>
      </c>
      <c r="J78">
        <v>93561</v>
      </c>
      <c r="K78">
        <v>35.06</v>
      </c>
      <c r="L78">
        <v>-118.4</v>
      </c>
      <c r="M78" t="s">
        <v>2114</v>
      </c>
      <c r="N78">
        <v>10</v>
      </c>
      <c r="O78" t="s">
        <v>36</v>
      </c>
      <c r="P78">
        <v>8.7100000000000009</v>
      </c>
      <c r="Q78">
        <v>15.41</v>
      </c>
      <c r="R78" t="s">
        <v>544</v>
      </c>
      <c r="S78" s="18">
        <v>40998</v>
      </c>
      <c r="T78" s="18">
        <v>41031</v>
      </c>
    </row>
    <row r="79" spans="1:20" hidden="1" x14ac:dyDescent="0.25">
      <c r="A79" t="s">
        <v>43</v>
      </c>
      <c r="B79" t="s">
        <v>92</v>
      </c>
      <c r="C79">
        <v>1908</v>
      </c>
      <c r="D79" t="s">
        <v>2113</v>
      </c>
      <c r="E79" t="s">
        <v>47</v>
      </c>
      <c r="F79" t="s">
        <v>40</v>
      </c>
      <c r="G79" t="s">
        <v>237</v>
      </c>
      <c r="H79" t="s">
        <v>1224</v>
      </c>
      <c r="I79" t="s">
        <v>26</v>
      </c>
      <c r="J79">
        <v>93514</v>
      </c>
      <c r="K79">
        <v>37.273681000000003</v>
      </c>
      <c r="L79">
        <v>-118.573508</v>
      </c>
      <c r="M79" t="s">
        <v>2113</v>
      </c>
      <c r="N79">
        <v>999</v>
      </c>
      <c r="O79" t="s">
        <v>24</v>
      </c>
      <c r="P79">
        <v>7.32</v>
      </c>
      <c r="Q79">
        <v>47.612355303999998</v>
      </c>
    </row>
    <row r="80" spans="1:20" hidden="1" x14ac:dyDescent="0.25">
      <c r="A80" t="s">
        <v>43</v>
      </c>
      <c r="B80" t="s">
        <v>92</v>
      </c>
      <c r="C80">
        <v>1913</v>
      </c>
      <c r="D80" t="s">
        <v>2112</v>
      </c>
      <c r="E80" t="s">
        <v>47</v>
      </c>
      <c r="F80" t="s">
        <v>40</v>
      </c>
      <c r="G80" t="s">
        <v>237</v>
      </c>
      <c r="H80" t="s">
        <v>1224</v>
      </c>
      <c r="I80" t="s">
        <v>26</v>
      </c>
      <c r="J80">
        <v>93514</v>
      </c>
      <c r="K80">
        <v>37.302067000000001</v>
      </c>
      <c r="L80">
        <v>-118.53206299999999</v>
      </c>
      <c r="M80" t="s">
        <v>2112</v>
      </c>
      <c r="N80">
        <v>999</v>
      </c>
      <c r="O80" t="s">
        <v>24</v>
      </c>
      <c r="P80">
        <v>7.84</v>
      </c>
      <c r="Q80">
        <v>47.365286165000001</v>
      </c>
    </row>
    <row r="81" spans="1:23" hidden="1" x14ac:dyDescent="0.25">
      <c r="A81" t="s">
        <v>43</v>
      </c>
      <c r="B81" t="s">
        <v>92</v>
      </c>
      <c r="C81">
        <v>1904</v>
      </c>
      <c r="D81" t="s">
        <v>2111</v>
      </c>
      <c r="E81" t="s">
        <v>47</v>
      </c>
      <c r="F81" t="s">
        <v>29</v>
      </c>
      <c r="G81" t="s">
        <v>1230</v>
      </c>
      <c r="H81" t="s">
        <v>12</v>
      </c>
      <c r="I81" t="s">
        <v>26</v>
      </c>
      <c r="J81">
        <v>93306</v>
      </c>
      <c r="K81">
        <v>35.587963000000002</v>
      </c>
      <c r="L81">
        <v>-118.524563</v>
      </c>
      <c r="M81" t="s">
        <v>2111</v>
      </c>
      <c r="N81">
        <v>999</v>
      </c>
      <c r="O81" t="s">
        <v>24</v>
      </c>
      <c r="P81">
        <v>12</v>
      </c>
    </row>
    <row r="82" spans="1:23" hidden="1" x14ac:dyDescent="0.25">
      <c r="A82" t="s">
        <v>43</v>
      </c>
      <c r="B82" t="s">
        <v>32</v>
      </c>
      <c r="C82">
        <v>1984</v>
      </c>
      <c r="D82" t="s">
        <v>2110</v>
      </c>
      <c r="E82" t="s">
        <v>41</v>
      </c>
      <c r="F82" t="s">
        <v>52</v>
      </c>
      <c r="G82" t="s">
        <v>181</v>
      </c>
      <c r="H82" t="s">
        <v>181</v>
      </c>
      <c r="I82" t="s">
        <v>26</v>
      </c>
      <c r="J82">
        <v>93274</v>
      </c>
      <c r="K82">
        <v>36.155999999999999</v>
      </c>
      <c r="L82">
        <v>-119.25951000000001</v>
      </c>
      <c r="M82" t="s">
        <v>2110</v>
      </c>
      <c r="N82">
        <v>999</v>
      </c>
      <c r="O82" t="s">
        <v>24</v>
      </c>
      <c r="P82">
        <v>7.4999999999999997E-2</v>
      </c>
      <c r="Q82">
        <v>0.11</v>
      </c>
      <c r="W82" s="18">
        <v>43108</v>
      </c>
    </row>
    <row r="83" spans="1:23" hidden="1" x14ac:dyDescent="0.25">
      <c r="A83" t="s">
        <v>43</v>
      </c>
      <c r="B83" t="s">
        <v>92</v>
      </c>
      <c r="C83">
        <v>1956</v>
      </c>
      <c r="D83" t="s">
        <v>2108</v>
      </c>
      <c r="E83" t="s">
        <v>47</v>
      </c>
      <c r="F83" t="s">
        <v>40</v>
      </c>
      <c r="G83" t="s">
        <v>2109</v>
      </c>
      <c r="H83" t="s">
        <v>178</v>
      </c>
      <c r="I83" t="s">
        <v>26</v>
      </c>
      <c r="J83">
        <v>93664</v>
      </c>
      <c r="K83">
        <v>37.256891000000003</v>
      </c>
      <c r="L83">
        <v>-119.15912299999999</v>
      </c>
      <c r="M83" t="s">
        <v>2108</v>
      </c>
      <c r="N83">
        <v>999</v>
      </c>
      <c r="O83" t="s">
        <v>24</v>
      </c>
      <c r="P83">
        <v>10.8</v>
      </c>
      <c r="Q83">
        <v>35.912882126</v>
      </c>
    </row>
    <row r="84" spans="1:23" hidden="1" x14ac:dyDescent="0.25">
      <c r="A84" t="s">
        <v>43</v>
      </c>
      <c r="B84" t="s">
        <v>92</v>
      </c>
      <c r="C84">
        <v>1916</v>
      </c>
      <c r="D84" t="s">
        <v>2106</v>
      </c>
      <c r="E84" t="s">
        <v>47</v>
      </c>
      <c r="F84" t="s">
        <v>40</v>
      </c>
      <c r="G84" t="s">
        <v>2107</v>
      </c>
      <c r="H84" t="s">
        <v>236</v>
      </c>
      <c r="I84" t="s">
        <v>26</v>
      </c>
      <c r="J84">
        <v>93529</v>
      </c>
      <c r="K84">
        <v>37.766359999999999</v>
      </c>
      <c r="L84">
        <v>-119.123015</v>
      </c>
      <c r="M84" t="s">
        <v>2106</v>
      </c>
      <c r="N84">
        <v>999</v>
      </c>
      <c r="O84" t="s">
        <v>24</v>
      </c>
      <c r="P84">
        <v>13.010999999999999</v>
      </c>
      <c r="Q84">
        <v>55.530333396000003</v>
      </c>
    </row>
    <row r="85" spans="1:23" hidden="1" x14ac:dyDescent="0.25">
      <c r="A85" t="s">
        <v>43</v>
      </c>
      <c r="B85" t="s">
        <v>92</v>
      </c>
      <c r="C85">
        <v>1900</v>
      </c>
      <c r="D85" t="s">
        <v>2104</v>
      </c>
      <c r="E85" t="s">
        <v>47</v>
      </c>
      <c r="F85" t="s">
        <v>40</v>
      </c>
      <c r="G85" t="s">
        <v>2105</v>
      </c>
      <c r="H85" t="s">
        <v>133</v>
      </c>
      <c r="I85" t="s">
        <v>26</v>
      </c>
      <c r="J85">
        <v>92346</v>
      </c>
      <c r="K85">
        <v>34.145468000000001</v>
      </c>
      <c r="L85">
        <v>-117.058752</v>
      </c>
      <c r="M85" t="s">
        <v>2104</v>
      </c>
      <c r="N85">
        <v>999</v>
      </c>
      <c r="O85" t="s">
        <v>24</v>
      </c>
      <c r="P85">
        <v>3.2</v>
      </c>
      <c r="Q85">
        <v>6.031249936</v>
      </c>
    </row>
    <row r="86" spans="1:23" hidden="1" x14ac:dyDescent="0.25">
      <c r="A86" t="s">
        <v>33</v>
      </c>
      <c r="B86" t="s">
        <v>32</v>
      </c>
      <c r="C86">
        <v>1985</v>
      </c>
      <c r="D86" t="s">
        <v>2103</v>
      </c>
      <c r="E86" t="s">
        <v>47</v>
      </c>
      <c r="F86" t="s">
        <v>29</v>
      </c>
      <c r="G86" t="s">
        <v>650</v>
      </c>
      <c r="H86" t="s">
        <v>649</v>
      </c>
      <c r="I86" t="s">
        <v>26</v>
      </c>
      <c r="J86">
        <v>95973</v>
      </c>
      <c r="K86">
        <v>39.558914999999999</v>
      </c>
      <c r="L86">
        <v>-121.296181</v>
      </c>
      <c r="M86" t="s">
        <v>903</v>
      </c>
      <c r="N86">
        <v>30</v>
      </c>
      <c r="O86" t="s">
        <v>24</v>
      </c>
      <c r="P86">
        <v>1.1000000000000001</v>
      </c>
      <c r="Q86">
        <v>1.69</v>
      </c>
    </row>
    <row r="87" spans="1:23" hidden="1" x14ac:dyDescent="0.25">
      <c r="A87" t="s">
        <v>33</v>
      </c>
      <c r="B87" t="s">
        <v>127</v>
      </c>
      <c r="C87">
        <v>2017</v>
      </c>
      <c r="D87" t="s">
        <v>2102</v>
      </c>
      <c r="E87" t="s">
        <v>47</v>
      </c>
      <c r="F87" t="s">
        <v>29</v>
      </c>
      <c r="G87" t="s">
        <v>175</v>
      </c>
      <c r="H87" t="s">
        <v>113</v>
      </c>
      <c r="I87" t="s">
        <v>26</v>
      </c>
      <c r="J87">
        <v>95726</v>
      </c>
      <c r="K87">
        <v>40.836112999999997</v>
      </c>
      <c r="L87">
        <v>-121.934445</v>
      </c>
      <c r="M87" t="s">
        <v>174</v>
      </c>
      <c r="N87">
        <v>3</v>
      </c>
      <c r="O87" t="s">
        <v>36</v>
      </c>
      <c r="P87">
        <v>2.8</v>
      </c>
      <c r="Q87">
        <v>7.11</v>
      </c>
    </row>
    <row r="88" spans="1:23" hidden="1" x14ac:dyDescent="0.25">
      <c r="A88" t="s">
        <v>33</v>
      </c>
      <c r="B88" t="s">
        <v>32</v>
      </c>
      <c r="C88">
        <v>1985</v>
      </c>
      <c r="D88" t="s">
        <v>2101</v>
      </c>
      <c r="E88" t="s">
        <v>47</v>
      </c>
      <c r="F88" t="s">
        <v>29</v>
      </c>
      <c r="G88" t="s">
        <v>165</v>
      </c>
      <c r="H88" t="s">
        <v>74</v>
      </c>
      <c r="I88" t="s">
        <v>26</v>
      </c>
      <c r="J88">
        <v>96065</v>
      </c>
      <c r="K88">
        <v>40.871668999999997</v>
      </c>
      <c r="L88">
        <v>-121.94861400000001</v>
      </c>
      <c r="M88" t="s">
        <v>2100</v>
      </c>
      <c r="N88">
        <v>30</v>
      </c>
      <c r="O88" t="s">
        <v>24</v>
      </c>
      <c r="P88">
        <v>5</v>
      </c>
      <c r="Q88">
        <v>14.83</v>
      </c>
    </row>
    <row r="89" spans="1:23" hidden="1" x14ac:dyDescent="0.25">
      <c r="A89" t="s">
        <v>33</v>
      </c>
      <c r="B89" t="s">
        <v>32</v>
      </c>
      <c r="C89">
        <v>1985</v>
      </c>
      <c r="D89" t="s">
        <v>247</v>
      </c>
      <c r="E89" t="s">
        <v>47</v>
      </c>
      <c r="F89" t="s">
        <v>29</v>
      </c>
      <c r="G89" t="s">
        <v>248</v>
      </c>
      <c r="H89" t="s">
        <v>74</v>
      </c>
      <c r="I89" t="s">
        <v>26</v>
      </c>
      <c r="J89">
        <v>96096</v>
      </c>
      <c r="K89">
        <v>40.6374</v>
      </c>
      <c r="L89">
        <v>-120.928</v>
      </c>
      <c r="M89" t="s">
        <v>247</v>
      </c>
      <c r="N89">
        <v>30</v>
      </c>
      <c r="O89" t="s">
        <v>24</v>
      </c>
      <c r="P89">
        <v>5</v>
      </c>
      <c r="Q89">
        <v>8.8000000000000007</v>
      </c>
    </row>
    <row r="90" spans="1:23" hidden="1" x14ac:dyDescent="0.25">
      <c r="A90" t="s">
        <v>33</v>
      </c>
      <c r="B90" t="s">
        <v>32</v>
      </c>
      <c r="C90">
        <v>1983</v>
      </c>
      <c r="D90" t="s">
        <v>2099</v>
      </c>
      <c r="E90" t="s">
        <v>47</v>
      </c>
      <c r="F90" t="s">
        <v>29</v>
      </c>
      <c r="G90" t="s">
        <v>278</v>
      </c>
      <c r="H90" t="s">
        <v>146</v>
      </c>
      <c r="I90" t="s">
        <v>26</v>
      </c>
      <c r="J90">
        <v>93626</v>
      </c>
      <c r="K90">
        <v>37.000556000000003</v>
      </c>
      <c r="L90">
        <v>-119.70527800000001</v>
      </c>
      <c r="M90" t="s">
        <v>2099</v>
      </c>
      <c r="N90">
        <v>30</v>
      </c>
      <c r="O90" t="s">
        <v>24</v>
      </c>
      <c r="P90">
        <v>25</v>
      </c>
      <c r="Q90">
        <v>80.126999999999995</v>
      </c>
    </row>
    <row r="91" spans="1:23" hidden="1" x14ac:dyDescent="0.25">
      <c r="A91" t="s">
        <v>33</v>
      </c>
      <c r="B91" t="s">
        <v>32</v>
      </c>
      <c r="C91">
        <v>1985</v>
      </c>
      <c r="D91" t="s">
        <v>2098</v>
      </c>
      <c r="E91" t="s">
        <v>47</v>
      </c>
      <c r="F91" t="s">
        <v>29</v>
      </c>
      <c r="G91" t="s">
        <v>852</v>
      </c>
      <c r="H91" t="s">
        <v>74</v>
      </c>
      <c r="I91" t="s">
        <v>26</v>
      </c>
      <c r="J91">
        <v>96059</v>
      </c>
      <c r="K91">
        <v>40.457779000000002</v>
      </c>
      <c r="L91">
        <v>-121.842502</v>
      </c>
      <c r="M91" t="s">
        <v>2097</v>
      </c>
      <c r="N91">
        <v>30</v>
      </c>
      <c r="O91" t="s">
        <v>24</v>
      </c>
      <c r="P91">
        <v>1.1000000000000001</v>
      </c>
      <c r="Q91">
        <v>2.25</v>
      </c>
    </row>
    <row r="92" spans="1:23" hidden="1" x14ac:dyDescent="0.25">
      <c r="A92" t="s">
        <v>33</v>
      </c>
      <c r="B92" t="s">
        <v>32</v>
      </c>
      <c r="C92">
        <v>1984</v>
      </c>
      <c r="D92" t="s">
        <v>2096</v>
      </c>
      <c r="E92" t="s">
        <v>47</v>
      </c>
      <c r="F92" t="s">
        <v>29</v>
      </c>
      <c r="G92" t="s">
        <v>865</v>
      </c>
      <c r="H92" t="s">
        <v>74</v>
      </c>
      <c r="I92" t="s">
        <v>26</v>
      </c>
      <c r="J92">
        <v>96011</v>
      </c>
      <c r="K92">
        <v>41.028913000000003</v>
      </c>
      <c r="L92">
        <v>-121.89237</v>
      </c>
      <c r="M92" t="s">
        <v>864</v>
      </c>
      <c r="N92">
        <v>30</v>
      </c>
      <c r="O92" t="s">
        <v>24</v>
      </c>
      <c r="P92">
        <v>1.1000000000000001</v>
      </c>
      <c r="Q92">
        <v>2.9</v>
      </c>
    </row>
    <row r="93" spans="1:23" hidden="1" x14ac:dyDescent="0.25">
      <c r="A93" t="s">
        <v>33</v>
      </c>
      <c r="B93" t="s">
        <v>32</v>
      </c>
      <c r="C93">
        <v>1984</v>
      </c>
      <c r="D93" t="s">
        <v>2095</v>
      </c>
      <c r="E93" t="s">
        <v>47</v>
      </c>
      <c r="F93" t="s">
        <v>40</v>
      </c>
      <c r="G93" t="s">
        <v>2094</v>
      </c>
      <c r="H93" t="s">
        <v>63</v>
      </c>
      <c r="I93" t="s">
        <v>26</v>
      </c>
      <c r="J93">
        <v>96056</v>
      </c>
      <c r="K93">
        <v>41.048498000000002</v>
      </c>
      <c r="L93">
        <v>-121.334423</v>
      </c>
      <c r="M93" t="s">
        <v>2093</v>
      </c>
      <c r="N93">
        <v>40</v>
      </c>
      <c r="O93" t="s">
        <v>24</v>
      </c>
      <c r="P93">
        <v>26</v>
      </c>
      <c r="Q93">
        <v>55.13</v>
      </c>
    </row>
    <row r="94" spans="1:23" hidden="1" x14ac:dyDescent="0.25">
      <c r="A94" t="s">
        <v>33</v>
      </c>
      <c r="B94" t="s">
        <v>32</v>
      </c>
      <c r="C94">
        <v>1985</v>
      </c>
      <c r="D94" t="s">
        <v>2092</v>
      </c>
      <c r="E94" t="s">
        <v>47</v>
      </c>
      <c r="F94" t="s">
        <v>40</v>
      </c>
      <c r="G94" t="s">
        <v>865</v>
      </c>
      <c r="H94" t="s">
        <v>74</v>
      </c>
      <c r="I94" t="s">
        <v>26</v>
      </c>
      <c r="J94">
        <v>96011</v>
      </c>
      <c r="K94">
        <v>41.021487999999998</v>
      </c>
      <c r="L94">
        <v>-121.911164</v>
      </c>
      <c r="M94" t="s">
        <v>2092</v>
      </c>
      <c r="N94">
        <v>999</v>
      </c>
      <c r="O94" t="s">
        <v>24</v>
      </c>
      <c r="P94">
        <v>0.3</v>
      </c>
      <c r="Q94">
        <v>1.02</v>
      </c>
    </row>
    <row r="95" spans="1:23" hidden="1" x14ac:dyDescent="0.25">
      <c r="A95" t="s">
        <v>33</v>
      </c>
      <c r="B95" t="s">
        <v>32</v>
      </c>
      <c r="C95">
        <v>1985</v>
      </c>
      <c r="D95" t="s">
        <v>2091</v>
      </c>
      <c r="E95" t="s">
        <v>47</v>
      </c>
      <c r="F95" t="s">
        <v>29</v>
      </c>
      <c r="G95" t="s">
        <v>148</v>
      </c>
      <c r="H95" t="s">
        <v>74</v>
      </c>
      <c r="I95" t="s">
        <v>26</v>
      </c>
      <c r="J95">
        <v>96069</v>
      </c>
      <c r="K95">
        <v>40.690097000000002</v>
      </c>
      <c r="L95">
        <v>-122.017348</v>
      </c>
      <c r="M95" t="s">
        <v>2090</v>
      </c>
      <c r="N95">
        <v>30</v>
      </c>
      <c r="O95" t="s">
        <v>24</v>
      </c>
      <c r="P95">
        <v>1</v>
      </c>
      <c r="Q95">
        <v>3.859</v>
      </c>
    </row>
    <row r="96" spans="1:23" hidden="1" x14ac:dyDescent="0.25">
      <c r="A96" t="s">
        <v>43</v>
      </c>
      <c r="B96" t="s">
        <v>92</v>
      </c>
      <c r="C96">
        <v>2008</v>
      </c>
      <c r="D96" t="s">
        <v>2089</v>
      </c>
      <c r="E96" t="s">
        <v>90</v>
      </c>
      <c r="F96" t="s">
        <v>40</v>
      </c>
      <c r="G96" t="s">
        <v>190</v>
      </c>
      <c r="H96" t="s">
        <v>133</v>
      </c>
      <c r="I96" t="s">
        <v>26</v>
      </c>
      <c r="J96">
        <v>92374</v>
      </c>
      <c r="K96">
        <v>34.087097</v>
      </c>
      <c r="L96">
        <v>-117.23219400000001</v>
      </c>
      <c r="M96" t="s">
        <v>2089</v>
      </c>
      <c r="N96">
        <v>999</v>
      </c>
      <c r="O96" t="s">
        <v>36</v>
      </c>
      <c r="P96">
        <v>2.5</v>
      </c>
      <c r="Q96">
        <v>4.5270855919999997</v>
      </c>
    </row>
    <row r="97" spans="1:23" hidden="1" x14ac:dyDescent="0.25">
      <c r="A97" t="s">
        <v>43</v>
      </c>
      <c r="B97" t="s">
        <v>32</v>
      </c>
      <c r="C97">
        <v>2012</v>
      </c>
      <c r="D97" t="s">
        <v>2088</v>
      </c>
      <c r="E97" t="s">
        <v>30</v>
      </c>
      <c r="F97" t="s">
        <v>29</v>
      </c>
      <c r="G97" t="s">
        <v>149</v>
      </c>
      <c r="H97" t="s">
        <v>12</v>
      </c>
      <c r="I97" t="s">
        <v>26</v>
      </c>
      <c r="J97">
        <v>93561</v>
      </c>
      <c r="K97">
        <v>35.058300000000003</v>
      </c>
      <c r="L97">
        <v>-118.370833</v>
      </c>
      <c r="M97" t="s">
        <v>2088</v>
      </c>
      <c r="N97">
        <v>7</v>
      </c>
      <c r="O97" t="s">
        <v>36</v>
      </c>
      <c r="P97">
        <v>4</v>
      </c>
      <c r="Q97">
        <v>9.67</v>
      </c>
    </row>
    <row r="98" spans="1:23" hidden="1" x14ac:dyDescent="0.25">
      <c r="A98" t="s">
        <v>43</v>
      </c>
      <c r="B98" t="s">
        <v>201</v>
      </c>
      <c r="C98">
        <v>2002</v>
      </c>
      <c r="D98" t="s">
        <v>2086</v>
      </c>
      <c r="E98" t="s">
        <v>30</v>
      </c>
      <c r="F98" t="s">
        <v>29</v>
      </c>
      <c r="G98" t="s">
        <v>2087</v>
      </c>
      <c r="H98" t="s">
        <v>88</v>
      </c>
      <c r="I98" t="s">
        <v>26</v>
      </c>
      <c r="J98">
        <v>92240</v>
      </c>
      <c r="K98">
        <v>33.935600000000001</v>
      </c>
      <c r="L98">
        <v>-116.539722</v>
      </c>
      <c r="M98" t="s">
        <v>2086</v>
      </c>
      <c r="N98">
        <v>10</v>
      </c>
      <c r="O98" t="s">
        <v>24</v>
      </c>
      <c r="P98">
        <v>66.599999999999994</v>
      </c>
      <c r="Q98">
        <v>219.9</v>
      </c>
      <c r="S98" s="18">
        <v>39813</v>
      </c>
      <c r="T98" s="18">
        <v>39982</v>
      </c>
      <c r="W98" s="18">
        <v>44469</v>
      </c>
    </row>
    <row r="99" spans="1:23" hidden="1" x14ac:dyDescent="0.25">
      <c r="A99" t="s">
        <v>43</v>
      </c>
      <c r="B99" t="s">
        <v>111</v>
      </c>
      <c r="C99">
        <v>2019</v>
      </c>
      <c r="D99" t="s">
        <v>2085</v>
      </c>
      <c r="E99" t="s">
        <v>109</v>
      </c>
      <c r="F99" t="s">
        <v>29</v>
      </c>
      <c r="G99" t="s">
        <v>109</v>
      </c>
      <c r="H99" t="s">
        <v>109</v>
      </c>
      <c r="I99" t="s">
        <v>109</v>
      </c>
      <c r="J99" t="s">
        <v>110</v>
      </c>
      <c r="K99" t="s">
        <v>109</v>
      </c>
      <c r="L99" t="s">
        <v>109</v>
      </c>
      <c r="M99" t="s">
        <v>2085</v>
      </c>
      <c r="N99">
        <v>1</v>
      </c>
      <c r="O99" t="s">
        <v>36</v>
      </c>
      <c r="P99">
        <v>8</v>
      </c>
      <c r="Q99">
        <v>70</v>
      </c>
    </row>
    <row r="100" spans="1:23" hidden="1" x14ac:dyDescent="0.25">
      <c r="A100" t="s">
        <v>43</v>
      </c>
      <c r="B100" t="s">
        <v>32</v>
      </c>
      <c r="C100">
        <v>1984</v>
      </c>
      <c r="D100" t="s">
        <v>2084</v>
      </c>
      <c r="E100" t="s">
        <v>143</v>
      </c>
      <c r="F100" t="s">
        <v>29</v>
      </c>
      <c r="G100" t="s">
        <v>142</v>
      </c>
      <c r="H100" t="s">
        <v>305</v>
      </c>
      <c r="I100" t="s">
        <v>26</v>
      </c>
      <c r="J100">
        <v>92257</v>
      </c>
      <c r="K100">
        <v>33.177700000000002</v>
      </c>
      <c r="L100">
        <v>-115.603235</v>
      </c>
      <c r="M100" t="s">
        <v>2084</v>
      </c>
      <c r="N100">
        <v>30</v>
      </c>
      <c r="O100" t="s">
        <v>24</v>
      </c>
      <c r="P100">
        <v>38</v>
      </c>
      <c r="Q100">
        <v>312.89999999999998</v>
      </c>
    </row>
    <row r="101" spans="1:23" hidden="1" x14ac:dyDescent="0.25">
      <c r="A101" t="s">
        <v>43</v>
      </c>
      <c r="B101" t="s">
        <v>92</v>
      </c>
      <c r="C101">
        <v>2008</v>
      </c>
      <c r="D101" t="s">
        <v>2082</v>
      </c>
      <c r="E101" t="s">
        <v>90</v>
      </c>
      <c r="F101" t="s">
        <v>40</v>
      </c>
      <c r="G101" t="s">
        <v>1000</v>
      </c>
      <c r="H101" t="s">
        <v>133</v>
      </c>
      <c r="I101" t="s">
        <v>26</v>
      </c>
      <c r="J101">
        <v>91761</v>
      </c>
      <c r="K101" s="19" t="s">
        <v>2083</v>
      </c>
      <c r="L101">
        <v>-117.563338888888</v>
      </c>
      <c r="M101" t="s">
        <v>2082</v>
      </c>
      <c r="N101">
        <v>999</v>
      </c>
      <c r="O101" t="s">
        <v>36</v>
      </c>
      <c r="P101">
        <v>2</v>
      </c>
      <c r="Q101">
        <v>3.6216684730000002</v>
      </c>
    </row>
    <row r="102" spans="1:23" hidden="1" x14ac:dyDescent="0.25">
      <c r="A102" t="s">
        <v>43</v>
      </c>
      <c r="B102" t="s">
        <v>92</v>
      </c>
      <c r="C102">
        <v>2008</v>
      </c>
      <c r="D102" t="s">
        <v>2080</v>
      </c>
      <c r="E102" t="s">
        <v>90</v>
      </c>
      <c r="F102" t="s">
        <v>40</v>
      </c>
      <c r="G102" t="s">
        <v>1000</v>
      </c>
      <c r="H102" t="s">
        <v>133</v>
      </c>
      <c r="I102" t="s">
        <v>26</v>
      </c>
      <c r="J102">
        <v>91761</v>
      </c>
      <c r="K102" s="19" t="s">
        <v>2081</v>
      </c>
      <c r="L102">
        <v>-117.573555555555</v>
      </c>
      <c r="M102" t="s">
        <v>2080</v>
      </c>
      <c r="N102">
        <v>999</v>
      </c>
      <c r="O102" t="s">
        <v>36</v>
      </c>
      <c r="P102">
        <v>1</v>
      </c>
      <c r="Q102">
        <v>1.8108342369999999</v>
      </c>
    </row>
    <row r="103" spans="1:23" hidden="1" x14ac:dyDescent="0.25">
      <c r="A103" t="s">
        <v>43</v>
      </c>
      <c r="B103" t="s">
        <v>92</v>
      </c>
      <c r="C103">
        <v>2008</v>
      </c>
      <c r="D103" t="s">
        <v>2078</v>
      </c>
      <c r="E103" t="s">
        <v>90</v>
      </c>
      <c r="F103" t="s">
        <v>40</v>
      </c>
      <c r="G103" t="s">
        <v>1511</v>
      </c>
      <c r="H103" t="s">
        <v>133</v>
      </c>
      <c r="I103" t="s">
        <v>26</v>
      </c>
      <c r="J103">
        <v>92335</v>
      </c>
      <c r="K103" s="19" t="s">
        <v>2079</v>
      </c>
      <c r="L103">
        <v>-117.51796111111101</v>
      </c>
      <c r="M103" t="s">
        <v>2078</v>
      </c>
      <c r="N103">
        <v>999</v>
      </c>
      <c r="O103" t="s">
        <v>36</v>
      </c>
      <c r="P103">
        <v>1.5</v>
      </c>
      <c r="Q103">
        <v>2.7162513549999998</v>
      </c>
    </row>
    <row r="104" spans="1:23" hidden="1" x14ac:dyDescent="0.25">
      <c r="A104" t="s">
        <v>43</v>
      </c>
      <c r="B104" t="s">
        <v>92</v>
      </c>
      <c r="C104">
        <v>2008</v>
      </c>
      <c r="D104" t="s">
        <v>2076</v>
      </c>
      <c r="E104" t="s">
        <v>90</v>
      </c>
      <c r="F104" t="s">
        <v>40</v>
      </c>
      <c r="G104" t="s">
        <v>190</v>
      </c>
      <c r="H104" t="s">
        <v>133</v>
      </c>
      <c r="I104" t="s">
        <v>26</v>
      </c>
      <c r="J104">
        <v>92408</v>
      </c>
      <c r="K104" s="19" t="s">
        <v>2077</v>
      </c>
      <c r="L104">
        <v>-117.243036111111</v>
      </c>
      <c r="M104" t="s">
        <v>2076</v>
      </c>
      <c r="N104">
        <v>999</v>
      </c>
      <c r="O104" t="s">
        <v>36</v>
      </c>
      <c r="P104">
        <v>3.5</v>
      </c>
      <c r="Q104">
        <v>6.3379198280000004</v>
      </c>
    </row>
    <row r="105" spans="1:23" hidden="1" x14ac:dyDescent="0.25">
      <c r="A105" t="s">
        <v>43</v>
      </c>
      <c r="B105" t="s">
        <v>92</v>
      </c>
      <c r="C105">
        <v>2008</v>
      </c>
      <c r="D105" t="s">
        <v>2074</v>
      </c>
      <c r="E105" t="s">
        <v>90</v>
      </c>
      <c r="F105" t="s">
        <v>40</v>
      </c>
      <c r="G105" t="s">
        <v>133</v>
      </c>
      <c r="H105" t="s">
        <v>133</v>
      </c>
      <c r="I105" t="s">
        <v>26</v>
      </c>
      <c r="J105">
        <v>92374</v>
      </c>
      <c r="K105" s="19" t="s">
        <v>2075</v>
      </c>
      <c r="L105">
        <v>-117.209244444444</v>
      </c>
      <c r="M105" t="s">
        <v>2074</v>
      </c>
      <c r="N105">
        <v>999</v>
      </c>
      <c r="O105" t="s">
        <v>36</v>
      </c>
      <c r="P105">
        <v>3.5</v>
      </c>
      <c r="Q105">
        <v>6.3379198280000004</v>
      </c>
    </row>
    <row r="106" spans="1:23" hidden="1" x14ac:dyDescent="0.25">
      <c r="A106" t="s">
        <v>43</v>
      </c>
      <c r="B106" t="s">
        <v>92</v>
      </c>
      <c r="C106">
        <v>2008</v>
      </c>
      <c r="D106" t="s">
        <v>2072</v>
      </c>
      <c r="E106" t="s">
        <v>90</v>
      </c>
      <c r="F106" t="s">
        <v>40</v>
      </c>
      <c r="G106" t="s">
        <v>1000</v>
      </c>
      <c r="H106" t="s">
        <v>133</v>
      </c>
      <c r="I106" t="s">
        <v>26</v>
      </c>
      <c r="J106">
        <v>91761</v>
      </c>
      <c r="K106" s="19" t="s">
        <v>2073</v>
      </c>
      <c r="L106">
        <v>-117.57259444444399</v>
      </c>
      <c r="M106" t="s">
        <v>2072</v>
      </c>
      <c r="N106">
        <v>999</v>
      </c>
      <c r="O106" t="s">
        <v>36</v>
      </c>
      <c r="P106">
        <v>1.5</v>
      </c>
      <c r="Q106">
        <v>2.7162513549999998</v>
      </c>
    </row>
    <row r="107" spans="1:23" hidden="1" x14ac:dyDescent="0.25">
      <c r="A107" t="s">
        <v>43</v>
      </c>
      <c r="B107" t="s">
        <v>92</v>
      </c>
      <c r="C107">
        <v>2008</v>
      </c>
      <c r="D107" t="s">
        <v>2070</v>
      </c>
      <c r="E107" t="s">
        <v>90</v>
      </c>
      <c r="F107" t="s">
        <v>40</v>
      </c>
      <c r="G107" t="s">
        <v>1000</v>
      </c>
      <c r="H107" t="s">
        <v>133</v>
      </c>
      <c r="I107" t="s">
        <v>26</v>
      </c>
      <c r="J107">
        <v>91761</v>
      </c>
      <c r="K107" s="19" t="s">
        <v>2071</v>
      </c>
      <c r="L107">
        <v>-117.56848333333301</v>
      </c>
      <c r="M107" t="s">
        <v>2070</v>
      </c>
      <c r="N107">
        <v>999</v>
      </c>
      <c r="O107" t="s">
        <v>36</v>
      </c>
      <c r="P107">
        <v>1</v>
      </c>
      <c r="Q107">
        <v>1.8108342369999999</v>
      </c>
    </row>
    <row r="108" spans="1:23" hidden="1" x14ac:dyDescent="0.25">
      <c r="A108" t="s">
        <v>43</v>
      </c>
      <c r="B108" t="s">
        <v>92</v>
      </c>
      <c r="C108">
        <v>2008</v>
      </c>
      <c r="D108" t="s">
        <v>2069</v>
      </c>
      <c r="E108" t="s">
        <v>130</v>
      </c>
      <c r="F108" t="s">
        <v>40</v>
      </c>
      <c r="G108" t="s">
        <v>1147</v>
      </c>
      <c r="H108" t="s">
        <v>181</v>
      </c>
      <c r="I108" t="s">
        <v>26</v>
      </c>
      <c r="J108">
        <v>93257</v>
      </c>
      <c r="K108">
        <v>36.029286111111098</v>
      </c>
      <c r="L108">
        <v>-119.07984999999999</v>
      </c>
      <c r="M108" t="s">
        <v>2069</v>
      </c>
      <c r="N108">
        <v>999</v>
      </c>
      <c r="O108" t="s">
        <v>36</v>
      </c>
      <c r="P108">
        <v>5</v>
      </c>
      <c r="Q108">
        <v>9.0541711829999993</v>
      </c>
    </row>
    <row r="109" spans="1:23" hidden="1" x14ac:dyDescent="0.25">
      <c r="A109" t="s">
        <v>43</v>
      </c>
      <c r="B109" t="s">
        <v>32</v>
      </c>
      <c r="C109">
        <v>1985</v>
      </c>
      <c r="D109" t="s">
        <v>2068</v>
      </c>
      <c r="E109" t="s">
        <v>30</v>
      </c>
      <c r="F109" t="s">
        <v>29</v>
      </c>
      <c r="G109" t="s">
        <v>81</v>
      </c>
      <c r="H109" t="s">
        <v>80</v>
      </c>
      <c r="I109" t="s">
        <v>26</v>
      </c>
      <c r="J109">
        <v>93501</v>
      </c>
      <c r="K109">
        <v>35.095799999999997</v>
      </c>
      <c r="L109">
        <v>-118.32083299999999</v>
      </c>
      <c r="M109" t="s">
        <v>2067</v>
      </c>
      <c r="N109">
        <v>30</v>
      </c>
      <c r="O109" t="s">
        <v>24</v>
      </c>
      <c r="P109">
        <v>8</v>
      </c>
      <c r="Q109">
        <v>19.91</v>
      </c>
    </row>
    <row r="110" spans="1:23" hidden="1" x14ac:dyDescent="0.25">
      <c r="A110" t="s">
        <v>43</v>
      </c>
      <c r="B110" t="s">
        <v>111</v>
      </c>
      <c r="C110">
        <v>2019</v>
      </c>
      <c r="D110" t="s">
        <v>109</v>
      </c>
      <c r="E110" t="s">
        <v>109</v>
      </c>
      <c r="F110" t="s">
        <v>29</v>
      </c>
      <c r="G110" t="s">
        <v>109</v>
      </c>
      <c r="H110" t="s">
        <v>109</v>
      </c>
      <c r="I110" t="s">
        <v>109</v>
      </c>
      <c r="J110" t="s">
        <v>110</v>
      </c>
      <c r="K110" t="s">
        <v>109</v>
      </c>
      <c r="L110" t="s">
        <v>109</v>
      </c>
      <c r="M110" t="s">
        <v>2052</v>
      </c>
      <c r="N110">
        <v>2</v>
      </c>
      <c r="O110" t="s">
        <v>36</v>
      </c>
      <c r="P110">
        <v>9</v>
      </c>
      <c r="Q110">
        <v>50</v>
      </c>
    </row>
    <row r="111" spans="1:23" hidden="1" x14ac:dyDescent="0.25">
      <c r="A111" t="s">
        <v>43</v>
      </c>
      <c r="B111" t="s">
        <v>111</v>
      </c>
      <c r="C111">
        <v>2019</v>
      </c>
      <c r="D111" t="s">
        <v>2066</v>
      </c>
      <c r="E111" t="s">
        <v>109</v>
      </c>
      <c r="F111" t="s">
        <v>29</v>
      </c>
      <c r="G111" t="s">
        <v>109</v>
      </c>
      <c r="H111" t="s">
        <v>109</v>
      </c>
      <c r="I111" t="s">
        <v>109</v>
      </c>
      <c r="J111" t="s">
        <v>110</v>
      </c>
      <c r="K111" t="s">
        <v>109</v>
      </c>
      <c r="L111" t="s">
        <v>109</v>
      </c>
      <c r="M111" t="s">
        <v>2066</v>
      </c>
      <c r="N111">
        <v>1</v>
      </c>
      <c r="O111" t="s">
        <v>36</v>
      </c>
      <c r="P111">
        <v>39</v>
      </c>
      <c r="Q111">
        <v>300</v>
      </c>
    </row>
    <row r="112" spans="1:23" hidden="1" x14ac:dyDescent="0.25">
      <c r="A112" t="s">
        <v>43</v>
      </c>
      <c r="B112" t="s">
        <v>111</v>
      </c>
      <c r="C112">
        <v>2019</v>
      </c>
      <c r="D112" t="s">
        <v>109</v>
      </c>
      <c r="E112" t="s">
        <v>109</v>
      </c>
      <c r="F112" t="s">
        <v>40</v>
      </c>
      <c r="G112" t="s">
        <v>109</v>
      </c>
      <c r="H112" t="s">
        <v>109</v>
      </c>
      <c r="I112" t="s">
        <v>2049</v>
      </c>
      <c r="J112" t="s">
        <v>110</v>
      </c>
      <c r="K112" t="s">
        <v>109</v>
      </c>
      <c r="L112" t="s">
        <v>109</v>
      </c>
      <c r="M112" t="s">
        <v>2066</v>
      </c>
      <c r="N112">
        <v>2</v>
      </c>
      <c r="O112" t="s">
        <v>36</v>
      </c>
      <c r="P112">
        <v>52</v>
      </c>
      <c r="Q112">
        <v>450</v>
      </c>
    </row>
    <row r="113" spans="1:23" hidden="1" x14ac:dyDescent="0.25">
      <c r="A113" t="s">
        <v>43</v>
      </c>
      <c r="B113" t="s">
        <v>111</v>
      </c>
      <c r="C113">
        <v>2019</v>
      </c>
      <c r="D113" t="s">
        <v>109</v>
      </c>
      <c r="E113" t="s">
        <v>109</v>
      </c>
      <c r="F113" t="s">
        <v>40</v>
      </c>
      <c r="G113" t="s">
        <v>109</v>
      </c>
      <c r="H113" t="s">
        <v>109</v>
      </c>
      <c r="I113" t="s">
        <v>222</v>
      </c>
      <c r="J113" t="s">
        <v>110</v>
      </c>
      <c r="K113" t="s">
        <v>109</v>
      </c>
      <c r="L113" t="s">
        <v>109</v>
      </c>
      <c r="M113" t="s">
        <v>2063</v>
      </c>
      <c r="N113">
        <v>1</v>
      </c>
      <c r="O113" t="s">
        <v>36</v>
      </c>
      <c r="P113">
        <v>86</v>
      </c>
      <c r="Q113">
        <v>750</v>
      </c>
    </row>
    <row r="114" spans="1:23" hidden="1" x14ac:dyDescent="0.25">
      <c r="A114" t="s">
        <v>43</v>
      </c>
      <c r="B114" t="s">
        <v>32</v>
      </c>
      <c r="C114">
        <v>2015</v>
      </c>
      <c r="D114" t="s">
        <v>2064</v>
      </c>
      <c r="E114" t="s">
        <v>30</v>
      </c>
      <c r="F114" t="s">
        <v>29</v>
      </c>
      <c r="G114" t="s">
        <v>2065</v>
      </c>
      <c r="H114" t="s">
        <v>88</v>
      </c>
      <c r="I114" t="s">
        <v>26</v>
      </c>
      <c r="J114">
        <v>92234</v>
      </c>
      <c r="K114">
        <v>33.866700000000002</v>
      </c>
      <c r="L114">
        <v>-116.441667</v>
      </c>
      <c r="M114" t="s">
        <v>2064</v>
      </c>
      <c r="N114">
        <v>7</v>
      </c>
      <c r="O114" t="s">
        <v>36</v>
      </c>
      <c r="P114">
        <v>19.55</v>
      </c>
      <c r="Q114">
        <v>45.97</v>
      </c>
    </row>
    <row r="115" spans="1:23" hidden="1" x14ac:dyDescent="0.25">
      <c r="A115" t="s">
        <v>43</v>
      </c>
      <c r="B115" t="s">
        <v>111</v>
      </c>
      <c r="C115">
        <v>2021</v>
      </c>
      <c r="D115" t="s">
        <v>109</v>
      </c>
      <c r="E115" t="s">
        <v>109</v>
      </c>
      <c r="F115" t="s">
        <v>40</v>
      </c>
      <c r="G115" t="s">
        <v>109</v>
      </c>
      <c r="H115" t="s">
        <v>109</v>
      </c>
      <c r="I115" t="s">
        <v>222</v>
      </c>
      <c r="J115" t="s">
        <v>110</v>
      </c>
      <c r="K115" t="s">
        <v>109</v>
      </c>
      <c r="L115" t="s">
        <v>109</v>
      </c>
      <c r="M115" t="s">
        <v>2063</v>
      </c>
      <c r="N115">
        <v>2</v>
      </c>
      <c r="O115" t="s">
        <v>36</v>
      </c>
      <c r="P115">
        <v>41</v>
      </c>
      <c r="Q115">
        <v>260</v>
      </c>
    </row>
    <row r="116" spans="1:23" hidden="1" x14ac:dyDescent="0.25">
      <c r="A116" t="s">
        <v>43</v>
      </c>
      <c r="B116" t="s">
        <v>111</v>
      </c>
      <c r="C116">
        <v>2020</v>
      </c>
      <c r="D116" t="s">
        <v>109</v>
      </c>
      <c r="E116" t="s">
        <v>109</v>
      </c>
      <c r="F116" t="s">
        <v>29</v>
      </c>
      <c r="G116" t="s">
        <v>109</v>
      </c>
      <c r="H116" t="s">
        <v>109</v>
      </c>
      <c r="I116" t="s">
        <v>222</v>
      </c>
      <c r="J116" t="s">
        <v>110</v>
      </c>
      <c r="K116" t="s">
        <v>109</v>
      </c>
      <c r="L116" t="s">
        <v>109</v>
      </c>
      <c r="M116" t="s">
        <v>2062</v>
      </c>
      <c r="N116">
        <v>2</v>
      </c>
      <c r="O116" t="s">
        <v>36</v>
      </c>
      <c r="P116">
        <v>14</v>
      </c>
      <c r="Q116">
        <v>76</v>
      </c>
    </row>
    <row r="117" spans="1:23" hidden="1" x14ac:dyDescent="0.25">
      <c r="A117" t="s">
        <v>43</v>
      </c>
      <c r="B117" t="s">
        <v>42</v>
      </c>
      <c r="C117">
        <v>2016</v>
      </c>
      <c r="D117" t="s">
        <v>145</v>
      </c>
      <c r="E117" t="s">
        <v>41</v>
      </c>
      <c r="F117" t="s">
        <v>29</v>
      </c>
      <c r="G117" t="s">
        <v>146</v>
      </c>
      <c r="H117" t="s">
        <v>146</v>
      </c>
      <c r="I117" t="s">
        <v>26</v>
      </c>
      <c r="J117">
        <v>93725</v>
      </c>
      <c r="K117">
        <v>36.687469900000004</v>
      </c>
      <c r="L117">
        <v>-119.72391570000001</v>
      </c>
      <c r="M117" t="s">
        <v>145</v>
      </c>
      <c r="N117">
        <v>5</v>
      </c>
      <c r="O117" t="s">
        <v>36</v>
      </c>
      <c r="P117">
        <v>24.3</v>
      </c>
      <c r="Q117">
        <v>182</v>
      </c>
    </row>
    <row r="118" spans="1:23" hidden="1" x14ac:dyDescent="0.25">
      <c r="A118" t="s">
        <v>43</v>
      </c>
      <c r="B118" t="s">
        <v>263</v>
      </c>
      <c r="C118">
        <v>2021</v>
      </c>
      <c r="D118" t="s">
        <v>2061</v>
      </c>
      <c r="E118" t="s">
        <v>30</v>
      </c>
      <c r="F118" t="s">
        <v>52</v>
      </c>
      <c r="G118" t="s">
        <v>81</v>
      </c>
      <c r="H118" t="s">
        <v>12</v>
      </c>
      <c r="I118" t="s">
        <v>26</v>
      </c>
      <c r="J118">
        <v>93501</v>
      </c>
      <c r="K118">
        <v>34.983700292739996</v>
      </c>
      <c r="L118">
        <v>-118.26532865151999</v>
      </c>
      <c r="M118" t="s">
        <v>2061</v>
      </c>
      <c r="N118">
        <v>20</v>
      </c>
      <c r="O118" t="s">
        <v>36</v>
      </c>
      <c r="P118">
        <v>3</v>
      </c>
      <c r="Q118">
        <v>10.512</v>
      </c>
      <c r="W118" s="18">
        <v>45138</v>
      </c>
    </row>
    <row r="119" spans="1:23" hidden="1" x14ac:dyDescent="0.25">
      <c r="A119" t="s">
        <v>43</v>
      </c>
      <c r="B119" t="s">
        <v>111</v>
      </c>
      <c r="C119">
        <v>2020</v>
      </c>
      <c r="D119" t="s">
        <v>109</v>
      </c>
      <c r="E119" t="s">
        <v>109</v>
      </c>
      <c r="F119" t="s">
        <v>29</v>
      </c>
      <c r="G119" t="s">
        <v>109</v>
      </c>
      <c r="H119" t="s">
        <v>109</v>
      </c>
      <c r="I119" t="s">
        <v>26</v>
      </c>
      <c r="J119" t="s">
        <v>110</v>
      </c>
      <c r="K119" t="s">
        <v>109</v>
      </c>
      <c r="L119" t="s">
        <v>109</v>
      </c>
      <c r="M119" t="s">
        <v>108</v>
      </c>
      <c r="N119">
        <v>2</v>
      </c>
      <c r="O119" t="s">
        <v>36</v>
      </c>
      <c r="P119">
        <v>3</v>
      </c>
      <c r="Q119">
        <v>13.897</v>
      </c>
      <c r="S119" s="18">
        <v>44068</v>
      </c>
    </row>
    <row r="120" spans="1:23" hidden="1" x14ac:dyDescent="0.25">
      <c r="A120" t="s">
        <v>43</v>
      </c>
      <c r="B120" t="s">
        <v>66</v>
      </c>
      <c r="C120">
        <v>2020</v>
      </c>
      <c r="D120" t="s">
        <v>109</v>
      </c>
      <c r="E120" t="s">
        <v>109</v>
      </c>
      <c r="F120" t="s">
        <v>29</v>
      </c>
      <c r="G120" t="s">
        <v>109</v>
      </c>
      <c r="H120" t="s">
        <v>109</v>
      </c>
      <c r="I120" t="s">
        <v>109</v>
      </c>
      <c r="J120" t="s">
        <v>110</v>
      </c>
      <c r="K120" t="s">
        <v>109</v>
      </c>
      <c r="L120" t="s">
        <v>109</v>
      </c>
      <c r="M120" t="s">
        <v>108</v>
      </c>
      <c r="N120">
        <v>1</v>
      </c>
      <c r="O120" t="s">
        <v>36</v>
      </c>
      <c r="P120">
        <v>75</v>
      </c>
      <c r="Q120">
        <v>16</v>
      </c>
    </row>
    <row r="121" spans="1:23" hidden="1" x14ac:dyDescent="0.25">
      <c r="A121" t="s">
        <v>43</v>
      </c>
      <c r="B121" t="s">
        <v>111</v>
      </c>
      <c r="C121">
        <v>2019</v>
      </c>
      <c r="D121" t="s">
        <v>109</v>
      </c>
      <c r="E121" t="s">
        <v>109</v>
      </c>
      <c r="F121" t="s">
        <v>29</v>
      </c>
      <c r="G121" t="s">
        <v>109</v>
      </c>
      <c r="H121" t="s">
        <v>109</v>
      </c>
      <c r="I121" t="s">
        <v>109</v>
      </c>
      <c r="J121" t="s">
        <v>110</v>
      </c>
      <c r="K121" t="s">
        <v>109</v>
      </c>
      <c r="L121" t="s">
        <v>109</v>
      </c>
      <c r="M121" t="s">
        <v>2058</v>
      </c>
      <c r="N121">
        <v>1</v>
      </c>
      <c r="O121" t="s">
        <v>36</v>
      </c>
      <c r="P121">
        <v>23</v>
      </c>
      <c r="Q121">
        <v>200</v>
      </c>
    </row>
    <row r="122" spans="1:23" hidden="1" x14ac:dyDescent="0.25">
      <c r="A122" t="s">
        <v>43</v>
      </c>
      <c r="B122" t="s">
        <v>111</v>
      </c>
      <c r="C122">
        <v>2019</v>
      </c>
      <c r="D122" t="s">
        <v>109</v>
      </c>
      <c r="E122" t="s">
        <v>109</v>
      </c>
      <c r="F122" t="s">
        <v>29</v>
      </c>
      <c r="G122" t="s">
        <v>109</v>
      </c>
      <c r="H122" t="s">
        <v>109</v>
      </c>
      <c r="I122" t="s">
        <v>2049</v>
      </c>
      <c r="J122" t="s">
        <v>110</v>
      </c>
      <c r="K122" t="s">
        <v>109</v>
      </c>
      <c r="L122" t="s">
        <v>109</v>
      </c>
      <c r="M122" t="s">
        <v>1889</v>
      </c>
      <c r="N122">
        <v>2</v>
      </c>
      <c r="O122" t="s">
        <v>36</v>
      </c>
      <c r="P122">
        <v>69</v>
      </c>
      <c r="Q122">
        <v>600</v>
      </c>
      <c r="S122" s="18">
        <v>43706</v>
      </c>
    </row>
    <row r="123" spans="1:23" hidden="1" x14ac:dyDescent="0.25">
      <c r="A123" t="s">
        <v>43</v>
      </c>
      <c r="B123" t="s">
        <v>111</v>
      </c>
      <c r="C123">
        <v>2020</v>
      </c>
      <c r="D123" t="s">
        <v>109</v>
      </c>
      <c r="E123" t="s">
        <v>109</v>
      </c>
      <c r="F123" t="s">
        <v>29</v>
      </c>
      <c r="G123" t="s">
        <v>109</v>
      </c>
      <c r="H123" t="s">
        <v>109</v>
      </c>
      <c r="I123" t="s">
        <v>222</v>
      </c>
      <c r="J123" t="s">
        <v>110</v>
      </c>
      <c r="K123" t="s">
        <v>109</v>
      </c>
      <c r="L123" t="s">
        <v>109</v>
      </c>
      <c r="M123" t="s">
        <v>2058</v>
      </c>
      <c r="N123">
        <v>2</v>
      </c>
      <c r="O123" t="s">
        <v>36</v>
      </c>
      <c r="P123">
        <v>18</v>
      </c>
      <c r="Q123">
        <v>100</v>
      </c>
    </row>
    <row r="124" spans="1:23" hidden="1" x14ac:dyDescent="0.25">
      <c r="A124" t="s">
        <v>43</v>
      </c>
      <c r="B124" t="s">
        <v>111</v>
      </c>
      <c r="C124">
        <v>2020</v>
      </c>
      <c r="D124" t="s">
        <v>109</v>
      </c>
      <c r="E124" t="s">
        <v>109</v>
      </c>
      <c r="F124" t="s">
        <v>29</v>
      </c>
      <c r="G124" t="s">
        <v>109</v>
      </c>
      <c r="H124" t="s">
        <v>109</v>
      </c>
      <c r="I124" t="s">
        <v>222</v>
      </c>
      <c r="J124" t="s">
        <v>110</v>
      </c>
      <c r="K124" t="s">
        <v>109</v>
      </c>
      <c r="L124" t="s">
        <v>109</v>
      </c>
      <c r="M124" t="s">
        <v>2058</v>
      </c>
      <c r="N124">
        <v>2</v>
      </c>
      <c r="O124" t="s">
        <v>36</v>
      </c>
      <c r="P124">
        <v>13</v>
      </c>
      <c r="Q124">
        <v>100</v>
      </c>
    </row>
    <row r="125" spans="1:23" hidden="1" x14ac:dyDescent="0.25">
      <c r="A125" t="s">
        <v>43</v>
      </c>
      <c r="B125" t="s">
        <v>32</v>
      </c>
      <c r="C125">
        <v>1985</v>
      </c>
      <c r="D125" t="s">
        <v>2060</v>
      </c>
      <c r="E125" t="s">
        <v>30</v>
      </c>
      <c r="F125" t="s">
        <v>29</v>
      </c>
      <c r="G125" t="s">
        <v>149</v>
      </c>
      <c r="H125" t="s">
        <v>12</v>
      </c>
      <c r="I125" t="s">
        <v>26</v>
      </c>
      <c r="J125">
        <v>93561</v>
      </c>
      <c r="K125">
        <v>35.087499999999999</v>
      </c>
      <c r="L125">
        <v>-118.35</v>
      </c>
      <c r="M125" t="s">
        <v>2060</v>
      </c>
      <c r="N125">
        <v>30</v>
      </c>
      <c r="O125" t="s">
        <v>24</v>
      </c>
      <c r="P125">
        <v>6.72</v>
      </c>
      <c r="Q125">
        <v>10.15</v>
      </c>
    </row>
    <row r="126" spans="1:23" hidden="1" x14ac:dyDescent="0.25">
      <c r="A126" t="s">
        <v>33</v>
      </c>
      <c r="B126" t="s">
        <v>32</v>
      </c>
      <c r="C126">
        <v>1986</v>
      </c>
      <c r="D126" t="s">
        <v>2059</v>
      </c>
      <c r="E126" t="s">
        <v>47</v>
      </c>
      <c r="F126" t="s">
        <v>40</v>
      </c>
      <c r="G126" t="s">
        <v>283</v>
      </c>
      <c r="H126" t="s">
        <v>120</v>
      </c>
      <c r="I126" t="s">
        <v>26</v>
      </c>
      <c r="J126">
        <v>94515</v>
      </c>
      <c r="K126">
        <v>38.644559999999998</v>
      </c>
      <c r="L126">
        <v>-122.6459</v>
      </c>
      <c r="M126" t="s">
        <v>2059</v>
      </c>
      <c r="N126">
        <v>999</v>
      </c>
      <c r="O126" t="s">
        <v>24</v>
      </c>
      <c r="P126">
        <v>8.5000000000000006E-2</v>
      </c>
      <c r="Q126">
        <v>0.08</v>
      </c>
    </row>
    <row r="127" spans="1:23" hidden="1" x14ac:dyDescent="0.25">
      <c r="A127" t="s">
        <v>43</v>
      </c>
      <c r="B127" t="s">
        <v>111</v>
      </c>
      <c r="C127">
        <v>2021</v>
      </c>
      <c r="D127" t="s">
        <v>109</v>
      </c>
      <c r="E127" t="s">
        <v>109</v>
      </c>
      <c r="F127" t="s">
        <v>29</v>
      </c>
      <c r="G127" t="s">
        <v>109</v>
      </c>
      <c r="H127" t="s">
        <v>109</v>
      </c>
      <c r="I127" t="s">
        <v>222</v>
      </c>
      <c r="J127" t="s">
        <v>110</v>
      </c>
      <c r="K127" t="s">
        <v>109</v>
      </c>
      <c r="L127" t="s">
        <v>109</v>
      </c>
      <c r="M127" t="s">
        <v>2058</v>
      </c>
      <c r="N127">
        <v>2</v>
      </c>
      <c r="O127" t="s">
        <v>36</v>
      </c>
      <c r="P127">
        <v>12</v>
      </c>
      <c r="Q127">
        <v>75</v>
      </c>
    </row>
    <row r="128" spans="1:23" hidden="1" x14ac:dyDescent="0.25">
      <c r="A128" t="s">
        <v>43</v>
      </c>
      <c r="B128" t="s">
        <v>111</v>
      </c>
      <c r="C128">
        <v>2021</v>
      </c>
      <c r="D128" t="s">
        <v>109</v>
      </c>
      <c r="E128" t="s">
        <v>109</v>
      </c>
      <c r="F128" t="s">
        <v>29</v>
      </c>
      <c r="G128" t="s">
        <v>109</v>
      </c>
      <c r="H128" t="s">
        <v>109</v>
      </c>
      <c r="I128" t="s">
        <v>222</v>
      </c>
      <c r="J128" t="s">
        <v>110</v>
      </c>
      <c r="K128" t="s">
        <v>109</v>
      </c>
      <c r="L128" t="s">
        <v>109</v>
      </c>
      <c r="M128" t="s">
        <v>2058</v>
      </c>
      <c r="N128">
        <v>1</v>
      </c>
      <c r="O128" t="s">
        <v>36</v>
      </c>
      <c r="P128">
        <v>6</v>
      </c>
      <c r="Q128">
        <v>50</v>
      </c>
      <c r="S128" s="18">
        <v>44435</v>
      </c>
    </row>
    <row r="129" spans="1:23" hidden="1" x14ac:dyDescent="0.25">
      <c r="A129" t="s">
        <v>43</v>
      </c>
      <c r="B129" t="s">
        <v>111</v>
      </c>
      <c r="C129">
        <v>2021</v>
      </c>
      <c r="D129" t="s">
        <v>109</v>
      </c>
      <c r="E129" t="s">
        <v>109</v>
      </c>
      <c r="F129" t="s">
        <v>29</v>
      </c>
      <c r="G129" t="s">
        <v>109</v>
      </c>
      <c r="H129" t="s">
        <v>109</v>
      </c>
      <c r="I129" t="s">
        <v>222</v>
      </c>
      <c r="J129" t="s">
        <v>110</v>
      </c>
      <c r="K129" t="s">
        <v>109</v>
      </c>
      <c r="L129" t="s">
        <v>109</v>
      </c>
      <c r="M129" t="s">
        <v>1889</v>
      </c>
      <c r="N129">
        <v>1</v>
      </c>
      <c r="O129" t="s">
        <v>36</v>
      </c>
      <c r="P129">
        <v>125</v>
      </c>
      <c r="Q129">
        <v>200</v>
      </c>
      <c r="S129" s="18">
        <v>44435</v>
      </c>
    </row>
    <row r="130" spans="1:23" hidden="1" x14ac:dyDescent="0.25">
      <c r="A130" t="s">
        <v>43</v>
      </c>
      <c r="B130" t="s">
        <v>111</v>
      </c>
      <c r="C130">
        <v>2022</v>
      </c>
      <c r="D130" t="s">
        <v>109</v>
      </c>
      <c r="E130" t="s">
        <v>109</v>
      </c>
      <c r="F130" t="s">
        <v>29</v>
      </c>
      <c r="G130" t="s">
        <v>109</v>
      </c>
      <c r="H130" t="s">
        <v>109</v>
      </c>
      <c r="I130" t="s">
        <v>222</v>
      </c>
      <c r="J130" t="s">
        <v>110</v>
      </c>
      <c r="K130" t="s">
        <v>109</v>
      </c>
      <c r="L130" t="s">
        <v>109</v>
      </c>
      <c r="M130" t="s">
        <v>1889</v>
      </c>
      <c r="N130">
        <v>1</v>
      </c>
      <c r="O130" t="s">
        <v>36</v>
      </c>
      <c r="P130">
        <v>87</v>
      </c>
      <c r="Q130">
        <v>250</v>
      </c>
    </row>
    <row r="131" spans="1:23" hidden="1" x14ac:dyDescent="0.25">
      <c r="A131" t="s">
        <v>43</v>
      </c>
      <c r="B131" t="s">
        <v>32</v>
      </c>
      <c r="C131">
        <v>1981</v>
      </c>
      <c r="D131" t="s">
        <v>2057</v>
      </c>
      <c r="E131" t="s">
        <v>47</v>
      </c>
      <c r="F131" t="s">
        <v>29</v>
      </c>
      <c r="G131" t="s">
        <v>237</v>
      </c>
      <c r="H131" t="s">
        <v>236</v>
      </c>
      <c r="I131" t="s">
        <v>26</v>
      </c>
      <c r="J131">
        <v>93514</v>
      </c>
      <c r="K131">
        <v>37.509799999999998</v>
      </c>
      <c r="L131">
        <v>-118.348675</v>
      </c>
      <c r="M131" t="s">
        <v>2057</v>
      </c>
      <c r="N131">
        <v>40</v>
      </c>
      <c r="O131" t="s">
        <v>24</v>
      </c>
      <c r="P131">
        <v>0.35</v>
      </c>
      <c r="Q131">
        <v>1.8</v>
      </c>
      <c r="W131" s="18">
        <v>44681</v>
      </c>
    </row>
    <row r="132" spans="1:23" hidden="1" x14ac:dyDescent="0.25">
      <c r="A132" t="s">
        <v>43</v>
      </c>
      <c r="B132" t="s">
        <v>32</v>
      </c>
      <c r="C132">
        <v>1985</v>
      </c>
      <c r="D132" t="s">
        <v>2055</v>
      </c>
      <c r="E132" t="s">
        <v>47</v>
      </c>
      <c r="F132" t="s">
        <v>29</v>
      </c>
      <c r="G132" t="s">
        <v>2056</v>
      </c>
      <c r="H132" t="s">
        <v>181</v>
      </c>
      <c r="I132" t="s">
        <v>26</v>
      </c>
      <c r="J132">
        <v>93207</v>
      </c>
      <c r="K132">
        <v>35.874200000000002</v>
      </c>
      <c r="L132">
        <v>-118.701353</v>
      </c>
      <c r="M132" t="s">
        <v>2055</v>
      </c>
      <c r="N132">
        <v>30</v>
      </c>
      <c r="O132" t="s">
        <v>24</v>
      </c>
      <c r="P132">
        <v>0.35</v>
      </c>
      <c r="Q132">
        <v>1.17</v>
      </c>
    </row>
    <row r="133" spans="1:23" hidden="1" x14ac:dyDescent="0.25">
      <c r="A133" t="s">
        <v>43</v>
      </c>
      <c r="B133" t="s">
        <v>32</v>
      </c>
      <c r="C133">
        <v>1985</v>
      </c>
      <c r="D133" t="s">
        <v>2053</v>
      </c>
      <c r="E133" t="s">
        <v>47</v>
      </c>
      <c r="F133" t="s">
        <v>29</v>
      </c>
      <c r="G133" t="s">
        <v>2054</v>
      </c>
      <c r="H133" t="s">
        <v>181</v>
      </c>
      <c r="I133" t="s">
        <v>26</v>
      </c>
      <c r="J133">
        <v>93244</v>
      </c>
      <c r="K133">
        <v>36.402099999999997</v>
      </c>
      <c r="L133">
        <v>-119.01083199999999</v>
      </c>
      <c r="M133" t="s">
        <v>2053</v>
      </c>
      <c r="N133">
        <v>30</v>
      </c>
      <c r="O133" t="s">
        <v>24</v>
      </c>
      <c r="P133">
        <v>17</v>
      </c>
      <c r="Q133">
        <v>54.7</v>
      </c>
    </row>
    <row r="134" spans="1:23" hidden="1" x14ac:dyDescent="0.25">
      <c r="A134" t="s">
        <v>43</v>
      </c>
      <c r="B134" t="s">
        <v>111</v>
      </c>
      <c r="C134">
        <v>2019</v>
      </c>
      <c r="D134" t="s">
        <v>109</v>
      </c>
      <c r="E134" t="s">
        <v>109</v>
      </c>
      <c r="F134" t="s">
        <v>29</v>
      </c>
      <c r="G134" t="s">
        <v>109</v>
      </c>
      <c r="H134" t="s">
        <v>109</v>
      </c>
      <c r="I134" t="s">
        <v>109</v>
      </c>
      <c r="J134" t="s">
        <v>110</v>
      </c>
      <c r="K134" t="s">
        <v>109</v>
      </c>
      <c r="L134" t="s">
        <v>109</v>
      </c>
      <c r="M134" t="s">
        <v>2052</v>
      </c>
      <c r="N134">
        <v>1</v>
      </c>
      <c r="O134" t="s">
        <v>36</v>
      </c>
      <c r="P134">
        <v>15</v>
      </c>
      <c r="Q134">
        <v>100</v>
      </c>
    </row>
    <row r="135" spans="1:23" hidden="1" x14ac:dyDescent="0.25">
      <c r="A135" t="s">
        <v>43</v>
      </c>
      <c r="B135" t="s">
        <v>111</v>
      </c>
      <c r="C135">
        <v>2020</v>
      </c>
      <c r="D135" t="s">
        <v>109</v>
      </c>
      <c r="E135" t="s">
        <v>109</v>
      </c>
      <c r="F135" t="s">
        <v>29</v>
      </c>
      <c r="G135" t="s">
        <v>109</v>
      </c>
      <c r="H135" t="s">
        <v>109</v>
      </c>
      <c r="I135" t="s">
        <v>109</v>
      </c>
      <c r="J135" t="s">
        <v>110</v>
      </c>
      <c r="K135" t="s">
        <v>109</v>
      </c>
      <c r="L135" t="s">
        <v>109</v>
      </c>
      <c r="M135" t="s">
        <v>2052</v>
      </c>
      <c r="N135">
        <v>2</v>
      </c>
      <c r="O135" t="s">
        <v>36</v>
      </c>
      <c r="P135">
        <v>10</v>
      </c>
      <c r="Q135">
        <v>80</v>
      </c>
    </row>
    <row r="136" spans="1:23" hidden="1" x14ac:dyDescent="0.25">
      <c r="A136" t="s">
        <v>43</v>
      </c>
      <c r="B136" t="s">
        <v>111</v>
      </c>
      <c r="C136">
        <v>2019</v>
      </c>
      <c r="D136" t="s">
        <v>221</v>
      </c>
      <c r="E136" t="s">
        <v>109</v>
      </c>
      <c r="F136" t="s">
        <v>29</v>
      </c>
      <c r="G136" t="s">
        <v>109</v>
      </c>
      <c r="H136" t="s">
        <v>109</v>
      </c>
      <c r="I136" t="s">
        <v>109</v>
      </c>
      <c r="J136" t="s">
        <v>110</v>
      </c>
      <c r="K136" t="s">
        <v>109</v>
      </c>
      <c r="L136" t="s">
        <v>109</v>
      </c>
      <c r="M136" t="s">
        <v>221</v>
      </c>
      <c r="N136">
        <v>1</v>
      </c>
      <c r="O136" t="s">
        <v>36</v>
      </c>
      <c r="P136">
        <v>5</v>
      </c>
      <c r="Q136">
        <v>3</v>
      </c>
    </row>
    <row r="137" spans="1:23" hidden="1" x14ac:dyDescent="0.25">
      <c r="A137" t="s">
        <v>43</v>
      </c>
      <c r="B137" t="s">
        <v>111</v>
      </c>
      <c r="C137">
        <v>2021</v>
      </c>
      <c r="D137" t="s">
        <v>109</v>
      </c>
      <c r="E137" t="s">
        <v>109</v>
      </c>
      <c r="F137" t="s">
        <v>29</v>
      </c>
      <c r="G137" t="s">
        <v>109</v>
      </c>
      <c r="H137" t="s">
        <v>109</v>
      </c>
      <c r="I137" t="s">
        <v>109</v>
      </c>
      <c r="J137" t="s">
        <v>110</v>
      </c>
      <c r="K137" t="s">
        <v>109</v>
      </c>
      <c r="L137" t="s">
        <v>109</v>
      </c>
      <c r="M137" t="s">
        <v>2052</v>
      </c>
      <c r="N137">
        <v>2</v>
      </c>
      <c r="O137" t="s">
        <v>36</v>
      </c>
      <c r="P137">
        <v>20</v>
      </c>
      <c r="Q137">
        <v>125</v>
      </c>
      <c r="S137" s="18">
        <v>44335</v>
      </c>
    </row>
    <row r="138" spans="1:23" hidden="1" x14ac:dyDescent="0.25">
      <c r="A138" t="s">
        <v>43</v>
      </c>
      <c r="B138" t="s">
        <v>111</v>
      </c>
      <c r="C138">
        <v>2021</v>
      </c>
      <c r="D138" t="s">
        <v>109</v>
      </c>
      <c r="E138" t="s">
        <v>109</v>
      </c>
      <c r="F138" t="s">
        <v>40</v>
      </c>
      <c r="G138" t="s">
        <v>109</v>
      </c>
      <c r="H138" t="s">
        <v>109</v>
      </c>
      <c r="I138" t="s">
        <v>26</v>
      </c>
      <c r="J138" t="s">
        <v>110</v>
      </c>
      <c r="K138" t="s">
        <v>109</v>
      </c>
      <c r="L138" t="s">
        <v>109</v>
      </c>
      <c r="M138" t="s">
        <v>444</v>
      </c>
      <c r="N138">
        <v>1</v>
      </c>
      <c r="O138" t="s">
        <v>36</v>
      </c>
      <c r="P138">
        <v>11</v>
      </c>
      <c r="Q138">
        <v>16.716999999999999</v>
      </c>
    </row>
    <row r="139" spans="1:23" hidden="1" x14ac:dyDescent="0.25">
      <c r="A139" t="s">
        <v>43</v>
      </c>
      <c r="B139" t="s">
        <v>232</v>
      </c>
      <c r="C139">
        <v>2011</v>
      </c>
      <c r="D139" t="s">
        <v>2051</v>
      </c>
      <c r="E139" t="s">
        <v>47</v>
      </c>
      <c r="F139" t="s">
        <v>40</v>
      </c>
      <c r="G139" t="s">
        <v>1147</v>
      </c>
      <c r="H139" t="s">
        <v>181</v>
      </c>
      <c r="I139" t="s">
        <v>26</v>
      </c>
      <c r="J139">
        <v>93265</v>
      </c>
      <c r="K139">
        <v>36.0336</v>
      </c>
      <c r="L139">
        <v>-118.5515</v>
      </c>
      <c r="M139" t="s">
        <v>2050</v>
      </c>
      <c r="N139">
        <v>10</v>
      </c>
      <c r="O139" t="s">
        <v>36</v>
      </c>
      <c r="P139">
        <v>1.4</v>
      </c>
      <c r="Q139">
        <v>0.78</v>
      </c>
      <c r="S139" s="18">
        <v>41366</v>
      </c>
      <c r="T139" s="18">
        <v>41760</v>
      </c>
    </row>
    <row r="140" spans="1:23" hidden="1" x14ac:dyDescent="0.25">
      <c r="A140" t="s">
        <v>43</v>
      </c>
      <c r="B140" t="s">
        <v>111</v>
      </c>
      <c r="C140">
        <v>2020</v>
      </c>
      <c r="D140" t="s">
        <v>109</v>
      </c>
      <c r="E140" t="s">
        <v>109</v>
      </c>
      <c r="F140" t="s">
        <v>40</v>
      </c>
      <c r="G140" t="s">
        <v>109</v>
      </c>
      <c r="H140" t="s">
        <v>109</v>
      </c>
      <c r="I140" t="s">
        <v>26</v>
      </c>
      <c r="J140" t="s">
        <v>110</v>
      </c>
      <c r="K140" t="s">
        <v>109</v>
      </c>
      <c r="L140" t="s">
        <v>109</v>
      </c>
      <c r="M140" t="s">
        <v>1197</v>
      </c>
      <c r="N140">
        <v>2</v>
      </c>
      <c r="O140" t="s">
        <v>36</v>
      </c>
      <c r="P140">
        <v>1</v>
      </c>
      <c r="Q140">
        <v>5.2770000000000001</v>
      </c>
      <c r="S140" s="18">
        <v>44041</v>
      </c>
      <c r="T140" s="18">
        <v>44068</v>
      </c>
    </row>
    <row r="141" spans="1:23" hidden="1" x14ac:dyDescent="0.25">
      <c r="A141" t="s">
        <v>43</v>
      </c>
      <c r="B141" t="s">
        <v>111</v>
      </c>
      <c r="C141">
        <v>2020</v>
      </c>
      <c r="D141" t="s">
        <v>109</v>
      </c>
      <c r="E141" t="s">
        <v>109</v>
      </c>
      <c r="F141" t="s">
        <v>40</v>
      </c>
      <c r="G141" t="s">
        <v>109</v>
      </c>
      <c r="H141" t="s">
        <v>109</v>
      </c>
      <c r="I141" t="s">
        <v>26</v>
      </c>
      <c r="J141" t="s">
        <v>110</v>
      </c>
      <c r="K141" t="s">
        <v>109</v>
      </c>
      <c r="L141" t="s">
        <v>109</v>
      </c>
      <c r="M141" t="s">
        <v>1197</v>
      </c>
      <c r="N141">
        <v>2</v>
      </c>
      <c r="O141" t="s">
        <v>36</v>
      </c>
      <c r="P141">
        <v>4</v>
      </c>
      <c r="Q141">
        <v>25</v>
      </c>
      <c r="S141" s="18">
        <v>44335</v>
      </c>
    </row>
    <row r="142" spans="1:23" hidden="1" x14ac:dyDescent="0.25">
      <c r="A142" t="s">
        <v>43</v>
      </c>
      <c r="B142" t="s">
        <v>111</v>
      </c>
      <c r="C142">
        <v>2019</v>
      </c>
      <c r="D142" t="s">
        <v>1197</v>
      </c>
      <c r="E142" t="s">
        <v>109</v>
      </c>
      <c r="F142" t="s">
        <v>29</v>
      </c>
      <c r="G142" t="s">
        <v>109</v>
      </c>
      <c r="H142" t="s">
        <v>109</v>
      </c>
      <c r="I142" t="s">
        <v>109</v>
      </c>
      <c r="J142" t="s">
        <v>110</v>
      </c>
      <c r="K142" t="s">
        <v>109</v>
      </c>
      <c r="L142" t="s">
        <v>109</v>
      </c>
      <c r="M142" t="s">
        <v>1197</v>
      </c>
      <c r="N142">
        <v>1</v>
      </c>
      <c r="O142" t="s">
        <v>36</v>
      </c>
      <c r="P142">
        <v>80</v>
      </c>
      <c r="Q142">
        <v>700</v>
      </c>
    </row>
    <row r="143" spans="1:23" hidden="1" x14ac:dyDescent="0.25">
      <c r="A143" t="s">
        <v>43</v>
      </c>
      <c r="B143" t="s">
        <v>111</v>
      </c>
      <c r="C143">
        <v>2019</v>
      </c>
      <c r="D143" t="s">
        <v>109</v>
      </c>
      <c r="E143" t="s">
        <v>109</v>
      </c>
      <c r="F143" t="s">
        <v>40</v>
      </c>
      <c r="G143" t="s">
        <v>109</v>
      </c>
      <c r="H143" t="s">
        <v>109</v>
      </c>
      <c r="I143" t="s">
        <v>222</v>
      </c>
      <c r="J143" t="s">
        <v>110</v>
      </c>
      <c r="K143" t="s">
        <v>109</v>
      </c>
      <c r="L143" t="s">
        <v>109</v>
      </c>
      <c r="M143" t="s">
        <v>1197</v>
      </c>
      <c r="N143">
        <v>2</v>
      </c>
      <c r="O143" t="s">
        <v>36</v>
      </c>
      <c r="P143">
        <v>86</v>
      </c>
      <c r="Q143">
        <v>750</v>
      </c>
      <c r="S143" s="18">
        <v>43846</v>
      </c>
    </row>
    <row r="144" spans="1:23" hidden="1" x14ac:dyDescent="0.25">
      <c r="A144" t="s">
        <v>43</v>
      </c>
      <c r="B144" t="s">
        <v>111</v>
      </c>
      <c r="C144">
        <v>2019</v>
      </c>
      <c r="D144" t="s">
        <v>109</v>
      </c>
      <c r="E144" t="s">
        <v>109</v>
      </c>
      <c r="F144" t="s">
        <v>40</v>
      </c>
      <c r="G144" t="s">
        <v>109</v>
      </c>
      <c r="H144" t="s">
        <v>109</v>
      </c>
      <c r="I144" t="s">
        <v>222</v>
      </c>
      <c r="J144" t="s">
        <v>110</v>
      </c>
      <c r="K144" t="s">
        <v>109</v>
      </c>
      <c r="L144" t="s">
        <v>109</v>
      </c>
      <c r="M144" t="s">
        <v>1197</v>
      </c>
      <c r="N144">
        <v>2</v>
      </c>
      <c r="O144" t="s">
        <v>36</v>
      </c>
      <c r="P144">
        <v>139</v>
      </c>
      <c r="Q144">
        <v>1100</v>
      </c>
      <c r="S144" s="18">
        <v>43846</v>
      </c>
    </row>
    <row r="145" spans="1:20" hidden="1" x14ac:dyDescent="0.25">
      <c r="A145" t="s">
        <v>43</v>
      </c>
      <c r="B145" t="s">
        <v>111</v>
      </c>
      <c r="C145">
        <v>2020</v>
      </c>
      <c r="D145" t="s">
        <v>109</v>
      </c>
      <c r="E145" t="s">
        <v>109</v>
      </c>
      <c r="F145" t="s">
        <v>40</v>
      </c>
      <c r="G145" t="s">
        <v>109</v>
      </c>
      <c r="H145" t="s">
        <v>109</v>
      </c>
      <c r="I145" t="s">
        <v>26</v>
      </c>
      <c r="J145" t="s">
        <v>110</v>
      </c>
      <c r="K145" t="s">
        <v>109</v>
      </c>
      <c r="L145" t="s">
        <v>109</v>
      </c>
      <c r="M145" t="s">
        <v>1197</v>
      </c>
      <c r="N145">
        <v>1</v>
      </c>
      <c r="O145" t="s">
        <v>36</v>
      </c>
      <c r="P145">
        <v>80</v>
      </c>
      <c r="Q145">
        <v>700</v>
      </c>
      <c r="S145" s="18">
        <v>44041</v>
      </c>
      <c r="T145" s="18">
        <v>44068</v>
      </c>
    </row>
    <row r="146" spans="1:20" hidden="1" x14ac:dyDescent="0.25">
      <c r="A146" t="s">
        <v>43</v>
      </c>
      <c r="B146" t="s">
        <v>111</v>
      </c>
      <c r="C146">
        <v>2020</v>
      </c>
      <c r="D146" t="s">
        <v>109</v>
      </c>
      <c r="E146" t="s">
        <v>109</v>
      </c>
      <c r="F146" t="s">
        <v>40</v>
      </c>
      <c r="G146" t="s">
        <v>109</v>
      </c>
      <c r="H146" t="s">
        <v>109</v>
      </c>
      <c r="I146" t="s">
        <v>2049</v>
      </c>
      <c r="J146" t="s">
        <v>110</v>
      </c>
      <c r="K146" t="s">
        <v>109</v>
      </c>
      <c r="L146" t="s">
        <v>109</v>
      </c>
      <c r="M146" t="s">
        <v>1197</v>
      </c>
      <c r="N146">
        <v>1</v>
      </c>
      <c r="O146" t="s">
        <v>36</v>
      </c>
      <c r="P146">
        <v>149</v>
      </c>
      <c r="Q146">
        <v>1300</v>
      </c>
      <c r="S146" s="18">
        <v>44207</v>
      </c>
      <c r="T146" s="18">
        <v>44241</v>
      </c>
    </row>
    <row r="147" spans="1:20" hidden="1" x14ac:dyDescent="0.25">
      <c r="A147" t="s">
        <v>43</v>
      </c>
      <c r="B147" t="s">
        <v>111</v>
      </c>
      <c r="C147">
        <v>2020</v>
      </c>
      <c r="D147" t="s">
        <v>109</v>
      </c>
      <c r="E147" t="s">
        <v>109</v>
      </c>
      <c r="F147" t="s">
        <v>40</v>
      </c>
      <c r="G147" t="s">
        <v>109</v>
      </c>
      <c r="H147" t="s">
        <v>109</v>
      </c>
      <c r="I147" t="s">
        <v>222</v>
      </c>
      <c r="J147" t="s">
        <v>110</v>
      </c>
      <c r="K147" t="s">
        <v>109</v>
      </c>
      <c r="L147" t="s">
        <v>109</v>
      </c>
      <c r="M147" t="s">
        <v>444</v>
      </c>
      <c r="N147">
        <v>2</v>
      </c>
      <c r="O147" t="s">
        <v>36</v>
      </c>
      <c r="P147">
        <v>59</v>
      </c>
      <c r="Q147">
        <v>480</v>
      </c>
    </row>
    <row r="148" spans="1:20" hidden="1" x14ac:dyDescent="0.25">
      <c r="A148" t="s">
        <v>43</v>
      </c>
      <c r="B148" t="s">
        <v>111</v>
      </c>
      <c r="C148">
        <v>2021</v>
      </c>
      <c r="D148" t="s">
        <v>109</v>
      </c>
      <c r="E148" t="s">
        <v>109</v>
      </c>
      <c r="F148" t="s">
        <v>40</v>
      </c>
      <c r="G148" t="s">
        <v>109</v>
      </c>
      <c r="H148" t="s">
        <v>109</v>
      </c>
      <c r="I148" t="s">
        <v>222</v>
      </c>
      <c r="J148" t="s">
        <v>110</v>
      </c>
      <c r="K148" t="s">
        <v>109</v>
      </c>
      <c r="L148" t="s">
        <v>109</v>
      </c>
      <c r="M148" t="s">
        <v>444</v>
      </c>
      <c r="N148">
        <v>1</v>
      </c>
      <c r="O148" t="s">
        <v>36</v>
      </c>
      <c r="P148">
        <v>280</v>
      </c>
      <c r="Q148">
        <v>450</v>
      </c>
    </row>
    <row r="149" spans="1:20" hidden="1" x14ac:dyDescent="0.25">
      <c r="A149" t="s">
        <v>43</v>
      </c>
      <c r="B149" t="s">
        <v>32</v>
      </c>
      <c r="C149">
        <v>1985</v>
      </c>
      <c r="D149" t="s">
        <v>2047</v>
      </c>
      <c r="E149" t="s">
        <v>143</v>
      </c>
      <c r="F149" t="s">
        <v>40</v>
      </c>
      <c r="G149" t="s">
        <v>2048</v>
      </c>
      <c r="H149" t="s">
        <v>305</v>
      </c>
      <c r="I149" t="s">
        <v>26</v>
      </c>
      <c r="J149">
        <v>92249</v>
      </c>
      <c r="K149">
        <v>32.714500000000001</v>
      </c>
      <c r="L149">
        <v>-115.53592</v>
      </c>
      <c r="M149" t="s">
        <v>2047</v>
      </c>
      <c r="N149">
        <v>30</v>
      </c>
      <c r="O149" t="s">
        <v>24</v>
      </c>
      <c r="P149">
        <v>37</v>
      </c>
      <c r="Q149">
        <v>222.88</v>
      </c>
    </row>
    <row r="150" spans="1:20" hidden="1" x14ac:dyDescent="0.25">
      <c r="A150" t="s">
        <v>43</v>
      </c>
      <c r="B150" t="s">
        <v>111</v>
      </c>
      <c r="C150">
        <v>2021</v>
      </c>
      <c r="D150" t="s">
        <v>109</v>
      </c>
      <c r="E150" t="s">
        <v>109</v>
      </c>
      <c r="F150" t="s">
        <v>40</v>
      </c>
      <c r="G150" t="s">
        <v>109</v>
      </c>
      <c r="H150" t="s">
        <v>109</v>
      </c>
      <c r="I150" t="s">
        <v>222</v>
      </c>
      <c r="J150" t="s">
        <v>110</v>
      </c>
      <c r="K150" t="s">
        <v>109</v>
      </c>
      <c r="L150" t="s">
        <v>109</v>
      </c>
      <c r="M150" t="s">
        <v>2046</v>
      </c>
      <c r="N150">
        <v>1</v>
      </c>
      <c r="O150" t="s">
        <v>36</v>
      </c>
      <c r="P150">
        <v>12</v>
      </c>
      <c r="Q150">
        <v>75</v>
      </c>
      <c r="S150" s="18">
        <v>44551</v>
      </c>
    </row>
    <row r="151" spans="1:20" hidden="1" x14ac:dyDescent="0.25">
      <c r="A151" t="s">
        <v>43</v>
      </c>
      <c r="B151" t="s">
        <v>111</v>
      </c>
      <c r="C151">
        <v>2022</v>
      </c>
      <c r="D151" t="s">
        <v>2046</v>
      </c>
      <c r="E151" t="s">
        <v>109</v>
      </c>
      <c r="F151" t="s">
        <v>40</v>
      </c>
      <c r="G151" t="s">
        <v>109</v>
      </c>
      <c r="H151" t="s">
        <v>109</v>
      </c>
      <c r="I151" t="s">
        <v>222</v>
      </c>
      <c r="J151" t="s">
        <v>110</v>
      </c>
      <c r="K151" t="s">
        <v>109</v>
      </c>
      <c r="L151" t="s">
        <v>109</v>
      </c>
      <c r="M151" t="s">
        <v>2046</v>
      </c>
      <c r="N151">
        <v>1</v>
      </c>
      <c r="O151" t="s">
        <v>36</v>
      </c>
      <c r="P151">
        <v>69</v>
      </c>
      <c r="Q151">
        <v>200</v>
      </c>
    </row>
    <row r="152" spans="1:20" hidden="1" x14ac:dyDescent="0.25">
      <c r="A152" t="s">
        <v>43</v>
      </c>
      <c r="B152" t="s">
        <v>111</v>
      </c>
      <c r="C152">
        <v>2022</v>
      </c>
      <c r="D152" t="s">
        <v>2045</v>
      </c>
      <c r="E152" t="s">
        <v>109</v>
      </c>
      <c r="F152" t="s">
        <v>40</v>
      </c>
      <c r="G152" t="s">
        <v>109</v>
      </c>
      <c r="H152" t="s">
        <v>109</v>
      </c>
      <c r="I152" t="s">
        <v>222</v>
      </c>
      <c r="J152" t="s">
        <v>110</v>
      </c>
      <c r="K152" t="s">
        <v>109</v>
      </c>
      <c r="L152" t="s">
        <v>109</v>
      </c>
      <c r="M152" t="s">
        <v>2045</v>
      </c>
      <c r="N152">
        <v>1</v>
      </c>
      <c r="O152" t="s">
        <v>36</v>
      </c>
      <c r="P152">
        <v>35</v>
      </c>
      <c r="Q152">
        <v>100</v>
      </c>
    </row>
    <row r="153" spans="1:20" hidden="1" x14ac:dyDescent="0.25">
      <c r="A153" t="s">
        <v>43</v>
      </c>
      <c r="B153" t="s">
        <v>66</v>
      </c>
      <c r="C153">
        <v>2022</v>
      </c>
      <c r="D153" t="s">
        <v>1197</v>
      </c>
      <c r="E153" t="s">
        <v>109</v>
      </c>
      <c r="F153" t="s">
        <v>40</v>
      </c>
      <c r="G153" t="s">
        <v>109</v>
      </c>
      <c r="H153" t="s">
        <v>109</v>
      </c>
      <c r="I153" t="s">
        <v>222</v>
      </c>
      <c r="J153" t="s">
        <v>110</v>
      </c>
      <c r="K153" t="s">
        <v>109</v>
      </c>
      <c r="L153" t="s">
        <v>109</v>
      </c>
      <c r="M153" t="s">
        <v>1197</v>
      </c>
      <c r="N153">
        <v>1</v>
      </c>
      <c r="O153" t="s">
        <v>36</v>
      </c>
      <c r="P153">
        <v>314</v>
      </c>
      <c r="Q153">
        <v>550</v>
      </c>
    </row>
    <row r="154" spans="1:20" hidden="1" x14ac:dyDescent="0.25">
      <c r="A154" t="s">
        <v>43</v>
      </c>
      <c r="B154" t="s">
        <v>66</v>
      </c>
      <c r="C154">
        <v>2022</v>
      </c>
      <c r="D154" t="s">
        <v>2045</v>
      </c>
      <c r="E154" t="s">
        <v>109</v>
      </c>
      <c r="F154" t="s">
        <v>40</v>
      </c>
      <c r="G154" t="s">
        <v>109</v>
      </c>
      <c r="H154" t="s">
        <v>109</v>
      </c>
      <c r="I154" t="s">
        <v>222</v>
      </c>
      <c r="J154" t="s">
        <v>110</v>
      </c>
      <c r="K154" t="s">
        <v>109</v>
      </c>
      <c r="L154" t="s">
        <v>109</v>
      </c>
      <c r="M154" t="s">
        <v>2045</v>
      </c>
      <c r="N154">
        <v>1</v>
      </c>
      <c r="O154" t="s">
        <v>36</v>
      </c>
      <c r="P154">
        <v>31</v>
      </c>
      <c r="Q154">
        <v>50</v>
      </c>
      <c r="S154" s="18">
        <v>44824</v>
      </c>
      <c r="T154" s="18">
        <v>44847</v>
      </c>
    </row>
    <row r="155" spans="1:20" hidden="1" x14ac:dyDescent="0.25">
      <c r="A155" t="s">
        <v>43</v>
      </c>
      <c r="B155" t="s">
        <v>111</v>
      </c>
      <c r="C155">
        <v>2021</v>
      </c>
      <c r="D155" t="s">
        <v>109</v>
      </c>
      <c r="E155" t="s">
        <v>109</v>
      </c>
      <c r="F155" t="s">
        <v>40</v>
      </c>
      <c r="G155" t="s">
        <v>109</v>
      </c>
      <c r="H155" t="s">
        <v>109</v>
      </c>
      <c r="I155" t="s">
        <v>26</v>
      </c>
      <c r="J155" t="s">
        <v>110</v>
      </c>
      <c r="K155" t="s">
        <v>109</v>
      </c>
      <c r="L155" t="s">
        <v>109</v>
      </c>
      <c r="M155" t="s">
        <v>221</v>
      </c>
      <c r="N155">
        <v>1</v>
      </c>
      <c r="O155" t="s">
        <v>220</v>
      </c>
      <c r="Q155">
        <v>37.5</v>
      </c>
    </row>
    <row r="156" spans="1:20" hidden="1" x14ac:dyDescent="0.25">
      <c r="A156" t="s">
        <v>43</v>
      </c>
      <c r="B156" t="s">
        <v>111</v>
      </c>
      <c r="C156">
        <v>2019</v>
      </c>
      <c r="D156" t="s">
        <v>109</v>
      </c>
      <c r="E156" t="s">
        <v>109</v>
      </c>
      <c r="F156" t="s">
        <v>29</v>
      </c>
      <c r="G156" t="s">
        <v>109</v>
      </c>
      <c r="H156" t="s">
        <v>109</v>
      </c>
      <c r="I156" t="s">
        <v>222</v>
      </c>
      <c r="J156" t="s">
        <v>110</v>
      </c>
      <c r="K156" t="s">
        <v>109</v>
      </c>
      <c r="L156" t="s">
        <v>109</v>
      </c>
      <c r="M156" t="s">
        <v>2044</v>
      </c>
      <c r="N156">
        <v>2</v>
      </c>
      <c r="O156" t="s">
        <v>36</v>
      </c>
      <c r="P156">
        <v>46</v>
      </c>
      <c r="Q156">
        <v>396.5</v>
      </c>
    </row>
    <row r="157" spans="1:20" hidden="1" x14ac:dyDescent="0.25">
      <c r="A157" t="s">
        <v>43</v>
      </c>
      <c r="B157" t="s">
        <v>32</v>
      </c>
      <c r="C157">
        <v>1985</v>
      </c>
      <c r="D157" t="s">
        <v>2043</v>
      </c>
      <c r="E157" t="s">
        <v>41</v>
      </c>
      <c r="F157" t="s">
        <v>29</v>
      </c>
      <c r="G157" t="s">
        <v>2042</v>
      </c>
      <c r="H157" t="s">
        <v>88</v>
      </c>
      <c r="I157" t="s">
        <v>26</v>
      </c>
      <c r="J157">
        <v>92254</v>
      </c>
      <c r="K157">
        <v>33.586365000000001</v>
      </c>
      <c r="L157">
        <v>-116.08843400000001</v>
      </c>
      <c r="M157" t="s">
        <v>2005</v>
      </c>
      <c r="N157">
        <v>30</v>
      </c>
      <c r="O157" t="s">
        <v>24</v>
      </c>
      <c r="P157">
        <v>49.9</v>
      </c>
      <c r="Q157">
        <v>354.05</v>
      </c>
    </row>
    <row r="158" spans="1:20" hidden="1" x14ac:dyDescent="0.25">
      <c r="A158" t="s">
        <v>43</v>
      </c>
      <c r="B158" t="s">
        <v>32</v>
      </c>
      <c r="C158">
        <v>1985</v>
      </c>
      <c r="D158" t="s">
        <v>2041</v>
      </c>
      <c r="E158" t="s">
        <v>47</v>
      </c>
      <c r="F158" t="s">
        <v>29</v>
      </c>
      <c r="G158" t="s">
        <v>1230</v>
      </c>
      <c r="H158" t="s">
        <v>12</v>
      </c>
      <c r="I158" t="s">
        <v>26</v>
      </c>
      <c r="J158">
        <v>92340</v>
      </c>
      <c r="K158">
        <v>35.644219</v>
      </c>
      <c r="L158">
        <v>-118.48187900000001</v>
      </c>
      <c r="M158" t="s">
        <v>2041</v>
      </c>
      <c r="N158">
        <v>30</v>
      </c>
      <c r="O158" t="s">
        <v>24</v>
      </c>
      <c r="P158">
        <v>11.95</v>
      </c>
      <c r="Q158">
        <v>41.21</v>
      </c>
    </row>
    <row r="159" spans="1:20" hidden="1" x14ac:dyDescent="0.25">
      <c r="A159" t="s">
        <v>43</v>
      </c>
      <c r="B159" t="s">
        <v>32</v>
      </c>
      <c r="C159">
        <v>1983</v>
      </c>
      <c r="D159" t="s">
        <v>2040</v>
      </c>
      <c r="E159" t="s">
        <v>47</v>
      </c>
      <c r="F159" t="s">
        <v>40</v>
      </c>
      <c r="G159" t="s">
        <v>149</v>
      </c>
      <c r="H159" t="s">
        <v>12</v>
      </c>
      <c r="I159" t="s">
        <v>26</v>
      </c>
      <c r="J159">
        <v>93561</v>
      </c>
      <c r="K159">
        <v>35.101500000000001</v>
      </c>
      <c r="L159">
        <v>-118.537318</v>
      </c>
      <c r="M159" t="s">
        <v>2040</v>
      </c>
      <c r="N159">
        <v>999</v>
      </c>
      <c r="O159" t="s">
        <v>24</v>
      </c>
      <c r="P159">
        <v>3.5000000000000003E-2</v>
      </c>
    </row>
    <row r="160" spans="1:20" hidden="1" x14ac:dyDescent="0.25">
      <c r="A160" t="s">
        <v>43</v>
      </c>
      <c r="B160" t="s">
        <v>32</v>
      </c>
      <c r="C160">
        <v>1984</v>
      </c>
      <c r="D160" t="s">
        <v>1044</v>
      </c>
      <c r="E160" t="s">
        <v>47</v>
      </c>
      <c r="F160" t="s">
        <v>29</v>
      </c>
      <c r="G160" t="s">
        <v>60</v>
      </c>
      <c r="H160" t="s">
        <v>88</v>
      </c>
      <c r="I160" t="s">
        <v>26</v>
      </c>
      <c r="J160">
        <v>92263</v>
      </c>
      <c r="K160">
        <v>33.888199999999998</v>
      </c>
      <c r="L160">
        <v>-116.683742</v>
      </c>
      <c r="M160" t="s">
        <v>1044</v>
      </c>
      <c r="N160">
        <v>30</v>
      </c>
      <c r="O160" t="s">
        <v>24</v>
      </c>
      <c r="P160">
        <v>0.3</v>
      </c>
      <c r="Q160">
        <v>0.5</v>
      </c>
    </row>
    <row r="161" spans="1:20" hidden="1" x14ac:dyDescent="0.25">
      <c r="A161" t="s">
        <v>43</v>
      </c>
      <c r="B161" t="s">
        <v>111</v>
      </c>
      <c r="C161">
        <v>2021</v>
      </c>
      <c r="D161" t="s">
        <v>2039</v>
      </c>
      <c r="E161" t="s">
        <v>109</v>
      </c>
      <c r="F161" t="s">
        <v>40</v>
      </c>
      <c r="G161" t="s">
        <v>109</v>
      </c>
      <c r="H161" t="s">
        <v>109</v>
      </c>
      <c r="I161" t="s">
        <v>26</v>
      </c>
      <c r="J161" t="s">
        <v>110</v>
      </c>
      <c r="K161" t="s">
        <v>109</v>
      </c>
      <c r="L161" t="s">
        <v>109</v>
      </c>
      <c r="M161" t="s">
        <v>221</v>
      </c>
      <c r="N161">
        <v>1</v>
      </c>
      <c r="O161" t="s">
        <v>220</v>
      </c>
      <c r="Q161">
        <v>10</v>
      </c>
    </row>
    <row r="162" spans="1:20" hidden="1" x14ac:dyDescent="0.25">
      <c r="A162" t="s">
        <v>43</v>
      </c>
      <c r="B162" t="s">
        <v>66</v>
      </c>
      <c r="C162">
        <v>2022</v>
      </c>
      <c r="D162" t="s">
        <v>221</v>
      </c>
      <c r="E162" t="s">
        <v>109</v>
      </c>
      <c r="F162" t="s">
        <v>40</v>
      </c>
      <c r="G162" t="s">
        <v>109</v>
      </c>
      <c r="H162" t="s">
        <v>109</v>
      </c>
      <c r="I162" t="s">
        <v>26</v>
      </c>
      <c r="J162" t="s">
        <v>110</v>
      </c>
      <c r="K162" t="s">
        <v>109</v>
      </c>
      <c r="L162" t="s">
        <v>109</v>
      </c>
      <c r="M162" t="s">
        <v>221</v>
      </c>
      <c r="N162">
        <v>1</v>
      </c>
      <c r="O162" t="s">
        <v>220</v>
      </c>
      <c r="Q162">
        <v>70</v>
      </c>
      <c r="S162" s="18">
        <v>44824</v>
      </c>
      <c r="T162" s="18">
        <v>44847</v>
      </c>
    </row>
    <row r="163" spans="1:20" hidden="1" x14ac:dyDescent="0.25">
      <c r="A163" t="s">
        <v>43</v>
      </c>
      <c r="B163" t="s">
        <v>111</v>
      </c>
      <c r="C163">
        <v>2019</v>
      </c>
      <c r="D163" t="s">
        <v>221</v>
      </c>
      <c r="E163" t="s">
        <v>109</v>
      </c>
      <c r="F163" t="s">
        <v>29</v>
      </c>
      <c r="G163" t="s">
        <v>109</v>
      </c>
      <c r="H163" t="s">
        <v>109</v>
      </c>
      <c r="I163" t="s">
        <v>109</v>
      </c>
      <c r="J163" t="s">
        <v>110</v>
      </c>
      <c r="K163" t="s">
        <v>109</v>
      </c>
      <c r="L163" t="s">
        <v>109</v>
      </c>
      <c r="M163" t="s">
        <v>221</v>
      </c>
      <c r="N163">
        <v>1</v>
      </c>
      <c r="O163" t="s">
        <v>36</v>
      </c>
      <c r="P163">
        <v>2</v>
      </c>
      <c r="Q163">
        <v>10</v>
      </c>
    </row>
    <row r="164" spans="1:20" hidden="1" x14ac:dyDescent="0.25">
      <c r="A164" t="s">
        <v>43</v>
      </c>
      <c r="B164" t="s">
        <v>111</v>
      </c>
      <c r="C164">
        <v>2021</v>
      </c>
      <c r="D164" t="s">
        <v>109</v>
      </c>
      <c r="E164" t="s">
        <v>109</v>
      </c>
      <c r="F164" t="s">
        <v>40</v>
      </c>
      <c r="G164" t="s">
        <v>109</v>
      </c>
      <c r="H164" t="s">
        <v>109</v>
      </c>
      <c r="I164" t="s">
        <v>26</v>
      </c>
      <c r="J164" t="s">
        <v>110</v>
      </c>
      <c r="K164" t="s">
        <v>109</v>
      </c>
      <c r="L164" t="s">
        <v>109</v>
      </c>
      <c r="M164" t="s">
        <v>221</v>
      </c>
      <c r="N164">
        <v>2</v>
      </c>
      <c r="O164" t="s">
        <v>36</v>
      </c>
      <c r="P164">
        <v>7</v>
      </c>
      <c r="Q164">
        <v>45</v>
      </c>
      <c r="S164" s="18">
        <v>44335</v>
      </c>
      <c r="T164" s="18">
        <v>44372</v>
      </c>
    </row>
    <row r="165" spans="1:20" hidden="1" x14ac:dyDescent="0.25">
      <c r="A165" t="s">
        <v>43</v>
      </c>
      <c r="B165" t="s">
        <v>111</v>
      </c>
      <c r="C165">
        <v>2021</v>
      </c>
      <c r="D165" t="s">
        <v>109</v>
      </c>
      <c r="E165" t="s">
        <v>109</v>
      </c>
      <c r="F165" t="s">
        <v>40</v>
      </c>
      <c r="G165" t="s">
        <v>109</v>
      </c>
      <c r="H165" t="s">
        <v>109</v>
      </c>
      <c r="I165" t="s">
        <v>222</v>
      </c>
      <c r="J165" t="s">
        <v>110</v>
      </c>
      <c r="K165" t="s">
        <v>109</v>
      </c>
      <c r="L165" t="s">
        <v>109</v>
      </c>
      <c r="M165" t="s">
        <v>2038</v>
      </c>
      <c r="N165">
        <v>2</v>
      </c>
      <c r="O165" t="s">
        <v>36</v>
      </c>
      <c r="P165">
        <v>47</v>
      </c>
      <c r="Q165">
        <v>300</v>
      </c>
    </row>
    <row r="166" spans="1:20" hidden="1" x14ac:dyDescent="0.25">
      <c r="A166" t="s">
        <v>43</v>
      </c>
      <c r="B166" t="s">
        <v>111</v>
      </c>
      <c r="C166">
        <v>2021</v>
      </c>
      <c r="D166" t="s">
        <v>109</v>
      </c>
      <c r="E166" t="s">
        <v>109</v>
      </c>
      <c r="F166" t="s">
        <v>40</v>
      </c>
      <c r="G166" t="s">
        <v>109</v>
      </c>
      <c r="H166" t="s">
        <v>109</v>
      </c>
      <c r="I166" t="s">
        <v>26</v>
      </c>
      <c r="J166" t="s">
        <v>110</v>
      </c>
      <c r="K166" t="s">
        <v>109</v>
      </c>
      <c r="L166" t="s">
        <v>109</v>
      </c>
      <c r="M166" t="s">
        <v>221</v>
      </c>
      <c r="N166">
        <v>2</v>
      </c>
      <c r="O166" t="s">
        <v>36</v>
      </c>
      <c r="P166">
        <v>4</v>
      </c>
      <c r="Q166">
        <v>15</v>
      </c>
    </row>
    <row r="167" spans="1:20" hidden="1" x14ac:dyDescent="0.25">
      <c r="A167" t="s">
        <v>33</v>
      </c>
      <c r="B167" t="s">
        <v>32</v>
      </c>
      <c r="C167">
        <v>1984</v>
      </c>
      <c r="D167" t="s">
        <v>2037</v>
      </c>
      <c r="E167" t="s">
        <v>47</v>
      </c>
      <c r="F167" t="s">
        <v>40</v>
      </c>
      <c r="G167" t="s">
        <v>1912</v>
      </c>
      <c r="H167" t="s">
        <v>963</v>
      </c>
      <c r="I167" t="s">
        <v>26</v>
      </c>
      <c r="J167">
        <v>95971</v>
      </c>
      <c r="K167">
        <v>39.938569000000001</v>
      </c>
      <c r="L167">
        <v>-120.96014099999999</v>
      </c>
      <c r="M167" t="s">
        <v>2036</v>
      </c>
      <c r="N167">
        <v>999</v>
      </c>
      <c r="O167" t="s">
        <v>24</v>
      </c>
      <c r="P167">
        <v>0.27500000000000002</v>
      </c>
      <c r="Q167">
        <v>0.28000000000000003</v>
      </c>
    </row>
    <row r="168" spans="1:20" hidden="1" x14ac:dyDescent="0.25">
      <c r="A168" t="s">
        <v>43</v>
      </c>
      <c r="B168" t="s">
        <v>111</v>
      </c>
      <c r="C168">
        <v>2021</v>
      </c>
      <c r="D168" t="s">
        <v>109</v>
      </c>
      <c r="E168" t="s">
        <v>109</v>
      </c>
      <c r="F168" t="s">
        <v>40</v>
      </c>
      <c r="G168" t="s">
        <v>109</v>
      </c>
      <c r="H168" t="s">
        <v>109</v>
      </c>
      <c r="I168" t="s">
        <v>26</v>
      </c>
      <c r="J168" t="s">
        <v>110</v>
      </c>
      <c r="K168" t="s">
        <v>109</v>
      </c>
      <c r="L168" t="s">
        <v>109</v>
      </c>
      <c r="M168" t="s">
        <v>221</v>
      </c>
      <c r="N168">
        <v>1</v>
      </c>
      <c r="O168" t="s">
        <v>36</v>
      </c>
      <c r="P168">
        <v>29</v>
      </c>
      <c r="Q168">
        <v>80</v>
      </c>
      <c r="S168" s="18">
        <v>44551</v>
      </c>
    </row>
    <row r="169" spans="1:20" hidden="1" x14ac:dyDescent="0.25">
      <c r="A169" t="s">
        <v>43</v>
      </c>
      <c r="B169" t="s">
        <v>111</v>
      </c>
      <c r="C169">
        <v>2022</v>
      </c>
      <c r="D169" t="s">
        <v>221</v>
      </c>
      <c r="E169" t="s">
        <v>109</v>
      </c>
      <c r="F169" t="s">
        <v>40</v>
      </c>
      <c r="G169" t="s">
        <v>109</v>
      </c>
      <c r="H169" t="s">
        <v>109</v>
      </c>
      <c r="I169" t="s">
        <v>222</v>
      </c>
      <c r="J169" t="s">
        <v>110</v>
      </c>
      <c r="K169" t="s">
        <v>109</v>
      </c>
      <c r="L169" t="s">
        <v>109</v>
      </c>
      <c r="M169" t="s">
        <v>221</v>
      </c>
      <c r="N169">
        <v>1</v>
      </c>
      <c r="O169" t="s">
        <v>36</v>
      </c>
      <c r="P169">
        <v>4</v>
      </c>
      <c r="Q169">
        <v>5</v>
      </c>
    </row>
    <row r="170" spans="1:20" hidden="1" x14ac:dyDescent="0.25">
      <c r="A170" t="s">
        <v>43</v>
      </c>
      <c r="B170" t="s">
        <v>111</v>
      </c>
      <c r="C170">
        <v>2019</v>
      </c>
      <c r="D170" t="s">
        <v>109</v>
      </c>
      <c r="E170" t="s">
        <v>109</v>
      </c>
      <c r="F170" t="s">
        <v>29</v>
      </c>
      <c r="G170" t="s">
        <v>109</v>
      </c>
      <c r="H170" t="s">
        <v>109</v>
      </c>
      <c r="I170" t="s">
        <v>26</v>
      </c>
      <c r="J170" t="s">
        <v>110</v>
      </c>
      <c r="K170" t="s">
        <v>109</v>
      </c>
      <c r="L170" t="s">
        <v>109</v>
      </c>
      <c r="M170" t="s">
        <v>62</v>
      </c>
      <c r="N170">
        <v>2</v>
      </c>
      <c r="O170" t="s">
        <v>36</v>
      </c>
      <c r="P170">
        <v>30</v>
      </c>
      <c r="Q170">
        <v>185.38</v>
      </c>
      <c r="S170" s="18">
        <v>44207</v>
      </c>
      <c r="T170" s="18">
        <v>44241</v>
      </c>
    </row>
    <row r="171" spans="1:20" hidden="1" x14ac:dyDescent="0.25">
      <c r="A171" t="s">
        <v>43</v>
      </c>
      <c r="B171" t="s">
        <v>111</v>
      </c>
      <c r="C171">
        <v>2021</v>
      </c>
      <c r="D171" t="s">
        <v>109</v>
      </c>
      <c r="E171" t="s">
        <v>109</v>
      </c>
      <c r="F171" t="s">
        <v>29</v>
      </c>
      <c r="G171" t="s">
        <v>109</v>
      </c>
      <c r="H171" t="s">
        <v>109</v>
      </c>
      <c r="I171" t="s">
        <v>26</v>
      </c>
      <c r="J171" t="s">
        <v>110</v>
      </c>
      <c r="K171" t="s">
        <v>109</v>
      </c>
      <c r="L171" t="s">
        <v>109</v>
      </c>
      <c r="M171" t="s">
        <v>62</v>
      </c>
      <c r="N171">
        <v>2</v>
      </c>
      <c r="O171" t="s">
        <v>36</v>
      </c>
      <c r="P171">
        <v>10</v>
      </c>
      <c r="Q171">
        <v>42.061999999999998</v>
      </c>
      <c r="S171" s="18">
        <v>44335</v>
      </c>
    </row>
    <row r="172" spans="1:20" hidden="1" x14ac:dyDescent="0.25">
      <c r="A172" t="s">
        <v>43</v>
      </c>
      <c r="B172" t="s">
        <v>111</v>
      </c>
      <c r="C172">
        <v>2022</v>
      </c>
      <c r="D172" t="s">
        <v>62</v>
      </c>
      <c r="E172" t="s">
        <v>109</v>
      </c>
      <c r="F172" t="s">
        <v>40</v>
      </c>
      <c r="G172" t="s">
        <v>109</v>
      </c>
      <c r="H172" t="s">
        <v>109</v>
      </c>
      <c r="I172" t="s">
        <v>222</v>
      </c>
      <c r="J172" t="s">
        <v>110</v>
      </c>
      <c r="K172" t="s">
        <v>109</v>
      </c>
      <c r="L172" t="s">
        <v>109</v>
      </c>
      <c r="M172" t="s">
        <v>62</v>
      </c>
      <c r="N172">
        <v>2</v>
      </c>
      <c r="O172" t="s">
        <v>36</v>
      </c>
      <c r="P172">
        <v>22</v>
      </c>
      <c r="Q172">
        <v>185.35167100300001</v>
      </c>
      <c r="S172" s="18">
        <v>44741</v>
      </c>
      <c r="T172" s="18">
        <v>44792</v>
      </c>
    </row>
    <row r="173" spans="1:20" hidden="1" x14ac:dyDescent="0.25">
      <c r="A173" t="s">
        <v>43</v>
      </c>
      <c r="B173" t="s">
        <v>32</v>
      </c>
      <c r="C173">
        <v>1985</v>
      </c>
      <c r="D173" t="s">
        <v>2035</v>
      </c>
      <c r="E173" t="s">
        <v>30</v>
      </c>
      <c r="F173" t="s">
        <v>29</v>
      </c>
      <c r="G173" t="s">
        <v>81</v>
      </c>
      <c r="H173" t="s">
        <v>12</v>
      </c>
      <c r="I173" t="s">
        <v>26</v>
      </c>
      <c r="J173">
        <v>93501</v>
      </c>
      <c r="K173">
        <v>35.091700000000003</v>
      </c>
      <c r="L173">
        <v>-118.283333</v>
      </c>
      <c r="M173" t="s">
        <v>2035</v>
      </c>
      <c r="N173">
        <v>30</v>
      </c>
      <c r="O173" t="s">
        <v>24</v>
      </c>
      <c r="P173">
        <v>28</v>
      </c>
      <c r="Q173">
        <v>80.650000000000006</v>
      </c>
    </row>
    <row r="174" spans="1:20" hidden="1" x14ac:dyDescent="0.25">
      <c r="A174" t="s">
        <v>43</v>
      </c>
      <c r="B174" t="s">
        <v>32</v>
      </c>
      <c r="C174">
        <v>1985</v>
      </c>
      <c r="D174" t="s">
        <v>2034</v>
      </c>
      <c r="E174" t="s">
        <v>30</v>
      </c>
      <c r="F174" t="s">
        <v>29</v>
      </c>
      <c r="G174" t="s">
        <v>60</v>
      </c>
      <c r="H174" t="s">
        <v>88</v>
      </c>
      <c r="I174" t="s">
        <v>26</v>
      </c>
      <c r="J174">
        <v>92262</v>
      </c>
      <c r="K174">
        <v>33.8932</v>
      </c>
      <c r="L174">
        <v>-116.560463</v>
      </c>
      <c r="M174" t="s">
        <v>2034</v>
      </c>
      <c r="N174">
        <v>30</v>
      </c>
      <c r="O174" t="s">
        <v>24</v>
      </c>
      <c r="P174">
        <v>8</v>
      </c>
      <c r="Q174">
        <v>20.55</v>
      </c>
    </row>
    <row r="175" spans="1:20" hidden="1" x14ac:dyDescent="0.25">
      <c r="A175" t="s">
        <v>43</v>
      </c>
      <c r="B175" t="s">
        <v>111</v>
      </c>
      <c r="C175">
        <v>2019</v>
      </c>
      <c r="D175" t="s">
        <v>2033</v>
      </c>
      <c r="E175" t="s">
        <v>109</v>
      </c>
      <c r="F175" t="s">
        <v>29</v>
      </c>
      <c r="G175" t="s">
        <v>109</v>
      </c>
      <c r="H175" t="s">
        <v>109</v>
      </c>
      <c r="I175" t="s">
        <v>109</v>
      </c>
      <c r="J175" t="s">
        <v>110</v>
      </c>
      <c r="K175" t="s">
        <v>109</v>
      </c>
      <c r="L175" t="s">
        <v>109</v>
      </c>
      <c r="M175" t="s">
        <v>2033</v>
      </c>
      <c r="N175">
        <v>2</v>
      </c>
      <c r="O175" t="s">
        <v>36</v>
      </c>
      <c r="P175">
        <v>36</v>
      </c>
      <c r="Q175">
        <v>200</v>
      </c>
    </row>
    <row r="176" spans="1:20" hidden="1" x14ac:dyDescent="0.25">
      <c r="A176" t="s">
        <v>43</v>
      </c>
      <c r="B176" t="s">
        <v>111</v>
      </c>
      <c r="C176">
        <v>2019</v>
      </c>
      <c r="D176" t="s">
        <v>442</v>
      </c>
      <c r="E176" t="s">
        <v>109</v>
      </c>
      <c r="F176" t="s">
        <v>29</v>
      </c>
      <c r="G176" t="s">
        <v>109</v>
      </c>
      <c r="H176" t="s">
        <v>109</v>
      </c>
      <c r="I176" t="s">
        <v>109</v>
      </c>
      <c r="J176" t="s">
        <v>110</v>
      </c>
      <c r="K176" t="s">
        <v>109</v>
      </c>
      <c r="L176" t="s">
        <v>109</v>
      </c>
      <c r="M176" t="s">
        <v>442</v>
      </c>
      <c r="N176">
        <v>1</v>
      </c>
      <c r="O176" t="s">
        <v>36</v>
      </c>
      <c r="P176">
        <v>23</v>
      </c>
      <c r="Q176">
        <v>200</v>
      </c>
    </row>
    <row r="177" spans="1:23" hidden="1" x14ac:dyDescent="0.25">
      <c r="A177" t="s">
        <v>43</v>
      </c>
      <c r="B177" t="s">
        <v>111</v>
      </c>
      <c r="C177">
        <v>2019</v>
      </c>
      <c r="D177" t="s">
        <v>442</v>
      </c>
      <c r="E177" t="s">
        <v>109</v>
      </c>
      <c r="F177" t="s">
        <v>29</v>
      </c>
      <c r="G177" t="s">
        <v>109</v>
      </c>
      <c r="H177" t="s">
        <v>109</v>
      </c>
      <c r="I177" t="s">
        <v>109</v>
      </c>
      <c r="J177" t="s">
        <v>110</v>
      </c>
      <c r="K177" t="s">
        <v>109</v>
      </c>
      <c r="L177" t="s">
        <v>109</v>
      </c>
      <c r="M177" t="s">
        <v>442</v>
      </c>
      <c r="N177">
        <v>2</v>
      </c>
      <c r="O177" t="s">
        <v>36</v>
      </c>
      <c r="P177">
        <v>69</v>
      </c>
      <c r="Q177">
        <v>325</v>
      </c>
    </row>
    <row r="178" spans="1:23" hidden="1" x14ac:dyDescent="0.25">
      <c r="A178" t="s">
        <v>43</v>
      </c>
      <c r="B178" t="s">
        <v>111</v>
      </c>
      <c r="C178">
        <v>2019</v>
      </c>
      <c r="D178" t="s">
        <v>2033</v>
      </c>
      <c r="E178" t="s">
        <v>109</v>
      </c>
      <c r="F178" t="s">
        <v>29</v>
      </c>
      <c r="G178" t="s">
        <v>109</v>
      </c>
      <c r="H178" t="s">
        <v>109</v>
      </c>
      <c r="I178" t="s">
        <v>109</v>
      </c>
      <c r="J178" t="s">
        <v>110</v>
      </c>
      <c r="K178" t="s">
        <v>109</v>
      </c>
      <c r="L178" t="s">
        <v>109</v>
      </c>
      <c r="M178" t="s">
        <v>2033</v>
      </c>
      <c r="N178">
        <v>2</v>
      </c>
      <c r="O178" t="s">
        <v>36</v>
      </c>
      <c r="P178">
        <v>43</v>
      </c>
      <c r="Q178">
        <v>200</v>
      </c>
    </row>
    <row r="179" spans="1:23" hidden="1" x14ac:dyDescent="0.25">
      <c r="A179" t="s">
        <v>43</v>
      </c>
      <c r="B179" t="s">
        <v>111</v>
      </c>
      <c r="C179">
        <v>2020</v>
      </c>
      <c r="D179" t="s">
        <v>109</v>
      </c>
      <c r="E179" t="s">
        <v>109</v>
      </c>
      <c r="F179" t="s">
        <v>29</v>
      </c>
      <c r="G179" t="s">
        <v>109</v>
      </c>
      <c r="H179" t="s">
        <v>109</v>
      </c>
      <c r="I179" t="s">
        <v>222</v>
      </c>
      <c r="J179" t="s">
        <v>110</v>
      </c>
      <c r="K179" t="s">
        <v>109</v>
      </c>
      <c r="L179" t="s">
        <v>109</v>
      </c>
      <c r="M179" t="s">
        <v>442</v>
      </c>
      <c r="N179">
        <v>1</v>
      </c>
      <c r="O179" t="s">
        <v>36</v>
      </c>
      <c r="P179">
        <v>58</v>
      </c>
      <c r="Q179">
        <v>500</v>
      </c>
    </row>
    <row r="180" spans="1:23" hidden="1" x14ac:dyDescent="0.25">
      <c r="A180" t="s">
        <v>43</v>
      </c>
      <c r="B180" t="s">
        <v>111</v>
      </c>
      <c r="C180">
        <v>2020</v>
      </c>
      <c r="D180" t="s">
        <v>109</v>
      </c>
      <c r="E180" t="s">
        <v>109</v>
      </c>
      <c r="F180" t="s">
        <v>29</v>
      </c>
      <c r="G180" t="s">
        <v>109</v>
      </c>
      <c r="H180" t="s">
        <v>109</v>
      </c>
      <c r="I180" t="s">
        <v>222</v>
      </c>
      <c r="J180" t="s">
        <v>110</v>
      </c>
      <c r="K180" t="s">
        <v>109</v>
      </c>
      <c r="L180" t="s">
        <v>109</v>
      </c>
      <c r="M180" t="s">
        <v>2033</v>
      </c>
      <c r="N180">
        <v>2</v>
      </c>
      <c r="O180" t="s">
        <v>36</v>
      </c>
      <c r="P180">
        <v>38</v>
      </c>
      <c r="Q180">
        <v>215</v>
      </c>
    </row>
    <row r="181" spans="1:23" hidden="1" x14ac:dyDescent="0.25">
      <c r="A181" t="s">
        <v>43</v>
      </c>
      <c r="B181" t="s">
        <v>111</v>
      </c>
      <c r="C181">
        <v>2019</v>
      </c>
      <c r="D181" t="s">
        <v>109</v>
      </c>
      <c r="E181" t="s">
        <v>109</v>
      </c>
      <c r="F181" t="s">
        <v>29</v>
      </c>
      <c r="G181" t="s">
        <v>109</v>
      </c>
      <c r="H181" t="s">
        <v>109</v>
      </c>
      <c r="I181" t="s">
        <v>222</v>
      </c>
      <c r="J181" t="s">
        <v>110</v>
      </c>
      <c r="K181" t="s">
        <v>109</v>
      </c>
      <c r="L181" t="s">
        <v>109</v>
      </c>
      <c r="M181" t="s">
        <v>442</v>
      </c>
      <c r="N181">
        <v>1</v>
      </c>
      <c r="O181" t="s">
        <v>36</v>
      </c>
      <c r="P181">
        <v>4</v>
      </c>
      <c r="Q181">
        <v>25</v>
      </c>
      <c r="S181" s="18">
        <v>44207</v>
      </c>
      <c r="T181" s="18">
        <v>44241</v>
      </c>
    </row>
    <row r="182" spans="1:23" hidden="1" x14ac:dyDescent="0.25">
      <c r="A182" t="s">
        <v>33</v>
      </c>
      <c r="B182" t="s">
        <v>32</v>
      </c>
      <c r="C182">
        <v>1984</v>
      </c>
      <c r="D182" t="s">
        <v>2032</v>
      </c>
      <c r="E182" t="s">
        <v>30</v>
      </c>
      <c r="F182" t="s">
        <v>29</v>
      </c>
      <c r="G182" t="s">
        <v>95</v>
      </c>
      <c r="H182" t="s">
        <v>94</v>
      </c>
      <c r="I182" t="s">
        <v>26</v>
      </c>
      <c r="J182">
        <v>94585</v>
      </c>
      <c r="K182">
        <v>38.081747</v>
      </c>
      <c r="L182">
        <v>-121.815128</v>
      </c>
      <c r="M182" t="s">
        <v>93</v>
      </c>
      <c r="N182">
        <v>28</v>
      </c>
      <c r="O182" t="s">
        <v>24</v>
      </c>
      <c r="P182">
        <v>6.5</v>
      </c>
      <c r="Q182">
        <v>32.729999999999997</v>
      </c>
    </row>
    <row r="183" spans="1:23" hidden="1" x14ac:dyDescent="0.25">
      <c r="A183" t="s">
        <v>43</v>
      </c>
      <c r="B183" t="s">
        <v>111</v>
      </c>
      <c r="C183">
        <v>2021</v>
      </c>
      <c r="D183" t="s">
        <v>109</v>
      </c>
      <c r="E183" t="s">
        <v>109</v>
      </c>
      <c r="F183" t="s">
        <v>29</v>
      </c>
      <c r="G183" t="s">
        <v>109</v>
      </c>
      <c r="H183" t="s">
        <v>109</v>
      </c>
      <c r="I183" t="s">
        <v>222</v>
      </c>
      <c r="J183" t="s">
        <v>110</v>
      </c>
      <c r="K183" t="s">
        <v>109</v>
      </c>
      <c r="L183" t="s">
        <v>109</v>
      </c>
      <c r="M183" t="s">
        <v>442</v>
      </c>
      <c r="N183">
        <v>2</v>
      </c>
      <c r="O183" t="s">
        <v>36</v>
      </c>
      <c r="P183">
        <v>39</v>
      </c>
      <c r="Q183">
        <v>250</v>
      </c>
      <c r="S183" s="18">
        <v>44335</v>
      </c>
    </row>
    <row r="184" spans="1:23" hidden="1" x14ac:dyDescent="0.25">
      <c r="A184" t="s">
        <v>43</v>
      </c>
      <c r="B184" t="s">
        <v>111</v>
      </c>
      <c r="C184">
        <v>2021</v>
      </c>
      <c r="D184" t="s">
        <v>109</v>
      </c>
      <c r="E184" t="s">
        <v>109</v>
      </c>
      <c r="F184" t="s">
        <v>29</v>
      </c>
      <c r="G184" t="s">
        <v>109</v>
      </c>
      <c r="H184" t="s">
        <v>109</v>
      </c>
      <c r="I184" t="s">
        <v>222</v>
      </c>
      <c r="J184" t="s">
        <v>110</v>
      </c>
      <c r="K184" t="s">
        <v>109</v>
      </c>
      <c r="L184" t="s">
        <v>109</v>
      </c>
      <c r="M184" t="s">
        <v>62</v>
      </c>
      <c r="N184">
        <v>1</v>
      </c>
      <c r="O184" t="s">
        <v>36</v>
      </c>
      <c r="P184">
        <v>66</v>
      </c>
      <c r="Q184">
        <v>105</v>
      </c>
      <c r="S184" s="18">
        <v>44435</v>
      </c>
    </row>
    <row r="185" spans="1:23" hidden="1" x14ac:dyDescent="0.25">
      <c r="A185" t="s">
        <v>43</v>
      </c>
      <c r="B185" t="s">
        <v>111</v>
      </c>
      <c r="C185">
        <v>2021</v>
      </c>
      <c r="D185" t="s">
        <v>109</v>
      </c>
      <c r="E185" t="s">
        <v>109</v>
      </c>
      <c r="F185" t="s">
        <v>29</v>
      </c>
      <c r="G185" t="s">
        <v>109</v>
      </c>
      <c r="H185" t="s">
        <v>109</v>
      </c>
      <c r="I185" t="s">
        <v>222</v>
      </c>
      <c r="J185" t="s">
        <v>110</v>
      </c>
      <c r="K185" t="s">
        <v>109</v>
      </c>
      <c r="L185" t="s">
        <v>109</v>
      </c>
      <c r="M185" t="s">
        <v>442</v>
      </c>
      <c r="N185">
        <v>1</v>
      </c>
      <c r="O185" t="s">
        <v>36</v>
      </c>
      <c r="P185">
        <v>26</v>
      </c>
      <c r="Q185">
        <v>200</v>
      </c>
      <c r="S185" s="18">
        <v>44551</v>
      </c>
    </row>
    <row r="186" spans="1:23" hidden="1" x14ac:dyDescent="0.25">
      <c r="A186" t="s">
        <v>43</v>
      </c>
      <c r="B186" t="s">
        <v>111</v>
      </c>
      <c r="C186">
        <v>2021</v>
      </c>
      <c r="D186" t="s">
        <v>109</v>
      </c>
      <c r="E186" t="s">
        <v>109</v>
      </c>
      <c r="F186" t="s">
        <v>29</v>
      </c>
      <c r="G186" t="s">
        <v>109</v>
      </c>
      <c r="H186" t="s">
        <v>109</v>
      </c>
      <c r="I186" t="s">
        <v>222</v>
      </c>
      <c r="J186" t="s">
        <v>110</v>
      </c>
      <c r="K186" t="s">
        <v>109</v>
      </c>
      <c r="L186" t="s">
        <v>109</v>
      </c>
      <c r="M186" t="s">
        <v>62</v>
      </c>
      <c r="N186">
        <v>1</v>
      </c>
      <c r="O186" t="s">
        <v>36</v>
      </c>
      <c r="P186">
        <v>4</v>
      </c>
      <c r="Q186">
        <v>25</v>
      </c>
      <c r="S186" s="18">
        <v>44551</v>
      </c>
    </row>
    <row r="187" spans="1:23" hidden="1" x14ac:dyDescent="0.25">
      <c r="A187" t="s">
        <v>33</v>
      </c>
      <c r="B187" t="s">
        <v>32</v>
      </c>
      <c r="C187">
        <v>1983</v>
      </c>
      <c r="D187" t="s">
        <v>2030</v>
      </c>
      <c r="E187" t="s">
        <v>47</v>
      </c>
      <c r="F187" t="s">
        <v>40</v>
      </c>
      <c r="G187" t="s">
        <v>2031</v>
      </c>
      <c r="H187" t="s">
        <v>963</v>
      </c>
      <c r="I187" t="s">
        <v>26</v>
      </c>
      <c r="J187">
        <v>95947</v>
      </c>
      <c r="K187">
        <v>40.140039999999999</v>
      </c>
      <c r="L187">
        <v>-120.951234</v>
      </c>
      <c r="M187" t="s">
        <v>2030</v>
      </c>
      <c r="N187">
        <v>999</v>
      </c>
      <c r="O187" t="s">
        <v>24</v>
      </c>
      <c r="P187">
        <v>1.4999999999999999E-2</v>
      </c>
      <c r="Q187">
        <v>0.12</v>
      </c>
    </row>
    <row r="188" spans="1:23" hidden="1" x14ac:dyDescent="0.25">
      <c r="A188" t="s">
        <v>43</v>
      </c>
      <c r="B188" t="s">
        <v>111</v>
      </c>
      <c r="C188">
        <v>2022</v>
      </c>
      <c r="D188" t="s">
        <v>442</v>
      </c>
      <c r="E188" t="s">
        <v>109</v>
      </c>
      <c r="F188" t="s">
        <v>29</v>
      </c>
      <c r="G188" t="s">
        <v>109</v>
      </c>
      <c r="H188" t="s">
        <v>109</v>
      </c>
      <c r="I188" t="s">
        <v>222</v>
      </c>
      <c r="J188" t="s">
        <v>110</v>
      </c>
      <c r="K188" t="s">
        <v>109</v>
      </c>
      <c r="L188" t="s">
        <v>109</v>
      </c>
      <c r="M188" t="s">
        <v>442</v>
      </c>
      <c r="N188">
        <v>1</v>
      </c>
      <c r="O188" t="s">
        <v>36</v>
      </c>
      <c r="P188">
        <v>52</v>
      </c>
      <c r="Q188">
        <v>150</v>
      </c>
      <c r="S188" s="18">
        <v>44741</v>
      </c>
      <c r="T188" s="18">
        <v>44792</v>
      </c>
    </row>
    <row r="189" spans="1:23" hidden="1" x14ac:dyDescent="0.25">
      <c r="A189" t="s">
        <v>43</v>
      </c>
      <c r="B189" t="s">
        <v>197</v>
      </c>
      <c r="C189">
        <v>2018</v>
      </c>
      <c r="D189" t="s">
        <v>2029</v>
      </c>
      <c r="E189" t="s">
        <v>130</v>
      </c>
      <c r="F189" t="s">
        <v>52</v>
      </c>
      <c r="G189" t="s">
        <v>546</v>
      </c>
      <c r="H189" t="s">
        <v>259</v>
      </c>
      <c r="I189" t="s">
        <v>26</v>
      </c>
      <c r="J189">
        <v>93535</v>
      </c>
      <c r="K189">
        <v>34.729999999999997</v>
      </c>
      <c r="L189">
        <v>-118.22</v>
      </c>
      <c r="M189" t="s">
        <v>1499</v>
      </c>
      <c r="N189">
        <v>20</v>
      </c>
      <c r="O189" t="s">
        <v>36</v>
      </c>
      <c r="P189">
        <v>3</v>
      </c>
      <c r="Q189">
        <v>9.61</v>
      </c>
      <c r="W189" s="18">
        <v>45113</v>
      </c>
    </row>
    <row r="190" spans="1:23" hidden="1" x14ac:dyDescent="0.25">
      <c r="A190" t="s">
        <v>33</v>
      </c>
      <c r="B190" t="s">
        <v>32</v>
      </c>
      <c r="C190">
        <v>1988</v>
      </c>
      <c r="D190" t="s">
        <v>2028</v>
      </c>
      <c r="E190" t="s">
        <v>71</v>
      </c>
      <c r="F190" t="s">
        <v>52</v>
      </c>
      <c r="G190" t="s">
        <v>226</v>
      </c>
      <c r="H190" t="s">
        <v>27</v>
      </c>
      <c r="I190" t="s">
        <v>26</v>
      </c>
      <c r="J190">
        <v>94550</v>
      </c>
      <c r="K190">
        <v>37.748525999999998</v>
      </c>
      <c r="L190">
        <v>-121.649871</v>
      </c>
      <c r="M190" t="s">
        <v>2027</v>
      </c>
      <c r="N190">
        <v>999</v>
      </c>
      <c r="O190" t="s">
        <v>24</v>
      </c>
      <c r="P190">
        <v>13.2</v>
      </c>
      <c r="Q190">
        <v>44.406999999999996</v>
      </c>
      <c r="W190" s="18">
        <v>43131</v>
      </c>
    </row>
    <row r="191" spans="1:23" hidden="1" x14ac:dyDescent="0.25">
      <c r="A191" t="s">
        <v>33</v>
      </c>
      <c r="B191" t="s">
        <v>32</v>
      </c>
      <c r="C191">
        <v>1982</v>
      </c>
      <c r="D191" t="s">
        <v>2026</v>
      </c>
      <c r="E191" t="s">
        <v>30</v>
      </c>
      <c r="F191" t="s">
        <v>52</v>
      </c>
      <c r="G191" t="s">
        <v>226</v>
      </c>
      <c r="H191" t="s">
        <v>27</v>
      </c>
      <c r="I191" t="s">
        <v>26</v>
      </c>
      <c r="J191">
        <v>94550</v>
      </c>
      <c r="K191">
        <v>37.807684000000002</v>
      </c>
      <c r="L191">
        <v>-121.786131</v>
      </c>
      <c r="M191" t="s">
        <v>2026</v>
      </c>
      <c r="N191">
        <v>999</v>
      </c>
      <c r="O191" t="s">
        <v>24</v>
      </c>
      <c r="P191">
        <v>0.01</v>
      </c>
      <c r="Q191">
        <v>8.9999999999999993E-3</v>
      </c>
      <c r="W191" s="18">
        <v>44170</v>
      </c>
    </row>
    <row r="192" spans="1:23" hidden="1" x14ac:dyDescent="0.25">
      <c r="A192" t="s">
        <v>33</v>
      </c>
      <c r="B192" t="s">
        <v>32</v>
      </c>
      <c r="C192">
        <v>1984</v>
      </c>
      <c r="D192" t="s">
        <v>2025</v>
      </c>
      <c r="E192" t="s">
        <v>30</v>
      </c>
      <c r="F192" t="s">
        <v>29</v>
      </c>
      <c r="G192" t="s">
        <v>95</v>
      </c>
      <c r="H192" t="s">
        <v>94</v>
      </c>
      <c r="I192" t="s">
        <v>26</v>
      </c>
      <c r="J192">
        <v>94585</v>
      </c>
      <c r="K192">
        <v>38.075674999999997</v>
      </c>
      <c r="L192">
        <v>-121.8122</v>
      </c>
      <c r="M192" t="s">
        <v>93</v>
      </c>
      <c r="N192">
        <v>28</v>
      </c>
      <c r="O192" t="s">
        <v>24</v>
      </c>
      <c r="P192">
        <v>1.5</v>
      </c>
      <c r="Q192">
        <v>1.52</v>
      </c>
    </row>
    <row r="193" spans="1:23" hidden="1" x14ac:dyDescent="0.25">
      <c r="A193" t="s">
        <v>33</v>
      </c>
      <c r="B193" t="s">
        <v>32</v>
      </c>
      <c r="C193">
        <v>1992</v>
      </c>
      <c r="D193" t="s">
        <v>2024</v>
      </c>
      <c r="E193" t="s">
        <v>948</v>
      </c>
      <c r="F193" t="s">
        <v>29</v>
      </c>
      <c r="G193" t="s">
        <v>2023</v>
      </c>
      <c r="H193" t="s">
        <v>2022</v>
      </c>
      <c r="I193" t="s">
        <v>26</v>
      </c>
      <c r="J193">
        <v>95076</v>
      </c>
      <c r="K193">
        <v>36.886167</v>
      </c>
      <c r="L193">
        <v>-121.78612699999999</v>
      </c>
      <c r="M193" t="s">
        <v>2021</v>
      </c>
      <c r="N193">
        <v>30</v>
      </c>
      <c r="O193" t="s">
        <v>24</v>
      </c>
      <c r="P193">
        <v>0.55000000000000004</v>
      </c>
      <c r="Q193">
        <v>7.0000000000000007E-2</v>
      </c>
    </row>
    <row r="194" spans="1:23" hidden="1" x14ac:dyDescent="0.25">
      <c r="A194" t="s">
        <v>33</v>
      </c>
      <c r="B194" t="s">
        <v>32</v>
      </c>
      <c r="C194">
        <v>1985</v>
      </c>
      <c r="D194" t="s">
        <v>2019</v>
      </c>
      <c r="E194" t="s">
        <v>47</v>
      </c>
      <c r="F194" t="s">
        <v>29</v>
      </c>
      <c r="G194" t="s">
        <v>2020</v>
      </c>
      <c r="H194" t="s">
        <v>69</v>
      </c>
      <c r="I194" t="s">
        <v>26</v>
      </c>
      <c r="J194">
        <v>95037</v>
      </c>
      <c r="K194">
        <v>37.158144999999998</v>
      </c>
      <c r="L194">
        <v>-121.637451</v>
      </c>
      <c r="M194" t="s">
        <v>2019</v>
      </c>
      <c r="N194">
        <v>30</v>
      </c>
      <c r="O194" t="s">
        <v>24</v>
      </c>
      <c r="P194">
        <v>0.8</v>
      </c>
      <c r="Q194">
        <v>0.8</v>
      </c>
    </row>
    <row r="195" spans="1:23" hidden="1" x14ac:dyDescent="0.25">
      <c r="A195" t="s">
        <v>33</v>
      </c>
      <c r="B195" t="s">
        <v>32</v>
      </c>
      <c r="C195">
        <v>1985</v>
      </c>
      <c r="D195" t="s">
        <v>2018</v>
      </c>
      <c r="E195" t="s">
        <v>30</v>
      </c>
      <c r="F195" t="s">
        <v>29</v>
      </c>
      <c r="G195" t="s">
        <v>28</v>
      </c>
      <c r="H195" t="s">
        <v>35</v>
      </c>
      <c r="I195" t="s">
        <v>26</v>
      </c>
      <c r="J195">
        <v>95391</v>
      </c>
      <c r="K195">
        <v>37.745234000000004</v>
      </c>
      <c r="L195">
        <v>-121.603399</v>
      </c>
      <c r="M195" t="s">
        <v>86</v>
      </c>
      <c r="N195">
        <v>30</v>
      </c>
      <c r="O195" t="s">
        <v>24</v>
      </c>
      <c r="P195">
        <v>1.69</v>
      </c>
      <c r="Q195">
        <v>1.169</v>
      </c>
    </row>
    <row r="196" spans="1:23" hidden="1" x14ac:dyDescent="0.25">
      <c r="A196" t="s">
        <v>33</v>
      </c>
      <c r="B196" t="s">
        <v>32</v>
      </c>
      <c r="C196">
        <v>1984</v>
      </c>
      <c r="D196" t="s">
        <v>2017</v>
      </c>
      <c r="E196" t="s">
        <v>47</v>
      </c>
      <c r="F196" t="s">
        <v>29</v>
      </c>
      <c r="G196" t="s">
        <v>118</v>
      </c>
      <c r="H196" t="s">
        <v>117</v>
      </c>
      <c r="I196" t="s">
        <v>26</v>
      </c>
      <c r="J196">
        <v>96125</v>
      </c>
      <c r="K196">
        <v>39.566488</v>
      </c>
      <c r="L196">
        <v>-120.634069</v>
      </c>
      <c r="M196" t="s">
        <v>2016</v>
      </c>
      <c r="N196">
        <v>30</v>
      </c>
      <c r="O196" t="s">
        <v>24</v>
      </c>
      <c r="P196">
        <v>8.6999999999999993</v>
      </c>
      <c r="Q196">
        <v>8.52</v>
      </c>
    </row>
    <row r="197" spans="1:23" hidden="1" x14ac:dyDescent="0.25">
      <c r="A197" t="s">
        <v>33</v>
      </c>
      <c r="B197" t="s">
        <v>32</v>
      </c>
      <c r="C197">
        <v>1985</v>
      </c>
      <c r="D197" t="s">
        <v>2014</v>
      </c>
      <c r="E197" t="s">
        <v>47</v>
      </c>
      <c r="F197" t="s">
        <v>40</v>
      </c>
      <c r="G197" t="s">
        <v>2015</v>
      </c>
      <c r="H197" t="s">
        <v>113</v>
      </c>
      <c r="I197" t="s">
        <v>26</v>
      </c>
      <c r="J197">
        <v>95635</v>
      </c>
      <c r="K197">
        <v>38.945379000000003</v>
      </c>
      <c r="L197">
        <v>-120.90868399999999</v>
      </c>
      <c r="M197" t="s">
        <v>2014</v>
      </c>
      <c r="N197">
        <v>999</v>
      </c>
      <c r="O197" t="s">
        <v>24</v>
      </c>
      <c r="P197">
        <v>0.48</v>
      </c>
      <c r="Q197">
        <v>1.49</v>
      </c>
    </row>
    <row r="198" spans="1:23" hidden="1" x14ac:dyDescent="0.25">
      <c r="A198" t="s">
        <v>33</v>
      </c>
      <c r="B198" t="s">
        <v>32</v>
      </c>
      <c r="C198">
        <v>1983</v>
      </c>
      <c r="D198" t="s">
        <v>2013</v>
      </c>
      <c r="E198" t="s">
        <v>47</v>
      </c>
      <c r="F198" t="s">
        <v>40</v>
      </c>
      <c r="G198" t="s">
        <v>118</v>
      </c>
      <c r="H198" t="s">
        <v>117</v>
      </c>
      <c r="I198" t="s">
        <v>26</v>
      </c>
      <c r="J198">
        <v>96125</v>
      </c>
      <c r="K198">
        <v>39.563619000000003</v>
      </c>
      <c r="L198">
        <v>-120.70110099999999</v>
      </c>
      <c r="M198" t="s">
        <v>2013</v>
      </c>
      <c r="N198">
        <v>999</v>
      </c>
      <c r="O198" t="s">
        <v>24</v>
      </c>
      <c r="P198">
        <v>7.4999999999999997E-2</v>
      </c>
      <c r="Q198">
        <v>0.02</v>
      </c>
    </row>
    <row r="199" spans="1:23" hidden="1" x14ac:dyDescent="0.25">
      <c r="A199" t="s">
        <v>33</v>
      </c>
      <c r="B199" t="s">
        <v>32</v>
      </c>
      <c r="C199">
        <v>1981</v>
      </c>
      <c r="D199" t="s">
        <v>2012</v>
      </c>
      <c r="E199" t="s">
        <v>47</v>
      </c>
      <c r="F199" t="s">
        <v>40</v>
      </c>
      <c r="G199" t="s">
        <v>1918</v>
      </c>
      <c r="H199" t="s">
        <v>136</v>
      </c>
      <c r="I199" t="s">
        <v>26</v>
      </c>
      <c r="J199">
        <v>95603</v>
      </c>
      <c r="K199">
        <v>38.908251</v>
      </c>
      <c r="L199">
        <v>-121.09063</v>
      </c>
      <c r="M199" t="s">
        <v>2012</v>
      </c>
      <c r="N199">
        <v>999</v>
      </c>
      <c r="O199" t="s">
        <v>24</v>
      </c>
      <c r="P199">
        <v>0.1</v>
      </c>
      <c r="Q199">
        <v>0.28999999999999998</v>
      </c>
    </row>
    <row r="200" spans="1:23" hidden="1" x14ac:dyDescent="0.25">
      <c r="A200" t="s">
        <v>33</v>
      </c>
      <c r="B200" t="s">
        <v>32</v>
      </c>
      <c r="C200">
        <v>1985</v>
      </c>
      <c r="D200" t="s">
        <v>2011</v>
      </c>
      <c r="E200" t="s">
        <v>47</v>
      </c>
      <c r="F200" t="s">
        <v>40</v>
      </c>
      <c r="G200" t="s">
        <v>2010</v>
      </c>
      <c r="H200" t="s">
        <v>117</v>
      </c>
      <c r="I200" t="s">
        <v>26</v>
      </c>
      <c r="J200">
        <v>95944</v>
      </c>
      <c r="K200">
        <v>39.541352000000003</v>
      </c>
      <c r="L200">
        <v>-120.88388</v>
      </c>
      <c r="M200" t="s">
        <v>2009</v>
      </c>
      <c r="N200">
        <v>999</v>
      </c>
      <c r="O200" t="s">
        <v>24</v>
      </c>
      <c r="P200">
        <v>0.04</v>
      </c>
      <c r="Q200">
        <v>0.01</v>
      </c>
    </row>
    <row r="201" spans="1:23" hidden="1" x14ac:dyDescent="0.25">
      <c r="A201" t="s">
        <v>33</v>
      </c>
      <c r="B201" t="s">
        <v>32</v>
      </c>
      <c r="C201">
        <v>1985</v>
      </c>
      <c r="D201" t="s">
        <v>2008</v>
      </c>
      <c r="E201" t="s">
        <v>47</v>
      </c>
      <c r="F201" t="s">
        <v>40</v>
      </c>
      <c r="G201" t="s">
        <v>921</v>
      </c>
      <c r="H201" t="s">
        <v>848</v>
      </c>
      <c r="I201" t="s">
        <v>26</v>
      </c>
      <c r="J201">
        <v>95257</v>
      </c>
      <c r="K201">
        <v>38.379078999999997</v>
      </c>
      <c r="L201">
        <v>-120.51464799999999</v>
      </c>
      <c r="M201" t="s">
        <v>2008</v>
      </c>
      <c r="N201">
        <v>999</v>
      </c>
      <c r="O201" t="s">
        <v>24</v>
      </c>
      <c r="P201">
        <v>0.23</v>
      </c>
      <c r="Q201">
        <v>0.61</v>
      </c>
    </row>
    <row r="202" spans="1:23" hidden="1" x14ac:dyDescent="0.25">
      <c r="A202" t="s">
        <v>33</v>
      </c>
      <c r="B202" t="s">
        <v>32</v>
      </c>
      <c r="C202">
        <v>1984</v>
      </c>
      <c r="D202" t="s">
        <v>2007</v>
      </c>
      <c r="E202" t="s">
        <v>47</v>
      </c>
      <c r="F202" t="s">
        <v>40</v>
      </c>
      <c r="G202" t="s">
        <v>1673</v>
      </c>
      <c r="H202" t="s">
        <v>848</v>
      </c>
      <c r="I202" t="s">
        <v>26</v>
      </c>
      <c r="J202">
        <v>95230</v>
      </c>
      <c r="K202">
        <v>37.975002000000003</v>
      </c>
      <c r="L202">
        <v>-120.79861099999999</v>
      </c>
      <c r="M202" t="s">
        <v>2007</v>
      </c>
      <c r="N202">
        <v>999</v>
      </c>
      <c r="O202" t="s">
        <v>24</v>
      </c>
      <c r="P202">
        <v>0.7</v>
      </c>
      <c r="Q202">
        <v>0.96</v>
      </c>
    </row>
    <row r="203" spans="1:23" hidden="1" x14ac:dyDescent="0.25">
      <c r="A203" t="s">
        <v>33</v>
      </c>
      <c r="B203" t="s">
        <v>32</v>
      </c>
      <c r="C203">
        <v>1985</v>
      </c>
      <c r="D203" t="s">
        <v>2006</v>
      </c>
      <c r="E203" t="s">
        <v>41</v>
      </c>
      <c r="F203" t="s">
        <v>52</v>
      </c>
      <c r="G203" t="s">
        <v>28</v>
      </c>
      <c r="H203" t="s">
        <v>35</v>
      </c>
      <c r="I203" t="s">
        <v>26</v>
      </c>
      <c r="J203">
        <v>95377</v>
      </c>
      <c r="K203">
        <v>37.720899000000003</v>
      </c>
      <c r="L203">
        <v>-121.49051</v>
      </c>
      <c r="M203" t="s">
        <v>2005</v>
      </c>
      <c r="N203">
        <v>30</v>
      </c>
      <c r="O203" t="s">
        <v>24</v>
      </c>
      <c r="P203">
        <v>21</v>
      </c>
      <c r="Q203">
        <v>142.518</v>
      </c>
      <c r="W203" s="18">
        <v>43591</v>
      </c>
    </row>
    <row r="204" spans="1:23" hidden="1" x14ac:dyDescent="0.25">
      <c r="A204" t="s">
        <v>33</v>
      </c>
      <c r="B204" t="s">
        <v>32</v>
      </c>
      <c r="C204">
        <v>1985</v>
      </c>
      <c r="D204" t="s">
        <v>2004</v>
      </c>
      <c r="E204" t="s">
        <v>47</v>
      </c>
      <c r="F204" t="s">
        <v>29</v>
      </c>
      <c r="G204" t="s">
        <v>278</v>
      </c>
      <c r="H204" t="s">
        <v>146</v>
      </c>
      <c r="I204" t="s">
        <v>26</v>
      </c>
      <c r="J204">
        <v>93626</v>
      </c>
      <c r="K204">
        <v>37.000556000000003</v>
      </c>
      <c r="L204">
        <v>-119.70527800000001</v>
      </c>
      <c r="M204" t="s">
        <v>277</v>
      </c>
      <c r="N204">
        <v>30</v>
      </c>
      <c r="O204" t="s">
        <v>24</v>
      </c>
      <c r="P204">
        <v>0.45</v>
      </c>
      <c r="Q204">
        <v>3.39</v>
      </c>
    </row>
    <row r="205" spans="1:23" hidden="1" x14ac:dyDescent="0.25">
      <c r="A205" t="s">
        <v>33</v>
      </c>
      <c r="B205" t="s">
        <v>32</v>
      </c>
      <c r="C205">
        <v>1985</v>
      </c>
      <c r="D205" t="s">
        <v>2003</v>
      </c>
      <c r="E205" t="s">
        <v>47</v>
      </c>
      <c r="F205" t="s">
        <v>29</v>
      </c>
      <c r="G205" t="s">
        <v>280</v>
      </c>
      <c r="H205" t="s">
        <v>146</v>
      </c>
      <c r="I205" t="s">
        <v>26</v>
      </c>
      <c r="J205">
        <v>93657</v>
      </c>
      <c r="K205">
        <v>36.764446</v>
      </c>
      <c r="L205">
        <v>-119.441108</v>
      </c>
      <c r="M205" t="s">
        <v>277</v>
      </c>
      <c r="N205">
        <v>30</v>
      </c>
      <c r="O205" t="s">
        <v>24</v>
      </c>
      <c r="P205">
        <v>1</v>
      </c>
      <c r="Q205">
        <v>1.39</v>
      </c>
    </row>
    <row r="206" spans="1:23" hidden="1" x14ac:dyDescent="0.25">
      <c r="A206" t="s">
        <v>33</v>
      </c>
      <c r="B206" t="s">
        <v>32</v>
      </c>
      <c r="C206">
        <v>1985</v>
      </c>
      <c r="D206" t="s">
        <v>2001</v>
      </c>
      <c r="E206" t="s">
        <v>30</v>
      </c>
      <c r="F206" t="s">
        <v>29</v>
      </c>
      <c r="G206" t="s">
        <v>2002</v>
      </c>
      <c r="H206" t="s">
        <v>153</v>
      </c>
      <c r="I206" t="s">
        <v>26</v>
      </c>
      <c r="J206">
        <v>93635</v>
      </c>
      <c r="K206">
        <v>37.066443999999997</v>
      </c>
      <c r="L206">
        <v>-121.21862</v>
      </c>
      <c r="M206" t="s">
        <v>2001</v>
      </c>
      <c r="N206">
        <v>30</v>
      </c>
      <c r="O206" t="s">
        <v>24</v>
      </c>
      <c r="P206">
        <v>34</v>
      </c>
      <c r="Q206">
        <v>24.58</v>
      </c>
    </row>
    <row r="207" spans="1:23" hidden="1" x14ac:dyDescent="0.25">
      <c r="A207" t="s">
        <v>33</v>
      </c>
      <c r="B207" t="s">
        <v>197</v>
      </c>
      <c r="C207">
        <v>2004</v>
      </c>
      <c r="D207" t="s">
        <v>2000</v>
      </c>
      <c r="E207" t="s">
        <v>30</v>
      </c>
      <c r="F207" t="s">
        <v>29</v>
      </c>
      <c r="G207" t="s">
        <v>446</v>
      </c>
      <c r="H207" t="s">
        <v>94</v>
      </c>
      <c r="I207" t="s">
        <v>26</v>
      </c>
      <c r="J207">
        <v>94512</v>
      </c>
      <c r="K207">
        <v>38.126389000000003</v>
      </c>
      <c r="L207">
        <v>-121.84611099999999</v>
      </c>
      <c r="M207" t="s">
        <v>1999</v>
      </c>
      <c r="N207">
        <v>15</v>
      </c>
      <c r="O207" t="s">
        <v>24</v>
      </c>
      <c r="P207">
        <v>75</v>
      </c>
      <c r="Q207">
        <v>225</v>
      </c>
      <c r="S207" s="18">
        <v>38524</v>
      </c>
      <c r="T207" s="18">
        <v>38593</v>
      </c>
    </row>
    <row r="208" spans="1:23" hidden="1" x14ac:dyDescent="0.25">
      <c r="A208" t="s">
        <v>33</v>
      </c>
      <c r="B208" t="s">
        <v>201</v>
      </c>
      <c r="C208">
        <v>2005</v>
      </c>
      <c r="D208" t="s">
        <v>1998</v>
      </c>
      <c r="E208" t="s">
        <v>41</v>
      </c>
      <c r="F208" t="s">
        <v>52</v>
      </c>
      <c r="G208" t="s">
        <v>153</v>
      </c>
      <c r="H208" t="s">
        <v>153</v>
      </c>
      <c r="I208" t="s">
        <v>26</v>
      </c>
      <c r="J208">
        <v>95340</v>
      </c>
      <c r="K208">
        <v>37.186999999999998</v>
      </c>
      <c r="L208">
        <v>-120.491</v>
      </c>
      <c r="M208" t="s">
        <v>1996</v>
      </c>
      <c r="N208">
        <v>22</v>
      </c>
      <c r="O208" t="s">
        <v>24</v>
      </c>
      <c r="P208">
        <v>9</v>
      </c>
      <c r="Q208">
        <v>72</v>
      </c>
      <c r="S208" s="18">
        <v>38926</v>
      </c>
      <c r="T208" s="18">
        <v>39065</v>
      </c>
      <c r="W208" s="18">
        <v>45148</v>
      </c>
    </row>
    <row r="209" spans="1:23" hidden="1" x14ac:dyDescent="0.25">
      <c r="A209" t="s">
        <v>33</v>
      </c>
      <c r="B209" t="s">
        <v>201</v>
      </c>
      <c r="C209">
        <v>2005</v>
      </c>
      <c r="D209" t="s">
        <v>1997</v>
      </c>
      <c r="E209" t="s">
        <v>41</v>
      </c>
      <c r="F209" t="s">
        <v>52</v>
      </c>
      <c r="G209" t="s">
        <v>709</v>
      </c>
      <c r="H209" t="s">
        <v>178</v>
      </c>
      <c r="I209" t="s">
        <v>26</v>
      </c>
      <c r="J209">
        <v>93610</v>
      </c>
      <c r="K209">
        <v>37.106000000000002</v>
      </c>
      <c r="L209">
        <v>-120.249</v>
      </c>
      <c r="M209" t="s">
        <v>1996</v>
      </c>
      <c r="N209">
        <v>22</v>
      </c>
      <c r="O209" t="s">
        <v>24</v>
      </c>
      <c r="P209">
        <v>9</v>
      </c>
      <c r="Q209">
        <v>72</v>
      </c>
      <c r="S209" s="18">
        <v>38926</v>
      </c>
      <c r="T209" s="18">
        <v>39065</v>
      </c>
      <c r="W209" s="18">
        <v>45148</v>
      </c>
    </row>
    <row r="210" spans="1:23" hidden="1" x14ac:dyDescent="0.25">
      <c r="A210" t="s">
        <v>33</v>
      </c>
      <c r="B210" t="s">
        <v>197</v>
      </c>
      <c r="C210">
        <v>2006</v>
      </c>
      <c r="D210" t="s">
        <v>1995</v>
      </c>
      <c r="E210" t="s">
        <v>30</v>
      </c>
      <c r="F210" t="s">
        <v>29</v>
      </c>
      <c r="G210" t="s">
        <v>719</v>
      </c>
      <c r="H210" t="s">
        <v>1991</v>
      </c>
      <c r="I210" t="s">
        <v>250</v>
      </c>
      <c r="J210">
        <v>97065</v>
      </c>
      <c r="K210">
        <v>45.5839</v>
      </c>
      <c r="L210">
        <v>-120.602778</v>
      </c>
      <c r="M210" t="s">
        <v>1990</v>
      </c>
      <c r="N210">
        <v>15</v>
      </c>
      <c r="O210" t="s">
        <v>24</v>
      </c>
      <c r="P210">
        <v>85</v>
      </c>
      <c r="Q210">
        <v>265</v>
      </c>
      <c r="S210" s="18">
        <v>39283</v>
      </c>
      <c r="T210" s="18">
        <v>39405</v>
      </c>
    </row>
    <row r="211" spans="1:23" hidden="1" x14ac:dyDescent="0.25">
      <c r="A211" t="s">
        <v>33</v>
      </c>
      <c r="B211" t="s">
        <v>201</v>
      </c>
      <c r="C211">
        <v>2006</v>
      </c>
      <c r="D211" t="s">
        <v>1994</v>
      </c>
      <c r="E211" t="s">
        <v>41</v>
      </c>
      <c r="F211" t="s">
        <v>29</v>
      </c>
      <c r="G211" t="s">
        <v>966</v>
      </c>
      <c r="H211" t="s">
        <v>925</v>
      </c>
      <c r="I211" t="s">
        <v>26</v>
      </c>
      <c r="J211">
        <v>95987</v>
      </c>
      <c r="K211">
        <v>39.106699999999996</v>
      </c>
      <c r="L211">
        <v>-122.109722</v>
      </c>
      <c r="M211" t="s">
        <v>1993</v>
      </c>
      <c r="N211">
        <v>10</v>
      </c>
      <c r="O211" t="s">
        <v>24</v>
      </c>
      <c r="P211">
        <v>26.5</v>
      </c>
      <c r="Q211">
        <v>141</v>
      </c>
      <c r="S211" s="18">
        <v>39521</v>
      </c>
      <c r="T211" s="18">
        <v>39664</v>
      </c>
    </row>
    <row r="212" spans="1:23" hidden="1" x14ac:dyDescent="0.25">
      <c r="A212" t="s">
        <v>33</v>
      </c>
      <c r="B212" t="s">
        <v>201</v>
      </c>
      <c r="C212">
        <v>2007</v>
      </c>
      <c r="D212" t="s">
        <v>1992</v>
      </c>
      <c r="E212" t="s">
        <v>30</v>
      </c>
      <c r="F212" t="s">
        <v>29</v>
      </c>
      <c r="G212" t="s">
        <v>719</v>
      </c>
      <c r="H212" t="s">
        <v>1991</v>
      </c>
      <c r="I212" t="s">
        <v>250</v>
      </c>
      <c r="J212">
        <v>97065</v>
      </c>
      <c r="K212">
        <v>45.5839</v>
      </c>
      <c r="L212">
        <v>-120.602778</v>
      </c>
      <c r="M212" t="s">
        <v>1990</v>
      </c>
      <c r="N212">
        <v>10</v>
      </c>
      <c r="O212" t="s">
        <v>24</v>
      </c>
      <c r="P212">
        <v>90</v>
      </c>
      <c r="Q212">
        <v>263.26</v>
      </c>
      <c r="S212" s="18">
        <v>39681</v>
      </c>
      <c r="T212" s="18">
        <v>39801</v>
      </c>
    </row>
    <row r="213" spans="1:23" hidden="1" x14ac:dyDescent="0.25">
      <c r="A213" t="s">
        <v>33</v>
      </c>
      <c r="B213" t="s">
        <v>232</v>
      </c>
      <c r="C213">
        <v>2009</v>
      </c>
      <c r="D213" t="s">
        <v>1989</v>
      </c>
      <c r="E213" t="s">
        <v>948</v>
      </c>
      <c r="F213" t="s">
        <v>29</v>
      </c>
      <c r="G213" t="s">
        <v>608</v>
      </c>
      <c r="H213" t="s">
        <v>35</v>
      </c>
      <c r="I213" t="s">
        <v>26</v>
      </c>
      <c r="J213">
        <v>95242</v>
      </c>
      <c r="K213">
        <v>38.086599999999997</v>
      </c>
      <c r="L213">
        <v>-121.32</v>
      </c>
      <c r="M213" t="s">
        <v>1988</v>
      </c>
      <c r="N213">
        <v>10</v>
      </c>
      <c r="O213" t="s">
        <v>24</v>
      </c>
      <c r="P213">
        <v>0.3</v>
      </c>
      <c r="Q213">
        <v>1.3</v>
      </c>
    </row>
    <row r="214" spans="1:23" hidden="1" x14ac:dyDescent="0.25">
      <c r="A214" t="s">
        <v>33</v>
      </c>
      <c r="B214" t="s">
        <v>201</v>
      </c>
      <c r="C214">
        <v>2009</v>
      </c>
      <c r="D214" t="s">
        <v>932</v>
      </c>
      <c r="E214" t="s">
        <v>41</v>
      </c>
      <c r="F214" t="s">
        <v>29</v>
      </c>
      <c r="G214" t="s">
        <v>931</v>
      </c>
      <c r="H214" t="s">
        <v>518</v>
      </c>
      <c r="I214" t="s">
        <v>26</v>
      </c>
      <c r="J214">
        <v>95776</v>
      </c>
      <c r="K214">
        <v>38.679000000000002</v>
      </c>
      <c r="L214">
        <v>-121.773</v>
      </c>
      <c r="M214" t="s">
        <v>1987</v>
      </c>
      <c r="N214">
        <v>10</v>
      </c>
      <c r="O214" t="s">
        <v>24</v>
      </c>
      <c r="P214">
        <v>25</v>
      </c>
      <c r="Q214">
        <v>175</v>
      </c>
      <c r="S214" s="18">
        <v>39975</v>
      </c>
      <c r="T214" s="18">
        <v>40204</v>
      </c>
    </row>
    <row r="215" spans="1:23" hidden="1" x14ac:dyDescent="0.25">
      <c r="A215" t="s">
        <v>33</v>
      </c>
      <c r="B215" t="s">
        <v>42</v>
      </c>
      <c r="C215">
        <v>2016</v>
      </c>
      <c r="D215" t="s">
        <v>936</v>
      </c>
      <c r="E215" t="s">
        <v>41</v>
      </c>
      <c r="F215" t="s">
        <v>29</v>
      </c>
      <c r="G215" t="s">
        <v>163</v>
      </c>
      <c r="H215" t="s">
        <v>74</v>
      </c>
      <c r="I215" t="s">
        <v>26</v>
      </c>
      <c r="J215">
        <v>96013</v>
      </c>
      <c r="K215">
        <v>40.878999999999998</v>
      </c>
      <c r="L215">
        <v>-121.727</v>
      </c>
      <c r="M215" t="s">
        <v>935</v>
      </c>
      <c r="N215">
        <v>5</v>
      </c>
      <c r="O215" t="s">
        <v>36</v>
      </c>
      <c r="P215">
        <v>29</v>
      </c>
      <c r="Q215">
        <v>217.57589999999999</v>
      </c>
      <c r="S215" s="18">
        <v>42689</v>
      </c>
    </row>
    <row r="216" spans="1:23" hidden="1" x14ac:dyDescent="0.25">
      <c r="A216" t="s">
        <v>33</v>
      </c>
      <c r="B216" t="s">
        <v>232</v>
      </c>
      <c r="C216">
        <v>2009</v>
      </c>
      <c r="D216" t="s">
        <v>1986</v>
      </c>
      <c r="E216" t="s">
        <v>47</v>
      </c>
      <c r="F216" t="s">
        <v>29</v>
      </c>
      <c r="G216" t="s">
        <v>826</v>
      </c>
      <c r="H216" t="s">
        <v>208</v>
      </c>
      <c r="I216" t="s">
        <v>26</v>
      </c>
      <c r="J216">
        <v>95945</v>
      </c>
      <c r="K216">
        <v>39.012099999999997</v>
      </c>
      <c r="L216">
        <v>-121.05800000000001</v>
      </c>
      <c r="M216" t="s">
        <v>828</v>
      </c>
      <c r="N216">
        <v>10</v>
      </c>
      <c r="O216" t="s">
        <v>24</v>
      </c>
      <c r="P216">
        <v>1.5</v>
      </c>
      <c r="Q216">
        <v>3.95</v>
      </c>
    </row>
    <row r="217" spans="1:23" hidden="1" x14ac:dyDescent="0.25">
      <c r="A217" t="s">
        <v>33</v>
      </c>
      <c r="B217" t="s">
        <v>232</v>
      </c>
      <c r="C217">
        <v>2009</v>
      </c>
      <c r="D217" t="s">
        <v>1985</v>
      </c>
      <c r="E217" t="s">
        <v>47</v>
      </c>
      <c r="F217" t="s">
        <v>29</v>
      </c>
      <c r="G217" t="s">
        <v>1804</v>
      </c>
      <c r="H217" t="s">
        <v>74</v>
      </c>
      <c r="I217" t="s">
        <v>26</v>
      </c>
      <c r="J217">
        <v>96040</v>
      </c>
      <c r="K217">
        <v>40.765999999999998</v>
      </c>
      <c r="L217">
        <v>-121.438</v>
      </c>
      <c r="M217" t="s">
        <v>1983</v>
      </c>
      <c r="N217">
        <v>10</v>
      </c>
      <c r="O217" t="s">
        <v>24</v>
      </c>
      <c r="P217">
        <v>1.1000000000000001</v>
      </c>
      <c r="Q217">
        <v>9.64</v>
      </c>
    </row>
    <row r="218" spans="1:23" hidden="1" x14ac:dyDescent="0.25">
      <c r="A218" t="s">
        <v>33</v>
      </c>
      <c r="B218" t="s">
        <v>232</v>
      </c>
      <c r="C218">
        <v>2009</v>
      </c>
      <c r="D218" t="s">
        <v>1984</v>
      </c>
      <c r="E218" t="s">
        <v>47</v>
      </c>
      <c r="F218" t="s">
        <v>29</v>
      </c>
      <c r="G218" t="s">
        <v>1804</v>
      </c>
      <c r="H218" t="s">
        <v>74</v>
      </c>
      <c r="I218" t="s">
        <v>26</v>
      </c>
      <c r="J218">
        <v>96040</v>
      </c>
      <c r="K218">
        <v>40.677</v>
      </c>
      <c r="L218">
        <v>-121.434</v>
      </c>
      <c r="M218" t="s">
        <v>1983</v>
      </c>
      <c r="N218">
        <v>10</v>
      </c>
      <c r="O218" t="s">
        <v>24</v>
      </c>
      <c r="P218">
        <v>0.5</v>
      </c>
      <c r="Q218">
        <v>4.38</v>
      </c>
    </row>
    <row r="219" spans="1:23" hidden="1" x14ac:dyDescent="0.25">
      <c r="A219" t="s">
        <v>33</v>
      </c>
      <c r="B219" t="s">
        <v>232</v>
      </c>
      <c r="C219">
        <v>2010</v>
      </c>
      <c r="D219" t="s">
        <v>1982</v>
      </c>
      <c r="E219" t="s">
        <v>47</v>
      </c>
      <c r="F219" t="s">
        <v>29</v>
      </c>
      <c r="G219" t="s">
        <v>209</v>
      </c>
      <c r="H219" t="s">
        <v>208</v>
      </c>
      <c r="I219" t="s">
        <v>26</v>
      </c>
      <c r="J219">
        <v>95959</v>
      </c>
      <c r="K219">
        <v>39.2727</v>
      </c>
      <c r="L219">
        <v>-120.932</v>
      </c>
      <c r="M219" t="s">
        <v>828</v>
      </c>
      <c r="N219">
        <v>10</v>
      </c>
      <c r="O219" t="s">
        <v>24</v>
      </c>
      <c r="P219">
        <v>0.85</v>
      </c>
      <c r="Q219">
        <v>3.2</v>
      </c>
    </row>
    <row r="220" spans="1:23" hidden="1" x14ac:dyDescent="0.25">
      <c r="A220" t="s">
        <v>33</v>
      </c>
      <c r="B220" t="s">
        <v>232</v>
      </c>
      <c r="C220">
        <v>2010</v>
      </c>
      <c r="D220" t="s">
        <v>1981</v>
      </c>
      <c r="E220" t="s">
        <v>948</v>
      </c>
      <c r="F220" t="s">
        <v>29</v>
      </c>
      <c r="G220" t="s">
        <v>1980</v>
      </c>
      <c r="H220" t="s">
        <v>1979</v>
      </c>
      <c r="I220" t="s">
        <v>26</v>
      </c>
      <c r="J220">
        <v>94940</v>
      </c>
      <c r="K220">
        <v>38.167029999999997</v>
      </c>
      <c r="L220">
        <v>-122.893108</v>
      </c>
      <c r="M220" t="s">
        <v>1978</v>
      </c>
      <c r="N220">
        <v>10</v>
      </c>
      <c r="O220" t="s">
        <v>36</v>
      </c>
      <c r="P220">
        <v>0.08</v>
      </c>
      <c r="Q220">
        <v>0.6</v>
      </c>
    </row>
    <row r="221" spans="1:23" hidden="1" x14ac:dyDescent="0.25">
      <c r="A221" t="s">
        <v>33</v>
      </c>
      <c r="B221" t="s">
        <v>232</v>
      </c>
      <c r="C221">
        <v>2011</v>
      </c>
      <c r="D221" t="s">
        <v>1977</v>
      </c>
      <c r="E221" t="s">
        <v>47</v>
      </c>
      <c r="F221" t="s">
        <v>29</v>
      </c>
      <c r="G221" t="s">
        <v>711</v>
      </c>
      <c r="H221" t="s">
        <v>153</v>
      </c>
      <c r="I221" t="s">
        <v>26</v>
      </c>
      <c r="J221">
        <v>93635</v>
      </c>
      <c r="K221">
        <v>37.055095999999999</v>
      </c>
      <c r="L221">
        <v>-120.94395900000001</v>
      </c>
      <c r="M221" t="s">
        <v>1975</v>
      </c>
      <c r="N221">
        <v>10</v>
      </c>
      <c r="O221" t="s">
        <v>36</v>
      </c>
      <c r="P221">
        <v>0.98</v>
      </c>
      <c r="Q221">
        <v>5</v>
      </c>
    </row>
    <row r="222" spans="1:23" hidden="1" x14ac:dyDescent="0.25">
      <c r="A222" t="s">
        <v>33</v>
      </c>
      <c r="B222" t="s">
        <v>232</v>
      </c>
      <c r="C222">
        <v>2011</v>
      </c>
      <c r="D222" t="s">
        <v>1976</v>
      </c>
      <c r="E222" t="s">
        <v>47</v>
      </c>
      <c r="F222" t="s">
        <v>29</v>
      </c>
      <c r="G222" t="s">
        <v>711</v>
      </c>
      <c r="H222" t="s">
        <v>153</v>
      </c>
      <c r="I222" t="s">
        <v>26</v>
      </c>
      <c r="J222">
        <v>93635</v>
      </c>
      <c r="K222">
        <v>37.071131000000001</v>
      </c>
      <c r="L222">
        <v>-120.960234</v>
      </c>
      <c r="M222" t="s">
        <v>1975</v>
      </c>
      <c r="N222">
        <v>10</v>
      </c>
      <c r="O222" t="s">
        <v>36</v>
      </c>
      <c r="P222">
        <v>0.6</v>
      </c>
      <c r="Q222">
        <v>3</v>
      </c>
    </row>
    <row r="223" spans="1:23" hidden="1" x14ac:dyDescent="0.25">
      <c r="A223" t="s">
        <v>33</v>
      </c>
      <c r="B223" t="s">
        <v>232</v>
      </c>
      <c r="C223">
        <v>2011</v>
      </c>
      <c r="D223" t="s">
        <v>1974</v>
      </c>
      <c r="E223" t="s">
        <v>47</v>
      </c>
      <c r="F223" t="s">
        <v>52</v>
      </c>
      <c r="G223" t="s">
        <v>1973</v>
      </c>
      <c r="H223" t="s">
        <v>136</v>
      </c>
      <c r="I223" t="s">
        <v>26</v>
      </c>
      <c r="J223">
        <v>95681</v>
      </c>
      <c r="K223">
        <v>38.995849999999997</v>
      </c>
      <c r="L223">
        <v>-121.377223</v>
      </c>
      <c r="M223" t="s">
        <v>1972</v>
      </c>
      <c r="N223">
        <v>10</v>
      </c>
      <c r="O223" t="s">
        <v>36</v>
      </c>
      <c r="P223">
        <v>0.39500000000000002</v>
      </c>
      <c r="Q223">
        <v>2</v>
      </c>
      <c r="W223" s="18">
        <v>43752</v>
      </c>
    </row>
    <row r="224" spans="1:23" hidden="1" x14ac:dyDescent="0.25">
      <c r="A224" t="s">
        <v>33</v>
      </c>
      <c r="B224" t="s">
        <v>232</v>
      </c>
      <c r="C224">
        <v>2012</v>
      </c>
      <c r="D224" t="s">
        <v>1970</v>
      </c>
      <c r="E224" t="s">
        <v>47</v>
      </c>
      <c r="F224" t="s">
        <v>29</v>
      </c>
      <c r="G224" t="s">
        <v>1971</v>
      </c>
      <c r="H224" t="s">
        <v>860</v>
      </c>
      <c r="I224" t="s">
        <v>26</v>
      </c>
      <c r="J224">
        <v>95962</v>
      </c>
      <c r="K224">
        <v>39.338579000000003</v>
      </c>
      <c r="L224">
        <v>-121.327136</v>
      </c>
      <c r="M224" t="s">
        <v>1970</v>
      </c>
      <c r="N224">
        <v>10</v>
      </c>
      <c r="O224" t="s">
        <v>36</v>
      </c>
      <c r="P224">
        <v>1.04</v>
      </c>
      <c r="Q224">
        <v>5.2</v>
      </c>
    </row>
    <row r="225" spans="1:20" hidden="1" x14ac:dyDescent="0.25">
      <c r="A225" t="s">
        <v>33</v>
      </c>
      <c r="B225" t="s">
        <v>42</v>
      </c>
      <c r="C225">
        <v>2016</v>
      </c>
      <c r="D225" t="s">
        <v>1969</v>
      </c>
      <c r="E225" t="s">
        <v>41</v>
      </c>
      <c r="F225" t="s">
        <v>29</v>
      </c>
      <c r="G225" t="s">
        <v>443</v>
      </c>
      <c r="H225" t="s">
        <v>74</v>
      </c>
      <c r="I225" t="s">
        <v>26</v>
      </c>
      <c r="J225">
        <v>96007</v>
      </c>
      <c r="K225">
        <v>40.428199999999997</v>
      </c>
      <c r="L225">
        <v>-122.2754</v>
      </c>
      <c r="M225" t="s">
        <v>933</v>
      </c>
      <c r="N225">
        <v>5</v>
      </c>
      <c r="O225" t="s">
        <v>36</v>
      </c>
      <c r="P225">
        <v>34</v>
      </c>
      <c r="Q225">
        <v>238.27199999999999</v>
      </c>
      <c r="S225" s="18">
        <v>42724</v>
      </c>
      <c r="T225" s="18">
        <v>42796</v>
      </c>
    </row>
    <row r="226" spans="1:20" hidden="1" x14ac:dyDescent="0.25">
      <c r="A226" t="s">
        <v>33</v>
      </c>
      <c r="B226" t="s">
        <v>111</v>
      </c>
      <c r="C226">
        <v>2019</v>
      </c>
      <c r="D226" t="s">
        <v>1968</v>
      </c>
      <c r="E226" t="s">
        <v>41</v>
      </c>
      <c r="F226" t="s">
        <v>29</v>
      </c>
      <c r="G226" t="s">
        <v>443</v>
      </c>
      <c r="H226" t="s">
        <v>74</v>
      </c>
      <c r="I226" t="s">
        <v>26</v>
      </c>
      <c r="J226">
        <v>96007</v>
      </c>
      <c r="K226">
        <v>40.428199999999997</v>
      </c>
      <c r="L226">
        <v>-122.2754</v>
      </c>
      <c r="M226" t="s">
        <v>1968</v>
      </c>
      <c r="N226">
        <v>4</v>
      </c>
      <c r="O226" t="s">
        <v>36</v>
      </c>
      <c r="Q226">
        <v>238.27199999999999</v>
      </c>
      <c r="S226" s="18">
        <v>43630</v>
      </c>
      <c r="T226" s="18">
        <v>43662</v>
      </c>
    </row>
    <row r="227" spans="1:20" hidden="1" x14ac:dyDescent="0.25">
      <c r="A227" t="s">
        <v>33</v>
      </c>
      <c r="B227" t="s">
        <v>111</v>
      </c>
      <c r="C227">
        <v>2021</v>
      </c>
      <c r="D227" t="s">
        <v>1967</v>
      </c>
      <c r="E227" t="s">
        <v>948</v>
      </c>
      <c r="F227" t="s">
        <v>29</v>
      </c>
      <c r="G227" t="s">
        <v>173</v>
      </c>
      <c r="H227" t="s">
        <v>12</v>
      </c>
      <c r="I227" t="s">
        <v>26</v>
      </c>
      <c r="J227">
        <v>93311</v>
      </c>
      <c r="K227">
        <v>35.169600000000003</v>
      </c>
      <c r="L227">
        <v>-119.1056</v>
      </c>
      <c r="M227" t="s">
        <v>1967</v>
      </c>
      <c r="N227">
        <v>1</v>
      </c>
      <c r="O227" t="s">
        <v>36</v>
      </c>
      <c r="Q227">
        <v>12</v>
      </c>
      <c r="S227" s="18">
        <v>44406</v>
      </c>
      <c r="T227" s="18">
        <v>44431</v>
      </c>
    </row>
    <row r="228" spans="1:20" hidden="1" x14ac:dyDescent="0.25">
      <c r="A228" t="s">
        <v>33</v>
      </c>
      <c r="B228" t="s">
        <v>92</v>
      </c>
      <c r="C228">
        <v>1902</v>
      </c>
      <c r="D228" t="s">
        <v>1966</v>
      </c>
      <c r="E228" t="s">
        <v>47</v>
      </c>
      <c r="F228" t="s">
        <v>40</v>
      </c>
      <c r="G228" t="s">
        <v>1957</v>
      </c>
      <c r="H228" t="s">
        <v>136</v>
      </c>
      <c r="I228" t="s">
        <v>26</v>
      </c>
      <c r="J228">
        <v>95701</v>
      </c>
      <c r="K228">
        <v>39.215978999999997</v>
      </c>
      <c r="L228">
        <v>-120.80355</v>
      </c>
      <c r="M228" t="s">
        <v>1966</v>
      </c>
      <c r="N228">
        <v>999</v>
      </c>
      <c r="O228" t="s">
        <v>24</v>
      </c>
      <c r="P228">
        <v>1</v>
      </c>
      <c r="Q228">
        <v>3.8577104229999999</v>
      </c>
    </row>
    <row r="229" spans="1:20" hidden="1" x14ac:dyDescent="0.25">
      <c r="A229" t="s">
        <v>33</v>
      </c>
      <c r="B229" t="s">
        <v>92</v>
      </c>
      <c r="C229">
        <v>1900</v>
      </c>
      <c r="D229" t="s">
        <v>1965</v>
      </c>
      <c r="E229" t="s">
        <v>47</v>
      </c>
      <c r="F229" t="s">
        <v>40</v>
      </c>
      <c r="G229" t="s">
        <v>1641</v>
      </c>
      <c r="H229" t="s">
        <v>649</v>
      </c>
      <c r="I229" t="s">
        <v>26</v>
      </c>
      <c r="J229">
        <v>95927</v>
      </c>
      <c r="K229">
        <v>39.788876999999999</v>
      </c>
      <c r="L229">
        <v>-121.657383</v>
      </c>
      <c r="M229" t="s">
        <v>1965</v>
      </c>
      <c r="N229">
        <v>999</v>
      </c>
      <c r="O229" t="s">
        <v>24</v>
      </c>
      <c r="P229">
        <v>6.4</v>
      </c>
      <c r="Q229">
        <v>24.342308391</v>
      </c>
    </row>
    <row r="230" spans="1:20" hidden="1" x14ac:dyDescent="0.25">
      <c r="A230" t="s">
        <v>33</v>
      </c>
      <c r="B230" t="s">
        <v>92</v>
      </c>
      <c r="C230">
        <v>1965</v>
      </c>
      <c r="D230" t="s">
        <v>1964</v>
      </c>
      <c r="E230" t="s">
        <v>47</v>
      </c>
      <c r="F230" t="s">
        <v>52</v>
      </c>
      <c r="G230" t="s">
        <v>114</v>
      </c>
      <c r="H230" t="s">
        <v>113</v>
      </c>
      <c r="I230" t="s">
        <v>26</v>
      </c>
      <c r="J230">
        <v>95667</v>
      </c>
      <c r="K230">
        <v>38.771763999999997</v>
      </c>
      <c r="L230">
        <v>-120.813239</v>
      </c>
      <c r="M230" t="s">
        <v>1964</v>
      </c>
      <c r="N230">
        <v>999</v>
      </c>
      <c r="O230" t="s">
        <v>24</v>
      </c>
      <c r="P230">
        <v>7</v>
      </c>
      <c r="Q230">
        <v>27.296769999999999</v>
      </c>
    </row>
    <row r="231" spans="1:20" hidden="1" x14ac:dyDescent="0.25">
      <c r="A231" t="s">
        <v>33</v>
      </c>
      <c r="B231" t="s">
        <v>92</v>
      </c>
      <c r="C231">
        <v>1979</v>
      </c>
      <c r="D231" t="s">
        <v>1963</v>
      </c>
      <c r="E231" t="s">
        <v>47</v>
      </c>
      <c r="F231" t="s">
        <v>40</v>
      </c>
      <c r="G231" t="s">
        <v>443</v>
      </c>
      <c r="H231" t="s">
        <v>74</v>
      </c>
      <c r="I231" t="s">
        <v>26</v>
      </c>
      <c r="J231">
        <v>96062</v>
      </c>
      <c r="K231">
        <v>40.404645000000002</v>
      </c>
      <c r="L231">
        <v>-122.121904</v>
      </c>
      <c r="M231" t="s">
        <v>1963</v>
      </c>
      <c r="N231">
        <v>999</v>
      </c>
      <c r="O231" t="s">
        <v>24</v>
      </c>
      <c r="P231">
        <v>13</v>
      </c>
      <c r="Q231">
        <v>59.108345890999999</v>
      </c>
    </row>
    <row r="232" spans="1:20" hidden="1" x14ac:dyDescent="0.25">
      <c r="A232" t="s">
        <v>33</v>
      </c>
      <c r="B232" t="s">
        <v>92</v>
      </c>
      <c r="C232">
        <v>1907</v>
      </c>
      <c r="D232" t="s">
        <v>1961</v>
      </c>
      <c r="E232" t="s">
        <v>47</v>
      </c>
      <c r="F232" t="s">
        <v>40</v>
      </c>
      <c r="G232" t="s">
        <v>1962</v>
      </c>
      <c r="H232" t="s">
        <v>74</v>
      </c>
      <c r="I232" t="s">
        <v>26</v>
      </c>
      <c r="J232">
        <v>96062</v>
      </c>
      <c r="K232">
        <v>40.570816999999998</v>
      </c>
      <c r="L232">
        <v>-122.02093000000001</v>
      </c>
      <c r="M232" t="s">
        <v>1961</v>
      </c>
      <c r="N232">
        <v>999</v>
      </c>
      <c r="O232" t="s">
        <v>24</v>
      </c>
      <c r="P232">
        <v>1.8</v>
      </c>
      <c r="Q232">
        <v>8.3380613819999994</v>
      </c>
    </row>
    <row r="233" spans="1:20" hidden="1" x14ac:dyDescent="0.25">
      <c r="A233" t="s">
        <v>33</v>
      </c>
      <c r="B233" t="s">
        <v>92</v>
      </c>
      <c r="C233">
        <v>1919</v>
      </c>
      <c r="D233" t="s">
        <v>1960</v>
      </c>
      <c r="E233" t="s">
        <v>47</v>
      </c>
      <c r="F233" t="s">
        <v>40</v>
      </c>
      <c r="G233" t="s">
        <v>939</v>
      </c>
      <c r="H233" t="s">
        <v>178</v>
      </c>
      <c r="I233" t="s">
        <v>26</v>
      </c>
      <c r="J233">
        <v>93643</v>
      </c>
      <c r="K233">
        <v>37.291576999999997</v>
      </c>
      <c r="L233">
        <v>-119.52947399999999</v>
      </c>
      <c r="M233" t="s">
        <v>1960</v>
      </c>
      <c r="N233">
        <v>999</v>
      </c>
      <c r="O233" t="s">
        <v>24</v>
      </c>
      <c r="P233">
        <v>0.9</v>
      </c>
      <c r="Q233">
        <v>2.5942984089999999</v>
      </c>
    </row>
    <row r="234" spans="1:20" hidden="1" x14ac:dyDescent="0.25">
      <c r="A234" t="s">
        <v>33</v>
      </c>
      <c r="B234" t="s">
        <v>92</v>
      </c>
      <c r="C234">
        <v>1908</v>
      </c>
      <c r="D234" t="s">
        <v>1959</v>
      </c>
      <c r="E234" t="s">
        <v>47</v>
      </c>
      <c r="F234" t="s">
        <v>40</v>
      </c>
      <c r="G234" t="s">
        <v>209</v>
      </c>
      <c r="H234" t="s">
        <v>208</v>
      </c>
      <c r="I234" t="s">
        <v>26</v>
      </c>
      <c r="J234">
        <v>95959</v>
      </c>
      <c r="K234">
        <v>39.298070000000003</v>
      </c>
      <c r="L234">
        <v>-120.8443</v>
      </c>
      <c r="M234" t="s">
        <v>1959</v>
      </c>
      <c r="N234">
        <v>999</v>
      </c>
      <c r="O234" t="s">
        <v>24</v>
      </c>
      <c r="P234">
        <v>5.7</v>
      </c>
      <c r="Q234">
        <v>19.125180417999999</v>
      </c>
    </row>
    <row r="235" spans="1:20" hidden="1" x14ac:dyDescent="0.25">
      <c r="A235" t="s">
        <v>33</v>
      </c>
      <c r="B235" t="s">
        <v>92</v>
      </c>
      <c r="C235">
        <v>1963</v>
      </c>
      <c r="D235" t="s">
        <v>1958</v>
      </c>
      <c r="E235" t="s">
        <v>47</v>
      </c>
      <c r="F235" t="s">
        <v>40</v>
      </c>
      <c r="G235" t="s">
        <v>1927</v>
      </c>
      <c r="H235" t="s">
        <v>649</v>
      </c>
      <c r="I235" t="s">
        <v>26</v>
      </c>
      <c r="J235">
        <v>95954</v>
      </c>
      <c r="K235">
        <v>39.869264999999999</v>
      </c>
      <c r="L235">
        <v>-121.63181899999999</v>
      </c>
      <c r="M235" t="s">
        <v>1958</v>
      </c>
      <c r="N235">
        <v>999</v>
      </c>
      <c r="O235" t="s">
        <v>24</v>
      </c>
      <c r="P235">
        <v>18.5</v>
      </c>
      <c r="Q235">
        <v>82.417192624999998</v>
      </c>
    </row>
    <row r="236" spans="1:20" hidden="1" x14ac:dyDescent="0.25">
      <c r="A236" t="s">
        <v>33</v>
      </c>
      <c r="B236" t="s">
        <v>92</v>
      </c>
      <c r="C236">
        <v>1943</v>
      </c>
      <c r="D236" t="s">
        <v>1956</v>
      </c>
      <c r="E236" t="s">
        <v>47</v>
      </c>
      <c r="F236" t="s">
        <v>40</v>
      </c>
      <c r="G236" t="s">
        <v>1957</v>
      </c>
      <c r="H236" t="s">
        <v>136</v>
      </c>
      <c r="I236" t="s">
        <v>26</v>
      </c>
      <c r="J236">
        <v>95701</v>
      </c>
      <c r="K236">
        <v>39.216985000000001</v>
      </c>
      <c r="L236">
        <v>-120.835587</v>
      </c>
      <c r="M236" t="s">
        <v>1956</v>
      </c>
      <c r="N236">
        <v>999</v>
      </c>
      <c r="O236" t="s">
        <v>24</v>
      </c>
      <c r="P236">
        <v>22</v>
      </c>
      <c r="Q236">
        <v>84.028991747000006</v>
      </c>
    </row>
    <row r="237" spans="1:20" hidden="1" x14ac:dyDescent="0.25">
      <c r="A237" t="s">
        <v>33</v>
      </c>
      <c r="B237" t="s">
        <v>92</v>
      </c>
      <c r="C237">
        <v>1916</v>
      </c>
      <c r="D237" t="s">
        <v>1955</v>
      </c>
      <c r="E237" t="s">
        <v>47</v>
      </c>
      <c r="F237" t="s">
        <v>40</v>
      </c>
      <c r="G237" t="s">
        <v>1918</v>
      </c>
      <c r="H237" t="s">
        <v>136</v>
      </c>
      <c r="I237" t="s">
        <v>26</v>
      </c>
      <c r="J237">
        <v>95603</v>
      </c>
      <c r="K237">
        <v>38.956985000000003</v>
      </c>
      <c r="L237">
        <v>-121.041932</v>
      </c>
      <c r="M237" t="s">
        <v>1955</v>
      </c>
      <c r="N237">
        <v>999</v>
      </c>
      <c r="O237" t="s">
        <v>24</v>
      </c>
      <c r="P237">
        <v>11</v>
      </c>
      <c r="Q237">
        <v>49.238144280999997</v>
      </c>
    </row>
    <row r="238" spans="1:20" hidden="1" x14ac:dyDescent="0.25">
      <c r="A238" t="s">
        <v>33</v>
      </c>
      <c r="B238" t="s">
        <v>92</v>
      </c>
      <c r="C238">
        <v>1921</v>
      </c>
      <c r="D238" t="s">
        <v>1953</v>
      </c>
      <c r="E238" t="s">
        <v>47</v>
      </c>
      <c r="F238" t="s">
        <v>40</v>
      </c>
      <c r="G238" t="s">
        <v>1954</v>
      </c>
      <c r="H238" t="s">
        <v>963</v>
      </c>
      <c r="I238" t="s">
        <v>26</v>
      </c>
      <c r="J238">
        <v>91367</v>
      </c>
      <c r="K238">
        <v>40.268712000000001</v>
      </c>
      <c r="L238">
        <v>-121.089479</v>
      </c>
      <c r="M238" t="s">
        <v>1953</v>
      </c>
      <c r="N238">
        <v>999</v>
      </c>
      <c r="O238" t="s">
        <v>24</v>
      </c>
      <c r="P238">
        <v>4.8</v>
      </c>
      <c r="Q238">
        <v>15.084728573</v>
      </c>
    </row>
    <row r="239" spans="1:20" hidden="1" x14ac:dyDescent="0.25">
      <c r="A239" t="s">
        <v>33</v>
      </c>
      <c r="B239" t="s">
        <v>92</v>
      </c>
      <c r="C239">
        <v>1921</v>
      </c>
      <c r="D239" t="s">
        <v>1952</v>
      </c>
      <c r="E239" t="s">
        <v>47</v>
      </c>
      <c r="F239" t="s">
        <v>40</v>
      </c>
      <c r="G239" t="s">
        <v>163</v>
      </c>
      <c r="H239" t="s">
        <v>74</v>
      </c>
      <c r="I239" t="s">
        <v>26</v>
      </c>
      <c r="J239">
        <v>96013</v>
      </c>
      <c r="K239">
        <v>40.929296999999998</v>
      </c>
      <c r="L239">
        <v>-121.544462</v>
      </c>
      <c r="M239" t="s">
        <v>1952</v>
      </c>
      <c r="N239">
        <v>999</v>
      </c>
      <c r="O239" t="s">
        <v>24</v>
      </c>
      <c r="P239">
        <v>8.5</v>
      </c>
      <c r="Q239">
        <v>32.908937194000004</v>
      </c>
    </row>
    <row r="240" spans="1:20" hidden="1" x14ac:dyDescent="0.25">
      <c r="A240" t="s">
        <v>33</v>
      </c>
      <c r="B240" t="s">
        <v>92</v>
      </c>
      <c r="C240">
        <v>1921</v>
      </c>
      <c r="D240" t="s">
        <v>1951</v>
      </c>
      <c r="E240" t="s">
        <v>47</v>
      </c>
      <c r="F240" t="s">
        <v>40</v>
      </c>
      <c r="G240" t="s">
        <v>163</v>
      </c>
      <c r="H240" t="s">
        <v>74</v>
      </c>
      <c r="I240" t="s">
        <v>26</v>
      </c>
      <c r="J240">
        <v>96013</v>
      </c>
      <c r="K240">
        <v>40.960675000000002</v>
      </c>
      <c r="L240">
        <v>-121.54865700000001</v>
      </c>
      <c r="M240" t="s">
        <v>1951</v>
      </c>
      <c r="N240">
        <v>999</v>
      </c>
      <c r="O240" t="s">
        <v>24</v>
      </c>
      <c r="P240">
        <v>8.5</v>
      </c>
      <c r="Q240">
        <v>45.466639292000004</v>
      </c>
    </row>
    <row r="241" spans="1:17" hidden="1" x14ac:dyDescent="0.25">
      <c r="A241" t="s">
        <v>33</v>
      </c>
      <c r="B241" t="s">
        <v>92</v>
      </c>
      <c r="C241">
        <v>1979</v>
      </c>
      <c r="D241" t="s">
        <v>1950</v>
      </c>
      <c r="E241" t="s">
        <v>47</v>
      </c>
      <c r="F241" t="s">
        <v>40</v>
      </c>
      <c r="G241" t="s">
        <v>852</v>
      </c>
      <c r="H241" t="s">
        <v>274</v>
      </c>
      <c r="I241" t="s">
        <v>26</v>
      </c>
      <c r="J241">
        <v>96059</v>
      </c>
      <c r="K241">
        <v>40.400987999999998</v>
      </c>
      <c r="L241">
        <v>-121.965502</v>
      </c>
      <c r="M241" t="s">
        <v>1950</v>
      </c>
      <c r="N241">
        <v>999</v>
      </c>
      <c r="O241" t="s">
        <v>24</v>
      </c>
      <c r="P241">
        <v>8</v>
      </c>
      <c r="Q241">
        <v>43.982267989999997</v>
      </c>
    </row>
    <row r="242" spans="1:17" hidden="1" x14ac:dyDescent="0.25">
      <c r="A242" t="s">
        <v>33</v>
      </c>
      <c r="B242" t="s">
        <v>92</v>
      </c>
      <c r="C242">
        <v>1920</v>
      </c>
      <c r="D242" t="s">
        <v>1948</v>
      </c>
      <c r="E242" t="s">
        <v>47</v>
      </c>
      <c r="F242" t="s">
        <v>40</v>
      </c>
      <c r="G242" t="s">
        <v>1949</v>
      </c>
      <c r="H242" t="s">
        <v>146</v>
      </c>
      <c r="I242" t="s">
        <v>26</v>
      </c>
      <c r="J242">
        <v>93603</v>
      </c>
      <c r="K242">
        <v>37.092486000000001</v>
      </c>
      <c r="L242">
        <v>-119.552826</v>
      </c>
      <c r="M242" t="s">
        <v>1948</v>
      </c>
      <c r="N242">
        <v>999</v>
      </c>
      <c r="O242" t="s">
        <v>24</v>
      </c>
      <c r="P242">
        <v>25.4</v>
      </c>
      <c r="Q242">
        <v>35.120417816</v>
      </c>
    </row>
    <row r="243" spans="1:17" hidden="1" x14ac:dyDescent="0.25">
      <c r="A243" t="s">
        <v>33</v>
      </c>
      <c r="B243" t="s">
        <v>92</v>
      </c>
      <c r="C243">
        <v>1923</v>
      </c>
      <c r="D243" t="s">
        <v>1947</v>
      </c>
      <c r="E243" t="s">
        <v>47</v>
      </c>
      <c r="F243" t="s">
        <v>40</v>
      </c>
      <c r="G243" t="s">
        <v>939</v>
      </c>
      <c r="H243" t="s">
        <v>178</v>
      </c>
      <c r="I243" t="s">
        <v>26</v>
      </c>
      <c r="J243">
        <v>93643</v>
      </c>
      <c r="K243">
        <v>37.253717999999999</v>
      </c>
      <c r="L243">
        <v>-119.519352</v>
      </c>
      <c r="M243" t="s">
        <v>1947</v>
      </c>
      <c r="N243">
        <v>999</v>
      </c>
      <c r="O243" t="s">
        <v>24</v>
      </c>
      <c r="P243">
        <v>4.2</v>
      </c>
      <c r="Q243">
        <v>11.810806071</v>
      </c>
    </row>
    <row r="244" spans="1:17" hidden="1" x14ac:dyDescent="0.25">
      <c r="A244" t="s">
        <v>33</v>
      </c>
      <c r="B244" t="s">
        <v>92</v>
      </c>
      <c r="C244">
        <v>1921</v>
      </c>
      <c r="D244" t="s">
        <v>1946</v>
      </c>
      <c r="E244" t="s">
        <v>47</v>
      </c>
      <c r="F244" t="s">
        <v>52</v>
      </c>
      <c r="G244" t="s">
        <v>173</v>
      </c>
      <c r="H244" t="s">
        <v>12</v>
      </c>
      <c r="I244" t="s">
        <v>26</v>
      </c>
      <c r="J244">
        <v>93301</v>
      </c>
      <c r="K244">
        <v>35.440719999999999</v>
      </c>
      <c r="L244">
        <v>-118.796498</v>
      </c>
      <c r="M244" t="s">
        <v>1946</v>
      </c>
      <c r="N244">
        <v>999</v>
      </c>
      <c r="O244" t="s">
        <v>24</v>
      </c>
      <c r="P244">
        <v>11.5</v>
      </c>
      <c r="Q244">
        <v>49.74427</v>
      </c>
    </row>
    <row r="245" spans="1:17" hidden="1" x14ac:dyDescent="0.25">
      <c r="A245" t="s">
        <v>33</v>
      </c>
      <c r="B245" t="s">
        <v>92</v>
      </c>
      <c r="C245">
        <v>1903</v>
      </c>
      <c r="D245" t="s">
        <v>1945</v>
      </c>
      <c r="E245" t="s">
        <v>47</v>
      </c>
      <c r="F245" t="s">
        <v>40</v>
      </c>
      <c r="G245" t="s">
        <v>248</v>
      </c>
      <c r="H245" t="s">
        <v>74</v>
      </c>
      <c r="I245" t="s">
        <v>26</v>
      </c>
      <c r="J245">
        <v>96096</v>
      </c>
      <c r="K245">
        <v>40.677827000000001</v>
      </c>
      <c r="L245">
        <v>-121.87325300000001</v>
      </c>
      <c r="M245" t="s">
        <v>1945</v>
      </c>
      <c r="N245">
        <v>999</v>
      </c>
      <c r="O245" t="s">
        <v>24</v>
      </c>
      <c r="P245">
        <v>1.6</v>
      </c>
      <c r="Q245">
        <v>15.430078846000001</v>
      </c>
    </row>
    <row r="246" spans="1:17" hidden="1" x14ac:dyDescent="0.25">
      <c r="A246" t="s">
        <v>33</v>
      </c>
      <c r="B246" t="s">
        <v>92</v>
      </c>
      <c r="C246">
        <v>1906</v>
      </c>
      <c r="D246" t="s">
        <v>1944</v>
      </c>
      <c r="E246" t="s">
        <v>47</v>
      </c>
      <c r="F246" t="s">
        <v>40</v>
      </c>
      <c r="G246" t="s">
        <v>650</v>
      </c>
      <c r="H246" t="s">
        <v>649</v>
      </c>
      <c r="I246" t="s">
        <v>26</v>
      </c>
      <c r="J246">
        <v>95965</v>
      </c>
      <c r="K246">
        <v>39.698754999999998</v>
      </c>
      <c r="L246">
        <v>-121.57096</v>
      </c>
      <c r="M246" t="s">
        <v>1944</v>
      </c>
      <c r="N246">
        <v>999</v>
      </c>
      <c r="O246" t="s">
        <v>24</v>
      </c>
      <c r="P246">
        <v>2</v>
      </c>
      <c r="Q246">
        <v>6.3899046019999997</v>
      </c>
    </row>
    <row r="247" spans="1:17" hidden="1" x14ac:dyDescent="0.25">
      <c r="A247" t="s">
        <v>33</v>
      </c>
      <c r="B247" t="s">
        <v>92</v>
      </c>
      <c r="C247">
        <v>1942</v>
      </c>
      <c r="D247" t="s">
        <v>1943</v>
      </c>
      <c r="E247" t="s">
        <v>47</v>
      </c>
      <c r="F247" t="s">
        <v>52</v>
      </c>
      <c r="G247" t="s">
        <v>826</v>
      </c>
      <c r="H247" t="s">
        <v>208</v>
      </c>
      <c r="I247" t="s">
        <v>26</v>
      </c>
      <c r="J247">
        <v>95945</v>
      </c>
      <c r="K247">
        <v>39.236400000000003</v>
      </c>
      <c r="L247">
        <v>-121.27174100000001</v>
      </c>
      <c r="M247" t="s">
        <v>1943</v>
      </c>
      <c r="N247">
        <v>999</v>
      </c>
      <c r="O247" t="s">
        <v>24</v>
      </c>
      <c r="P247">
        <v>12</v>
      </c>
      <c r="Q247">
        <v>39.826160000000002</v>
      </c>
    </row>
    <row r="248" spans="1:17" hidden="1" x14ac:dyDescent="0.25">
      <c r="A248" t="s">
        <v>33</v>
      </c>
      <c r="B248" t="s">
        <v>92</v>
      </c>
      <c r="C248">
        <v>1985</v>
      </c>
      <c r="D248" t="s">
        <v>1941</v>
      </c>
      <c r="E248" t="s">
        <v>47</v>
      </c>
      <c r="F248" t="s">
        <v>40</v>
      </c>
      <c r="G248" t="s">
        <v>1942</v>
      </c>
      <c r="H248" t="s">
        <v>963</v>
      </c>
      <c r="I248" t="s">
        <v>26</v>
      </c>
      <c r="J248">
        <v>95956</v>
      </c>
      <c r="K248">
        <v>40.075310000000002</v>
      </c>
      <c r="L248">
        <v>-121.16143</v>
      </c>
      <c r="M248" t="s">
        <v>1941</v>
      </c>
      <c r="N248">
        <v>999</v>
      </c>
      <c r="O248" t="s">
        <v>24</v>
      </c>
      <c r="P248">
        <v>1.3</v>
      </c>
      <c r="Q248">
        <v>5.6776142810000003</v>
      </c>
    </row>
    <row r="249" spans="1:17" hidden="1" x14ac:dyDescent="0.25">
      <c r="A249" t="s">
        <v>33</v>
      </c>
      <c r="B249" t="s">
        <v>92</v>
      </c>
      <c r="C249">
        <v>1940</v>
      </c>
      <c r="D249" t="s">
        <v>1940</v>
      </c>
      <c r="E249" t="s">
        <v>47</v>
      </c>
      <c r="F249" t="s">
        <v>40</v>
      </c>
      <c r="G249" t="s">
        <v>1742</v>
      </c>
      <c r="H249" t="s">
        <v>38</v>
      </c>
      <c r="I249" t="s">
        <v>26</v>
      </c>
      <c r="J249">
        <v>95373</v>
      </c>
      <c r="K249">
        <v>38.032102999999999</v>
      </c>
      <c r="L249">
        <v>-120.326537</v>
      </c>
      <c r="M249" t="s">
        <v>1940</v>
      </c>
      <c r="N249">
        <v>999</v>
      </c>
      <c r="O249" t="s">
        <v>24</v>
      </c>
      <c r="P249">
        <v>2</v>
      </c>
      <c r="Q249">
        <v>9.8960801939999996</v>
      </c>
    </row>
    <row r="250" spans="1:17" hidden="1" x14ac:dyDescent="0.25">
      <c r="A250" t="s">
        <v>33</v>
      </c>
      <c r="B250" t="s">
        <v>92</v>
      </c>
      <c r="C250">
        <v>1908</v>
      </c>
      <c r="D250" t="s">
        <v>1939</v>
      </c>
      <c r="E250" t="s">
        <v>47</v>
      </c>
      <c r="F250" t="s">
        <v>40</v>
      </c>
      <c r="G250" t="s">
        <v>832</v>
      </c>
      <c r="H250" t="s">
        <v>831</v>
      </c>
      <c r="I250" t="s">
        <v>26</v>
      </c>
      <c r="J250">
        <v>95469</v>
      </c>
      <c r="K250">
        <v>39.361786000000002</v>
      </c>
      <c r="L250">
        <v>-123.127934</v>
      </c>
      <c r="M250" t="s">
        <v>1939</v>
      </c>
      <c r="N250">
        <v>999</v>
      </c>
      <c r="O250" t="s">
        <v>24</v>
      </c>
      <c r="P250">
        <v>9.1999999999999993</v>
      </c>
      <c r="Q250">
        <v>32.194947368999998</v>
      </c>
    </row>
    <row r="251" spans="1:17" hidden="1" x14ac:dyDescent="0.25">
      <c r="A251" t="s">
        <v>33</v>
      </c>
      <c r="B251" t="s">
        <v>92</v>
      </c>
      <c r="C251">
        <v>1950</v>
      </c>
      <c r="D251" t="s">
        <v>1937</v>
      </c>
      <c r="E251" t="s">
        <v>47</v>
      </c>
      <c r="F251" t="s">
        <v>40</v>
      </c>
      <c r="G251" t="s">
        <v>1938</v>
      </c>
      <c r="H251" t="s">
        <v>963</v>
      </c>
      <c r="I251" t="s">
        <v>26</v>
      </c>
      <c r="J251">
        <v>95980</v>
      </c>
      <c r="K251">
        <v>39.905209999999997</v>
      </c>
      <c r="L251">
        <v>-121.345226</v>
      </c>
      <c r="M251" t="s">
        <v>1937</v>
      </c>
      <c r="N251">
        <v>999</v>
      </c>
      <c r="O251" t="s">
        <v>24</v>
      </c>
      <c r="P251">
        <v>14</v>
      </c>
      <c r="Q251">
        <v>37.743384159999998</v>
      </c>
    </row>
    <row r="252" spans="1:17" hidden="1" x14ac:dyDescent="0.25">
      <c r="A252" t="s">
        <v>33</v>
      </c>
      <c r="B252" t="s">
        <v>92</v>
      </c>
      <c r="C252">
        <v>1919</v>
      </c>
      <c r="D252" t="s">
        <v>1936</v>
      </c>
      <c r="E252" t="s">
        <v>47</v>
      </c>
      <c r="F252" t="s">
        <v>40</v>
      </c>
      <c r="G252" t="s">
        <v>939</v>
      </c>
      <c r="H252" t="s">
        <v>178</v>
      </c>
      <c r="I252" t="s">
        <v>26</v>
      </c>
      <c r="J252">
        <v>93643</v>
      </c>
      <c r="K252">
        <v>37.158880000000003</v>
      </c>
      <c r="L252">
        <v>-119.494225</v>
      </c>
      <c r="M252" t="s">
        <v>1936</v>
      </c>
      <c r="N252">
        <v>999</v>
      </c>
      <c r="O252" t="s">
        <v>24</v>
      </c>
      <c r="P252">
        <v>0.4</v>
      </c>
      <c r="Q252">
        <v>1.0209250759999999</v>
      </c>
    </row>
    <row r="253" spans="1:17" hidden="1" x14ac:dyDescent="0.25">
      <c r="A253" t="s">
        <v>33</v>
      </c>
      <c r="B253" t="s">
        <v>92</v>
      </c>
      <c r="C253">
        <v>1917</v>
      </c>
      <c r="D253" t="s">
        <v>1935</v>
      </c>
      <c r="E253" t="s">
        <v>47</v>
      </c>
      <c r="F253" t="s">
        <v>40</v>
      </c>
      <c r="G253" t="s">
        <v>939</v>
      </c>
      <c r="H253" t="s">
        <v>178</v>
      </c>
      <c r="I253" t="s">
        <v>26</v>
      </c>
      <c r="J253">
        <v>93643</v>
      </c>
      <c r="K253">
        <v>37.203232999999997</v>
      </c>
      <c r="L253">
        <v>-119.497508</v>
      </c>
      <c r="M253" t="s">
        <v>1935</v>
      </c>
      <c r="N253">
        <v>999</v>
      </c>
      <c r="O253" t="s">
        <v>24</v>
      </c>
      <c r="P253">
        <v>3.2</v>
      </c>
      <c r="Q253">
        <v>8.4877504810000008</v>
      </c>
    </row>
    <row r="254" spans="1:17" hidden="1" x14ac:dyDescent="0.25">
      <c r="A254" t="s">
        <v>33</v>
      </c>
      <c r="B254" t="s">
        <v>92</v>
      </c>
      <c r="C254">
        <v>1979</v>
      </c>
      <c r="D254" t="s">
        <v>1934</v>
      </c>
      <c r="E254" t="s">
        <v>47</v>
      </c>
      <c r="F254" t="s">
        <v>40</v>
      </c>
      <c r="G254" t="s">
        <v>852</v>
      </c>
      <c r="H254" t="s">
        <v>274</v>
      </c>
      <c r="I254" t="s">
        <v>26</v>
      </c>
      <c r="J254">
        <v>96059</v>
      </c>
      <c r="K254">
        <v>40.395395999999998</v>
      </c>
      <c r="L254">
        <v>-121.879186</v>
      </c>
      <c r="M254" t="s">
        <v>1934</v>
      </c>
      <c r="N254">
        <v>999</v>
      </c>
      <c r="O254" t="s">
        <v>24</v>
      </c>
      <c r="P254">
        <v>7</v>
      </c>
      <c r="Q254">
        <v>42.306128909999998</v>
      </c>
    </row>
    <row r="255" spans="1:17" hidden="1" x14ac:dyDescent="0.25">
      <c r="A255" t="s">
        <v>33</v>
      </c>
      <c r="B255" t="s">
        <v>92</v>
      </c>
      <c r="C255">
        <v>1928</v>
      </c>
      <c r="D255" t="s">
        <v>1933</v>
      </c>
      <c r="E255" t="s">
        <v>47</v>
      </c>
      <c r="F255" t="s">
        <v>40</v>
      </c>
      <c r="G255" t="s">
        <v>1931</v>
      </c>
      <c r="H255" t="s">
        <v>208</v>
      </c>
      <c r="I255" t="s">
        <v>26</v>
      </c>
      <c r="J255">
        <v>95717</v>
      </c>
      <c r="K255">
        <v>39.324612999999999</v>
      </c>
      <c r="L255">
        <v>-120.644807</v>
      </c>
      <c r="M255" t="s">
        <v>1933</v>
      </c>
      <c r="N255">
        <v>999</v>
      </c>
      <c r="O255" t="s">
        <v>24</v>
      </c>
      <c r="P255">
        <v>7</v>
      </c>
      <c r="Q255">
        <v>30.593329522000001</v>
      </c>
    </row>
    <row r="256" spans="1:17" hidden="1" x14ac:dyDescent="0.25">
      <c r="A256" t="s">
        <v>33</v>
      </c>
      <c r="B256" t="s">
        <v>92</v>
      </c>
      <c r="C256">
        <v>1928</v>
      </c>
      <c r="D256" t="s">
        <v>1932</v>
      </c>
      <c r="E256" t="s">
        <v>47</v>
      </c>
      <c r="F256" t="s">
        <v>40</v>
      </c>
      <c r="G256" t="s">
        <v>1931</v>
      </c>
      <c r="H256" t="s">
        <v>208</v>
      </c>
      <c r="I256" t="s">
        <v>26</v>
      </c>
      <c r="J256">
        <v>95717</v>
      </c>
      <c r="K256">
        <v>39.324592000000003</v>
      </c>
      <c r="L256">
        <v>-120.645375</v>
      </c>
      <c r="M256" t="s">
        <v>1932</v>
      </c>
      <c r="N256">
        <v>999</v>
      </c>
      <c r="O256" t="s">
        <v>24</v>
      </c>
      <c r="P256">
        <v>4.4000000000000004</v>
      </c>
      <c r="Q256">
        <v>10.124001494</v>
      </c>
    </row>
    <row r="257" spans="1:23" hidden="1" x14ac:dyDescent="0.25">
      <c r="A257" t="s">
        <v>33</v>
      </c>
      <c r="B257" t="s">
        <v>92</v>
      </c>
      <c r="C257">
        <v>1929</v>
      </c>
      <c r="D257" t="s">
        <v>1930</v>
      </c>
      <c r="E257" t="s">
        <v>47</v>
      </c>
      <c r="F257" t="s">
        <v>40</v>
      </c>
      <c r="G257" t="s">
        <v>1931</v>
      </c>
      <c r="H257" t="s">
        <v>208</v>
      </c>
      <c r="I257" t="s">
        <v>26</v>
      </c>
      <c r="J257">
        <v>95717</v>
      </c>
      <c r="K257">
        <v>39.337679000000001</v>
      </c>
      <c r="L257">
        <v>-120.63546700000001</v>
      </c>
      <c r="M257" t="s">
        <v>1930</v>
      </c>
      <c r="N257">
        <v>999</v>
      </c>
      <c r="O257" t="s">
        <v>24</v>
      </c>
      <c r="P257">
        <v>5.8</v>
      </c>
      <c r="Q257">
        <v>29.735838688000001</v>
      </c>
    </row>
    <row r="258" spans="1:23" hidden="1" x14ac:dyDescent="0.25">
      <c r="A258" t="s">
        <v>33</v>
      </c>
      <c r="B258" t="s">
        <v>92</v>
      </c>
      <c r="C258">
        <v>1921</v>
      </c>
      <c r="D258" t="s">
        <v>1928</v>
      </c>
      <c r="E258" t="s">
        <v>47</v>
      </c>
      <c r="F258" t="s">
        <v>40</v>
      </c>
      <c r="G258" t="s">
        <v>1929</v>
      </c>
      <c r="H258" t="s">
        <v>38</v>
      </c>
      <c r="I258" t="s">
        <v>26</v>
      </c>
      <c r="J258">
        <v>95335</v>
      </c>
      <c r="K258">
        <v>38.186529999999998</v>
      </c>
      <c r="L258">
        <v>-120.11168000000001</v>
      </c>
      <c r="M258" t="s">
        <v>1928</v>
      </c>
      <c r="N258">
        <v>999</v>
      </c>
      <c r="O258" t="s">
        <v>24</v>
      </c>
      <c r="P258">
        <v>7</v>
      </c>
      <c r="Q258">
        <v>35.008849693999998</v>
      </c>
    </row>
    <row r="259" spans="1:23" hidden="1" x14ac:dyDescent="0.25">
      <c r="A259" t="s">
        <v>33</v>
      </c>
      <c r="B259" t="s">
        <v>92</v>
      </c>
      <c r="C259">
        <v>1986</v>
      </c>
      <c r="D259" t="s">
        <v>1926</v>
      </c>
      <c r="E259" t="s">
        <v>47</v>
      </c>
      <c r="F259" t="s">
        <v>40</v>
      </c>
      <c r="G259" t="s">
        <v>1927</v>
      </c>
      <c r="H259" t="s">
        <v>649</v>
      </c>
      <c r="I259" t="s">
        <v>26</v>
      </c>
      <c r="J259">
        <v>95954</v>
      </c>
      <c r="K259">
        <v>39.893490999999997</v>
      </c>
      <c r="L259">
        <v>-121.59338</v>
      </c>
      <c r="M259" t="s">
        <v>1926</v>
      </c>
      <c r="N259">
        <v>999</v>
      </c>
      <c r="O259" t="s">
        <v>24</v>
      </c>
      <c r="P259">
        <v>1.5</v>
      </c>
      <c r="Q259">
        <v>5.0805449520000003</v>
      </c>
    </row>
    <row r="260" spans="1:23" hidden="1" x14ac:dyDescent="0.25">
      <c r="A260" t="s">
        <v>33</v>
      </c>
      <c r="B260" t="s">
        <v>92</v>
      </c>
      <c r="C260">
        <v>1914</v>
      </c>
      <c r="D260" t="s">
        <v>1924</v>
      </c>
      <c r="E260" t="s">
        <v>47</v>
      </c>
      <c r="F260" t="s">
        <v>40</v>
      </c>
      <c r="G260" t="s">
        <v>1925</v>
      </c>
      <c r="H260" t="s">
        <v>181</v>
      </c>
      <c r="I260" t="s">
        <v>26</v>
      </c>
      <c r="J260">
        <v>93265</v>
      </c>
      <c r="K260">
        <v>36.163075999999997</v>
      </c>
      <c r="L260">
        <v>-118.707104</v>
      </c>
      <c r="M260" t="s">
        <v>1924</v>
      </c>
      <c r="N260">
        <v>999</v>
      </c>
      <c r="O260" t="s">
        <v>24</v>
      </c>
      <c r="P260">
        <v>6.4</v>
      </c>
      <c r="Q260">
        <v>20.053814937999999</v>
      </c>
    </row>
    <row r="261" spans="1:23" hidden="1" x14ac:dyDescent="0.25">
      <c r="A261" t="s">
        <v>33</v>
      </c>
      <c r="B261" t="s">
        <v>92</v>
      </c>
      <c r="C261">
        <v>1980</v>
      </c>
      <c r="D261" t="s">
        <v>1923</v>
      </c>
      <c r="E261" t="s">
        <v>47</v>
      </c>
      <c r="F261" t="s">
        <v>40</v>
      </c>
      <c r="G261" t="s">
        <v>852</v>
      </c>
      <c r="H261" t="s">
        <v>74</v>
      </c>
      <c r="I261" t="s">
        <v>26</v>
      </c>
      <c r="J261">
        <v>96059</v>
      </c>
      <c r="K261">
        <v>40.459111</v>
      </c>
      <c r="L261">
        <v>-121.86708</v>
      </c>
      <c r="M261" t="s">
        <v>1923</v>
      </c>
      <c r="N261">
        <v>999</v>
      </c>
      <c r="O261" t="s">
        <v>24</v>
      </c>
      <c r="P261">
        <v>9</v>
      </c>
      <c r="Q261">
        <v>45.720917384000003</v>
      </c>
    </row>
    <row r="262" spans="1:23" hidden="1" x14ac:dyDescent="0.25">
      <c r="A262" t="s">
        <v>33</v>
      </c>
      <c r="B262" t="s">
        <v>92</v>
      </c>
      <c r="C262">
        <v>1981</v>
      </c>
      <c r="D262" t="s">
        <v>1922</v>
      </c>
      <c r="E262" t="s">
        <v>47</v>
      </c>
      <c r="F262" t="s">
        <v>40</v>
      </c>
      <c r="G262" t="s">
        <v>852</v>
      </c>
      <c r="H262" t="s">
        <v>74</v>
      </c>
      <c r="I262" t="s">
        <v>26</v>
      </c>
      <c r="J262">
        <v>96059</v>
      </c>
      <c r="K262">
        <v>40.451929999999997</v>
      </c>
      <c r="L262">
        <v>-121.86215</v>
      </c>
      <c r="M262" t="s">
        <v>1922</v>
      </c>
      <c r="N262">
        <v>999</v>
      </c>
      <c r="O262" t="s">
        <v>24</v>
      </c>
      <c r="P262">
        <v>0.9</v>
      </c>
      <c r="Q262">
        <v>5.09428152</v>
      </c>
    </row>
    <row r="263" spans="1:23" hidden="1" x14ac:dyDescent="0.25">
      <c r="A263" t="s">
        <v>33</v>
      </c>
      <c r="B263" t="s">
        <v>92</v>
      </c>
      <c r="C263">
        <v>1948</v>
      </c>
      <c r="D263" t="s">
        <v>1920</v>
      </c>
      <c r="E263" t="s">
        <v>47</v>
      </c>
      <c r="F263" t="s">
        <v>40</v>
      </c>
      <c r="G263" t="s">
        <v>1921</v>
      </c>
      <c r="H263" t="s">
        <v>845</v>
      </c>
      <c r="I263" t="s">
        <v>26</v>
      </c>
      <c r="J263">
        <v>95666</v>
      </c>
      <c r="K263">
        <v>38.420898000000001</v>
      </c>
      <c r="L263">
        <v>-120.549572</v>
      </c>
      <c r="M263" t="s">
        <v>1920</v>
      </c>
      <c r="N263">
        <v>999</v>
      </c>
      <c r="O263" t="s">
        <v>24</v>
      </c>
      <c r="P263">
        <v>14.5</v>
      </c>
      <c r="Q263">
        <v>83.554282330999996</v>
      </c>
    </row>
    <row r="264" spans="1:23" hidden="1" x14ac:dyDescent="0.25">
      <c r="A264" t="s">
        <v>33</v>
      </c>
      <c r="B264" t="s">
        <v>92</v>
      </c>
      <c r="C264">
        <v>1917</v>
      </c>
      <c r="D264" t="s">
        <v>1919</v>
      </c>
      <c r="E264" t="s">
        <v>47</v>
      </c>
      <c r="F264" t="s">
        <v>40</v>
      </c>
      <c r="G264" t="s">
        <v>1918</v>
      </c>
      <c r="H264" t="s">
        <v>136</v>
      </c>
      <c r="I264" t="s">
        <v>26</v>
      </c>
      <c r="J264">
        <v>95603</v>
      </c>
      <c r="K264">
        <v>38.889862000000001</v>
      </c>
      <c r="L264">
        <v>-121.098525</v>
      </c>
      <c r="M264" t="s">
        <v>1919</v>
      </c>
      <c r="N264">
        <v>999</v>
      </c>
      <c r="O264" t="s">
        <v>24</v>
      </c>
      <c r="P264">
        <v>14</v>
      </c>
      <c r="Q264">
        <v>71.746660458999997</v>
      </c>
    </row>
    <row r="265" spans="1:23" hidden="1" x14ac:dyDescent="0.25">
      <c r="A265" t="s">
        <v>33</v>
      </c>
      <c r="B265" t="s">
        <v>92</v>
      </c>
      <c r="C265">
        <v>1986</v>
      </c>
      <c r="D265" t="s">
        <v>1917</v>
      </c>
      <c r="E265" t="s">
        <v>47</v>
      </c>
      <c r="F265" t="s">
        <v>40</v>
      </c>
      <c r="G265" t="s">
        <v>1918</v>
      </c>
      <c r="H265" t="s">
        <v>136</v>
      </c>
      <c r="I265" t="s">
        <v>26</v>
      </c>
      <c r="J265">
        <v>95603</v>
      </c>
      <c r="K265">
        <v>38.889862000000001</v>
      </c>
      <c r="L265">
        <v>-121.098525</v>
      </c>
      <c r="M265" t="s">
        <v>1917</v>
      </c>
      <c r="N265">
        <v>999</v>
      </c>
      <c r="O265" t="s">
        <v>24</v>
      </c>
      <c r="P265">
        <v>3.2</v>
      </c>
      <c r="Q265">
        <v>7.4300266879999999</v>
      </c>
    </row>
    <row r="266" spans="1:23" hidden="1" x14ac:dyDescent="0.25">
      <c r="A266" t="s">
        <v>33</v>
      </c>
      <c r="B266" t="s">
        <v>92</v>
      </c>
      <c r="C266">
        <v>1910</v>
      </c>
      <c r="D266" t="s">
        <v>1916</v>
      </c>
      <c r="E266" t="s">
        <v>47</v>
      </c>
      <c r="F266" t="s">
        <v>40</v>
      </c>
      <c r="G266" t="s">
        <v>939</v>
      </c>
      <c r="H266" t="s">
        <v>178</v>
      </c>
      <c r="I266" t="s">
        <v>26</v>
      </c>
      <c r="J266">
        <v>93643</v>
      </c>
      <c r="K266">
        <v>37.151049999999998</v>
      </c>
      <c r="L266">
        <v>-119.504724</v>
      </c>
      <c r="M266" t="s">
        <v>1916</v>
      </c>
      <c r="N266">
        <v>999</v>
      </c>
      <c r="O266" t="s">
        <v>24</v>
      </c>
      <c r="P266">
        <v>20</v>
      </c>
      <c r="Q266">
        <v>55.855633087999998</v>
      </c>
    </row>
    <row r="267" spans="1:23" hidden="1" x14ac:dyDescent="0.25">
      <c r="A267" t="s">
        <v>33</v>
      </c>
      <c r="B267" t="s">
        <v>92</v>
      </c>
      <c r="C267">
        <v>2007</v>
      </c>
      <c r="D267" t="s">
        <v>1915</v>
      </c>
      <c r="E267" t="s">
        <v>130</v>
      </c>
      <c r="F267" t="s">
        <v>40</v>
      </c>
      <c r="G267" t="s">
        <v>1903</v>
      </c>
      <c r="H267" t="s">
        <v>1903</v>
      </c>
      <c r="I267" t="s">
        <v>26</v>
      </c>
      <c r="J267">
        <v>94107</v>
      </c>
      <c r="K267">
        <v>37.778148999999999</v>
      </c>
      <c r="L267">
        <v>-122.39070700000001</v>
      </c>
      <c r="M267" t="s">
        <v>1915</v>
      </c>
      <c r="N267">
        <v>999</v>
      </c>
      <c r="O267" t="s">
        <v>24</v>
      </c>
      <c r="P267">
        <v>0.1105</v>
      </c>
      <c r="Q267">
        <v>0.14994144700000001</v>
      </c>
    </row>
    <row r="268" spans="1:23" hidden="1" x14ac:dyDescent="0.25">
      <c r="A268" t="s">
        <v>33</v>
      </c>
      <c r="B268" t="s">
        <v>92</v>
      </c>
      <c r="C268">
        <v>2012</v>
      </c>
      <c r="D268" t="s">
        <v>1914</v>
      </c>
      <c r="E268" t="s">
        <v>130</v>
      </c>
      <c r="F268" t="s">
        <v>40</v>
      </c>
      <c r="G268" t="s">
        <v>754</v>
      </c>
      <c r="H268" t="s">
        <v>146</v>
      </c>
      <c r="I268" t="s">
        <v>26</v>
      </c>
      <c r="J268">
        <v>93608</v>
      </c>
      <c r="K268">
        <v>36.425085000000003</v>
      </c>
      <c r="L268">
        <v>-120.343543</v>
      </c>
      <c r="M268" t="s">
        <v>1914</v>
      </c>
      <c r="N268">
        <v>999</v>
      </c>
      <c r="O268" t="s">
        <v>36</v>
      </c>
      <c r="P268">
        <v>20</v>
      </c>
      <c r="Q268">
        <v>41.857018920999998</v>
      </c>
    </row>
    <row r="269" spans="1:23" hidden="1" x14ac:dyDescent="0.25">
      <c r="A269" t="s">
        <v>33</v>
      </c>
      <c r="B269" t="s">
        <v>32</v>
      </c>
      <c r="C269">
        <v>1984</v>
      </c>
      <c r="D269" t="s">
        <v>1913</v>
      </c>
      <c r="E269" t="s">
        <v>41</v>
      </c>
      <c r="F269" t="s">
        <v>52</v>
      </c>
      <c r="G269" t="s">
        <v>1912</v>
      </c>
      <c r="H269" t="s">
        <v>963</v>
      </c>
      <c r="I269" t="s">
        <v>26</v>
      </c>
      <c r="J269">
        <v>95971</v>
      </c>
      <c r="K269">
        <v>39.939811900000002</v>
      </c>
      <c r="L269">
        <v>-120.91315040000001</v>
      </c>
      <c r="M269" t="s">
        <v>1734</v>
      </c>
      <c r="N269">
        <v>30</v>
      </c>
      <c r="O269" t="s">
        <v>24</v>
      </c>
      <c r="P269">
        <v>20</v>
      </c>
      <c r="Q269">
        <v>130.721</v>
      </c>
      <c r="W269" s="18">
        <v>42255</v>
      </c>
    </row>
    <row r="270" spans="1:23" hidden="1" x14ac:dyDescent="0.25">
      <c r="A270" t="s">
        <v>33</v>
      </c>
      <c r="B270" t="s">
        <v>92</v>
      </c>
      <c r="C270">
        <v>2011</v>
      </c>
      <c r="D270" t="s">
        <v>1911</v>
      </c>
      <c r="E270" t="s">
        <v>130</v>
      </c>
      <c r="F270" t="s">
        <v>40</v>
      </c>
      <c r="G270" t="s">
        <v>1899</v>
      </c>
      <c r="H270" t="s">
        <v>146</v>
      </c>
      <c r="I270" t="s">
        <v>26</v>
      </c>
      <c r="J270">
        <v>93624</v>
      </c>
      <c r="K270">
        <v>36.400278</v>
      </c>
      <c r="L270">
        <v>-120.10333300000001</v>
      </c>
      <c r="M270" t="s">
        <v>1911</v>
      </c>
      <c r="N270">
        <v>999</v>
      </c>
      <c r="O270" t="s">
        <v>36</v>
      </c>
      <c r="P270">
        <v>15</v>
      </c>
      <c r="Q270">
        <v>29.071391968</v>
      </c>
    </row>
    <row r="271" spans="1:23" hidden="1" x14ac:dyDescent="0.25">
      <c r="A271" t="s">
        <v>33</v>
      </c>
      <c r="B271" t="s">
        <v>92</v>
      </c>
      <c r="C271">
        <v>2013</v>
      </c>
      <c r="D271" t="s">
        <v>1910</v>
      </c>
      <c r="E271" t="s">
        <v>130</v>
      </c>
      <c r="F271" t="s">
        <v>40</v>
      </c>
      <c r="G271" t="s">
        <v>146</v>
      </c>
      <c r="H271" t="s">
        <v>146</v>
      </c>
      <c r="I271" t="s">
        <v>26</v>
      </c>
      <c r="J271">
        <v>93234</v>
      </c>
      <c r="K271">
        <v>36.176389</v>
      </c>
      <c r="L271">
        <v>-120.11416699999999</v>
      </c>
      <c r="M271" t="s">
        <v>1910</v>
      </c>
      <c r="N271">
        <v>999</v>
      </c>
      <c r="O271" t="s">
        <v>36</v>
      </c>
      <c r="P271">
        <v>20</v>
      </c>
      <c r="Q271">
        <v>43.437872314000003</v>
      </c>
    </row>
    <row r="272" spans="1:23" hidden="1" x14ac:dyDescent="0.25">
      <c r="A272" t="s">
        <v>33</v>
      </c>
      <c r="B272" t="s">
        <v>92</v>
      </c>
      <c r="C272">
        <v>2012</v>
      </c>
      <c r="D272" t="s">
        <v>1909</v>
      </c>
      <c r="E272" t="s">
        <v>130</v>
      </c>
      <c r="F272" t="s">
        <v>40</v>
      </c>
      <c r="G272" t="s">
        <v>754</v>
      </c>
      <c r="H272" t="s">
        <v>146</v>
      </c>
      <c r="I272" t="s">
        <v>26</v>
      </c>
      <c r="J272">
        <v>93608</v>
      </c>
      <c r="K272">
        <v>36.530278000000003</v>
      </c>
      <c r="L272">
        <v>-120.31611100000001</v>
      </c>
      <c r="M272" t="s">
        <v>1909</v>
      </c>
      <c r="N272">
        <v>999</v>
      </c>
      <c r="O272" t="s">
        <v>36</v>
      </c>
      <c r="P272">
        <v>10</v>
      </c>
      <c r="Q272">
        <v>20.928023926000002</v>
      </c>
    </row>
    <row r="273" spans="1:20" hidden="1" x14ac:dyDescent="0.25">
      <c r="A273" t="s">
        <v>33</v>
      </c>
      <c r="B273" t="s">
        <v>92</v>
      </c>
      <c r="C273">
        <v>2013</v>
      </c>
      <c r="D273" t="s">
        <v>1908</v>
      </c>
      <c r="E273" t="s">
        <v>130</v>
      </c>
      <c r="F273" t="s">
        <v>40</v>
      </c>
      <c r="G273" t="s">
        <v>973</v>
      </c>
      <c r="H273" t="s">
        <v>533</v>
      </c>
      <c r="I273" t="s">
        <v>26</v>
      </c>
      <c r="J273">
        <v>93230</v>
      </c>
      <c r="K273">
        <v>36.163888999999998</v>
      </c>
      <c r="L273">
        <v>-119.65055599999999</v>
      </c>
      <c r="M273" t="s">
        <v>1908</v>
      </c>
      <c r="N273">
        <v>999</v>
      </c>
      <c r="O273" t="s">
        <v>36</v>
      </c>
      <c r="P273">
        <v>20</v>
      </c>
      <c r="Q273">
        <v>49.971274901999998</v>
      </c>
    </row>
    <row r="274" spans="1:20" hidden="1" x14ac:dyDescent="0.25">
      <c r="A274" t="s">
        <v>33</v>
      </c>
      <c r="B274" t="s">
        <v>92</v>
      </c>
      <c r="C274">
        <v>2012</v>
      </c>
      <c r="D274" t="s">
        <v>1907</v>
      </c>
      <c r="E274" t="s">
        <v>130</v>
      </c>
      <c r="F274" t="s">
        <v>40</v>
      </c>
      <c r="G274" t="s">
        <v>629</v>
      </c>
      <c r="H274" t="s">
        <v>146</v>
      </c>
      <c r="I274" t="s">
        <v>26</v>
      </c>
      <c r="J274">
        <v>93234</v>
      </c>
      <c r="K274">
        <v>36.181389000000003</v>
      </c>
      <c r="L274">
        <v>-120.03055500000001</v>
      </c>
      <c r="M274" t="s">
        <v>1907</v>
      </c>
      <c r="N274">
        <v>999</v>
      </c>
      <c r="O274" t="s">
        <v>36</v>
      </c>
      <c r="P274">
        <v>20</v>
      </c>
      <c r="Q274">
        <v>42.151041382000002</v>
      </c>
    </row>
    <row r="275" spans="1:20" hidden="1" x14ac:dyDescent="0.25">
      <c r="A275" t="s">
        <v>33</v>
      </c>
      <c r="B275" t="s">
        <v>92</v>
      </c>
      <c r="C275">
        <v>2012</v>
      </c>
      <c r="D275" t="s">
        <v>1905</v>
      </c>
      <c r="E275" t="s">
        <v>130</v>
      </c>
      <c r="F275" t="s">
        <v>40</v>
      </c>
      <c r="G275" t="s">
        <v>1906</v>
      </c>
      <c r="H275" t="s">
        <v>146</v>
      </c>
      <c r="I275" t="s">
        <v>26</v>
      </c>
      <c r="J275">
        <v>93627</v>
      </c>
      <c r="K275">
        <v>36.531388999999997</v>
      </c>
      <c r="L275">
        <v>-120.106944</v>
      </c>
      <c r="M275" t="s">
        <v>1905</v>
      </c>
      <c r="N275">
        <v>999</v>
      </c>
      <c r="O275" t="s">
        <v>36</v>
      </c>
      <c r="P275">
        <v>20</v>
      </c>
      <c r="Q275">
        <v>38.950753173999999</v>
      </c>
    </row>
    <row r="276" spans="1:20" hidden="1" x14ac:dyDescent="0.25">
      <c r="A276" t="s">
        <v>33</v>
      </c>
      <c r="B276" t="s">
        <v>92</v>
      </c>
      <c r="C276">
        <v>2007</v>
      </c>
      <c r="D276" t="s">
        <v>1904</v>
      </c>
      <c r="E276" t="s">
        <v>130</v>
      </c>
      <c r="F276" t="s">
        <v>40</v>
      </c>
      <c r="G276" t="s">
        <v>1903</v>
      </c>
      <c r="H276" t="s">
        <v>1903</v>
      </c>
      <c r="I276" t="s">
        <v>26</v>
      </c>
      <c r="J276">
        <v>94110</v>
      </c>
      <c r="K276">
        <v>37.761893999999998</v>
      </c>
      <c r="L276">
        <v>-122.413314</v>
      </c>
      <c r="M276" t="s">
        <v>1904</v>
      </c>
      <c r="N276">
        <v>999</v>
      </c>
      <c r="O276" t="s">
        <v>24</v>
      </c>
      <c r="P276">
        <v>7.0000000000000007E-2</v>
      </c>
      <c r="Q276">
        <v>9.6255589000000003E-2</v>
      </c>
    </row>
    <row r="277" spans="1:20" hidden="1" x14ac:dyDescent="0.25">
      <c r="A277" t="s">
        <v>33</v>
      </c>
      <c r="B277" t="s">
        <v>92</v>
      </c>
      <c r="C277">
        <v>2007</v>
      </c>
      <c r="D277" t="s">
        <v>1902</v>
      </c>
      <c r="E277" t="s">
        <v>130</v>
      </c>
      <c r="F277" t="s">
        <v>40</v>
      </c>
      <c r="G277" t="s">
        <v>1903</v>
      </c>
      <c r="H277" t="s">
        <v>1903</v>
      </c>
      <c r="I277" t="s">
        <v>26</v>
      </c>
      <c r="J277">
        <v>94106</v>
      </c>
      <c r="K277">
        <v>37.761620999999998</v>
      </c>
      <c r="L277">
        <v>-122.415531</v>
      </c>
      <c r="M277" t="s">
        <v>1902</v>
      </c>
      <c r="N277">
        <v>999</v>
      </c>
      <c r="O277" t="s">
        <v>24</v>
      </c>
      <c r="P277">
        <v>0.114</v>
      </c>
      <c r="Q277">
        <v>0.168803811</v>
      </c>
    </row>
    <row r="278" spans="1:20" hidden="1" x14ac:dyDescent="0.25">
      <c r="A278" t="s">
        <v>33</v>
      </c>
      <c r="B278" t="s">
        <v>92</v>
      </c>
      <c r="C278">
        <v>2009</v>
      </c>
      <c r="D278" t="s">
        <v>1901</v>
      </c>
      <c r="E278" t="s">
        <v>130</v>
      </c>
      <c r="F278" t="s">
        <v>40</v>
      </c>
      <c r="G278" t="s">
        <v>199</v>
      </c>
      <c r="H278" t="s">
        <v>94</v>
      </c>
      <c r="I278" t="s">
        <v>26</v>
      </c>
      <c r="J278">
        <v>95688</v>
      </c>
      <c r="K278">
        <v>38.410600000000002</v>
      </c>
      <c r="L278">
        <v>-121.9264</v>
      </c>
      <c r="M278" t="s">
        <v>1901</v>
      </c>
      <c r="N278">
        <v>999</v>
      </c>
      <c r="O278" t="s">
        <v>24</v>
      </c>
      <c r="P278">
        <v>2.5</v>
      </c>
      <c r="Q278">
        <v>3.9639719389999999</v>
      </c>
    </row>
    <row r="279" spans="1:20" hidden="1" x14ac:dyDescent="0.25">
      <c r="A279" t="s">
        <v>33</v>
      </c>
      <c r="B279" t="s">
        <v>92</v>
      </c>
      <c r="C279">
        <v>2013</v>
      </c>
      <c r="D279" t="s">
        <v>1900</v>
      </c>
      <c r="E279" t="s">
        <v>130</v>
      </c>
      <c r="F279" t="s">
        <v>40</v>
      </c>
      <c r="G279" t="s">
        <v>146</v>
      </c>
      <c r="H279" t="s">
        <v>146</v>
      </c>
      <c r="I279" t="s">
        <v>26</v>
      </c>
      <c r="J279">
        <v>93234</v>
      </c>
      <c r="K279">
        <v>36.142221999999997</v>
      </c>
      <c r="L279">
        <v>-120.13249999999999</v>
      </c>
      <c r="M279" t="s">
        <v>1900</v>
      </c>
      <c r="N279">
        <v>999</v>
      </c>
      <c r="O279" t="s">
        <v>36</v>
      </c>
      <c r="P279">
        <v>10</v>
      </c>
      <c r="Q279">
        <v>21.376043639999999</v>
      </c>
    </row>
    <row r="280" spans="1:20" hidden="1" x14ac:dyDescent="0.25">
      <c r="A280" t="s">
        <v>33</v>
      </c>
      <c r="B280" t="s">
        <v>92</v>
      </c>
      <c r="C280">
        <v>2011</v>
      </c>
      <c r="D280" t="s">
        <v>1898</v>
      </c>
      <c r="E280" t="s">
        <v>130</v>
      </c>
      <c r="F280" t="s">
        <v>40</v>
      </c>
      <c r="G280" t="s">
        <v>1899</v>
      </c>
      <c r="H280" t="s">
        <v>146</v>
      </c>
      <c r="I280" t="s">
        <v>26</v>
      </c>
      <c r="J280">
        <v>93624</v>
      </c>
      <c r="K280">
        <v>36.378726</v>
      </c>
      <c r="L280">
        <v>-120.124898</v>
      </c>
      <c r="M280" t="s">
        <v>1898</v>
      </c>
      <c r="N280">
        <v>999</v>
      </c>
      <c r="O280" t="s">
        <v>36</v>
      </c>
      <c r="P280">
        <v>15</v>
      </c>
      <c r="Q280">
        <v>29.210154907</v>
      </c>
    </row>
    <row r="281" spans="1:20" hidden="1" x14ac:dyDescent="0.25">
      <c r="A281" t="s">
        <v>33</v>
      </c>
      <c r="B281" t="s">
        <v>201</v>
      </c>
      <c r="C281">
        <v>2011</v>
      </c>
      <c r="D281" t="s">
        <v>1897</v>
      </c>
      <c r="E281" t="s">
        <v>948</v>
      </c>
      <c r="F281" t="s">
        <v>29</v>
      </c>
      <c r="G281" t="s">
        <v>173</v>
      </c>
      <c r="H281" t="s">
        <v>12</v>
      </c>
      <c r="I281" t="s">
        <v>26</v>
      </c>
      <c r="J281">
        <v>93314</v>
      </c>
      <c r="K281">
        <v>35.354799999999997</v>
      </c>
      <c r="L281">
        <v>-119.2894</v>
      </c>
      <c r="M281" t="s">
        <v>1896</v>
      </c>
      <c r="N281">
        <v>10</v>
      </c>
      <c r="O281" t="s">
        <v>36</v>
      </c>
      <c r="P281">
        <v>0.6</v>
      </c>
      <c r="Q281">
        <v>1.4</v>
      </c>
      <c r="S281" s="18">
        <v>41319</v>
      </c>
      <c r="T281" s="18">
        <v>41452</v>
      </c>
    </row>
    <row r="282" spans="1:20" hidden="1" x14ac:dyDescent="0.25">
      <c r="A282" t="s">
        <v>43</v>
      </c>
      <c r="B282" t="s">
        <v>111</v>
      </c>
      <c r="C282">
        <v>2022</v>
      </c>
      <c r="D282" t="s">
        <v>109</v>
      </c>
      <c r="E282" t="s">
        <v>109</v>
      </c>
      <c r="F282" t="s">
        <v>40</v>
      </c>
      <c r="G282" t="s">
        <v>109</v>
      </c>
      <c r="H282" t="s">
        <v>109</v>
      </c>
      <c r="I282" t="s">
        <v>26</v>
      </c>
      <c r="J282" t="s">
        <v>110</v>
      </c>
      <c r="K282" t="s">
        <v>109</v>
      </c>
      <c r="L282" t="s">
        <v>109</v>
      </c>
      <c r="M282" t="s">
        <v>1197</v>
      </c>
      <c r="N282">
        <v>2</v>
      </c>
      <c r="O282" t="s">
        <v>36</v>
      </c>
    </row>
    <row r="283" spans="1:20" hidden="1" x14ac:dyDescent="0.25">
      <c r="A283" t="s">
        <v>43</v>
      </c>
      <c r="B283" t="s">
        <v>32</v>
      </c>
      <c r="C283">
        <v>1984</v>
      </c>
      <c r="D283" t="s">
        <v>1043</v>
      </c>
      <c r="E283" t="s">
        <v>47</v>
      </c>
      <c r="F283" t="s">
        <v>40</v>
      </c>
      <c r="G283" t="s">
        <v>60</v>
      </c>
      <c r="H283" t="s">
        <v>59</v>
      </c>
      <c r="I283" t="s">
        <v>26</v>
      </c>
      <c r="J283">
        <v>92263</v>
      </c>
      <c r="K283">
        <v>33.934800000000003</v>
      </c>
      <c r="L283">
        <v>-116.641223</v>
      </c>
      <c r="M283" t="s">
        <v>1895</v>
      </c>
      <c r="N283">
        <v>30</v>
      </c>
      <c r="O283" t="s">
        <v>24</v>
      </c>
      <c r="P283">
        <v>1</v>
      </c>
      <c r="Q283">
        <v>4.01</v>
      </c>
    </row>
    <row r="284" spans="1:20" hidden="1" x14ac:dyDescent="0.25">
      <c r="A284" t="s">
        <v>43</v>
      </c>
      <c r="B284" t="s">
        <v>32</v>
      </c>
      <c r="C284">
        <v>1984</v>
      </c>
      <c r="D284" t="s">
        <v>1894</v>
      </c>
      <c r="E284" t="s">
        <v>30</v>
      </c>
      <c r="F284" t="s">
        <v>40</v>
      </c>
      <c r="G284" t="s">
        <v>81</v>
      </c>
      <c r="H284" t="s">
        <v>80</v>
      </c>
      <c r="I284" t="s">
        <v>1445</v>
      </c>
      <c r="J284">
        <v>93501</v>
      </c>
      <c r="K284">
        <v>35.1</v>
      </c>
      <c r="L284">
        <v>-118.25</v>
      </c>
      <c r="M284" t="s">
        <v>79</v>
      </c>
      <c r="N284">
        <v>30</v>
      </c>
      <c r="O284" t="s">
        <v>24</v>
      </c>
      <c r="P284">
        <v>47.12</v>
      </c>
      <c r="Q284">
        <v>137.69</v>
      </c>
    </row>
    <row r="285" spans="1:20" hidden="1" x14ac:dyDescent="0.25">
      <c r="A285" t="s">
        <v>33</v>
      </c>
      <c r="B285" t="s">
        <v>32</v>
      </c>
      <c r="C285">
        <v>1984</v>
      </c>
      <c r="D285" t="s">
        <v>1893</v>
      </c>
      <c r="E285" t="s">
        <v>30</v>
      </c>
      <c r="F285" t="s">
        <v>29</v>
      </c>
      <c r="G285" t="s">
        <v>28</v>
      </c>
      <c r="H285" t="s">
        <v>27</v>
      </c>
      <c r="I285" t="s">
        <v>26</v>
      </c>
      <c r="J285">
        <v>95391</v>
      </c>
      <c r="K285">
        <v>37.748358000000003</v>
      </c>
      <c r="L285">
        <v>-121.627579</v>
      </c>
      <c r="M285" t="s">
        <v>1892</v>
      </c>
      <c r="N285">
        <v>30</v>
      </c>
      <c r="O285" t="s">
        <v>24</v>
      </c>
      <c r="P285">
        <v>4.05</v>
      </c>
      <c r="Q285">
        <v>10.603</v>
      </c>
    </row>
    <row r="286" spans="1:20" hidden="1" x14ac:dyDescent="0.25">
      <c r="A286" t="s">
        <v>43</v>
      </c>
      <c r="B286" t="s">
        <v>92</v>
      </c>
      <c r="C286">
        <v>2008</v>
      </c>
      <c r="D286" t="s">
        <v>1890</v>
      </c>
      <c r="E286" t="s">
        <v>90</v>
      </c>
      <c r="F286" t="s">
        <v>40</v>
      </c>
      <c r="G286" t="s">
        <v>1000</v>
      </c>
      <c r="H286" t="s">
        <v>133</v>
      </c>
      <c r="I286" t="s">
        <v>26</v>
      </c>
      <c r="J286">
        <v>91761</v>
      </c>
      <c r="K286" s="19" t="s">
        <v>1891</v>
      </c>
      <c r="L286">
        <v>-117.56251111111099</v>
      </c>
      <c r="M286" t="s">
        <v>1890</v>
      </c>
      <c r="N286">
        <v>999</v>
      </c>
      <c r="O286" t="s">
        <v>36</v>
      </c>
      <c r="P286">
        <v>0.5</v>
      </c>
      <c r="Q286">
        <v>0.90541711800000002</v>
      </c>
    </row>
    <row r="287" spans="1:20" hidden="1" x14ac:dyDescent="0.25">
      <c r="A287" t="s">
        <v>43</v>
      </c>
      <c r="B287" t="s">
        <v>111</v>
      </c>
      <c r="C287">
        <v>2022</v>
      </c>
      <c r="D287" t="s">
        <v>109</v>
      </c>
      <c r="E287" t="s">
        <v>41</v>
      </c>
      <c r="F287" t="s">
        <v>29</v>
      </c>
      <c r="G287" t="s">
        <v>109</v>
      </c>
      <c r="H287" t="s">
        <v>109</v>
      </c>
      <c r="I287" t="s">
        <v>26</v>
      </c>
      <c r="J287" t="s">
        <v>110</v>
      </c>
      <c r="K287" t="s">
        <v>109</v>
      </c>
      <c r="L287" t="s">
        <v>109</v>
      </c>
      <c r="M287" t="s">
        <v>1889</v>
      </c>
      <c r="N287">
        <v>1</v>
      </c>
      <c r="O287" t="s">
        <v>36</v>
      </c>
      <c r="P287">
        <v>3</v>
      </c>
      <c r="Q287">
        <v>5.9174820969999997</v>
      </c>
    </row>
    <row r="288" spans="1:20" hidden="1" x14ac:dyDescent="0.25">
      <c r="A288" t="s">
        <v>33</v>
      </c>
      <c r="B288" t="s">
        <v>32</v>
      </c>
      <c r="C288">
        <v>1985</v>
      </c>
      <c r="D288" t="s">
        <v>1888</v>
      </c>
      <c r="E288" t="s">
        <v>47</v>
      </c>
      <c r="F288" t="s">
        <v>29</v>
      </c>
      <c r="G288" t="s">
        <v>890</v>
      </c>
      <c r="H288" t="s">
        <v>74</v>
      </c>
      <c r="I288" t="s">
        <v>26</v>
      </c>
      <c r="J288">
        <v>96084</v>
      </c>
      <c r="K288">
        <v>40.784140000000001</v>
      </c>
      <c r="L288">
        <v>-121.897066</v>
      </c>
      <c r="M288" t="s">
        <v>889</v>
      </c>
      <c r="N288">
        <v>30</v>
      </c>
      <c r="O288" t="s">
        <v>24</v>
      </c>
      <c r="P288">
        <v>0.97499999999999998</v>
      </c>
      <c r="Q288">
        <v>2.9830000000000001</v>
      </c>
    </row>
    <row r="289" spans="1:23" hidden="1" x14ac:dyDescent="0.25">
      <c r="A289" t="s">
        <v>43</v>
      </c>
      <c r="B289" t="s">
        <v>32</v>
      </c>
      <c r="C289">
        <v>1984</v>
      </c>
      <c r="D289" t="s">
        <v>1887</v>
      </c>
      <c r="E289" t="s">
        <v>30</v>
      </c>
      <c r="F289" t="s">
        <v>29</v>
      </c>
      <c r="G289" t="s">
        <v>81</v>
      </c>
      <c r="H289" t="s">
        <v>12</v>
      </c>
      <c r="I289" t="s">
        <v>26</v>
      </c>
      <c r="J289">
        <v>93501</v>
      </c>
      <c r="K289">
        <v>35.075000000000003</v>
      </c>
      <c r="L289">
        <v>-118.2625</v>
      </c>
      <c r="M289" t="s">
        <v>1887</v>
      </c>
      <c r="N289">
        <v>30</v>
      </c>
      <c r="O289" t="s">
        <v>24</v>
      </c>
      <c r="P289">
        <v>48</v>
      </c>
      <c r="Q289">
        <v>76.28</v>
      </c>
    </row>
    <row r="290" spans="1:23" hidden="1" x14ac:dyDescent="0.25">
      <c r="A290" t="s">
        <v>33</v>
      </c>
      <c r="B290" t="s">
        <v>32</v>
      </c>
      <c r="C290">
        <v>1985</v>
      </c>
      <c r="D290" t="s">
        <v>1886</v>
      </c>
      <c r="E290" t="s">
        <v>47</v>
      </c>
      <c r="F290" t="s">
        <v>29</v>
      </c>
      <c r="G290" t="s">
        <v>1885</v>
      </c>
      <c r="H290" t="s">
        <v>963</v>
      </c>
      <c r="I290" t="s">
        <v>26</v>
      </c>
      <c r="J290">
        <v>95983</v>
      </c>
      <c r="K290">
        <v>40.039400000000001</v>
      </c>
      <c r="L290">
        <v>-120.6634</v>
      </c>
      <c r="M290" t="s">
        <v>1884</v>
      </c>
      <c r="N290">
        <v>30</v>
      </c>
      <c r="O290" t="s">
        <v>24</v>
      </c>
      <c r="P290">
        <v>0.99</v>
      </c>
      <c r="Q290">
        <v>1.04</v>
      </c>
    </row>
    <row r="291" spans="1:23" hidden="1" x14ac:dyDescent="0.25">
      <c r="A291" t="s">
        <v>33</v>
      </c>
      <c r="B291" t="s">
        <v>32</v>
      </c>
      <c r="C291">
        <v>1984</v>
      </c>
      <c r="D291" t="s">
        <v>1883</v>
      </c>
      <c r="E291" t="s">
        <v>47</v>
      </c>
      <c r="F291" t="s">
        <v>29</v>
      </c>
      <c r="G291" t="s">
        <v>1882</v>
      </c>
      <c r="H291" t="s">
        <v>860</v>
      </c>
      <c r="I291" t="s">
        <v>26</v>
      </c>
      <c r="J291">
        <v>95925</v>
      </c>
      <c r="K291">
        <v>39.530029999999996</v>
      </c>
      <c r="L291">
        <v>-121.09575599999999</v>
      </c>
      <c r="M291" t="s">
        <v>1881</v>
      </c>
      <c r="N291">
        <v>30</v>
      </c>
      <c r="O291" t="s">
        <v>24</v>
      </c>
      <c r="P291">
        <v>2</v>
      </c>
      <c r="Q291">
        <v>2.92</v>
      </c>
    </row>
    <row r="292" spans="1:23" hidden="1" x14ac:dyDescent="0.25">
      <c r="A292" t="s">
        <v>33</v>
      </c>
      <c r="B292" t="s">
        <v>127</v>
      </c>
      <c r="C292">
        <v>2020</v>
      </c>
      <c r="D292" t="s">
        <v>1883</v>
      </c>
      <c r="E292" t="s">
        <v>47</v>
      </c>
      <c r="F292" t="s">
        <v>29</v>
      </c>
      <c r="G292" t="s">
        <v>1882</v>
      </c>
      <c r="H292" t="s">
        <v>860</v>
      </c>
      <c r="I292" t="s">
        <v>26</v>
      </c>
      <c r="J292">
        <v>95925</v>
      </c>
      <c r="K292">
        <v>39.530029999999996</v>
      </c>
      <c r="L292">
        <v>-121.09575599999999</v>
      </c>
      <c r="M292" t="s">
        <v>1881</v>
      </c>
      <c r="N292">
        <v>1</v>
      </c>
      <c r="O292" t="s">
        <v>36</v>
      </c>
      <c r="P292">
        <v>2</v>
      </c>
      <c r="Q292">
        <v>4.5</v>
      </c>
      <c r="S292" s="18">
        <v>44042</v>
      </c>
    </row>
    <row r="293" spans="1:23" hidden="1" x14ac:dyDescent="0.25">
      <c r="A293" t="s">
        <v>33</v>
      </c>
      <c r="B293" t="s">
        <v>32</v>
      </c>
      <c r="C293">
        <v>1985</v>
      </c>
      <c r="D293" t="s">
        <v>1880</v>
      </c>
      <c r="E293" t="s">
        <v>948</v>
      </c>
      <c r="F293" t="s">
        <v>40</v>
      </c>
      <c r="G293" t="s">
        <v>1879</v>
      </c>
      <c r="H293" t="s">
        <v>553</v>
      </c>
      <c r="I293" t="s">
        <v>26</v>
      </c>
      <c r="J293">
        <v>93933</v>
      </c>
      <c r="K293">
        <v>36.705826999999999</v>
      </c>
      <c r="L293">
        <v>-121.768777</v>
      </c>
      <c r="M293" t="s">
        <v>1878</v>
      </c>
      <c r="N293">
        <v>999</v>
      </c>
      <c r="O293" t="s">
        <v>24</v>
      </c>
      <c r="P293">
        <v>1.74</v>
      </c>
      <c r="Q293">
        <v>0.24</v>
      </c>
    </row>
    <row r="294" spans="1:23" hidden="1" x14ac:dyDescent="0.25">
      <c r="A294" t="s">
        <v>43</v>
      </c>
      <c r="B294" t="s">
        <v>32</v>
      </c>
      <c r="C294">
        <v>1984</v>
      </c>
      <c r="D294" t="s">
        <v>1877</v>
      </c>
      <c r="E294" t="s">
        <v>30</v>
      </c>
      <c r="F294" t="s">
        <v>29</v>
      </c>
      <c r="G294" t="s">
        <v>149</v>
      </c>
      <c r="H294" t="s">
        <v>80</v>
      </c>
      <c r="I294" t="s">
        <v>26</v>
      </c>
      <c r="J294">
        <v>93561</v>
      </c>
      <c r="K294">
        <v>35.087499999999999</v>
      </c>
      <c r="L294">
        <v>-118.35</v>
      </c>
      <c r="M294" t="s">
        <v>58</v>
      </c>
      <c r="N294">
        <v>30</v>
      </c>
      <c r="O294" t="s">
        <v>24</v>
      </c>
      <c r="P294">
        <v>22.5</v>
      </c>
      <c r="Q294">
        <v>27.65</v>
      </c>
    </row>
    <row r="295" spans="1:23" hidden="1" x14ac:dyDescent="0.25">
      <c r="A295" t="s">
        <v>33</v>
      </c>
      <c r="B295" t="s">
        <v>32</v>
      </c>
      <c r="C295">
        <v>1985</v>
      </c>
      <c r="D295" t="s">
        <v>1876</v>
      </c>
      <c r="E295" t="s">
        <v>30</v>
      </c>
      <c r="F295" t="s">
        <v>29</v>
      </c>
      <c r="G295" t="s">
        <v>28</v>
      </c>
      <c r="H295" t="s">
        <v>35</v>
      </c>
      <c r="I295" t="s">
        <v>26</v>
      </c>
      <c r="J295">
        <v>95391</v>
      </c>
      <c r="K295">
        <v>37.745234000000004</v>
      </c>
      <c r="L295">
        <v>-121.603399</v>
      </c>
      <c r="M295" t="s">
        <v>86</v>
      </c>
      <c r="N295">
        <v>30</v>
      </c>
      <c r="O295" t="s">
        <v>24</v>
      </c>
      <c r="P295">
        <v>0.71499999999999997</v>
      </c>
      <c r="Q295">
        <v>4.0830000000000002</v>
      </c>
    </row>
    <row r="296" spans="1:23" hidden="1" x14ac:dyDescent="0.25">
      <c r="A296" t="s">
        <v>43</v>
      </c>
      <c r="B296" t="s">
        <v>32</v>
      </c>
      <c r="C296">
        <v>1988</v>
      </c>
      <c r="D296" t="s">
        <v>1874</v>
      </c>
      <c r="E296" t="s">
        <v>47</v>
      </c>
      <c r="F296" t="s">
        <v>52</v>
      </c>
      <c r="G296" t="s">
        <v>1875</v>
      </c>
      <c r="H296" t="s">
        <v>374</v>
      </c>
      <c r="I296" t="s">
        <v>26</v>
      </c>
      <c r="J296">
        <v>92627</v>
      </c>
      <c r="K296">
        <v>33.645738000000001</v>
      </c>
      <c r="L296">
        <v>-117.932675</v>
      </c>
      <c r="M296" t="s">
        <v>1874</v>
      </c>
      <c r="N296">
        <v>999</v>
      </c>
      <c r="O296" t="s">
        <v>24</v>
      </c>
      <c r="P296">
        <v>0.05</v>
      </c>
      <c r="W296" s="18">
        <v>43988</v>
      </c>
    </row>
    <row r="297" spans="1:23" hidden="1" x14ac:dyDescent="0.25">
      <c r="A297" t="s">
        <v>43</v>
      </c>
      <c r="B297" t="s">
        <v>32</v>
      </c>
      <c r="C297">
        <v>1985</v>
      </c>
      <c r="D297" t="s">
        <v>1873</v>
      </c>
      <c r="E297" t="s">
        <v>30</v>
      </c>
      <c r="F297" t="s">
        <v>52</v>
      </c>
      <c r="G297" t="s">
        <v>149</v>
      </c>
      <c r="H297" t="s">
        <v>12</v>
      </c>
      <c r="I297" t="s">
        <v>26</v>
      </c>
      <c r="J297">
        <v>93561</v>
      </c>
      <c r="K297">
        <v>35.234299999999998</v>
      </c>
      <c r="L297">
        <v>-118.238811</v>
      </c>
      <c r="M297" t="s">
        <v>1873</v>
      </c>
      <c r="N297">
        <v>30</v>
      </c>
      <c r="O297" t="s">
        <v>24</v>
      </c>
      <c r="P297">
        <v>19.8</v>
      </c>
      <c r="Q297">
        <v>43.4</v>
      </c>
      <c r="W297" s="18">
        <v>43830</v>
      </c>
    </row>
    <row r="298" spans="1:23" hidden="1" x14ac:dyDescent="0.25">
      <c r="A298" t="s">
        <v>43</v>
      </c>
      <c r="B298" t="s">
        <v>540</v>
      </c>
      <c r="C298">
        <v>2015</v>
      </c>
      <c r="D298" t="s">
        <v>1872</v>
      </c>
      <c r="E298" t="s">
        <v>90</v>
      </c>
      <c r="F298" t="s">
        <v>52</v>
      </c>
      <c r="G298" t="s">
        <v>1456</v>
      </c>
      <c r="H298" t="s">
        <v>1871</v>
      </c>
      <c r="I298" t="s">
        <v>26</v>
      </c>
      <c r="J298">
        <v>91767</v>
      </c>
      <c r="K298">
        <v>34.090000000000003</v>
      </c>
      <c r="L298">
        <v>-117.73399999999999</v>
      </c>
      <c r="N298">
        <v>20</v>
      </c>
      <c r="O298" t="s">
        <v>36</v>
      </c>
      <c r="P298">
        <v>0.5</v>
      </c>
      <c r="Q298">
        <v>0.88</v>
      </c>
      <c r="W298" s="18">
        <v>42753</v>
      </c>
    </row>
    <row r="299" spans="1:23" hidden="1" x14ac:dyDescent="0.25">
      <c r="A299" t="s">
        <v>43</v>
      </c>
      <c r="B299" t="s">
        <v>197</v>
      </c>
      <c r="C299">
        <v>2005</v>
      </c>
      <c r="D299" t="s">
        <v>1870</v>
      </c>
      <c r="E299" t="s">
        <v>71</v>
      </c>
      <c r="F299" t="s">
        <v>52</v>
      </c>
      <c r="G299" t="s">
        <v>1012</v>
      </c>
      <c r="H299" t="s">
        <v>270</v>
      </c>
      <c r="I299" t="s">
        <v>26</v>
      </c>
      <c r="J299">
        <v>93117</v>
      </c>
      <c r="K299">
        <v>34.466000000000001</v>
      </c>
      <c r="L299">
        <v>-120.10290000000001</v>
      </c>
      <c r="M299" t="s">
        <v>1870</v>
      </c>
      <c r="N299">
        <v>20</v>
      </c>
      <c r="O299" t="s">
        <v>24</v>
      </c>
      <c r="P299">
        <v>2.84</v>
      </c>
      <c r="Q299">
        <v>19</v>
      </c>
      <c r="S299" s="18">
        <v>39084</v>
      </c>
      <c r="T299" s="18">
        <v>39184</v>
      </c>
      <c r="W299" s="18">
        <v>44125</v>
      </c>
    </row>
    <row r="300" spans="1:23" hidden="1" x14ac:dyDescent="0.25">
      <c r="A300" t="s">
        <v>43</v>
      </c>
      <c r="B300" t="s">
        <v>197</v>
      </c>
      <c r="C300">
        <v>2009</v>
      </c>
      <c r="D300" t="s">
        <v>1868</v>
      </c>
      <c r="E300" t="s">
        <v>71</v>
      </c>
      <c r="F300" t="s">
        <v>52</v>
      </c>
      <c r="G300" t="s">
        <v>1869</v>
      </c>
      <c r="H300" t="s">
        <v>234</v>
      </c>
      <c r="I300" t="s">
        <v>26</v>
      </c>
      <c r="J300">
        <v>93060</v>
      </c>
      <c r="K300">
        <v>34.3934</v>
      </c>
      <c r="L300">
        <v>-118.99907899999999</v>
      </c>
      <c r="M300" t="s">
        <v>1868</v>
      </c>
      <c r="N300">
        <v>10</v>
      </c>
      <c r="O300" t="s">
        <v>24</v>
      </c>
      <c r="P300">
        <v>1.5</v>
      </c>
      <c r="Q300">
        <v>9.6300000000000008</v>
      </c>
      <c r="S300" s="18">
        <v>39995</v>
      </c>
      <c r="T300" s="18">
        <v>40164</v>
      </c>
      <c r="W300" s="18">
        <v>43617</v>
      </c>
    </row>
    <row r="301" spans="1:23" hidden="1" x14ac:dyDescent="0.25">
      <c r="A301" t="s">
        <v>43</v>
      </c>
      <c r="B301" t="s">
        <v>32</v>
      </c>
      <c r="C301">
        <v>1983</v>
      </c>
      <c r="D301" t="s">
        <v>1867</v>
      </c>
      <c r="E301" t="s">
        <v>41</v>
      </c>
      <c r="F301" t="s">
        <v>52</v>
      </c>
      <c r="G301" t="s">
        <v>1750</v>
      </c>
      <c r="H301" t="s">
        <v>259</v>
      </c>
      <c r="I301" t="s">
        <v>26</v>
      </c>
      <c r="J301">
        <v>90601</v>
      </c>
      <c r="K301">
        <v>34.027279999999998</v>
      </c>
      <c r="L301">
        <v>-118.03010999999999</v>
      </c>
      <c r="M301" t="s">
        <v>1867</v>
      </c>
      <c r="N301">
        <v>999</v>
      </c>
      <c r="O301" t="s">
        <v>24</v>
      </c>
      <c r="P301">
        <v>3.9</v>
      </c>
      <c r="Q301">
        <v>5.84</v>
      </c>
      <c r="W301" s="18">
        <v>44035</v>
      </c>
    </row>
    <row r="302" spans="1:23" hidden="1" x14ac:dyDescent="0.25">
      <c r="A302" t="s">
        <v>43</v>
      </c>
      <c r="B302" t="s">
        <v>232</v>
      </c>
      <c r="C302">
        <v>2009</v>
      </c>
      <c r="D302" t="s">
        <v>1865</v>
      </c>
      <c r="E302" t="s">
        <v>71</v>
      </c>
      <c r="F302" t="s">
        <v>52</v>
      </c>
      <c r="G302" t="s">
        <v>1866</v>
      </c>
      <c r="H302" t="s">
        <v>88</v>
      </c>
      <c r="I302" t="s">
        <v>26</v>
      </c>
      <c r="J302">
        <v>92555</v>
      </c>
      <c r="K302">
        <v>33.955106999999998</v>
      </c>
      <c r="L302">
        <v>-117.12145700000001</v>
      </c>
      <c r="M302" t="s">
        <v>1865</v>
      </c>
      <c r="N302">
        <v>10</v>
      </c>
      <c r="O302" t="s">
        <v>24</v>
      </c>
      <c r="P302">
        <v>1.1000000000000001</v>
      </c>
      <c r="Q302">
        <v>6.57</v>
      </c>
      <c r="W302" s="18">
        <v>43159</v>
      </c>
    </row>
    <row r="303" spans="1:23" hidden="1" x14ac:dyDescent="0.25">
      <c r="A303" t="s">
        <v>43</v>
      </c>
      <c r="B303" t="s">
        <v>923</v>
      </c>
      <c r="C303">
        <v>2018</v>
      </c>
      <c r="D303" t="s">
        <v>1863</v>
      </c>
      <c r="E303" t="s">
        <v>41</v>
      </c>
      <c r="F303" t="s">
        <v>52</v>
      </c>
      <c r="G303" t="s">
        <v>133</v>
      </c>
      <c r="H303" t="s">
        <v>1864</v>
      </c>
      <c r="I303" t="s">
        <v>26</v>
      </c>
      <c r="J303">
        <v>92407</v>
      </c>
      <c r="K303">
        <v>34.173257800000002</v>
      </c>
      <c r="L303">
        <v>-117.3464156</v>
      </c>
      <c r="M303" t="s">
        <v>1863</v>
      </c>
      <c r="N303">
        <v>20</v>
      </c>
      <c r="O303" t="s">
        <v>36</v>
      </c>
      <c r="P303">
        <v>1.6</v>
      </c>
      <c r="Q303">
        <v>11.85</v>
      </c>
      <c r="W303" s="18">
        <v>43843</v>
      </c>
    </row>
    <row r="304" spans="1:23" hidden="1" x14ac:dyDescent="0.25">
      <c r="A304" t="s">
        <v>43</v>
      </c>
      <c r="B304" t="s">
        <v>923</v>
      </c>
      <c r="C304">
        <v>2018</v>
      </c>
      <c r="D304" t="s">
        <v>1861</v>
      </c>
      <c r="E304" t="s">
        <v>41</v>
      </c>
      <c r="F304" t="s">
        <v>52</v>
      </c>
      <c r="G304" t="s">
        <v>181</v>
      </c>
      <c r="H304" t="s">
        <v>1862</v>
      </c>
      <c r="I304" t="s">
        <v>26</v>
      </c>
      <c r="J304">
        <v>93274</v>
      </c>
      <c r="K304">
        <v>36.247900384780202</v>
      </c>
      <c r="L304">
        <v>-119.49736326539799</v>
      </c>
      <c r="M304" t="s">
        <v>1861</v>
      </c>
      <c r="N304">
        <v>20</v>
      </c>
      <c r="O304" t="s">
        <v>36</v>
      </c>
      <c r="P304">
        <v>0.8</v>
      </c>
      <c r="Q304">
        <v>5.1478000000000002</v>
      </c>
      <c r="W304" s="18">
        <v>43445</v>
      </c>
    </row>
    <row r="305" spans="1:23" hidden="1" x14ac:dyDescent="0.25">
      <c r="A305" t="s">
        <v>43</v>
      </c>
      <c r="B305" t="s">
        <v>197</v>
      </c>
      <c r="C305">
        <v>2015</v>
      </c>
      <c r="D305" t="s">
        <v>1753</v>
      </c>
      <c r="E305" t="s">
        <v>105</v>
      </c>
      <c r="F305" t="s">
        <v>52</v>
      </c>
      <c r="G305" t="s">
        <v>104</v>
      </c>
      <c r="H305" t="s">
        <v>133</v>
      </c>
      <c r="I305" t="s">
        <v>26</v>
      </c>
      <c r="J305">
        <v>93516</v>
      </c>
      <c r="K305">
        <v>35.014200000000002</v>
      </c>
      <c r="L305">
        <v>-117.54765999999999</v>
      </c>
      <c r="M305" t="s">
        <v>1753</v>
      </c>
      <c r="N305">
        <v>10</v>
      </c>
      <c r="O305" t="s">
        <v>36</v>
      </c>
      <c r="P305">
        <v>30</v>
      </c>
      <c r="Q305">
        <v>68.33</v>
      </c>
      <c r="S305" s="18">
        <v>42305</v>
      </c>
      <c r="T305" s="18">
        <v>42601</v>
      </c>
      <c r="W305" s="18">
        <v>43769</v>
      </c>
    </row>
    <row r="306" spans="1:23" hidden="1" x14ac:dyDescent="0.25">
      <c r="A306" t="s">
        <v>33</v>
      </c>
      <c r="B306" t="s">
        <v>923</v>
      </c>
      <c r="C306">
        <v>2018</v>
      </c>
      <c r="D306" t="s">
        <v>922</v>
      </c>
      <c r="E306" t="s">
        <v>41</v>
      </c>
      <c r="F306" t="s">
        <v>52</v>
      </c>
      <c r="G306" t="s">
        <v>921</v>
      </c>
      <c r="H306" t="s">
        <v>848</v>
      </c>
      <c r="I306" t="s">
        <v>26</v>
      </c>
      <c r="J306">
        <v>95257</v>
      </c>
      <c r="K306">
        <v>38.377407648540299</v>
      </c>
      <c r="L306">
        <v>-120.51217839607401</v>
      </c>
      <c r="M306" t="s">
        <v>920</v>
      </c>
      <c r="N306">
        <v>20</v>
      </c>
      <c r="O306" t="s">
        <v>36</v>
      </c>
      <c r="P306">
        <v>3</v>
      </c>
      <c r="Q306">
        <v>18.75</v>
      </c>
      <c r="W306" s="18">
        <v>45091</v>
      </c>
    </row>
    <row r="307" spans="1:23" hidden="1" x14ac:dyDescent="0.25">
      <c r="A307" t="s">
        <v>33</v>
      </c>
      <c r="B307" t="s">
        <v>32</v>
      </c>
      <c r="C307">
        <v>1984</v>
      </c>
      <c r="D307" t="s">
        <v>1860</v>
      </c>
      <c r="E307" t="s">
        <v>30</v>
      </c>
      <c r="F307" t="s">
        <v>29</v>
      </c>
      <c r="G307" t="s">
        <v>226</v>
      </c>
      <c r="H307" t="s">
        <v>466</v>
      </c>
      <c r="I307" t="s">
        <v>26</v>
      </c>
      <c r="J307">
        <v>94550</v>
      </c>
      <c r="K307">
        <v>37.706325999999997</v>
      </c>
      <c r="L307">
        <v>-121.717358</v>
      </c>
      <c r="M307" t="s">
        <v>25</v>
      </c>
      <c r="N307">
        <v>28</v>
      </c>
      <c r="O307" t="s">
        <v>24</v>
      </c>
      <c r="P307">
        <v>144.1</v>
      </c>
      <c r="Q307">
        <v>194.70400000000001</v>
      </c>
    </row>
    <row r="308" spans="1:23" hidden="1" x14ac:dyDescent="0.25">
      <c r="A308" t="s">
        <v>33</v>
      </c>
      <c r="B308" t="s">
        <v>263</v>
      </c>
      <c r="C308">
        <v>2023</v>
      </c>
      <c r="D308" t="s">
        <v>1859</v>
      </c>
      <c r="E308" t="s">
        <v>130</v>
      </c>
      <c r="F308" t="s">
        <v>52</v>
      </c>
      <c r="G308" t="s">
        <v>719</v>
      </c>
      <c r="H308" t="s">
        <v>12</v>
      </c>
      <c r="I308" t="s">
        <v>26</v>
      </c>
      <c r="J308">
        <v>93280</v>
      </c>
      <c r="K308">
        <v>35.6009892063541</v>
      </c>
      <c r="L308">
        <v>-119.580871646696</v>
      </c>
      <c r="M308" t="s">
        <v>1858</v>
      </c>
      <c r="N308">
        <v>20</v>
      </c>
      <c r="O308" t="s">
        <v>36</v>
      </c>
      <c r="P308">
        <v>3</v>
      </c>
      <c r="Q308">
        <v>9.2249999999999996</v>
      </c>
      <c r="W308" s="18">
        <v>45111</v>
      </c>
    </row>
    <row r="309" spans="1:23" hidden="1" x14ac:dyDescent="0.25">
      <c r="A309" t="s">
        <v>33</v>
      </c>
      <c r="B309" t="s">
        <v>32</v>
      </c>
      <c r="C309">
        <v>1985</v>
      </c>
      <c r="D309" t="s">
        <v>1857</v>
      </c>
      <c r="E309" t="s">
        <v>30</v>
      </c>
      <c r="F309" t="s">
        <v>29</v>
      </c>
      <c r="G309" t="s">
        <v>28</v>
      </c>
      <c r="H309" t="s">
        <v>35</v>
      </c>
      <c r="I309" t="s">
        <v>26</v>
      </c>
      <c r="J309">
        <v>95391</v>
      </c>
      <c r="K309">
        <v>37.745234000000004</v>
      </c>
      <c r="L309">
        <v>-121.57386099999999</v>
      </c>
      <c r="M309" t="s">
        <v>86</v>
      </c>
      <c r="N309">
        <v>30</v>
      </c>
      <c r="O309" t="s">
        <v>24</v>
      </c>
      <c r="P309">
        <v>48.9</v>
      </c>
      <c r="Q309">
        <v>13.071</v>
      </c>
    </row>
    <row r="310" spans="1:23" hidden="1" x14ac:dyDescent="0.25">
      <c r="A310" t="s">
        <v>43</v>
      </c>
      <c r="B310" t="s">
        <v>32</v>
      </c>
      <c r="C310">
        <v>1984</v>
      </c>
      <c r="D310" t="s">
        <v>335</v>
      </c>
      <c r="E310" t="s">
        <v>30</v>
      </c>
      <c r="F310" t="s">
        <v>29</v>
      </c>
      <c r="G310" t="s">
        <v>60</v>
      </c>
      <c r="H310" t="s">
        <v>59</v>
      </c>
      <c r="I310" t="s">
        <v>26</v>
      </c>
      <c r="J310">
        <v>92262</v>
      </c>
      <c r="K310">
        <v>33.896700000000003</v>
      </c>
      <c r="L310">
        <v>-116.556276</v>
      </c>
      <c r="M310" t="s">
        <v>58</v>
      </c>
      <c r="N310">
        <v>30</v>
      </c>
      <c r="O310" t="s">
        <v>24</v>
      </c>
      <c r="P310">
        <v>10</v>
      </c>
      <c r="Q310">
        <v>28.77</v>
      </c>
    </row>
    <row r="311" spans="1:23" hidden="1" x14ac:dyDescent="0.25">
      <c r="A311" t="s">
        <v>33</v>
      </c>
      <c r="B311" t="s">
        <v>32</v>
      </c>
      <c r="C311">
        <v>1985</v>
      </c>
      <c r="D311" t="s">
        <v>1856</v>
      </c>
      <c r="E311" t="s">
        <v>30</v>
      </c>
      <c r="F311" t="s">
        <v>29</v>
      </c>
      <c r="G311" t="s">
        <v>1796</v>
      </c>
      <c r="H311" t="s">
        <v>466</v>
      </c>
      <c r="I311" t="s">
        <v>26</v>
      </c>
      <c r="J311">
        <v>94550</v>
      </c>
      <c r="K311">
        <v>37.811360999999998</v>
      </c>
      <c r="L311">
        <v>-121.66545499999999</v>
      </c>
      <c r="M311" t="s">
        <v>1856</v>
      </c>
      <c r="N311">
        <v>29</v>
      </c>
      <c r="O311" t="s">
        <v>24</v>
      </c>
      <c r="P311">
        <v>27</v>
      </c>
      <c r="Q311">
        <v>13.464</v>
      </c>
    </row>
    <row r="312" spans="1:23" hidden="1" x14ac:dyDescent="0.25">
      <c r="A312" t="s">
        <v>43</v>
      </c>
      <c r="B312" t="s">
        <v>197</v>
      </c>
      <c r="C312">
        <v>2015</v>
      </c>
      <c r="D312" t="s">
        <v>106</v>
      </c>
      <c r="E312" t="s">
        <v>105</v>
      </c>
      <c r="F312" t="s">
        <v>52</v>
      </c>
      <c r="G312" t="s">
        <v>104</v>
      </c>
      <c r="H312" t="s">
        <v>133</v>
      </c>
      <c r="I312" t="s">
        <v>26</v>
      </c>
      <c r="J312">
        <v>93516</v>
      </c>
      <c r="K312">
        <v>35.014200000000002</v>
      </c>
      <c r="L312">
        <v>-117.54765999999999</v>
      </c>
      <c r="M312" t="s">
        <v>106</v>
      </c>
      <c r="N312">
        <v>10</v>
      </c>
      <c r="O312" t="s">
        <v>36</v>
      </c>
      <c r="P312">
        <v>30</v>
      </c>
      <c r="Q312">
        <v>68.33</v>
      </c>
      <c r="S312" s="18">
        <v>42305</v>
      </c>
      <c r="T312" s="18">
        <v>42601</v>
      </c>
      <c r="W312" s="18">
        <v>43769</v>
      </c>
    </row>
    <row r="313" spans="1:23" hidden="1" x14ac:dyDescent="0.25">
      <c r="A313" t="s">
        <v>43</v>
      </c>
      <c r="B313" t="s">
        <v>197</v>
      </c>
      <c r="C313">
        <v>2015</v>
      </c>
      <c r="D313" t="s">
        <v>1855</v>
      </c>
      <c r="E313" t="s">
        <v>105</v>
      </c>
      <c r="F313" t="s">
        <v>52</v>
      </c>
      <c r="G313" t="s">
        <v>104</v>
      </c>
      <c r="H313" t="s">
        <v>133</v>
      </c>
      <c r="I313" t="s">
        <v>26</v>
      </c>
      <c r="J313">
        <v>93516</v>
      </c>
      <c r="K313">
        <v>35.014200000000002</v>
      </c>
      <c r="L313">
        <v>-117.54765999999999</v>
      </c>
      <c r="M313" t="s">
        <v>1855</v>
      </c>
      <c r="N313">
        <v>10</v>
      </c>
      <c r="O313" t="s">
        <v>36</v>
      </c>
      <c r="P313">
        <v>30</v>
      </c>
      <c r="Q313">
        <v>68.33</v>
      </c>
      <c r="S313" s="18">
        <v>42305</v>
      </c>
      <c r="T313" s="18">
        <v>42601</v>
      </c>
      <c r="W313" s="18">
        <v>43769</v>
      </c>
    </row>
    <row r="314" spans="1:23" hidden="1" x14ac:dyDescent="0.25">
      <c r="A314" t="s">
        <v>33</v>
      </c>
      <c r="B314" t="s">
        <v>127</v>
      </c>
      <c r="C314">
        <v>2016</v>
      </c>
      <c r="D314" t="s">
        <v>1854</v>
      </c>
      <c r="E314" t="s">
        <v>47</v>
      </c>
      <c r="F314" t="s">
        <v>29</v>
      </c>
      <c r="G314" t="s">
        <v>114</v>
      </c>
      <c r="H314" t="s">
        <v>113</v>
      </c>
      <c r="I314" t="s">
        <v>26</v>
      </c>
      <c r="J314">
        <v>95667</v>
      </c>
      <c r="K314">
        <v>38.783450999999999</v>
      </c>
      <c r="L314">
        <v>-120.7785367</v>
      </c>
      <c r="M314" t="s">
        <v>1475</v>
      </c>
      <c r="O314" t="s">
        <v>36</v>
      </c>
      <c r="P314">
        <v>2.7959999999999998</v>
      </c>
      <c r="Q314">
        <v>6.3239999999999998</v>
      </c>
    </row>
    <row r="315" spans="1:23" hidden="1" x14ac:dyDescent="0.25">
      <c r="A315" t="s">
        <v>43</v>
      </c>
      <c r="B315" t="s">
        <v>32</v>
      </c>
      <c r="C315">
        <v>1984</v>
      </c>
      <c r="D315" t="s">
        <v>1039</v>
      </c>
      <c r="E315" t="s">
        <v>47</v>
      </c>
      <c r="F315" t="s">
        <v>40</v>
      </c>
      <c r="G315" t="s">
        <v>99</v>
      </c>
      <c r="H315" t="s">
        <v>98</v>
      </c>
      <c r="I315" t="s">
        <v>1445</v>
      </c>
      <c r="J315">
        <v>91789</v>
      </c>
      <c r="K315">
        <v>34.041614000000003</v>
      </c>
      <c r="L315">
        <v>-117.828659</v>
      </c>
      <c r="M315" t="s">
        <v>97</v>
      </c>
      <c r="N315">
        <v>30</v>
      </c>
      <c r="O315" t="s">
        <v>24</v>
      </c>
      <c r="P315">
        <v>0.125</v>
      </c>
      <c r="Q315">
        <v>0.72</v>
      </c>
    </row>
    <row r="316" spans="1:23" hidden="1" x14ac:dyDescent="0.25">
      <c r="A316" t="s">
        <v>43</v>
      </c>
      <c r="B316" t="s">
        <v>32</v>
      </c>
      <c r="C316">
        <v>1994</v>
      </c>
      <c r="D316" t="s">
        <v>1852</v>
      </c>
      <c r="E316" t="s">
        <v>47</v>
      </c>
      <c r="F316" t="s">
        <v>52</v>
      </c>
      <c r="G316" t="s">
        <v>1853</v>
      </c>
      <c r="H316" t="s">
        <v>103</v>
      </c>
      <c r="I316" t="s">
        <v>26</v>
      </c>
      <c r="J316">
        <v>91789</v>
      </c>
      <c r="K316">
        <v>34.093600000000002</v>
      </c>
      <c r="L316">
        <v>-117.65570200000001</v>
      </c>
      <c r="M316" t="s">
        <v>1852</v>
      </c>
      <c r="N316">
        <v>30</v>
      </c>
      <c r="O316" t="s">
        <v>24</v>
      </c>
      <c r="P316">
        <v>0.224</v>
      </c>
      <c r="Q316">
        <v>0.05</v>
      </c>
      <c r="W316" s="18">
        <v>42922</v>
      </c>
    </row>
    <row r="317" spans="1:23" hidden="1" x14ac:dyDescent="0.25">
      <c r="A317" t="s">
        <v>43</v>
      </c>
      <c r="B317" t="s">
        <v>923</v>
      </c>
      <c r="C317">
        <v>2019</v>
      </c>
      <c r="D317" t="s">
        <v>1851</v>
      </c>
      <c r="E317" t="s">
        <v>1013</v>
      </c>
      <c r="F317" t="s">
        <v>52</v>
      </c>
      <c r="G317" t="s">
        <v>133</v>
      </c>
      <c r="H317" t="s">
        <v>133</v>
      </c>
      <c r="I317" t="s">
        <v>26</v>
      </c>
      <c r="J317">
        <v>92407</v>
      </c>
      <c r="K317">
        <v>34.173257800000002</v>
      </c>
      <c r="L317">
        <v>-117.3464156</v>
      </c>
      <c r="M317" t="s">
        <v>1779</v>
      </c>
      <c r="N317">
        <v>20</v>
      </c>
      <c r="O317" t="s">
        <v>36</v>
      </c>
      <c r="P317">
        <v>2.6</v>
      </c>
      <c r="Q317">
        <v>20</v>
      </c>
      <c r="W317" s="18">
        <v>44580</v>
      </c>
    </row>
    <row r="318" spans="1:23" hidden="1" x14ac:dyDescent="0.25">
      <c r="A318" t="s">
        <v>43</v>
      </c>
      <c r="B318" t="s">
        <v>923</v>
      </c>
      <c r="C318">
        <v>2019</v>
      </c>
      <c r="D318" t="s">
        <v>1772</v>
      </c>
      <c r="E318" t="s">
        <v>1013</v>
      </c>
      <c r="F318" t="s">
        <v>52</v>
      </c>
      <c r="G318" t="s">
        <v>1343</v>
      </c>
      <c r="H318" t="s">
        <v>133</v>
      </c>
      <c r="I318" t="s">
        <v>26</v>
      </c>
      <c r="J318">
        <v>92301</v>
      </c>
      <c r="K318">
        <v>34.576893919032401</v>
      </c>
      <c r="L318">
        <v>-117.580798958957</v>
      </c>
      <c r="M318" t="s">
        <v>1772</v>
      </c>
      <c r="N318">
        <v>20</v>
      </c>
      <c r="O318" t="s">
        <v>36</v>
      </c>
      <c r="P318">
        <v>2.7</v>
      </c>
      <c r="Q318">
        <v>22.95</v>
      </c>
      <c r="W318" s="18">
        <v>44255</v>
      </c>
    </row>
    <row r="319" spans="1:23" hidden="1" x14ac:dyDescent="0.25">
      <c r="A319" t="s">
        <v>43</v>
      </c>
      <c r="B319" t="s">
        <v>32</v>
      </c>
      <c r="C319">
        <v>1985</v>
      </c>
      <c r="D319" t="s">
        <v>1850</v>
      </c>
      <c r="E319" t="s">
        <v>143</v>
      </c>
      <c r="F319" t="s">
        <v>52</v>
      </c>
      <c r="G319" t="s">
        <v>1844</v>
      </c>
      <c r="H319" t="s">
        <v>1224</v>
      </c>
      <c r="I319" t="s">
        <v>26</v>
      </c>
      <c r="J319">
        <v>93542</v>
      </c>
      <c r="K319">
        <v>36.007199999999997</v>
      </c>
      <c r="L319">
        <v>-117.800817</v>
      </c>
      <c r="M319" t="s">
        <v>1850</v>
      </c>
      <c r="N319">
        <v>30</v>
      </c>
      <c r="O319" t="s">
        <v>24</v>
      </c>
      <c r="P319">
        <v>75</v>
      </c>
      <c r="Q319">
        <v>373.26</v>
      </c>
      <c r="W319" s="18">
        <v>43496</v>
      </c>
    </row>
    <row r="320" spans="1:23" hidden="1" x14ac:dyDescent="0.25">
      <c r="A320" t="s">
        <v>33</v>
      </c>
      <c r="B320" t="s">
        <v>32</v>
      </c>
      <c r="C320">
        <v>1986</v>
      </c>
      <c r="D320" t="s">
        <v>1849</v>
      </c>
      <c r="E320" t="s">
        <v>41</v>
      </c>
      <c r="F320" t="s">
        <v>52</v>
      </c>
      <c r="G320" t="s">
        <v>1848</v>
      </c>
      <c r="H320" t="s">
        <v>55</v>
      </c>
      <c r="I320" t="s">
        <v>26</v>
      </c>
      <c r="J320">
        <v>95565</v>
      </c>
      <c r="K320">
        <v>40.479999999999997</v>
      </c>
      <c r="L320">
        <v>-124.104</v>
      </c>
      <c r="M320" t="s">
        <v>1847</v>
      </c>
      <c r="N320">
        <v>999</v>
      </c>
      <c r="O320" t="s">
        <v>24</v>
      </c>
      <c r="P320">
        <v>22</v>
      </c>
      <c r="Q320">
        <v>113.67400000000001</v>
      </c>
      <c r="W320" s="18">
        <v>42886</v>
      </c>
    </row>
    <row r="321" spans="1:23" hidden="1" x14ac:dyDescent="0.25">
      <c r="A321" t="s">
        <v>43</v>
      </c>
      <c r="B321" t="s">
        <v>32</v>
      </c>
      <c r="C321">
        <v>1984</v>
      </c>
      <c r="D321" t="s">
        <v>1846</v>
      </c>
      <c r="E321" t="s">
        <v>30</v>
      </c>
      <c r="F321" t="s">
        <v>29</v>
      </c>
      <c r="G321" t="s">
        <v>149</v>
      </c>
      <c r="H321" t="s">
        <v>80</v>
      </c>
      <c r="I321" t="s">
        <v>26</v>
      </c>
      <c r="J321">
        <v>93561</v>
      </c>
      <c r="K321">
        <v>35.070833299999997</v>
      </c>
      <c r="L321">
        <v>-118.3791667</v>
      </c>
      <c r="M321" t="s">
        <v>1845</v>
      </c>
      <c r="N321">
        <v>30</v>
      </c>
      <c r="O321" t="s">
        <v>24</v>
      </c>
      <c r="P321">
        <v>6.0149999999999997</v>
      </c>
      <c r="Q321">
        <v>9.35</v>
      </c>
    </row>
    <row r="322" spans="1:23" hidden="1" x14ac:dyDescent="0.25">
      <c r="A322" t="s">
        <v>43</v>
      </c>
      <c r="B322" t="s">
        <v>197</v>
      </c>
      <c r="C322">
        <v>2005</v>
      </c>
      <c r="D322" t="s">
        <v>1843</v>
      </c>
      <c r="E322" t="s">
        <v>143</v>
      </c>
      <c r="F322" t="s">
        <v>52</v>
      </c>
      <c r="G322" t="s">
        <v>1844</v>
      </c>
      <c r="H322" t="s">
        <v>1224</v>
      </c>
      <c r="I322" t="s">
        <v>26</v>
      </c>
      <c r="J322">
        <v>93542</v>
      </c>
      <c r="K322">
        <v>36.036900000000003</v>
      </c>
      <c r="L322">
        <v>-117.798181</v>
      </c>
      <c r="M322" t="s">
        <v>1843</v>
      </c>
      <c r="N322">
        <v>20</v>
      </c>
      <c r="O322" t="s">
        <v>24</v>
      </c>
      <c r="P322">
        <v>204</v>
      </c>
      <c r="Q322">
        <v>1608</v>
      </c>
      <c r="W322" s="18">
        <v>43496</v>
      </c>
    </row>
    <row r="323" spans="1:23" hidden="1" x14ac:dyDescent="0.25">
      <c r="A323" t="s">
        <v>33</v>
      </c>
      <c r="B323" t="s">
        <v>923</v>
      </c>
      <c r="C323">
        <v>2018</v>
      </c>
      <c r="D323" t="s">
        <v>1842</v>
      </c>
      <c r="E323" t="s">
        <v>948</v>
      </c>
      <c r="F323" t="s">
        <v>52</v>
      </c>
      <c r="G323" t="s">
        <v>956</v>
      </c>
      <c r="H323" t="s">
        <v>146</v>
      </c>
      <c r="I323" t="s">
        <v>26</v>
      </c>
      <c r="J323">
        <v>93656</v>
      </c>
      <c r="K323">
        <v>36.479203950661798</v>
      </c>
      <c r="L323">
        <v>-120.017681871329</v>
      </c>
      <c r="M323" t="s">
        <v>1841</v>
      </c>
      <c r="N323">
        <v>20</v>
      </c>
      <c r="O323" t="s">
        <v>36</v>
      </c>
      <c r="P323">
        <v>0.8</v>
      </c>
      <c r="Q323">
        <v>4.9000000000000004</v>
      </c>
      <c r="W323" s="18">
        <v>45038</v>
      </c>
    </row>
    <row r="324" spans="1:23" hidden="1" x14ac:dyDescent="0.25">
      <c r="A324" t="s">
        <v>43</v>
      </c>
      <c r="B324" t="s">
        <v>32</v>
      </c>
      <c r="C324">
        <v>1986</v>
      </c>
      <c r="D324" t="s">
        <v>1838</v>
      </c>
      <c r="E324" t="s">
        <v>47</v>
      </c>
      <c r="F324" t="s">
        <v>52</v>
      </c>
      <c r="G324" t="s">
        <v>1840</v>
      </c>
      <c r="H324" t="s">
        <v>1839</v>
      </c>
      <c r="I324" t="s">
        <v>26</v>
      </c>
      <c r="J324">
        <v>90631</v>
      </c>
      <c r="K324">
        <v>33.924599999999998</v>
      </c>
      <c r="L324">
        <v>-117.946354</v>
      </c>
      <c r="M324" t="s">
        <v>1838</v>
      </c>
      <c r="N324">
        <v>30</v>
      </c>
      <c r="O324" t="s">
        <v>24</v>
      </c>
      <c r="P324">
        <v>0.4</v>
      </c>
      <c r="Q324">
        <v>0.78</v>
      </c>
      <c r="W324" s="18">
        <v>42766</v>
      </c>
    </row>
    <row r="325" spans="1:23" hidden="1" x14ac:dyDescent="0.25">
      <c r="A325" t="s">
        <v>33</v>
      </c>
      <c r="B325" t="s">
        <v>32</v>
      </c>
      <c r="C325">
        <v>1984</v>
      </c>
      <c r="D325" t="s">
        <v>1837</v>
      </c>
      <c r="E325" t="s">
        <v>41</v>
      </c>
      <c r="F325" t="s">
        <v>29</v>
      </c>
      <c r="G325" t="s">
        <v>1836</v>
      </c>
      <c r="H325" t="s">
        <v>963</v>
      </c>
      <c r="I325" t="s">
        <v>26</v>
      </c>
      <c r="J325">
        <v>96020</v>
      </c>
      <c r="K325">
        <v>40.304493999999998</v>
      </c>
      <c r="L325">
        <v>-121.233553</v>
      </c>
      <c r="M325" t="s">
        <v>962</v>
      </c>
      <c r="N325">
        <v>30</v>
      </c>
      <c r="O325" t="s">
        <v>24</v>
      </c>
      <c r="P325">
        <v>12</v>
      </c>
      <c r="Q325">
        <v>27.908999999999999</v>
      </c>
    </row>
    <row r="326" spans="1:23" hidden="1" x14ac:dyDescent="0.25">
      <c r="A326" t="s">
        <v>43</v>
      </c>
      <c r="B326" t="s">
        <v>32</v>
      </c>
      <c r="C326">
        <v>1995</v>
      </c>
      <c r="D326" t="s">
        <v>1835</v>
      </c>
      <c r="E326" t="s">
        <v>130</v>
      </c>
      <c r="F326" t="s">
        <v>52</v>
      </c>
      <c r="G326" t="s">
        <v>1834</v>
      </c>
      <c r="H326" t="s">
        <v>259</v>
      </c>
      <c r="I326" t="s">
        <v>26</v>
      </c>
      <c r="J326">
        <v>91765</v>
      </c>
      <c r="K326">
        <v>34.000399999999999</v>
      </c>
      <c r="L326">
        <v>-117.83011999999999</v>
      </c>
      <c r="M326" t="s">
        <v>1833</v>
      </c>
      <c r="N326">
        <v>30</v>
      </c>
      <c r="O326" t="s">
        <v>24</v>
      </c>
      <c r="P326">
        <v>7.2999999999999995E-2</v>
      </c>
      <c r="W326" s="18">
        <v>44344</v>
      </c>
    </row>
    <row r="327" spans="1:23" hidden="1" x14ac:dyDescent="0.25">
      <c r="A327" t="s">
        <v>33</v>
      </c>
      <c r="B327" t="s">
        <v>127</v>
      </c>
      <c r="C327">
        <v>2013</v>
      </c>
      <c r="D327" t="s">
        <v>1832</v>
      </c>
      <c r="E327" t="s">
        <v>143</v>
      </c>
      <c r="F327" t="s">
        <v>52</v>
      </c>
      <c r="G327" t="s">
        <v>64</v>
      </c>
      <c r="H327" t="s">
        <v>63</v>
      </c>
      <c r="I327" t="s">
        <v>26</v>
      </c>
      <c r="J327">
        <v>96136</v>
      </c>
      <c r="K327">
        <v>40.300908</v>
      </c>
      <c r="L327">
        <v>-120.195153</v>
      </c>
      <c r="M327" t="s">
        <v>1832</v>
      </c>
      <c r="N327">
        <v>1</v>
      </c>
      <c r="P327">
        <v>0.69</v>
      </c>
      <c r="Q327">
        <v>3.5</v>
      </c>
    </row>
    <row r="328" spans="1:23" hidden="1" x14ac:dyDescent="0.25">
      <c r="A328" t="s">
        <v>33</v>
      </c>
      <c r="B328" t="s">
        <v>32</v>
      </c>
      <c r="C328">
        <v>1985</v>
      </c>
      <c r="D328" t="s">
        <v>1830</v>
      </c>
      <c r="E328" t="s">
        <v>47</v>
      </c>
      <c r="F328" t="s">
        <v>29</v>
      </c>
      <c r="G328" t="s">
        <v>1831</v>
      </c>
      <c r="H328" t="s">
        <v>50</v>
      </c>
      <c r="I328" t="s">
        <v>26</v>
      </c>
      <c r="J328">
        <v>95527</v>
      </c>
      <c r="K328">
        <v>40.789583999999998</v>
      </c>
      <c r="L328">
        <v>-123.441294</v>
      </c>
      <c r="M328" t="s">
        <v>1830</v>
      </c>
      <c r="N328">
        <v>30</v>
      </c>
      <c r="O328" t="s">
        <v>24</v>
      </c>
      <c r="P328">
        <v>0.3</v>
      </c>
      <c r="Q328">
        <v>1.1539999999999999</v>
      </c>
    </row>
    <row r="329" spans="1:23" hidden="1" x14ac:dyDescent="0.25">
      <c r="A329" t="s">
        <v>33</v>
      </c>
      <c r="B329" t="s">
        <v>32</v>
      </c>
      <c r="C329">
        <v>1984</v>
      </c>
      <c r="D329" t="s">
        <v>1829</v>
      </c>
      <c r="E329" t="s">
        <v>30</v>
      </c>
      <c r="F329" t="s">
        <v>29</v>
      </c>
      <c r="G329" t="s">
        <v>28</v>
      </c>
      <c r="H329" t="s">
        <v>27</v>
      </c>
      <c r="I329" t="s">
        <v>26</v>
      </c>
      <c r="J329">
        <v>95391</v>
      </c>
      <c r="K329">
        <v>37.748358000000003</v>
      </c>
      <c r="L329">
        <v>-121.627579</v>
      </c>
      <c r="M329" t="s">
        <v>1828</v>
      </c>
      <c r="N329">
        <v>30</v>
      </c>
      <c r="O329" t="s">
        <v>24</v>
      </c>
      <c r="P329">
        <v>19</v>
      </c>
      <c r="Q329">
        <v>28.122</v>
      </c>
    </row>
    <row r="330" spans="1:23" hidden="1" x14ac:dyDescent="0.25">
      <c r="A330" t="s">
        <v>67</v>
      </c>
      <c r="B330" t="s">
        <v>92</v>
      </c>
      <c r="C330">
        <v>2015</v>
      </c>
      <c r="D330" t="s">
        <v>1827</v>
      </c>
      <c r="E330" t="s">
        <v>130</v>
      </c>
      <c r="F330" t="s">
        <v>52</v>
      </c>
      <c r="G330" t="s">
        <v>129</v>
      </c>
      <c r="H330" t="s">
        <v>129</v>
      </c>
      <c r="I330" t="s">
        <v>26</v>
      </c>
      <c r="J330">
        <v>92037</v>
      </c>
      <c r="K330">
        <v>32.902749999999997</v>
      </c>
      <c r="L330">
        <v>-117.23779</v>
      </c>
      <c r="M330" t="s">
        <v>1826</v>
      </c>
      <c r="N330">
        <v>10</v>
      </c>
      <c r="O330" t="s">
        <v>24</v>
      </c>
      <c r="P330">
        <v>0.20019999999999999</v>
      </c>
      <c r="Q330">
        <v>0.39700000000000002</v>
      </c>
      <c r="W330" s="18">
        <v>43966</v>
      </c>
    </row>
    <row r="331" spans="1:23" hidden="1" x14ac:dyDescent="0.25">
      <c r="A331" t="s">
        <v>33</v>
      </c>
      <c r="B331" t="s">
        <v>263</v>
      </c>
      <c r="C331">
        <v>2015</v>
      </c>
      <c r="D331" t="s">
        <v>1825</v>
      </c>
      <c r="E331" t="s">
        <v>130</v>
      </c>
      <c r="F331" t="s">
        <v>52</v>
      </c>
      <c r="G331" t="s">
        <v>542</v>
      </c>
      <c r="H331" t="s">
        <v>533</v>
      </c>
      <c r="I331" t="s">
        <v>26</v>
      </c>
      <c r="J331">
        <v>93245</v>
      </c>
      <c r="K331">
        <v>36.225822399999998</v>
      </c>
      <c r="L331">
        <v>-119.78031900000001</v>
      </c>
      <c r="M331" t="s">
        <v>1824</v>
      </c>
      <c r="N331">
        <v>20</v>
      </c>
      <c r="O331" t="s">
        <v>36</v>
      </c>
      <c r="P331">
        <v>3</v>
      </c>
      <c r="Q331">
        <v>7.4080000000000004</v>
      </c>
      <c r="W331" s="18">
        <v>42662</v>
      </c>
    </row>
    <row r="332" spans="1:23" hidden="1" x14ac:dyDescent="0.25">
      <c r="A332" t="s">
        <v>43</v>
      </c>
      <c r="B332" t="s">
        <v>540</v>
      </c>
      <c r="C332">
        <v>2015</v>
      </c>
      <c r="D332" t="s">
        <v>1823</v>
      </c>
      <c r="E332" t="s">
        <v>90</v>
      </c>
      <c r="F332" t="s">
        <v>52</v>
      </c>
      <c r="G332" t="s">
        <v>1511</v>
      </c>
      <c r="H332" t="s">
        <v>133</v>
      </c>
      <c r="I332" t="s">
        <v>26</v>
      </c>
      <c r="J332">
        <v>92336</v>
      </c>
      <c r="K332">
        <v>34.116999999999997</v>
      </c>
      <c r="L332">
        <v>-117.48699999999999</v>
      </c>
      <c r="M332" t="s">
        <v>1510</v>
      </c>
      <c r="N332">
        <v>20</v>
      </c>
      <c r="O332" t="s">
        <v>36</v>
      </c>
      <c r="P332">
        <v>0.8</v>
      </c>
      <c r="Q332">
        <v>1.66</v>
      </c>
      <c r="S332" s="18">
        <v>42111</v>
      </c>
      <c r="T332" s="18">
        <v>42132</v>
      </c>
      <c r="W332" s="18">
        <v>42709</v>
      </c>
    </row>
    <row r="333" spans="1:23" hidden="1" x14ac:dyDescent="0.25">
      <c r="A333" t="s">
        <v>67</v>
      </c>
      <c r="B333" t="s">
        <v>197</v>
      </c>
      <c r="C333">
        <v>2020</v>
      </c>
      <c r="D333" t="s">
        <v>1822</v>
      </c>
      <c r="E333" t="s">
        <v>41</v>
      </c>
      <c r="F333" t="s">
        <v>40</v>
      </c>
      <c r="G333" t="s">
        <v>64</v>
      </c>
      <c r="H333" t="s">
        <v>63</v>
      </c>
      <c r="I333" t="s">
        <v>26</v>
      </c>
      <c r="J333">
        <v>95816</v>
      </c>
      <c r="K333">
        <v>40.368400000000001</v>
      </c>
      <c r="L333">
        <v>-120.265</v>
      </c>
      <c r="M333" t="s">
        <v>1822</v>
      </c>
      <c r="N333">
        <v>1</v>
      </c>
      <c r="O333" t="s">
        <v>36</v>
      </c>
      <c r="P333">
        <v>24</v>
      </c>
      <c r="Q333">
        <v>175</v>
      </c>
      <c r="S333" s="18">
        <v>44050</v>
      </c>
      <c r="T333" s="18">
        <v>44180</v>
      </c>
    </row>
    <row r="334" spans="1:23" hidden="1" x14ac:dyDescent="0.25">
      <c r="A334" t="s">
        <v>33</v>
      </c>
      <c r="B334" t="s">
        <v>32</v>
      </c>
      <c r="C334">
        <v>1984</v>
      </c>
      <c r="D334" t="s">
        <v>1821</v>
      </c>
      <c r="E334" t="s">
        <v>47</v>
      </c>
      <c r="F334" t="s">
        <v>29</v>
      </c>
      <c r="G334" t="s">
        <v>178</v>
      </c>
      <c r="H334" t="s">
        <v>178</v>
      </c>
      <c r="I334" t="s">
        <v>26</v>
      </c>
      <c r="J334">
        <v>93636</v>
      </c>
      <c r="K334">
        <v>37.075341999999999</v>
      </c>
      <c r="L334">
        <v>-119.989372</v>
      </c>
      <c r="M334" t="s">
        <v>177</v>
      </c>
      <c r="N334">
        <v>30</v>
      </c>
      <c r="O334" t="s">
        <v>24</v>
      </c>
      <c r="P334">
        <v>0.42399999999999999</v>
      </c>
      <c r="Q334">
        <v>0.71299999999999997</v>
      </c>
    </row>
    <row r="335" spans="1:23" hidden="1" x14ac:dyDescent="0.25">
      <c r="A335" t="s">
        <v>43</v>
      </c>
      <c r="B335" t="s">
        <v>32</v>
      </c>
      <c r="C335">
        <v>1983</v>
      </c>
      <c r="D335" t="s">
        <v>1820</v>
      </c>
      <c r="E335" t="s">
        <v>30</v>
      </c>
      <c r="F335" t="s">
        <v>29</v>
      </c>
      <c r="G335" t="s">
        <v>81</v>
      </c>
      <c r="H335" t="s">
        <v>80</v>
      </c>
      <c r="I335" t="s">
        <v>26</v>
      </c>
      <c r="J335">
        <v>93501</v>
      </c>
      <c r="K335">
        <v>35.037500000000001</v>
      </c>
      <c r="L335">
        <v>-118.358333</v>
      </c>
      <c r="M335" t="s">
        <v>1819</v>
      </c>
      <c r="N335">
        <v>30</v>
      </c>
      <c r="O335" t="s">
        <v>24</v>
      </c>
      <c r="P335">
        <v>2.4</v>
      </c>
      <c r="Q335">
        <v>0.96</v>
      </c>
    </row>
    <row r="336" spans="1:23" hidden="1" x14ac:dyDescent="0.25">
      <c r="A336" t="s">
        <v>43</v>
      </c>
      <c r="B336" t="s">
        <v>32</v>
      </c>
      <c r="C336">
        <v>1984</v>
      </c>
      <c r="D336" t="s">
        <v>1818</v>
      </c>
      <c r="E336" t="s">
        <v>30</v>
      </c>
      <c r="F336" t="s">
        <v>29</v>
      </c>
      <c r="G336" t="s">
        <v>81</v>
      </c>
      <c r="H336" t="s">
        <v>80</v>
      </c>
      <c r="I336" t="s">
        <v>26</v>
      </c>
      <c r="J336">
        <v>93501</v>
      </c>
      <c r="K336">
        <v>35.0625</v>
      </c>
      <c r="L336">
        <v>-118.279167</v>
      </c>
      <c r="M336" t="s">
        <v>79</v>
      </c>
      <c r="N336">
        <v>30</v>
      </c>
      <c r="O336" t="s">
        <v>24</v>
      </c>
      <c r="P336">
        <v>56</v>
      </c>
      <c r="Q336">
        <v>109.23</v>
      </c>
    </row>
    <row r="337" spans="1:23" hidden="1" x14ac:dyDescent="0.25">
      <c r="A337" t="s">
        <v>43</v>
      </c>
      <c r="B337" t="s">
        <v>32</v>
      </c>
      <c r="C337">
        <v>1984</v>
      </c>
      <c r="D337" t="s">
        <v>1817</v>
      </c>
      <c r="E337" t="s">
        <v>30</v>
      </c>
      <c r="F337" t="s">
        <v>40</v>
      </c>
      <c r="G337" t="s">
        <v>1816</v>
      </c>
      <c r="H337" t="s">
        <v>59</v>
      </c>
      <c r="I337" t="s">
        <v>1445</v>
      </c>
      <c r="J337">
        <v>92230</v>
      </c>
      <c r="K337">
        <v>33.920833330000001</v>
      </c>
      <c r="L337">
        <v>-116.708333</v>
      </c>
      <c r="M337" t="s">
        <v>102</v>
      </c>
      <c r="N337">
        <v>30</v>
      </c>
      <c r="O337" t="s">
        <v>24</v>
      </c>
      <c r="P337">
        <v>40</v>
      </c>
      <c r="Q337">
        <v>81.45</v>
      </c>
    </row>
    <row r="338" spans="1:23" hidden="1" x14ac:dyDescent="0.25">
      <c r="A338" t="s">
        <v>67</v>
      </c>
      <c r="B338" t="s">
        <v>206</v>
      </c>
      <c r="C338">
        <v>2013</v>
      </c>
      <c r="D338" t="s">
        <v>1815</v>
      </c>
      <c r="E338" t="s">
        <v>47</v>
      </c>
      <c r="F338" t="s">
        <v>52</v>
      </c>
      <c r="G338" t="s">
        <v>1814</v>
      </c>
      <c r="H338" t="s">
        <v>274</v>
      </c>
      <c r="I338" t="s">
        <v>26</v>
      </c>
      <c r="J338">
        <v>96075</v>
      </c>
      <c r="K338">
        <v>40.35371</v>
      </c>
      <c r="L338">
        <v>-121.699</v>
      </c>
      <c r="M338" t="s">
        <v>1813</v>
      </c>
      <c r="N338">
        <v>20</v>
      </c>
      <c r="P338">
        <v>5</v>
      </c>
      <c r="Q338">
        <v>21.7</v>
      </c>
    </row>
    <row r="339" spans="1:23" hidden="1" x14ac:dyDescent="0.25">
      <c r="A339" t="s">
        <v>67</v>
      </c>
      <c r="B339" t="s">
        <v>32</v>
      </c>
      <c r="C339">
        <v>2022</v>
      </c>
      <c r="D339" t="s">
        <v>1812</v>
      </c>
      <c r="E339" t="s">
        <v>291</v>
      </c>
      <c r="F339" t="s">
        <v>204</v>
      </c>
      <c r="G339" t="s">
        <v>368</v>
      </c>
      <c r="H339" t="s">
        <v>129</v>
      </c>
      <c r="I339" t="s">
        <v>26</v>
      </c>
      <c r="J339">
        <v>91905</v>
      </c>
      <c r="K339">
        <v>32.658000000000001</v>
      </c>
      <c r="L339">
        <v>-116.27200000000001</v>
      </c>
      <c r="M339" t="s">
        <v>367</v>
      </c>
      <c r="N339">
        <v>12</v>
      </c>
      <c r="O339" t="s">
        <v>36</v>
      </c>
      <c r="P339">
        <v>17.399999999999999</v>
      </c>
      <c r="Q339">
        <v>50</v>
      </c>
    </row>
    <row r="340" spans="1:23" hidden="1" x14ac:dyDescent="0.25">
      <c r="A340" t="s">
        <v>33</v>
      </c>
      <c r="B340" t="s">
        <v>263</v>
      </c>
      <c r="C340">
        <v>2015</v>
      </c>
      <c r="D340" t="s">
        <v>1811</v>
      </c>
      <c r="E340" t="s">
        <v>130</v>
      </c>
      <c r="F340" t="s">
        <v>52</v>
      </c>
      <c r="G340" t="s">
        <v>1810</v>
      </c>
      <c r="H340" t="s">
        <v>124</v>
      </c>
      <c r="I340" t="s">
        <v>26</v>
      </c>
      <c r="J340">
        <v>95453</v>
      </c>
      <c r="K340">
        <v>38.965753280000001</v>
      </c>
      <c r="L340">
        <v>-122.9048801</v>
      </c>
      <c r="M340" t="s">
        <v>1625</v>
      </c>
      <c r="N340">
        <v>20</v>
      </c>
      <c r="O340" t="s">
        <v>36</v>
      </c>
      <c r="P340">
        <v>1.25</v>
      </c>
      <c r="Q340">
        <v>2.9079999999999999</v>
      </c>
      <c r="W340" s="18">
        <v>42795</v>
      </c>
    </row>
    <row r="341" spans="1:23" hidden="1" x14ac:dyDescent="0.25">
      <c r="A341" t="s">
        <v>33</v>
      </c>
      <c r="B341" t="s">
        <v>197</v>
      </c>
      <c r="C341">
        <v>2004</v>
      </c>
      <c r="D341" t="s">
        <v>1809</v>
      </c>
      <c r="E341" t="s">
        <v>30</v>
      </c>
      <c r="F341" t="s">
        <v>29</v>
      </c>
      <c r="G341" t="s">
        <v>1808</v>
      </c>
      <c r="H341" t="s">
        <v>466</v>
      </c>
      <c r="I341" t="s">
        <v>26</v>
      </c>
      <c r="J341">
        <v>94514</v>
      </c>
      <c r="K341">
        <v>37.807777999999999</v>
      </c>
      <c r="L341">
        <v>-121.62472200000001</v>
      </c>
      <c r="M341" t="s">
        <v>1807</v>
      </c>
      <c r="N341">
        <v>10</v>
      </c>
      <c r="O341" t="s">
        <v>24</v>
      </c>
      <c r="P341">
        <v>43</v>
      </c>
      <c r="Q341">
        <v>108</v>
      </c>
      <c r="S341" s="18">
        <v>38468</v>
      </c>
      <c r="T341" s="18">
        <v>38559</v>
      </c>
    </row>
    <row r="342" spans="1:23" hidden="1" x14ac:dyDescent="0.25">
      <c r="A342" t="s">
        <v>43</v>
      </c>
      <c r="B342" t="s">
        <v>540</v>
      </c>
      <c r="C342">
        <v>2015</v>
      </c>
      <c r="D342" t="s">
        <v>1806</v>
      </c>
      <c r="E342" t="s">
        <v>90</v>
      </c>
      <c r="F342" t="s">
        <v>204</v>
      </c>
      <c r="G342" t="s">
        <v>1456</v>
      </c>
      <c r="H342" t="s">
        <v>259</v>
      </c>
      <c r="I342" t="s">
        <v>26</v>
      </c>
      <c r="J342">
        <v>91766</v>
      </c>
      <c r="K342">
        <v>34.055</v>
      </c>
      <c r="L342">
        <v>-117.77800000000001</v>
      </c>
      <c r="M342" t="s">
        <v>1510</v>
      </c>
      <c r="N342">
        <v>20</v>
      </c>
      <c r="O342" t="s">
        <v>36</v>
      </c>
      <c r="P342">
        <v>3.5</v>
      </c>
      <c r="Q342">
        <v>6.98</v>
      </c>
      <c r="S342" s="18">
        <v>42111</v>
      </c>
      <c r="W342" s="18">
        <v>42471</v>
      </c>
    </row>
    <row r="343" spans="1:23" hidden="1" x14ac:dyDescent="0.25">
      <c r="A343" t="s">
        <v>33</v>
      </c>
      <c r="B343" t="s">
        <v>32</v>
      </c>
      <c r="C343">
        <v>1986</v>
      </c>
      <c r="D343" t="s">
        <v>1805</v>
      </c>
      <c r="E343" t="s">
        <v>47</v>
      </c>
      <c r="F343" t="s">
        <v>29</v>
      </c>
      <c r="G343" t="s">
        <v>861</v>
      </c>
      <c r="H343" t="s">
        <v>860</v>
      </c>
      <c r="I343" t="s">
        <v>26</v>
      </c>
      <c r="J343">
        <v>95935</v>
      </c>
      <c r="K343">
        <v>39.392359999999996</v>
      </c>
      <c r="L343">
        <v>-121.142774</v>
      </c>
      <c r="M343" t="s">
        <v>859</v>
      </c>
      <c r="N343">
        <v>30</v>
      </c>
      <c r="O343" t="s">
        <v>24</v>
      </c>
      <c r="P343">
        <v>0.15</v>
      </c>
      <c r="Q343">
        <v>1.054</v>
      </c>
    </row>
    <row r="344" spans="1:23" hidden="1" x14ac:dyDescent="0.25">
      <c r="A344" t="s">
        <v>33</v>
      </c>
      <c r="B344" t="s">
        <v>263</v>
      </c>
      <c r="C344">
        <v>2021</v>
      </c>
      <c r="D344" t="s">
        <v>1803</v>
      </c>
      <c r="E344" t="s">
        <v>47</v>
      </c>
      <c r="F344" t="s">
        <v>52</v>
      </c>
      <c r="G344" t="s">
        <v>1804</v>
      </c>
      <c r="H344" t="s">
        <v>74</v>
      </c>
      <c r="I344" t="s">
        <v>26</v>
      </c>
      <c r="J344">
        <v>96040</v>
      </c>
      <c r="K344">
        <v>40.798520340115303</v>
      </c>
      <c r="L344">
        <v>-121.504317710663</v>
      </c>
      <c r="M344" t="s">
        <v>1803</v>
      </c>
      <c r="N344">
        <v>20</v>
      </c>
      <c r="O344" t="s">
        <v>36</v>
      </c>
      <c r="P344">
        <v>0.1</v>
      </c>
      <c r="Q344">
        <v>0.50351999999999997</v>
      </c>
      <c r="W344" s="18">
        <v>44781</v>
      </c>
    </row>
    <row r="345" spans="1:23" hidden="1" x14ac:dyDescent="0.25">
      <c r="A345" t="s">
        <v>43</v>
      </c>
      <c r="B345" t="s">
        <v>111</v>
      </c>
      <c r="C345">
        <v>2022</v>
      </c>
      <c r="D345" t="s">
        <v>109</v>
      </c>
      <c r="E345" t="s">
        <v>109</v>
      </c>
      <c r="F345" t="s">
        <v>40</v>
      </c>
      <c r="G345" t="s">
        <v>109</v>
      </c>
      <c r="H345" t="s">
        <v>109</v>
      </c>
      <c r="I345" t="s">
        <v>26</v>
      </c>
      <c r="J345" t="s">
        <v>110</v>
      </c>
      <c r="K345" t="s">
        <v>109</v>
      </c>
      <c r="L345" t="s">
        <v>109</v>
      </c>
      <c r="M345" t="s">
        <v>62</v>
      </c>
      <c r="N345">
        <v>2</v>
      </c>
      <c r="O345" t="s">
        <v>36</v>
      </c>
      <c r="Q345">
        <v>184</v>
      </c>
    </row>
    <row r="346" spans="1:23" ht="30" hidden="1" x14ac:dyDescent="0.25">
      <c r="A346" t="s">
        <v>43</v>
      </c>
      <c r="B346" t="s">
        <v>263</v>
      </c>
      <c r="C346">
        <v>2016</v>
      </c>
      <c r="D346" t="s">
        <v>1802</v>
      </c>
      <c r="E346" t="s">
        <v>130</v>
      </c>
      <c r="F346" t="s">
        <v>52</v>
      </c>
      <c r="G346" t="s">
        <v>1801</v>
      </c>
      <c r="H346" t="s">
        <v>259</v>
      </c>
      <c r="I346" t="s">
        <v>26</v>
      </c>
      <c r="J346">
        <v>93536</v>
      </c>
      <c r="K346">
        <v>34.813600000000001</v>
      </c>
      <c r="L346">
        <v>-118.601215</v>
      </c>
      <c r="M346" s="15" t="s">
        <v>1800</v>
      </c>
      <c r="N346">
        <v>20</v>
      </c>
      <c r="O346" t="s">
        <v>36</v>
      </c>
      <c r="P346">
        <v>1.5</v>
      </c>
      <c r="Q346">
        <v>4.4729999999999999</v>
      </c>
      <c r="W346" s="18">
        <v>43570.708333333336</v>
      </c>
    </row>
    <row r="347" spans="1:23" hidden="1" x14ac:dyDescent="0.25">
      <c r="A347" t="s">
        <v>43</v>
      </c>
      <c r="B347" t="s">
        <v>32</v>
      </c>
      <c r="C347">
        <v>1984</v>
      </c>
      <c r="D347" t="s">
        <v>1799</v>
      </c>
      <c r="E347" t="s">
        <v>30</v>
      </c>
      <c r="F347" t="s">
        <v>29</v>
      </c>
      <c r="G347" t="s">
        <v>1798</v>
      </c>
      <c r="H347" t="s">
        <v>59</v>
      </c>
      <c r="I347" t="s">
        <v>26</v>
      </c>
      <c r="J347">
        <v>92282</v>
      </c>
      <c r="K347">
        <v>33.941200000000002</v>
      </c>
      <c r="L347">
        <v>-116.622536</v>
      </c>
      <c r="M347" t="s">
        <v>1453</v>
      </c>
      <c r="N347">
        <v>30</v>
      </c>
      <c r="O347" t="s">
        <v>24</v>
      </c>
      <c r="P347">
        <v>25.535</v>
      </c>
      <c r="Q347">
        <v>47.39</v>
      </c>
    </row>
    <row r="348" spans="1:23" hidden="1" x14ac:dyDescent="0.25">
      <c r="A348" t="s">
        <v>43</v>
      </c>
      <c r="B348" t="s">
        <v>197</v>
      </c>
      <c r="C348">
        <v>2005</v>
      </c>
      <c r="D348" t="s">
        <v>1797</v>
      </c>
      <c r="E348" t="s">
        <v>143</v>
      </c>
      <c r="F348" t="s">
        <v>29</v>
      </c>
      <c r="G348" t="s">
        <v>159</v>
      </c>
      <c r="H348" t="s">
        <v>158</v>
      </c>
      <c r="I348" t="s">
        <v>26</v>
      </c>
      <c r="J348">
        <v>95461</v>
      </c>
      <c r="K348">
        <v>38.7849</v>
      </c>
      <c r="L348">
        <v>-122.713536</v>
      </c>
      <c r="M348" t="s">
        <v>157</v>
      </c>
      <c r="N348">
        <v>10</v>
      </c>
      <c r="O348" t="s">
        <v>24</v>
      </c>
      <c r="P348">
        <v>225</v>
      </c>
      <c r="Q348">
        <v>1971</v>
      </c>
      <c r="S348" s="18">
        <v>39234</v>
      </c>
      <c r="T348" s="18">
        <v>39402</v>
      </c>
      <c r="W348" s="18">
        <v>42886</v>
      </c>
    </row>
    <row r="349" spans="1:23" hidden="1" x14ac:dyDescent="0.25">
      <c r="A349" t="s">
        <v>33</v>
      </c>
      <c r="B349" t="s">
        <v>197</v>
      </c>
      <c r="C349">
        <v>2022</v>
      </c>
      <c r="D349" t="s">
        <v>706</v>
      </c>
      <c r="E349" t="s">
        <v>130</v>
      </c>
      <c r="F349" t="s">
        <v>204</v>
      </c>
      <c r="G349" t="s">
        <v>707</v>
      </c>
      <c r="H349" t="s">
        <v>146</v>
      </c>
      <c r="I349" t="s">
        <v>26</v>
      </c>
      <c r="J349">
        <v>93622</v>
      </c>
      <c r="K349">
        <v>36.907057999999999</v>
      </c>
      <c r="L349">
        <v>-120.633014</v>
      </c>
      <c r="M349" t="s">
        <v>706</v>
      </c>
      <c r="N349">
        <v>20</v>
      </c>
      <c r="O349" t="s">
        <v>36</v>
      </c>
      <c r="P349">
        <v>5</v>
      </c>
      <c r="Q349">
        <v>14.03</v>
      </c>
    </row>
    <row r="350" spans="1:23" hidden="1" x14ac:dyDescent="0.25">
      <c r="A350" t="s">
        <v>33</v>
      </c>
      <c r="B350" t="s">
        <v>32</v>
      </c>
      <c r="C350">
        <v>1985</v>
      </c>
      <c r="D350" t="s">
        <v>1795</v>
      </c>
      <c r="E350" t="s">
        <v>30</v>
      </c>
      <c r="F350" t="s">
        <v>29</v>
      </c>
      <c r="G350" t="s">
        <v>1796</v>
      </c>
      <c r="H350" t="s">
        <v>466</v>
      </c>
      <c r="I350" t="s">
        <v>26</v>
      </c>
      <c r="J350">
        <v>94550</v>
      </c>
      <c r="K350">
        <v>37.772108000000003</v>
      </c>
      <c r="L350">
        <v>-121.739223</v>
      </c>
      <c r="M350" t="s">
        <v>1795</v>
      </c>
      <c r="N350">
        <v>29</v>
      </c>
      <c r="O350" t="s">
        <v>24</v>
      </c>
      <c r="P350">
        <v>28</v>
      </c>
      <c r="Q350">
        <v>16.759</v>
      </c>
    </row>
    <row r="351" spans="1:23" hidden="1" x14ac:dyDescent="0.25">
      <c r="A351" t="s">
        <v>43</v>
      </c>
      <c r="B351" t="s">
        <v>263</v>
      </c>
      <c r="C351">
        <v>2014</v>
      </c>
      <c r="D351" t="s">
        <v>1794</v>
      </c>
      <c r="E351" t="s">
        <v>130</v>
      </c>
      <c r="F351" t="s">
        <v>52</v>
      </c>
      <c r="G351" t="s">
        <v>1221</v>
      </c>
      <c r="H351" t="s">
        <v>133</v>
      </c>
      <c r="I351" t="s">
        <v>26</v>
      </c>
      <c r="J351">
        <v>92277</v>
      </c>
      <c r="K351">
        <v>33.836500000000001</v>
      </c>
      <c r="L351">
        <v>-117.14100000000001</v>
      </c>
      <c r="M351" t="s">
        <v>1793</v>
      </c>
      <c r="N351">
        <v>20</v>
      </c>
      <c r="O351" t="s">
        <v>36</v>
      </c>
      <c r="P351">
        <v>1.5</v>
      </c>
      <c r="Q351">
        <v>4.42</v>
      </c>
      <c r="W351" s="18">
        <v>42299</v>
      </c>
    </row>
    <row r="352" spans="1:23" hidden="1" x14ac:dyDescent="0.25">
      <c r="A352" t="s">
        <v>67</v>
      </c>
      <c r="B352" t="s">
        <v>92</v>
      </c>
      <c r="C352">
        <v>2015</v>
      </c>
      <c r="D352" t="s">
        <v>1792</v>
      </c>
      <c r="E352" t="s">
        <v>130</v>
      </c>
      <c r="F352" t="s">
        <v>52</v>
      </c>
      <c r="G352" t="s">
        <v>129</v>
      </c>
      <c r="H352" t="s">
        <v>129</v>
      </c>
      <c r="I352" t="s">
        <v>26</v>
      </c>
      <c r="J352">
        <v>92121</v>
      </c>
      <c r="K352">
        <v>32.523874999999997</v>
      </c>
      <c r="L352">
        <v>-117.12300999999999</v>
      </c>
      <c r="M352" t="s">
        <v>1791</v>
      </c>
      <c r="N352">
        <v>5</v>
      </c>
      <c r="O352" t="s">
        <v>24</v>
      </c>
      <c r="P352">
        <v>0.2</v>
      </c>
      <c r="Q352">
        <v>0.38200000000000001</v>
      </c>
    </row>
    <row r="353" spans="1:23" hidden="1" x14ac:dyDescent="0.25">
      <c r="A353" t="s">
        <v>67</v>
      </c>
      <c r="B353" t="s">
        <v>201</v>
      </c>
      <c r="C353">
        <v>1985</v>
      </c>
      <c r="D353" t="s">
        <v>1790</v>
      </c>
      <c r="E353" t="s">
        <v>339</v>
      </c>
      <c r="F353" t="s">
        <v>29</v>
      </c>
      <c r="G353" t="s">
        <v>435</v>
      </c>
      <c r="H353" t="s">
        <v>129</v>
      </c>
      <c r="I353" t="s">
        <v>26</v>
      </c>
      <c r="J353">
        <v>92067</v>
      </c>
      <c r="K353">
        <v>33.052</v>
      </c>
      <c r="L353">
        <v>-117.17</v>
      </c>
      <c r="M353" t="s">
        <v>1789</v>
      </c>
      <c r="N353">
        <v>20</v>
      </c>
      <c r="O353" t="s">
        <v>24</v>
      </c>
      <c r="P353">
        <v>1.4850000000000001</v>
      </c>
      <c r="Q353">
        <v>1</v>
      </c>
    </row>
    <row r="354" spans="1:23" hidden="1" x14ac:dyDescent="0.25">
      <c r="A354" t="s">
        <v>43</v>
      </c>
      <c r="B354" t="s">
        <v>197</v>
      </c>
      <c r="C354">
        <v>2021</v>
      </c>
      <c r="D354" t="s">
        <v>109</v>
      </c>
      <c r="E354" t="s">
        <v>109</v>
      </c>
      <c r="F354" t="s">
        <v>40</v>
      </c>
      <c r="G354" t="s">
        <v>109</v>
      </c>
      <c r="H354" t="s">
        <v>109</v>
      </c>
      <c r="I354" t="s">
        <v>222</v>
      </c>
      <c r="J354" t="s">
        <v>110</v>
      </c>
      <c r="K354" t="s">
        <v>109</v>
      </c>
      <c r="L354" t="s">
        <v>109</v>
      </c>
      <c r="M354" t="s">
        <v>1788</v>
      </c>
      <c r="N354">
        <v>1</v>
      </c>
      <c r="O354" t="s">
        <v>220</v>
      </c>
      <c r="P354">
        <v>37.5</v>
      </c>
      <c r="Q354">
        <v>37.5</v>
      </c>
    </row>
    <row r="355" spans="1:23" hidden="1" x14ac:dyDescent="0.25">
      <c r="A355" t="s">
        <v>67</v>
      </c>
      <c r="B355" t="s">
        <v>263</v>
      </c>
      <c r="C355">
        <v>2014</v>
      </c>
      <c r="D355" t="s">
        <v>1496</v>
      </c>
      <c r="E355" t="s">
        <v>130</v>
      </c>
      <c r="F355" t="s">
        <v>204</v>
      </c>
      <c r="G355" t="s">
        <v>1495</v>
      </c>
      <c r="H355" t="s">
        <v>129</v>
      </c>
      <c r="I355" t="s">
        <v>26</v>
      </c>
      <c r="J355">
        <v>92040</v>
      </c>
      <c r="K355">
        <v>32.877879999999998</v>
      </c>
      <c r="L355">
        <v>-116.863</v>
      </c>
      <c r="M355" t="s">
        <v>1494</v>
      </c>
      <c r="N355">
        <v>20</v>
      </c>
      <c r="O355" t="s">
        <v>36</v>
      </c>
      <c r="P355">
        <v>2</v>
      </c>
      <c r="Q355">
        <v>5.4</v>
      </c>
    </row>
    <row r="356" spans="1:23" hidden="1" x14ac:dyDescent="0.25">
      <c r="A356" t="s">
        <v>33</v>
      </c>
      <c r="B356" t="s">
        <v>923</v>
      </c>
      <c r="C356">
        <v>2019</v>
      </c>
      <c r="D356" t="s">
        <v>1787</v>
      </c>
      <c r="E356" t="s">
        <v>1013</v>
      </c>
      <c r="F356" t="s">
        <v>204</v>
      </c>
      <c r="G356" t="s">
        <v>798</v>
      </c>
      <c r="H356" t="s">
        <v>798</v>
      </c>
      <c r="I356" t="s">
        <v>26</v>
      </c>
      <c r="J356">
        <v>95943</v>
      </c>
      <c r="K356">
        <v>39.505319737581203</v>
      </c>
      <c r="L356">
        <v>-122.01728804870299</v>
      </c>
      <c r="M356" t="s">
        <v>1786</v>
      </c>
      <c r="N356">
        <v>20</v>
      </c>
      <c r="O356" t="s">
        <v>36</v>
      </c>
      <c r="P356">
        <v>0.99</v>
      </c>
      <c r="Q356">
        <v>7.3715000000000002</v>
      </c>
    </row>
    <row r="357" spans="1:23" hidden="1" x14ac:dyDescent="0.25">
      <c r="A357" t="s">
        <v>33</v>
      </c>
      <c r="B357" t="s">
        <v>263</v>
      </c>
      <c r="C357">
        <v>2014</v>
      </c>
      <c r="D357" t="s">
        <v>1785</v>
      </c>
      <c r="E357" t="s">
        <v>130</v>
      </c>
      <c r="F357" t="s">
        <v>52</v>
      </c>
      <c r="G357" t="s">
        <v>570</v>
      </c>
      <c r="H357" t="s">
        <v>533</v>
      </c>
      <c r="I357" t="s">
        <v>26</v>
      </c>
      <c r="J357">
        <v>93266</v>
      </c>
      <c r="K357">
        <v>36.1966696</v>
      </c>
      <c r="L357">
        <v>-119.78027899999999</v>
      </c>
      <c r="M357" t="s">
        <v>1629</v>
      </c>
      <c r="N357">
        <v>20</v>
      </c>
      <c r="O357" t="s">
        <v>36</v>
      </c>
      <c r="P357">
        <v>1.88</v>
      </c>
      <c r="Q357">
        <v>4.3890000000000002</v>
      </c>
      <c r="W357" s="18">
        <v>42853</v>
      </c>
    </row>
    <row r="358" spans="1:23" hidden="1" x14ac:dyDescent="0.25">
      <c r="A358" t="s">
        <v>67</v>
      </c>
      <c r="B358" t="s">
        <v>66</v>
      </c>
      <c r="C358">
        <v>2021</v>
      </c>
      <c r="D358" t="s">
        <v>1784</v>
      </c>
      <c r="E358" t="s">
        <v>109</v>
      </c>
      <c r="F358" t="s">
        <v>40</v>
      </c>
      <c r="G358" t="s">
        <v>302</v>
      </c>
      <c r="H358" t="s">
        <v>302</v>
      </c>
      <c r="I358" t="s">
        <v>26</v>
      </c>
      <c r="J358">
        <v>92008</v>
      </c>
      <c r="K358" t="s">
        <v>1781</v>
      </c>
      <c r="L358" t="s">
        <v>1781</v>
      </c>
      <c r="M358" t="s">
        <v>1783</v>
      </c>
      <c r="N358">
        <v>10</v>
      </c>
      <c r="O358" t="s">
        <v>36</v>
      </c>
      <c r="S358" s="18">
        <v>44580</v>
      </c>
      <c r="U358" s="18">
        <v>44615</v>
      </c>
    </row>
    <row r="359" spans="1:23" hidden="1" x14ac:dyDescent="0.25">
      <c r="A359" t="s">
        <v>67</v>
      </c>
      <c r="B359" t="s">
        <v>66</v>
      </c>
      <c r="C359">
        <v>2021</v>
      </c>
      <c r="D359" t="s">
        <v>1782</v>
      </c>
      <c r="E359" t="s">
        <v>109</v>
      </c>
      <c r="F359" t="s">
        <v>40</v>
      </c>
      <c r="G359" t="s">
        <v>129</v>
      </c>
      <c r="H359" t="s">
        <v>129</v>
      </c>
      <c r="I359" t="s">
        <v>26</v>
      </c>
      <c r="J359">
        <v>92112</v>
      </c>
      <c r="K359" t="s">
        <v>1781</v>
      </c>
      <c r="L359" t="s">
        <v>1781</v>
      </c>
      <c r="M359" t="s">
        <v>444</v>
      </c>
      <c r="N359">
        <v>12</v>
      </c>
      <c r="O359" t="s">
        <v>36</v>
      </c>
      <c r="S359" s="18">
        <v>44580</v>
      </c>
      <c r="U359" s="18">
        <v>44615</v>
      </c>
    </row>
    <row r="360" spans="1:23" hidden="1" x14ac:dyDescent="0.25">
      <c r="A360" t="s">
        <v>43</v>
      </c>
      <c r="B360" t="s">
        <v>923</v>
      </c>
      <c r="C360">
        <v>2022</v>
      </c>
      <c r="D360" t="s">
        <v>1780</v>
      </c>
      <c r="E360" t="s">
        <v>1013</v>
      </c>
      <c r="F360" t="s">
        <v>204</v>
      </c>
      <c r="G360" t="s">
        <v>133</v>
      </c>
      <c r="H360" t="s">
        <v>133</v>
      </c>
      <c r="I360" t="s">
        <v>26</v>
      </c>
      <c r="J360">
        <v>92407</v>
      </c>
      <c r="K360">
        <v>34.173000000000002</v>
      </c>
      <c r="L360">
        <v>-117.346</v>
      </c>
      <c r="M360" t="s">
        <v>1779</v>
      </c>
      <c r="N360">
        <v>20</v>
      </c>
      <c r="O360" t="s">
        <v>36</v>
      </c>
      <c r="P360">
        <v>2.6</v>
      </c>
      <c r="Q360">
        <v>20</v>
      </c>
    </row>
    <row r="361" spans="1:23" hidden="1" x14ac:dyDescent="0.25">
      <c r="A361" t="s">
        <v>67</v>
      </c>
      <c r="B361" t="s">
        <v>1778</v>
      </c>
      <c r="C361">
        <v>2017</v>
      </c>
      <c r="D361" t="s">
        <v>1566</v>
      </c>
      <c r="E361" t="s">
        <v>948</v>
      </c>
      <c r="F361" t="s">
        <v>52</v>
      </c>
      <c r="G361" t="s">
        <v>1495</v>
      </c>
      <c r="H361" t="s">
        <v>129</v>
      </c>
      <c r="I361" t="s">
        <v>26</v>
      </c>
      <c r="J361">
        <v>92040</v>
      </c>
      <c r="K361">
        <v>32.900517241199999</v>
      </c>
      <c r="L361">
        <v>-116.931383729</v>
      </c>
      <c r="M361" t="s">
        <v>1565</v>
      </c>
      <c r="N361">
        <v>15</v>
      </c>
      <c r="O361" t="s">
        <v>36</v>
      </c>
      <c r="P361">
        <v>3</v>
      </c>
      <c r="Q361">
        <v>24.44</v>
      </c>
      <c r="W361" s="18">
        <v>42971</v>
      </c>
    </row>
    <row r="362" spans="1:23" hidden="1" x14ac:dyDescent="0.25">
      <c r="A362" t="s">
        <v>43</v>
      </c>
      <c r="B362" t="s">
        <v>111</v>
      </c>
      <c r="C362">
        <v>2019</v>
      </c>
      <c r="D362" t="s">
        <v>109</v>
      </c>
      <c r="E362" t="s">
        <v>109</v>
      </c>
      <c r="F362" t="s">
        <v>40</v>
      </c>
      <c r="G362" t="s">
        <v>109</v>
      </c>
      <c r="H362" t="s">
        <v>109</v>
      </c>
      <c r="I362" t="s">
        <v>26</v>
      </c>
      <c r="J362" t="s">
        <v>110</v>
      </c>
      <c r="K362" t="s">
        <v>109</v>
      </c>
      <c r="L362" t="s">
        <v>109</v>
      </c>
      <c r="M362" t="s">
        <v>1709</v>
      </c>
      <c r="N362">
        <v>2</v>
      </c>
      <c r="O362" t="s">
        <v>36</v>
      </c>
      <c r="Q362">
        <v>280</v>
      </c>
      <c r="S362" s="18">
        <v>44207</v>
      </c>
      <c r="T362" s="18">
        <v>44241</v>
      </c>
    </row>
    <row r="363" spans="1:23" hidden="1" x14ac:dyDescent="0.25">
      <c r="A363" t="s">
        <v>33</v>
      </c>
      <c r="B363" t="s">
        <v>263</v>
      </c>
      <c r="C363">
        <v>2014</v>
      </c>
      <c r="D363" t="s">
        <v>1777</v>
      </c>
      <c r="E363" t="s">
        <v>130</v>
      </c>
      <c r="F363" t="s">
        <v>52</v>
      </c>
      <c r="G363" t="s">
        <v>1776</v>
      </c>
      <c r="H363" t="s">
        <v>553</v>
      </c>
      <c r="I363" t="s">
        <v>26</v>
      </c>
      <c r="J363">
        <v>98014</v>
      </c>
      <c r="K363">
        <v>35.870726619999999</v>
      </c>
      <c r="L363">
        <v>-120.846735</v>
      </c>
      <c r="M363" t="s">
        <v>1775</v>
      </c>
      <c r="N363">
        <v>20</v>
      </c>
      <c r="O363" t="s">
        <v>36</v>
      </c>
      <c r="P363">
        <v>3</v>
      </c>
      <c r="Q363">
        <v>8.56</v>
      </c>
      <c r="W363" s="18">
        <v>41946</v>
      </c>
    </row>
    <row r="364" spans="1:23" hidden="1" x14ac:dyDescent="0.25">
      <c r="A364" t="s">
        <v>33</v>
      </c>
      <c r="B364" t="s">
        <v>923</v>
      </c>
      <c r="C364">
        <v>2018</v>
      </c>
      <c r="D364" t="s">
        <v>1774</v>
      </c>
      <c r="E364" t="s">
        <v>948</v>
      </c>
      <c r="F364" t="s">
        <v>52</v>
      </c>
      <c r="G364" t="s">
        <v>956</v>
      </c>
      <c r="H364" t="s">
        <v>146</v>
      </c>
      <c r="I364" t="s">
        <v>26</v>
      </c>
      <c r="J364">
        <v>93656</v>
      </c>
      <c r="K364">
        <v>36.482655868340501</v>
      </c>
      <c r="L364">
        <v>-120.046773233514</v>
      </c>
      <c r="M364" t="s">
        <v>1773</v>
      </c>
      <c r="N364">
        <v>20</v>
      </c>
      <c r="O364" t="s">
        <v>36</v>
      </c>
      <c r="P364">
        <v>0.8</v>
      </c>
      <c r="Q364">
        <v>4.8</v>
      </c>
      <c r="W364" s="18">
        <v>44012</v>
      </c>
    </row>
    <row r="365" spans="1:23" hidden="1" x14ac:dyDescent="0.25">
      <c r="A365" t="s">
        <v>43</v>
      </c>
      <c r="B365" t="s">
        <v>923</v>
      </c>
      <c r="C365">
        <v>2019</v>
      </c>
      <c r="D365" t="s">
        <v>1772</v>
      </c>
      <c r="E365" t="s">
        <v>1013</v>
      </c>
      <c r="F365" t="s">
        <v>52</v>
      </c>
      <c r="G365" t="s">
        <v>1343</v>
      </c>
      <c r="H365" t="s">
        <v>133</v>
      </c>
      <c r="I365" t="s">
        <v>26</v>
      </c>
      <c r="J365">
        <v>92301</v>
      </c>
      <c r="K365">
        <v>34.576893919032401</v>
      </c>
      <c r="L365">
        <v>-117.580798958957</v>
      </c>
      <c r="M365" t="s">
        <v>1771</v>
      </c>
      <c r="N365">
        <v>20</v>
      </c>
      <c r="O365" t="s">
        <v>36</v>
      </c>
      <c r="P365">
        <v>2.7</v>
      </c>
      <c r="Q365">
        <v>22.95</v>
      </c>
      <c r="W365" s="18">
        <v>44255</v>
      </c>
    </row>
    <row r="366" spans="1:23" hidden="1" x14ac:dyDescent="0.25">
      <c r="A366" t="s">
        <v>43</v>
      </c>
      <c r="B366" t="s">
        <v>232</v>
      </c>
      <c r="C366">
        <v>2012</v>
      </c>
      <c r="D366" t="s">
        <v>1770</v>
      </c>
      <c r="E366" t="s">
        <v>130</v>
      </c>
      <c r="F366" t="s">
        <v>52</v>
      </c>
      <c r="G366" t="s">
        <v>1082</v>
      </c>
      <c r="H366" t="s">
        <v>133</v>
      </c>
      <c r="I366" t="s">
        <v>26</v>
      </c>
      <c r="J366">
        <v>92345</v>
      </c>
      <c r="K366">
        <v>34.391300000000001</v>
      </c>
      <c r="L366">
        <v>-117.3626</v>
      </c>
      <c r="M366" t="s">
        <v>1769</v>
      </c>
      <c r="N366">
        <v>20</v>
      </c>
      <c r="O366" t="s">
        <v>36</v>
      </c>
      <c r="P366">
        <v>1.5</v>
      </c>
      <c r="Q366">
        <v>3.6</v>
      </c>
      <c r="S366" s="18">
        <v>41359</v>
      </c>
      <c r="T366" s="18">
        <v>41452</v>
      </c>
      <c r="W366" s="18">
        <v>41886</v>
      </c>
    </row>
    <row r="367" spans="1:23" hidden="1" x14ac:dyDescent="0.25">
      <c r="A367" t="s">
        <v>43</v>
      </c>
      <c r="B367" t="s">
        <v>32</v>
      </c>
      <c r="C367">
        <v>1984</v>
      </c>
      <c r="D367" t="s">
        <v>1768</v>
      </c>
      <c r="E367" t="s">
        <v>143</v>
      </c>
      <c r="F367" t="s">
        <v>29</v>
      </c>
      <c r="G367" t="s">
        <v>1767</v>
      </c>
      <c r="H367" t="s">
        <v>141</v>
      </c>
      <c r="I367" t="s">
        <v>26</v>
      </c>
      <c r="J367">
        <v>92250</v>
      </c>
      <c r="K367">
        <v>32.775799999999997</v>
      </c>
      <c r="L367">
        <v>-115.26436</v>
      </c>
      <c r="M367" t="s">
        <v>1766</v>
      </c>
      <c r="N367">
        <v>10</v>
      </c>
      <c r="O367" t="s">
        <v>24</v>
      </c>
      <c r="P367">
        <v>63</v>
      </c>
      <c r="Q367">
        <v>385.76</v>
      </c>
    </row>
    <row r="368" spans="1:23" hidden="1" x14ac:dyDescent="0.25">
      <c r="A368" t="s">
        <v>33</v>
      </c>
      <c r="B368" t="s">
        <v>923</v>
      </c>
      <c r="C368">
        <v>2019</v>
      </c>
      <c r="D368" t="s">
        <v>1765</v>
      </c>
      <c r="E368" t="s">
        <v>1013</v>
      </c>
      <c r="F368" t="s">
        <v>52</v>
      </c>
      <c r="G368" t="s">
        <v>660</v>
      </c>
      <c r="H368" t="s">
        <v>642</v>
      </c>
      <c r="I368" t="s">
        <v>26</v>
      </c>
      <c r="J368">
        <v>95953</v>
      </c>
      <c r="K368">
        <v>39.227379399999997</v>
      </c>
      <c r="L368">
        <v>-121.6591442</v>
      </c>
      <c r="M368" t="s">
        <v>1764</v>
      </c>
      <c r="N368">
        <v>20</v>
      </c>
      <c r="O368" t="s">
        <v>36</v>
      </c>
      <c r="P368">
        <v>2.84</v>
      </c>
      <c r="Q368">
        <v>2.0926</v>
      </c>
      <c r="W368" s="18">
        <v>44645</v>
      </c>
    </row>
    <row r="369" spans="1:23" hidden="1" x14ac:dyDescent="0.25">
      <c r="A369" t="s">
        <v>33</v>
      </c>
      <c r="B369" t="s">
        <v>263</v>
      </c>
      <c r="C369">
        <v>2015</v>
      </c>
      <c r="D369" t="s">
        <v>1763</v>
      </c>
      <c r="E369" t="s">
        <v>130</v>
      </c>
      <c r="F369" t="s">
        <v>52</v>
      </c>
      <c r="G369" t="s">
        <v>802</v>
      </c>
      <c r="H369" t="s">
        <v>153</v>
      </c>
      <c r="I369" t="s">
        <v>26</v>
      </c>
      <c r="J369">
        <v>95630</v>
      </c>
      <c r="K369">
        <v>37.001070531000003</v>
      </c>
      <c r="L369">
        <v>-120.66438024999999</v>
      </c>
      <c r="M369" t="s">
        <v>1762</v>
      </c>
      <c r="N369">
        <v>20</v>
      </c>
      <c r="O369" t="s">
        <v>36</v>
      </c>
      <c r="P369">
        <v>1.5</v>
      </c>
      <c r="Q369">
        <v>3.3010000000000002</v>
      </c>
      <c r="W369" s="18">
        <v>42388</v>
      </c>
    </row>
    <row r="370" spans="1:23" hidden="1" x14ac:dyDescent="0.25">
      <c r="A370" t="s">
        <v>67</v>
      </c>
      <c r="B370" t="s">
        <v>201</v>
      </c>
      <c r="C370">
        <v>2003</v>
      </c>
      <c r="D370" t="s">
        <v>1761</v>
      </c>
      <c r="E370" t="s">
        <v>339</v>
      </c>
      <c r="F370" t="s">
        <v>29</v>
      </c>
      <c r="G370" t="s">
        <v>129</v>
      </c>
      <c r="H370" t="s">
        <v>129</v>
      </c>
      <c r="I370" t="s">
        <v>26</v>
      </c>
      <c r="J370">
        <v>92129</v>
      </c>
      <c r="K370">
        <v>32.936199999999999</v>
      </c>
      <c r="L370">
        <v>-117.113</v>
      </c>
      <c r="M370" t="s">
        <v>1760</v>
      </c>
      <c r="N370">
        <v>10</v>
      </c>
      <c r="O370" t="s">
        <v>24</v>
      </c>
      <c r="P370">
        <v>4.5</v>
      </c>
      <c r="Q370">
        <v>20</v>
      </c>
      <c r="S370" s="18">
        <v>38000</v>
      </c>
      <c r="T370" s="18">
        <v>38134</v>
      </c>
    </row>
    <row r="371" spans="1:23" hidden="1" x14ac:dyDescent="0.25">
      <c r="A371" t="s">
        <v>43</v>
      </c>
      <c r="B371" t="s">
        <v>540</v>
      </c>
      <c r="C371">
        <v>2015</v>
      </c>
      <c r="D371" t="s">
        <v>1759</v>
      </c>
      <c r="E371" t="s">
        <v>90</v>
      </c>
      <c r="F371" t="s">
        <v>52</v>
      </c>
      <c r="G371" t="s">
        <v>1000</v>
      </c>
      <c r="H371" t="s">
        <v>133</v>
      </c>
      <c r="I371" t="s">
        <v>26</v>
      </c>
      <c r="J371">
        <v>91764</v>
      </c>
      <c r="K371">
        <v>34.070999999999998</v>
      </c>
      <c r="L371">
        <v>-117.53</v>
      </c>
      <c r="M371" t="s">
        <v>1758</v>
      </c>
      <c r="N371">
        <v>20</v>
      </c>
      <c r="O371" t="s">
        <v>36</v>
      </c>
      <c r="P371">
        <v>1</v>
      </c>
      <c r="Q371">
        <v>2.08</v>
      </c>
      <c r="S371" s="18">
        <v>42111</v>
      </c>
      <c r="T371" s="18">
        <v>42132</v>
      </c>
      <c r="W371" s="18">
        <v>42709</v>
      </c>
    </row>
    <row r="372" spans="1:23" hidden="1" x14ac:dyDescent="0.25">
      <c r="A372" t="s">
        <v>33</v>
      </c>
      <c r="B372" t="s">
        <v>32</v>
      </c>
      <c r="C372">
        <v>1984</v>
      </c>
      <c r="D372" t="s">
        <v>1757</v>
      </c>
      <c r="E372" t="s">
        <v>41</v>
      </c>
      <c r="F372" t="s">
        <v>52</v>
      </c>
      <c r="G372" t="s">
        <v>163</v>
      </c>
      <c r="H372" t="s">
        <v>74</v>
      </c>
      <c r="I372" t="s">
        <v>26</v>
      </c>
      <c r="J372">
        <v>96013</v>
      </c>
      <c r="K372">
        <v>40.876365</v>
      </c>
      <c r="L372">
        <v>-121.701786</v>
      </c>
      <c r="M372" t="s">
        <v>1734</v>
      </c>
      <c r="N372">
        <v>30</v>
      </c>
      <c r="O372" t="s">
        <v>24</v>
      </c>
      <c r="P372">
        <v>20</v>
      </c>
      <c r="Q372">
        <v>85.088999999999999</v>
      </c>
      <c r="W372" s="18">
        <v>42255</v>
      </c>
    </row>
    <row r="373" spans="1:23" hidden="1" x14ac:dyDescent="0.25">
      <c r="A373" t="s">
        <v>33</v>
      </c>
      <c r="B373" t="s">
        <v>232</v>
      </c>
      <c r="C373">
        <v>2012</v>
      </c>
      <c r="D373" t="s">
        <v>1756</v>
      </c>
      <c r="E373" t="s">
        <v>130</v>
      </c>
      <c r="F373" t="s">
        <v>52</v>
      </c>
      <c r="G373" t="s">
        <v>1028</v>
      </c>
      <c r="H373" t="s">
        <v>12</v>
      </c>
      <c r="I373" t="s">
        <v>26</v>
      </c>
      <c r="J373">
        <v>93203</v>
      </c>
      <c r="K373">
        <v>35.327345999999999</v>
      </c>
      <c r="L373">
        <v>-118.74588799999999</v>
      </c>
      <c r="M373" t="s">
        <v>1623</v>
      </c>
      <c r="N373">
        <v>20</v>
      </c>
      <c r="O373" t="s">
        <v>36</v>
      </c>
      <c r="P373">
        <v>1.5</v>
      </c>
      <c r="Q373">
        <v>2.1</v>
      </c>
      <c r="W373" s="18">
        <v>41892</v>
      </c>
    </row>
    <row r="374" spans="1:23" hidden="1" x14ac:dyDescent="0.25">
      <c r="A374" t="s">
        <v>43</v>
      </c>
      <c r="B374" t="s">
        <v>32</v>
      </c>
      <c r="C374">
        <v>1985</v>
      </c>
      <c r="D374" t="s">
        <v>1755</v>
      </c>
      <c r="E374" t="s">
        <v>47</v>
      </c>
      <c r="F374" t="s">
        <v>52</v>
      </c>
      <c r="G374" t="s">
        <v>1754</v>
      </c>
      <c r="H374" t="s">
        <v>98</v>
      </c>
      <c r="I374" t="s">
        <v>26</v>
      </c>
      <c r="J374">
        <v>91711</v>
      </c>
      <c r="K374">
        <v>34.128900000000002</v>
      </c>
      <c r="L374">
        <v>-117.69780799999999</v>
      </c>
      <c r="M374" t="s">
        <v>258</v>
      </c>
      <c r="N374">
        <v>30</v>
      </c>
      <c r="O374" t="s">
        <v>24</v>
      </c>
      <c r="P374">
        <v>0.52</v>
      </c>
      <c r="Q374">
        <v>0.73</v>
      </c>
      <c r="W374" s="18">
        <v>42566</v>
      </c>
    </row>
    <row r="375" spans="1:23" hidden="1" x14ac:dyDescent="0.25">
      <c r="A375" t="s">
        <v>43</v>
      </c>
      <c r="B375" t="s">
        <v>32</v>
      </c>
      <c r="C375">
        <v>1985</v>
      </c>
      <c r="D375" t="s">
        <v>1753</v>
      </c>
      <c r="E375" t="s">
        <v>105</v>
      </c>
      <c r="F375" t="s">
        <v>29</v>
      </c>
      <c r="G375" t="s">
        <v>104</v>
      </c>
      <c r="H375" t="s">
        <v>103</v>
      </c>
      <c r="I375" t="s">
        <v>26</v>
      </c>
      <c r="J375">
        <v>93516</v>
      </c>
      <c r="K375">
        <v>35.014200000000002</v>
      </c>
      <c r="L375">
        <v>-117.54765999999999</v>
      </c>
      <c r="M375" t="s">
        <v>102</v>
      </c>
      <c r="N375">
        <v>30</v>
      </c>
      <c r="O375" t="s">
        <v>24</v>
      </c>
      <c r="P375">
        <v>35</v>
      </c>
      <c r="Q375">
        <v>63.63</v>
      </c>
      <c r="W375" s="18">
        <v>42825</v>
      </c>
    </row>
    <row r="376" spans="1:23" hidden="1" x14ac:dyDescent="0.25">
      <c r="A376" t="s">
        <v>33</v>
      </c>
      <c r="B376" t="s">
        <v>32</v>
      </c>
      <c r="C376">
        <v>1985</v>
      </c>
      <c r="D376" t="s">
        <v>1752</v>
      </c>
      <c r="E376" t="s">
        <v>41</v>
      </c>
      <c r="F376" t="s">
        <v>52</v>
      </c>
      <c r="G376" t="s">
        <v>137</v>
      </c>
      <c r="H376" t="s">
        <v>136</v>
      </c>
      <c r="I376" t="s">
        <v>26</v>
      </c>
      <c r="J376">
        <v>95648</v>
      </c>
      <c r="K376">
        <v>38.870331399999998</v>
      </c>
      <c r="L376">
        <v>-121.2990296</v>
      </c>
      <c r="M376" t="s">
        <v>1734</v>
      </c>
      <c r="N376">
        <v>30</v>
      </c>
      <c r="O376" t="s">
        <v>24</v>
      </c>
      <c r="P376">
        <v>7.5</v>
      </c>
      <c r="Q376">
        <v>61.765999999999998</v>
      </c>
      <c r="W376" s="18">
        <v>42255</v>
      </c>
    </row>
    <row r="377" spans="1:23" hidden="1" x14ac:dyDescent="0.25">
      <c r="A377" t="s">
        <v>43</v>
      </c>
      <c r="B377" t="s">
        <v>32</v>
      </c>
      <c r="C377">
        <v>1984</v>
      </c>
      <c r="D377" t="s">
        <v>1751</v>
      </c>
      <c r="E377" t="s">
        <v>1013</v>
      </c>
      <c r="F377" t="s">
        <v>52</v>
      </c>
      <c r="G377" t="s">
        <v>1750</v>
      </c>
      <c r="H377" t="s">
        <v>98</v>
      </c>
      <c r="I377" t="s">
        <v>26</v>
      </c>
      <c r="J377">
        <v>90601</v>
      </c>
      <c r="K377">
        <v>34.027299999999997</v>
      </c>
      <c r="L377">
        <v>-118.03010999999999</v>
      </c>
      <c r="M377" t="s">
        <v>1738</v>
      </c>
      <c r="N377">
        <v>30</v>
      </c>
      <c r="O377" t="s">
        <v>24</v>
      </c>
      <c r="P377">
        <v>50</v>
      </c>
      <c r="Q377">
        <v>378.65</v>
      </c>
      <c r="W377" s="18">
        <v>42735</v>
      </c>
    </row>
    <row r="378" spans="1:23" hidden="1" x14ac:dyDescent="0.25">
      <c r="A378" t="s">
        <v>33</v>
      </c>
      <c r="B378" t="s">
        <v>32</v>
      </c>
      <c r="C378">
        <v>1986</v>
      </c>
      <c r="D378" t="s">
        <v>1748</v>
      </c>
      <c r="E378" t="s">
        <v>47</v>
      </c>
      <c r="F378" t="s">
        <v>52</v>
      </c>
      <c r="G378" t="s">
        <v>1749</v>
      </c>
      <c r="H378" t="s">
        <v>113</v>
      </c>
      <c r="I378" t="s">
        <v>26</v>
      </c>
      <c r="J378">
        <v>95684</v>
      </c>
      <c r="K378">
        <v>38.613402999999998</v>
      </c>
      <c r="L378">
        <v>-120.69856799999999</v>
      </c>
      <c r="M378" t="s">
        <v>1748</v>
      </c>
      <c r="N378">
        <v>999</v>
      </c>
      <c r="O378" t="s">
        <v>24</v>
      </c>
      <c r="P378">
        <v>0.1</v>
      </c>
      <c r="Q378">
        <v>1.4E-2</v>
      </c>
      <c r="W378" s="18">
        <v>43063</v>
      </c>
    </row>
    <row r="379" spans="1:23" hidden="1" x14ac:dyDescent="0.25">
      <c r="A379" t="s">
        <v>33</v>
      </c>
      <c r="B379" t="s">
        <v>197</v>
      </c>
      <c r="C379">
        <v>2006</v>
      </c>
      <c r="D379" t="s">
        <v>1747</v>
      </c>
      <c r="E379" t="s">
        <v>130</v>
      </c>
      <c r="F379" t="s">
        <v>40</v>
      </c>
      <c r="G379" t="s">
        <v>290</v>
      </c>
      <c r="H379" t="s">
        <v>146</v>
      </c>
      <c r="I379" t="s">
        <v>26</v>
      </c>
      <c r="J379">
        <v>93640</v>
      </c>
      <c r="K379">
        <v>36.757800000000003</v>
      </c>
      <c r="L379">
        <v>-120.36609199999999</v>
      </c>
      <c r="M379" t="s">
        <v>1746</v>
      </c>
      <c r="N379">
        <v>20</v>
      </c>
      <c r="O379" t="s">
        <v>24</v>
      </c>
      <c r="P379">
        <v>5</v>
      </c>
      <c r="Q379">
        <v>9</v>
      </c>
      <c r="S379" s="18">
        <v>39260</v>
      </c>
      <c r="T379" s="18">
        <v>39437</v>
      </c>
    </row>
    <row r="380" spans="1:23" hidden="1" x14ac:dyDescent="0.25">
      <c r="A380" t="s">
        <v>43</v>
      </c>
      <c r="B380" t="s">
        <v>32</v>
      </c>
      <c r="C380">
        <v>1984</v>
      </c>
      <c r="D380" t="s">
        <v>1745</v>
      </c>
      <c r="E380" t="s">
        <v>30</v>
      </c>
      <c r="F380" t="s">
        <v>52</v>
      </c>
      <c r="G380" t="s">
        <v>60</v>
      </c>
      <c r="H380" t="s">
        <v>59</v>
      </c>
      <c r="I380" t="s">
        <v>1445</v>
      </c>
      <c r="J380">
        <v>92262</v>
      </c>
      <c r="K380">
        <v>33.891666600000001</v>
      </c>
      <c r="L380">
        <v>-116.58333330000001</v>
      </c>
      <c r="M380" t="s">
        <v>58</v>
      </c>
      <c r="N380">
        <v>30</v>
      </c>
      <c r="O380" t="s">
        <v>24</v>
      </c>
      <c r="P380">
        <v>13.51</v>
      </c>
      <c r="Q380">
        <v>40.11</v>
      </c>
      <c r="W380" s="18">
        <v>42023</v>
      </c>
    </row>
    <row r="381" spans="1:23" hidden="1" x14ac:dyDescent="0.25">
      <c r="A381" t="s">
        <v>43</v>
      </c>
      <c r="B381" t="s">
        <v>232</v>
      </c>
      <c r="C381">
        <v>2012</v>
      </c>
      <c r="D381" t="s">
        <v>1744</v>
      </c>
      <c r="E381" t="s">
        <v>130</v>
      </c>
      <c r="F381" t="s">
        <v>52</v>
      </c>
      <c r="G381" t="s">
        <v>1508</v>
      </c>
      <c r="H381" t="s">
        <v>133</v>
      </c>
      <c r="I381" t="s">
        <v>26</v>
      </c>
      <c r="J381">
        <v>92285</v>
      </c>
      <c r="K381">
        <v>34.340136000000001</v>
      </c>
      <c r="L381">
        <v>-116.471217</v>
      </c>
      <c r="M381" t="s">
        <v>1507</v>
      </c>
      <c r="N381">
        <v>20</v>
      </c>
      <c r="O381" t="s">
        <v>36</v>
      </c>
      <c r="P381">
        <v>1.5</v>
      </c>
      <c r="Q381">
        <v>4.8499999999999996</v>
      </c>
      <c r="S381" s="18">
        <v>41359</v>
      </c>
      <c r="T381" s="18">
        <v>41452</v>
      </c>
      <c r="W381" s="18">
        <v>42041</v>
      </c>
    </row>
    <row r="382" spans="1:23" hidden="1" x14ac:dyDescent="0.25">
      <c r="A382" t="s">
        <v>33</v>
      </c>
      <c r="B382" t="s">
        <v>32</v>
      </c>
      <c r="C382">
        <v>2008</v>
      </c>
      <c r="D382" t="s">
        <v>1743</v>
      </c>
      <c r="E382" t="s">
        <v>41</v>
      </c>
      <c r="F382" t="s">
        <v>52</v>
      </c>
      <c r="G382" t="s">
        <v>1742</v>
      </c>
      <c r="H382" t="s">
        <v>38</v>
      </c>
      <c r="I382" t="s">
        <v>26</v>
      </c>
      <c r="J382">
        <v>95370</v>
      </c>
      <c r="K382">
        <v>37.961453900000002</v>
      </c>
      <c r="L382">
        <v>-120.317582</v>
      </c>
      <c r="M382" t="s">
        <v>1734</v>
      </c>
      <c r="N382">
        <v>30</v>
      </c>
      <c r="O382" t="s">
        <v>24</v>
      </c>
      <c r="P382">
        <v>7.5</v>
      </c>
      <c r="Q382">
        <v>12.113</v>
      </c>
      <c r="W382" s="18">
        <v>42255</v>
      </c>
    </row>
    <row r="383" spans="1:23" hidden="1" x14ac:dyDescent="0.25">
      <c r="A383" t="s">
        <v>43</v>
      </c>
      <c r="B383" t="s">
        <v>540</v>
      </c>
      <c r="C383">
        <v>2013</v>
      </c>
      <c r="D383" t="s">
        <v>1741</v>
      </c>
      <c r="E383" t="s">
        <v>90</v>
      </c>
      <c r="F383" t="s">
        <v>52</v>
      </c>
      <c r="G383" t="s">
        <v>989</v>
      </c>
      <c r="H383" t="s">
        <v>259</v>
      </c>
      <c r="I383" t="s">
        <v>26</v>
      </c>
      <c r="J383">
        <v>90501</v>
      </c>
      <c r="K383">
        <v>33.854799999999997</v>
      </c>
      <c r="L383">
        <v>-118.3124</v>
      </c>
      <c r="M383" t="s">
        <v>1510</v>
      </c>
      <c r="N383">
        <v>20</v>
      </c>
      <c r="O383" t="s">
        <v>36</v>
      </c>
      <c r="P383">
        <v>0.75</v>
      </c>
      <c r="Q383">
        <v>1.6</v>
      </c>
      <c r="S383" s="18">
        <v>41716</v>
      </c>
      <c r="T383" s="18">
        <v>41771</v>
      </c>
      <c r="W383" s="18">
        <v>41900</v>
      </c>
    </row>
    <row r="384" spans="1:23" hidden="1" x14ac:dyDescent="0.25">
      <c r="A384" t="s">
        <v>43</v>
      </c>
      <c r="B384" t="s">
        <v>32</v>
      </c>
      <c r="C384">
        <v>1985</v>
      </c>
      <c r="D384" t="s">
        <v>1740</v>
      </c>
      <c r="E384" t="s">
        <v>30</v>
      </c>
      <c r="F384" t="s">
        <v>52</v>
      </c>
      <c r="G384" t="s">
        <v>60</v>
      </c>
      <c r="H384" t="s">
        <v>59</v>
      </c>
      <c r="I384" t="s">
        <v>26</v>
      </c>
      <c r="J384">
        <v>92262</v>
      </c>
      <c r="K384">
        <v>33.933300000000003</v>
      </c>
      <c r="L384">
        <v>-116.5625</v>
      </c>
      <c r="M384" t="s">
        <v>138</v>
      </c>
      <c r="N384">
        <v>30</v>
      </c>
      <c r="O384" t="s">
        <v>24</v>
      </c>
      <c r="P384">
        <v>22.5</v>
      </c>
      <c r="Q384">
        <v>25.24</v>
      </c>
      <c r="W384" s="18">
        <v>42916</v>
      </c>
    </row>
    <row r="385" spans="1:23" hidden="1" x14ac:dyDescent="0.25">
      <c r="A385" t="s">
        <v>43</v>
      </c>
      <c r="B385" t="s">
        <v>32</v>
      </c>
      <c r="C385">
        <v>1986</v>
      </c>
      <c r="D385" t="s">
        <v>1739</v>
      </c>
      <c r="E385" t="s">
        <v>1013</v>
      </c>
      <c r="F385" t="s">
        <v>52</v>
      </c>
      <c r="G385" t="s">
        <v>99</v>
      </c>
      <c r="H385" t="s">
        <v>98</v>
      </c>
      <c r="I385" t="s">
        <v>26</v>
      </c>
      <c r="J385">
        <v>91789</v>
      </c>
      <c r="K385">
        <v>34.036999999999999</v>
      </c>
      <c r="L385">
        <v>-117.8248</v>
      </c>
      <c r="M385" t="s">
        <v>1738</v>
      </c>
      <c r="N385">
        <v>30</v>
      </c>
      <c r="O385" t="s">
        <v>24</v>
      </c>
      <c r="P385">
        <v>8</v>
      </c>
      <c r="Q385">
        <v>42.09</v>
      </c>
      <c r="W385" s="18">
        <v>42718</v>
      </c>
    </row>
    <row r="386" spans="1:23" hidden="1" x14ac:dyDescent="0.25">
      <c r="A386" t="s">
        <v>33</v>
      </c>
      <c r="B386" t="s">
        <v>232</v>
      </c>
      <c r="C386">
        <v>2013</v>
      </c>
      <c r="D386" t="s">
        <v>1737</v>
      </c>
      <c r="E386" t="s">
        <v>130</v>
      </c>
      <c r="F386" t="s">
        <v>52</v>
      </c>
      <c r="G386" t="s">
        <v>280</v>
      </c>
      <c r="H386" t="s">
        <v>146</v>
      </c>
      <c r="I386" t="s">
        <v>26</v>
      </c>
      <c r="J386">
        <v>93657</v>
      </c>
      <c r="K386">
        <v>36.755541000000001</v>
      </c>
      <c r="L386">
        <v>-119.419521</v>
      </c>
      <c r="M386" t="s">
        <v>1704</v>
      </c>
      <c r="N386">
        <v>20</v>
      </c>
      <c r="O386" t="s">
        <v>36</v>
      </c>
      <c r="P386">
        <v>1.5</v>
      </c>
      <c r="Q386">
        <v>2.1</v>
      </c>
      <c r="W386" s="18">
        <v>41848</v>
      </c>
    </row>
    <row r="387" spans="1:23" hidden="1" x14ac:dyDescent="0.25">
      <c r="A387" t="s">
        <v>33</v>
      </c>
      <c r="B387" t="s">
        <v>32</v>
      </c>
      <c r="C387">
        <v>1984</v>
      </c>
      <c r="D387" t="s">
        <v>135</v>
      </c>
      <c r="E387" t="s">
        <v>41</v>
      </c>
      <c r="F387" t="s">
        <v>52</v>
      </c>
      <c r="G387" t="s">
        <v>1736</v>
      </c>
      <c r="H387" t="s">
        <v>136</v>
      </c>
      <c r="I387" t="s">
        <v>26</v>
      </c>
      <c r="J387">
        <v>95648</v>
      </c>
      <c r="K387">
        <v>38.831705999999997</v>
      </c>
      <c r="L387">
        <v>-121.3133</v>
      </c>
      <c r="M387" t="s">
        <v>77</v>
      </c>
      <c r="N387">
        <v>30</v>
      </c>
      <c r="O387" t="s">
        <v>24</v>
      </c>
      <c r="P387">
        <v>25</v>
      </c>
      <c r="Q387">
        <v>168.09700000000001</v>
      </c>
      <c r="W387" s="18">
        <v>42985</v>
      </c>
    </row>
    <row r="388" spans="1:23" hidden="1" x14ac:dyDescent="0.25">
      <c r="A388" t="s">
        <v>33</v>
      </c>
      <c r="B388" t="s">
        <v>32</v>
      </c>
      <c r="C388">
        <v>1984</v>
      </c>
      <c r="D388" t="s">
        <v>145</v>
      </c>
      <c r="E388" t="s">
        <v>41</v>
      </c>
      <c r="F388" t="s">
        <v>52</v>
      </c>
      <c r="G388" t="s">
        <v>146</v>
      </c>
      <c r="H388" t="s">
        <v>146</v>
      </c>
      <c r="I388" t="s">
        <v>26</v>
      </c>
      <c r="J388">
        <v>93727</v>
      </c>
      <c r="K388">
        <v>36.687789351900001</v>
      </c>
      <c r="L388">
        <v>-119.7270327</v>
      </c>
      <c r="M388" t="s">
        <v>77</v>
      </c>
      <c r="N388">
        <v>30</v>
      </c>
      <c r="O388" t="s">
        <v>24</v>
      </c>
      <c r="P388">
        <v>26.5</v>
      </c>
      <c r="Q388">
        <v>170.28200000000001</v>
      </c>
      <c r="W388" s="18">
        <v>42985</v>
      </c>
    </row>
    <row r="389" spans="1:23" hidden="1" x14ac:dyDescent="0.25">
      <c r="A389" t="s">
        <v>33</v>
      </c>
      <c r="B389" t="s">
        <v>32</v>
      </c>
      <c r="C389">
        <v>2002</v>
      </c>
      <c r="D389" t="s">
        <v>1735</v>
      </c>
      <c r="E389" t="s">
        <v>41</v>
      </c>
      <c r="F389" t="s">
        <v>52</v>
      </c>
      <c r="G389" t="s">
        <v>443</v>
      </c>
      <c r="H389" t="s">
        <v>74</v>
      </c>
      <c r="I389" t="s">
        <v>26</v>
      </c>
      <c r="J389">
        <v>96007</v>
      </c>
      <c r="K389">
        <v>40.473101999999997</v>
      </c>
      <c r="L389">
        <v>-122.323283</v>
      </c>
      <c r="M389" t="s">
        <v>1734</v>
      </c>
      <c r="N389">
        <v>6</v>
      </c>
      <c r="O389" t="s">
        <v>24</v>
      </c>
      <c r="P389">
        <v>5</v>
      </c>
      <c r="Q389">
        <v>1.661</v>
      </c>
      <c r="W389" s="18">
        <v>42255</v>
      </c>
    </row>
    <row r="390" spans="1:23" hidden="1" x14ac:dyDescent="0.25">
      <c r="A390" t="s">
        <v>33</v>
      </c>
      <c r="B390" t="s">
        <v>197</v>
      </c>
      <c r="C390">
        <v>2005</v>
      </c>
      <c r="D390" t="s">
        <v>1733</v>
      </c>
      <c r="E390" t="s">
        <v>143</v>
      </c>
      <c r="F390" t="s">
        <v>52</v>
      </c>
      <c r="G390" t="s">
        <v>1732</v>
      </c>
      <c r="H390" t="s">
        <v>124</v>
      </c>
      <c r="I390" t="s">
        <v>26</v>
      </c>
      <c r="J390">
        <v>95426</v>
      </c>
      <c r="K390">
        <v>38.841700000000003</v>
      </c>
      <c r="L390">
        <v>-122.7657</v>
      </c>
      <c r="M390" t="s">
        <v>1731</v>
      </c>
      <c r="N390">
        <v>20</v>
      </c>
      <c r="O390" t="s">
        <v>36</v>
      </c>
      <c r="P390">
        <v>15</v>
      </c>
      <c r="Q390">
        <v>125</v>
      </c>
      <c r="S390" s="18">
        <v>38852</v>
      </c>
      <c r="T390" s="18">
        <v>38995</v>
      </c>
      <c r="V390" s="18">
        <v>41183</v>
      </c>
      <c r="W390" s="18">
        <v>42094</v>
      </c>
    </row>
    <row r="391" spans="1:23" hidden="1" x14ac:dyDescent="0.25">
      <c r="A391" t="s">
        <v>67</v>
      </c>
      <c r="B391" t="s">
        <v>206</v>
      </c>
      <c r="C391">
        <v>2013</v>
      </c>
      <c r="D391" t="s">
        <v>1730</v>
      </c>
      <c r="E391" t="s">
        <v>30</v>
      </c>
      <c r="F391" t="s">
        <v>52</v>
      </c>
      <c r="G391" t="s">
        <v>149</v>
      </c>
      <c r="H391" t="s">
        <v>12</v>
      </c>
      <c r="I391" t="s">
        <v>26</v>
      </c>
      <c r="J391">
        <v>93501</v>
      </c>
      <c r="K391">
        <v>35.100619999999999</v>
      </c>
      <c r="L391">
        <v>-118.331</v>
      </c>
      <c r="M391" t="s">
        <v>1729</v>
      </c>
      <c r="N391">
        <v>10</v>
      </c>
      <c r="O391" t="s">
        <v>36</v>
      </c>
      <c r="P391">
        <v>5.5</v>
      </c>
      <c r="Q391">
        <v>13.32</v>
      </c>
      <c r="R391" t="s">
        <v>484</v>
      </c>
      <c r="S391" s="18">
        <v>41600</v>
      </c>
      <c r="T391" s="18">
        <v>41628</v>
      </c>
      <c r="W391" s="18">
        <v>42258</v>
      </c>
    </row>
    <row r="392" spans="1:23" hidden="1" x14ac:dyDescent="0.25">
      <c r="A392" t="s">
        <v>33</v>
      </c>
      <c r="B392" t="s">
        <v>32</v>
      </c>
      <c r="C392">
        <v>1985</v>
      </c>
      <c r="D392" t="s">
        <v>1728</v>
      </c>
      <c r="E392" t="s">
        <v>41</v>
      </c>
      <c r="F392" t="s">
        <v>52</v>
      </c>
      <c r="G392" t="s">
        <v>163</v>
      </c>
      <c r="H392" t="s">
        <v>74</v>
      </c>
      <c r="I392" t="s">
        <v>26</v>
      </c>
      <c r="J392">
        <v>96013</v>
      </c>
      <c r="K392">
        <v>40.878999999999998</v>
      </c>
      <c r="L392">
        <v>-121.727</v>
      </c>
      <c r="M392" t="s">
        <v>936</v>
      </c>
      <c r="N392">
        <v>30</v>
      </c>
      <c r="O392" t="s">
        <v>24</v>
      </c>
      <c r="P392">
        <v>31</v>
      </c>
      <c r="Q392">
        <v>212.55500000000001</v>
      </c>
      <c r="W392" s="18">
        <v>43039</v>
      </c>
    </row>
    <row r="393" spans="1:23" hidden="1" x14ac:dyDescent="0.25">
      <c r="A393" t="s">
        <v>43</v>
      </c>
      <c r="B393" t="s">
        <v>92</v>
      </c>
      <c r="C393">
        <v>1960</v>
      </c>
      <c r="D393" t="s">
        <v>1727</v>
      </c>
      <c r="E393" t="s">
        <v>47</v>
      </c>
      <c r="F393" t="s">
        <v>40</v>
      </c>
      <c r="G393" t="s">
        <v>939</v>
      </c>
      <c r="H393" t="s">
        <v>178</v>
      </c>
      <c r="I393" t="s">
        <v>26</v>
      </c>
      <c r="J393">
        <v>93643</v>
      </c>
      <c r="K393">
        <v>37.320985999999998</v>
      </c>
      <c r="L393">
        <v>-119.319731</v>
      </c>
      <c r="M393" t="s">
        <v>1727</v>
      </c>
      <c r="N393">
        <v>999</v>
      </c>
      <c r="O393" t="s">
        <v>24</v>
      </c>
      <c r="P393">
        <v>0.9</v>
      </c>
    </row>
    <row r="394" spans="1:23" hidden="1" x14ac:dyDescent="0.25">
      <c r="A394" t="s">
        <v>67</v>
      </c>
      <c r="B394" t="s">
        <v>206</v>
      </c>
      <c r="C394">
        <v>2013</v>
      </c>
      <c r="D394" t="s">
        <v>1726</v>
      </c>
      <c r="E394" t="s">
        <v>130</v>
      </c>
      <c r="F394" t="s">
        <v>52</v>
      </c>
      <c r="G394" t="s">
        <v>129</v>
      </c>
      <c r="H394" t="s">
        <v>129</v>
      </c>
      <c r="I394" t="s">
        <v>26</v>
      </c>
      <c r="J394">
        <v>92154</v>
      </c>
      <c r="K394">
        <v>32.573799999999999</v>
      </c>
      <c r="L394">
        <v>-116.967</v>
      </c>
      <c r="M394" t="s">
        <v>1725</v>
      </c>
      <c r="N394">
        <v>20</v>
      </c>
      <c r="O394" t="s">
        <v>36</v>
      </c>
      <c r="P394">
        <v>5</v>
      </c>
      <c r="Q394">
        <v>13.43</v>
      </c>
      <c r="R394" t="s">
        <v>484</v>
      </c>
      <c r="S394" s="18">
        <v>41600</v>
      </c>
      <c r="T394" s="18">
        <v>41628</v>
      </c>
      <c r="W394" s="18">
        <v>42264</v>
      </c>
    </row>
    <row r="395" spans="1:23" hidden="1" x14ac:dyDescent="0.25">
      <c r="A395" t="s">
        <v>43</v>
      </c>
      <c r="B395" t="s">
        <v>540</v>
      </c>
      <c r="C395">
        <v>2013</v>
      </c>
      <c r="D395" t="s">
        <v>1724</v>
      </c>
      <c r="E395" t="s">
        <v>90</v>
      </c>
      <c r="F395" t="s">
        <v>52</v>
      </c>
      <c r="G395" t="s">
        <v>1000</v>
      </c>
      <c r="H395" t="s">
        <v>133</v>
      </c>
      <c r="I395" t="s">
        <v>26</v>
      </c>
      <c r="J395">
        <v>91761</v>
      </c>
      <c r="K395">
        <v>34.052500000000002</v>
      </c>
      <c r="L395">
        <v>-117.563</v>
      </c>
      <c r="M395" t="s">
        <v>1723</v>
      </c>
      <c r="N395">
        <v>20</v>
      </c>
      <c r="O395" t="s">
        <v>36</v>
      </c>
      <c r="P395">
        <v>0.5</v>
      </c>
      <c r="Q395">
        <v>1.08</v>
      </c>
      <c r="S395" s="18">
        <v>41716</v>
      </c>
      <c r="T395" s="18">
        <v>41771</v>
      </c>
      <c r="W395" s="18">
        <v>42512</v>
      </c>
    </row>
    <row r="396" spans="1:23" hidden="1" x14ac:dyDescent="0.25">
      <c r="A396" t="s">
        <v>67</v>
      </c>
      <c r="B396" t="s">
        <v>263</v>
      </c>
      <c r="C396">
        <v>2014</v>
      </c>
      <c r="D396" t="s">
        <v>1448</v>
      </c>
      <c r="E396" t="s">
        <v>130</v>
      </c>
      <c r="F396" t="s">
        <v>52</v>
      </c>
      <c r="G396" t="s">
        <v>368</v>
      </c>
      <c r="H396" t="s">
        <v>129</v>
      </c>
      <c r="I396" t="s">
        <v>26</v>
      </c>
      <c r="J396">
        <v>91905</v>
      </c>
      <c r="K396">
        <v>32.4</v>
      </c>
      <c r="L396">
        <v>-116.15</v>
      </c>
      <c r="M396" t="s">
        <v>1722</v>
      </c>
      <c r="N396">
        <v>20</v>
      </c>
      <c r="O396" t="s">
        <v>36</v>
      </c>
      <c r="P396">
        <v>2.9</v>
      </c>
      <c r="Q396">
        <v>9.2739999999999991</v>
      </c>
      <c r="W396" s="18">
        <v>42453</v>
      </c>
    </row>
    <row r="397" spans="1:23" hidden="1" x14ac:dyDescent="0.25">
      <c r="A397" t="s">
        <v>33</v>
      </c>
      <c r="B397" t="s">
        <v>232</v>
      </c>
      <c r="C397">
        <v>2012</v>
      </c>
      <c r="D397" t="s">
        <v>1721</v>
      </c>
      <c r="E397" t="s">
        <v>130</v>
      </c>
      <c r="F397" t="s">
        <v>52</v>
      </c>
      <c r="G397" t="s">
        <v>1028</v>
      </c>
      <c r="H397" t="s">
        <v>12</v>
      </c>
      <c r="I397" t="s">
        <v>26</v>
      </c>
      <c r="J397">
        <v>93203</v>
      </c>
      <c r="K397">
        <v>35.327345999999999</v>
      </c>
      <c r="L397">
        <v>-118.74590000000001</v>
      </c>
      <c r="M397" t="s">
        <v>1623</v>
      </c>
      <c r="N397">
        <v>20</v>
      </c>
      <c r="O397" t="s">
        <v>36</v>
      </c>
      <c r="P397">
        <v>1.5</v>
      </c>
      <c r="Q397">
        <v>2.1</v>
      </c>
      <c r="W397" s="18">
        <v>41892</v>
      </c>
    </row>
    <row r="398" spans="1:23" hidden="1" x14ac:dyDescent="0.25">
      <c r="A398" t="s">
        <v>67</v>
      </c>
      <c r="B398" t="s">
        <v>92</v>
      </c>
      <c r="C398">
        <v>2012</v>
      </c>
      <c r="D398" t="s">
        <v>1720</v>
      </c>
      <c r="E398" t="s">
        <v>130</v>
      </c>
      <c r="F398" t="s">
        <v>52</v>
      </c>
      <c r="G398" t="s">
        <v>109</v>
      </c>
      <c r="H398" t="s">
        <v>129</v>
      </c>
      <c r="I398" t="s">
        <v>26</v>
      </c>
      <c r="J398">
        <v>92059</v>
      </c>
      <c r="K398">
        <v>33.212344000000002</v>
      </c>
      <c r="L398">
        <v>-117.064108</v>
      </c>
      <c r="M398" t="s">
        <v>1719</v>
      </c>
      <c r="N398">
        <v>25</v>
      </c>
      <c r="O398" t="s">
        <v>36</v>
      </c>
      <c r="P398">
        <v>2</v>
      </c>
      <c r="Q398">
        <v>4.2</v>
      </c>
      <c r="S398" s="18">
        <v>39640</v>
      </c>
      <c r="T398" s="18">
        <v>40423</v>
      </c>
      <c r="U398" s="18">
        <v>41080</v>
      </c>
      <c r="V398" s="18">
        <v>41126</v>
      </c>
      <c r="W398" s="18">
        <v>42887</v>
      </c>
    </row>
    <row r="399" spans="1:23" hidden="1" x14ac:dyDescent="0.25">
      <c r="A399" t="s">
        <v>33</v>
      </c>
      <c r="B399" t="s">
        <v>263</v>
      </c>
      <c r="C399">
        <v>2014</v>
      </c>
      <c r="D399" t="s">
        <v>1718</v>
      </c>
      <c r="E399" t="s">
        <v>130</v>
      </c>
      <c r="F399" t="s">
        <v>52</v>
      </c>
      <c r="G399" t="s">
        <v>719</v>
      </c>
      <c r="H399" t="s">
        <v>12</v>
      </c>
      <c r="I399" t="s">
        <v>26</v>
      </c>
      <c r="J399">
        <v>93280</v>
      </c>
      <c r="K399">
        <v>35.707547609999999</v>
      </c>
      <c r="L399">
        <v>-119.4803581</v>
      </c>
      <c r="M399" t="s">
        <v>1717</v>
      </c>
      <c r="N399">
        <v>20</v>
      </c>
      <c r="O399" t="s">
        <v>36</v>
      </c>
      <c r="P399">
        <v>2</v>
      </c>
      <c r="Q399">
        <v>3.4169999999999998</v>
      </c>
      <c r="W399" s="18">
        <v>42622</v>
      </c>
    </row>
    <row r="400" spans="1:23" hidden="1" x14ac:dyDescent="0.25">
      <c r="A400" t="s">
        <v>43</v>
      </c>
      <c r="B400" t="s">
        <v>540</v>
      </c>
      <c r="C400">
        <v>2013</v>
      </c>
      <c r="D400" t="s">
        <v>1716</v>
      </c>
      <c r="E400" t="s">
        <v>90</v>
      </c>
      <c r="F400" t="s">
        <v>52</v>
      </c>
      <c r="G400" t="s">
        <v>133</v>
      </c>
      <c r="H400" t="s">
        <v>133</v>
      </c>
      <c r="I400" t="s">
        <v>26</v>
      </c>
      <c r="J400">
        <v>92408</v>
      </c>
      <c r="K400">
        <v>34.083500000000001</v>
      </c>
      <c r="L400">
        <v>-117.2671</v>
      </c>
      <c r="M400" t="s">
        <v>1510</v>
      </c>
      <c r="N400">
        <v>20</v>
      </c>
      <c r="O400" t="s">
        <v>36</v>
      </c>
      <c r="P400">
        <v>1.5</v>
      </c>
      <c r="Q400">
        <v>3.23</v>
      </c>
      <c r="S400" s="18">
        <v>41716</v>
      </c>
      <c r="T400" s="18">
        <v>41771</v>
      </c>
      <c r="W400" s="18">
        <v>42114</v>
      </c>
    </row>
    <row r="401" spans="1:23" hidden="1" x14ac:dyDescent="0.25">
      <c r="A401" t="s">
        <v>43</v>
      </c>
      <c r="B401" t="s">
        <v>206</v>
      </c>
      <c r="C401">
        <v>2013</v>
      </c>
      <c r="D401" t="s">
        <v>1715</v>
      </c>
      <c r="E401" t="s">
        <v>30</v>
      </c>
      <c r="F401" t="s">
        <v>52</v>
      </c>
      <c r="G401" t="s">
        <v>226</v>
      </c>
      <c r="H401" t="s">
        <v>27</v>
      </c>
      <c r="I401" t="s">
        <v>26</v>
      </c>
      <c r="J401">
        <v>94550</v>
      </c>
      <c r="K401">
        <v>37.693719999999999</v>
      </c>
      <c r="L401">
        <v>-121.591809</v>
      </c>
      <c r="M401" t="s">
        <v>1715</v>
      </c>
      <c r="N401">
        <v>20</v>
      </c>
      <c r="O401" t="s">
        <v>36</v>
      </c>
      <c r="P401">
        <v>19.8</v>
      </c>
      <c r="Q401">
        <v>71.11</v>
      </c>
      <c r="R401" t="s">
        <v>484</v>
      </c>
      <c r="S401" s="18">
        <v>41599</v>
      </c>
      <c r="T401" s="18">
        <v>41608</v>
      </c>
      <c r="W401" s="18">
        <v>42226</v>
      </c>
    </row>
    <row r="402" spans="1:23" hidden="1" x14ac:dyDescent="0.25">
      <c r="A402" t="s">
        <v>33</v>
      </c>
      <c r="B402" t="s">
        <v>232</v>
      </c>
      <c r="C402">
        <v>2013</v>
      </c>
      <c r="D402" t="s">
        <v>1714</v>
      </c>
      <c r="E402" t="s">
        <v>130</v>
      </c>
      <c r="F402" t="s">
        <v>52</v>
      </c>
      <c r="G402" t="s">
        <v>35</v>
      </c>
      <c r="H402" t="s">
        <v>146</v>
      </c>
      <c r="I402" t="s">
        <v>26</v>
      </c>
      <c r="J402">
        <v>93660</v>
      </c>
      <c r="K402">
        <v>36.529604999999997</v>
      </c>
      <c r="L402">
        <v>-120.144274</v>
      </c>
      <c r="M402" t="s">
        <v>1713</v>
      </c>
      <c r="N402">
        <v>20</v>
      </c>
      <c r="O402" t="s">
        <v>36</v>
      </c>
      <c r="P402">
        <v>1.5</v>
      </c>
      <c r="Q402">
        <v>2.1</v>
      </c>
      <c r="W402" s="18">
        <v>42125</v>
      </c>
    </row>
    <row r="403" spans="1:23" hidden="1" x14ac:dyDescent="0.25">
      <c r="A403" t="s">
        <v>43</v>
      </c>
      <c r="B403" t="s">
        <v>32</v>
      </c>
      <c r="C403">
        <v>1984</v>
      </c>
      <c r="D403" t="s">
        <v>1712</v>
      </c>
      <c r="E403" t="s">
        <v>30</v>
      </c>
      <c r="F403" t="s">
        <v>29</v>
      </c>
      <c r="G403" t="s">
        <v>60</v>
      </c>
      <c r="H403" t="s">
        <v>88</v>
      </c>
      <c r="I403" t="s">
        <v>26</v>
      </c>
      <c r="J403">
        <v>92262</v>
      </c>
      <c r="K403">
        <v>33.8917</v>
      </c>
      <c r="L403">
        <v>-116.591666</v>
      </c>
      <c r="M403" t="s">
        <v>1712</v>
      </c>
      <c r="N403">
        <v>30</v>
      </c>
      <c r="O403" t="s">
        <v>24</v>
      </c>
      <c r="P403">
        <v>7.9</v>
      </c>
      <c r="Q403">
        <v>14.46</v>
      </c>
    </row>
    <row r="404" spans="1:23" hidden="1" x14ac:dyDescent="0.25">
      <c r="A404" t="s">
        <v>67</v>
      </c>
      <c r="B404" t="s">
        <v>201</v>
      </c>
      <c r="C404">
        <v>2009</v>
      </c>
      <c r="D404" t="s">
        <v>1711</v>
      </c>
      <c r="E404" t="s">
        <v>143</v>
      </c>
      <c r="F404" t="s">
        <v>29</v>
      </c>
      <c r="G404" t="s">
        <v>159</v>
      </c>
      <c r="H404" t="s">
        <v>158</v>
      </c>
      <c r="I404" t="s">
        <v>26</v>
      </c>
      <c r="J404">
        <v>95441</v>
      </c>
      <c r="K404">
        <v>38.815300000000001</v>
      </c>
      <c r="L404">
        <v>-122.801</v>
      </c>
      <c r="M404" t="s">
        <v>1710</v>
      </c>
      <c r="N404">
        <v>5</v>
      </c>
      <c r="O404" t="s">
        <v>24</v>
      </c>
      <c r="P404">
        <v>13</v>
      </c>
      <c r="Q404">
        <v>9</v>
      </c>
      <c r="S404" s="18">
        <v>40266</v>
      </c>
      <c r="T404" s="18">
        <v>40367</v>
      </c>
    </row>
    <row r="405" spans="1:23" hidden="1" x14ac:dyDescent="0.25">
      <c r="A405" t="s">
        <v>43</v>
      </c>
      <c r="B405" t="s">
        <v>111</v>
      </c>
      <c r="C405">
        <v>2021</v>
      </c>
      <c r="D405" t="s">
        <v>109</v>
      </c>
      <c r="E405" t="s">
        <v>109</v>
      </c>
      <c r="F405" t="s">
        <v>40</v>
      </c>
      <c r="G405" t="s">
        <v>109</v>
      </c>
      <c r="H405" t="s">
        <v>109</v>
      </c>
      <c r="I405" t="s">
        <v>26</v>
      </c>
      <c r="J405" t="s">
        <v>110</v>
      </c>
      <c r="K405" t="s">
        <v>109</v>
      </c>
      <c r="L405" t="s">
        <v>109</v>
      </c>
      <c r="M405" t="s">
        <v>1709</v>
      </c>
      <c r="N405">
        <v>2</v>
      </c>
      <c r="O405" t="s">
        <v>36</v>
      </c>
      <c r="Q405">
        <v>73</v>
      </c>
      <c r="S405" s="18">
        <v>44335</v>
      </c>
    </row>
    <row r="406" spans="1:23" hidden="1" x14ac:dyDescent="0.25">
      <c r="A406" t="s">
        <v>43</v>
      </c>
      <c r="B406" t="s">
        <v>206</v>
      </c>
      <c r="C406">
        <v>2014</v>
      </c>
      <c r="D406" t="s">
        <v>1708</v>
      </c>
      <c r="E406" t="s">
        <v>130</v>
      </c>
      <c r="F406" t="s">
        <v>52</v>
      </c>
      <c r="G406" t="s">
        <v>1581</v>
      </c>
      <c r="H406" t="s">
        <v>103</v>
      </c>
      <c r="I406" t="s">
        <v>26</v>
      </c>
      <c r="J406">
        <v>92252</v>
      </c>
      <c r="K406">
        <v>34.154499999999999</v>
      </c>
      <c r="L406">
        <v>-116.250452</v>
      </c>
      <c r="M406" t="s">
        <v>102</v>
      </c>
      <c r="N406">
        <v>20</v>
      </c>
      <c r="O406" t="s">
        <v>36</v>
      </c>
      <c r="P406">
        <v>20</v>
      </c>
      <c r="Q406">
        <v>53.61</v>
      </c>
      <c r="R406" t="s">
        <v>785</v>
      </c>
      <c r="S406" s="18">
        <v>41949</v>
      </c>
      <c r="T406" s="18">
        <v>42025</v>
      </c>
      <c r="W406" s="18">
        <v>42818</v>
      </c>
    </row>
    <row r="407" spans="1:23" hidden="1" x14ac:dyDescent="0.25">
      <c r="A407" t="s">
        <v>33</v>
      </c>
      <c r="B407" t="s">
        <v>232</v>
      </c>
      <c r="C407">
        <v>2012</v>
      </c>
      <c r="D407" t="s">
        <v>1707</v>
      </c>
      <c r="E407" t="s">
        <v>130</v>
      </c>
      <c r="F407" t="s">
        <v>52</v>
      </c>
      <c r="G407" t="s">
        <v>1028</v>
      </c>
      <c r="H407" t="s">
        <v>12</v>
      </c>
      <c r="I407" t="s">
        <v>26</v>
      </c>
      <c r="J407">
        <v>93203</v>
      </c>
      <c r="K407">
        <v>35.327345999999999</v>
      </c>
      <c r="L407">
        <v>-118.74588799999999</v>
      </c>
      <c r="M407" t="s">
        <v>1623</v>
      </c>
      <c r="N407">
        <v>20</v>
      </c>
      <c r="O407" t="s">
        <v>36</v>
      </c>
      <c r="P407">
        <v>1.5</v>
      </c>
      <c r="Q407">
        <v>2.1</v>
      </c>
      <c r="W407" s="18">
        <v>41892</v>
      </c>
    </row>
    <row r="408" spans="1:23" hidden="1" x14ac:dyDescent="0.25">
      <c r="A408" t="s">
        <v>33</v>
      </c>
      <c r="B408" t="s">
        <v>232</v>
      </c>
      <c r="C408">
        <v>2013</v>
      </c>
      <c r="D408" t="s">
        <v>1706</v>
      </c>
      <c r="E408" t="s">
        <v>130</v>
      </c>
      <c r="F408" t="s">
        <v>52</v>
      </c>
      <c r="G408" t="s">
        <v>639</v>
      </c>
      <c r="H408" t="s">
        <v>274</v>
      </c>
      <c r="I408" t="s">
        <v>26</v>
      </c>
      <c r="J408">
        <v>96035</v>
      </c>
      <c r="K408">
        <v>40.016089000000001</v>
      </c>
      <c r="L408">
        <v>-122.225398</v>
      </c>
      <c r="M408" t="s">
        <v>1625</v>
      </c>
      <c r="N408">
        <v>20</v>
      </c>
      <c r="O408" t="s">
        <v>36</v>
      </c>
      <c r="P408">
        <v>1.25</v>
      </c>
      <c r="Q408">
        <v>1.8</v>
      </c>
      <c r="W408" s="18">
        <v>42051</v>
      </c>
    </row>
    <row r="409" spans="1:23" hidden="1" x14ac:dyDescent="0.25">
      <c r="A409" t="s">
        <v>33</v>
      </c>
      <c r="B409" t="s">
        <v>232</v>
      </c>
      <c r="C409">
        <v>2013</v>
      </c>
      <c r="D409" t="s">
        <v>1705</v>
      </c>
      <c r="E409" t="s">
        <v>130</v>
      </c>
      <c r="F409" t="s">
        <v>52</v>
      </c>
      <c r="G409" t="s">
        <v>280</v>
      </c>
      <c r="H409" t="s">
        <v>146</v>
      </c>
      <c r="I409" t="s">
        <v>26</v>
      </c>
      <c r="J409">
        <v>93657</v>
      </c>
      <c r="K409">
        <v>36.751252999999998</v>
      </c>
      <c r="L409">
        <v>-119.416331</v>
      </c>
      <c r="M409" t="s">
        <v>1704</v>
      </c>
      <c r="N409">
        <v>20</v>
      </c>
      <c r="O409" t="s">
        <v>36</v>
      </c>
      <c r="P409">
        <v>1.5</v>
      </c>
      <c r="Q409">
        <v>2.1</v>
      </c>
      <c r="W409" s="18">
        <v>41848</v>
      </c>
    </row>
    <row r="410" spans="1:23" hidden="1" x14ac:dyDescent="0.25">
      <c r="A410" t="s">
        <v>33</v>
      </c>
      <c r="B410" t="s">
        <v>32</v>
      </c>
      <c r="C410">
        <v>1984</v>
      </c>
      <c r="D410" t="s">
        <v>1703</v>
      </c>
      <c r="E410" t="s">
        <v>47</v>
      </c>
      <c r="F410" t="s">
        <v>52</v>
      </c>
      <c r="G410" t="s">
        <v>857</v>
      </c>
      <c r="H410" t="s">
        <v>74</v>
      </c>
      <c r="I410" t="s">
        <v>26</v>
      </c>
      <c r="J410">
        <v>96088</v>
      </c>
      <c r="K410">
        <v>40.496955</v>
      </c>
      <c r="L410">
        <v>-121.84641499999999</v>
      </c>
      <c r="M410" t="s">
        <v>1702</v>
      </c>
      <c r="N410">
        <v>999</v>
      </c>
      <c r="O410" t="s">
        <v>24</v>
      </c>
      <c r="P410">
        <v>0.15</v>
      </c>
      <c r="Q410">
        <v>0.748</v>
      </c>
      <c r="W410" s="18">
        <v>43024</v>
      </c>
    </row>
    <row r="411" spans="1:23" hidden="1" x14ac:dyDescent="0.25">
      <c r="A411" t="s">
        <v>33</v>
      </c>
      <c r="B411" t="s">
        <v>263</v>
      </c>
      <c r="C411">
        <v>2015</v>
      </c>
      <c r="D411" t="s">
        <v>1701</v>
      </c>
      <c r="E411" t="s">
        <v>130</v>
      </c>
      <c r="F411" t="s">
        <v>52</v>
      </c>
      <c r="G411" t="s">
        <v>799</v>
      </c>
      <c r="H411" t="s">
        <v>798</v>
      </c>
      <c r="I411" t="s">
        <v>26</v>
      </c>
      <c r="J411">
        <v>94105</v>
      </c>
      <c r="K411">
        <v>39.777515413000003</v>
      </c>
      <c r="L411">
        <v>-122.249466844</v>
      </c>
      <c r="M411" t="s">
        <v>1700</v>
      </c>
      <c r="N411">
        <v>20</v>
      </c>
      <c r="O411" t="s">
        <v>36</v>
      </c>
      <c r="P411">
        <v>0.83299999999999996</v>
      </c>
      <c r="Q411">
        <v>1.94</v>
      </c>
      <c r="W411" s="18">
        <v>42376</v>
      </c>
    </row>
    <row r="412" spans="1:23" hidden="1" x14ac:dyDescent="0.25">
      <c r="A412" t="s">
        <v>33</v>
      </c>
      <c r="B412" t="s">
        <v>923</v>
      </c>
      <c r="C412">
        <v>2018</v>
      </c>
      <c r="D412" t="s">
        <v>1699</v>
      </c>
      <c r="E412" t="s">
        <v>41</v>
      </c>
      <c r="F412" t="s">
        <v>52</v>
      </c>
      <c r="G412" t="s">
        <v>120</v>
      </c>
      <c r="H412" t="s">
        <v>120</v>
      </c>
      <c r="I412" t="s">
        <v>26</v>
      </c>
      <c r="J412">
        <v>94503</v>
      </c>
      <c r="K412">
        <v>38.2095006092433</v>
      </c>
      <c r="L412">
        <v>-122.26450045526001</v>
      </c>
      <c r="M412" t="s">
        <v>1698</v>
      </c>
      <c r="N412">
        <v>20</v>
      </c>
      <c r="O412" t="s">
        <v>36</v>
      </c>
      <c r="P412">
        <v>1</v>
      </c>
      <c r="Q412">
        <v>6.17</v>
      </c>
      <c r="W412" s="18">
        <v>44011</v>
      </c>
    </row>
    <row r="413" spans="1:23" hidden="1" x14ac:dyDescent="0.25">
      <c r="A413" t="s">
        <v>33</v>
      </c>
      <c r="B413" t="s">
        <v>263</v>
      </c>
      <c r="C413">
        <v>2014</v>
      </c>
      <c r="D413" t="s">
        <v>1697</v>
      </c>
      <c r="E413" t="s">
        <v>130</v>
      </c>
      <c r="F413" t="s">
        <v>52</v>
      </c>
      <c r="G413" t="s">
        <v>1696</v>
      </c>
      <c r="H413" t="s">
        <v>146</v>
      </c>
      <c r="I413" t="s">
        <v>26</v>
      </c>
      <c r="J413">
        <v>93602</v>
      </c>
      <c r="K413">
        <v>37.064620589999997</v>
      </c>
      <c r="L413">
        <v>-119.48632859999999</v>
      </c>
      <c r="M413" t="s">
        <v>1629</v>
      </c>
      <c r="N413">
        <v>20</v>
      </c>
      <c r="O413" t="s">
        <v>36</v>
      </c>
      <c r="P413">
        <v>1.75</v>
      </c>
      <c r="Q413">
        <v>3.2719999999999998</v>
      </c>
      <c r="W413" s="18">
        <v>42622</v>
      </c>
    </row>
    <row r="414" spans="1:23" hidden="1" x14ac:dyDescent="0.25">
      <c r="A414" t="s">
        <v>33</v>
      </c>
      <c r="B414" t="s">
        <v>232</v>
      </c>
      <c r="C414">
        <v>2013</v>
      </c>
      <c r="D414" t="s">
        <v>1695</v>
      </c>
      <c r="E414" t="s">
        <v>130</v>
      </c>
      <c r="F414" t="s">
        <v>52</v>
      </c>
      <c r="G414" t="s">
        <v>1641</v>
      </c>
      <c r="H414" t="s">
        <v>649</v>
      </c>
      <c r="I414" t="s">
        <v>26</v>
      </c>
      <c r="J414">
        <v>95973</v>
      </c>
      <c r="K414">
        <v>39.895981999999997</v>
      </c>
      <c r="L414">
        <v>-121.745705</v>
      </c>
      <c r="M414" t="s">
        <v>1629</v>
      </c>
      <c r="N414">
        <v>20</v>
      </c>
      <c r="O414" t="s">
        <v>36</v>
      </c>
      <c r="P414">
        <v>1.25</v>
      </c>
      <c r="Q414">
        <v>1.8</v>
      </c>
      <c r="W414" s="18">
        <v>42241</v>
      </c>
    </row>
    <row r="415" spans="1:23" hidden="1" x14ac:dyDescent="0.25">
      <c r="A415" t="s">
        <v>33</v>
      </c>
      <c r="B415" t="s">
        <v>232</v>
      </c>
      <c r="C415">
        <v>2011</v>
      </c>
      <c r="D415" t="s">
        <v>1694</v>
      </c>
      <c r="E415" t="s">
        <v>41</v>
      </c>
      <c r="F415" t="s">
        <v>52</v>
      </c>
      <c r="G415" t="s">
        <v>1693</v>
      </c>
      <c r="H415" t="s">
        <v>1692</v>
      </c>
      <c r="I415" t="s">
        <v>26</v>
      </c>
      <c r="J415">
        <v>95361</v>
      </c>
      <c r="K415">
        <v>37.766595000000002</v>
      </c>
      <c r="L415">
        <v>-120.847154</v>
      </c>
      <c r="M415" t="s">
        <v>1691</v>
      </c>
      <c r="N415">
        <v>20</v>
      </c>
      <c r="O415" t="s">
        <v>36</v>
      </c>
      <c r="P415">
        <v>1.5</v>
      </c>
      <c r="Q415">
        <v>11.2</v>
      </c>
      <c r="W415" s="18">
        <v>42298</v>
      </c>
    </row>
    <row r="416" spans="1:23" hidden="1" x14ac:dyDescent="0.25">
      <c r="A416" t="s">
        <v>33</v>
      </c>
      <c r="B416" t="s">
        <v>263</v>
      </c>
      <c r="C416">
        <v>2014</v>
      </c>
      <c r="D416" t="s">
        <v>1690</v>
      </c>
      <c r="E416" t="s">
        <v>130</v>
      </c>
      <c r="F416" t="s">
        <v>52</v>
      </c>
      <c r="G416" t="s">
        <v>956</v>
      </c>
      <c r="H416" t="s">
        <v>146</v>
      </c>
      <c r="I416" t="s">
        <v>26</v>
      </c>
      <c r="J416">
        <v>93656</v>
      </c>
      <c r="K416">
        <v>36.4439593878</v>
      </c>
      <c r="L416">
        <v>-119.810680836</v>
      </c>
      <c r="M416" t="s">
        <v>1689</v>
      </c>
      <c r="N416">
        <v>20</v>
      </c>
      <c r="O416" t="s">
        <v>36</v>
      </c>
      <c r="P416">
        <v>2</v>
      </c>
      <c r="Q416">
        <v>4.3570000000000002</v>
      </c>
      <c r="W416" s="18">
        <v>42506</v>
      </c>
    </row>
    <row r="417" spans="1:23" hidden="1" x14ac:dyDescent="0.25">
      <c r="A417" t="s">
        <v>33</v>
      </c>
      <c r="B417" t="s">
        <v>201</v>
      </c>
      <c r="C417">
        <v>2009</v>
      </c>
      <c r="D417" t="s">
        <v>1688</v>
      </c>
      <c r="E417" t="s">
        <v>105</v>
      </c>
      <c r="F417" t="s">
        <v>52</v>
      </c>
      <c r="G417" t="s">
        <v>612</v>
      </c>
      <c r="H417" t="s">
        <v>88</v>
      </c>
      <c r="I417" t="s">
        <v>26</v>
      </c>
      <c r="J417">
        <v>92239</v>
      </c>
      <c r="K417">
        <v>33.686999999999998</v>
      </c>
      <c r="L417">
        <v>-115.235</v>
      </c>
      <c r="M417" t="s">
        <v>1687</v>
      </c>
      <c r="N417">
        <v>25</v>
      </c>
      <c r="O417" t="s">
        <v>24</v>
      </c>
      <c r="P417">
        <v>200</v>
      </c>
      <c r="Q417">
        <v>572.9</v>
      </c>
      <c r="S417" s="18">
        <v>39946</v>
      </c>
      <c r="T417" s="18">
        <v>40085</v>
      </c>
      <c r="W417" s="18">
        <v>41886</v>
      </c>
    </row>
    <row r="418" spans="1:23" hidden="1" x14ac:dyDescent="0.25">
      <c r="A418" t="s">
        <v>33</v>
      </c>
      <c r="B418" t="s">
        <v>201</v>
      </c>
      <c r="C418">
        <v>2009</v>
      </c>
      <c r="D418" t="s">
        <v>1686</v>
      </c>
      <c r="E418" t="s">
        <v>105</v>
      </c>
      <c r="F418" t="s">
        <v>52</v>
      </c>
      <c r="G418" t="s">
        <v>612</v>
      </c>
      <c r="H418" t="s">
        <v>88</v>
      </c>
      <c r="I418" t="s">
        <v>26</v>
      </c>
      <c r="J418">
        <v>92239</v>
      </c>
      <c r="K418">
        <v>33.686999999999998</v>
      </c>
      <c r="L418">
        <v>-115.235</v>
      </c>
      <c r="M418" t="s">
        <v>1685</v>
      </c>
      <c r="N418">
        <v>25</v>
      </c>
      <c r="O418" t="s">
        <v>24</v>
      </c>
      <c r="P418">
        <v>200</v>
      </c>
      <c r="Q418">
        <v>572.9</v>
      </c>
      <c r="S418" s="18">
        <v>39946</v>
      </c>
      <c r="T418" s="18">
        <v>40085</v>
      </c>
      <c r="W418" s="18">
        <v>41886</v>
      </c>
    </row>
    <row r="419" spans="1:23" hidden="1" x14ac:dyDescent="0.25">
      <c r="A419" t="s">
        <v>43</v>
      </c>
      <c r="B419" t="s">
        <v>263</v>
      </c>
      <c r="C419">
        <v>2014</v>
      </c>
      <c r="D419" t="s">
        <v>1684</v>
      </c>
      <c r="E419" t="s">
        <v>130</v>
      </c>
      <c r="F419" t="s">
        <v>52</v>
      </c>
      <c r="G419" t="s">
        <v>1205</v>
      </c>
      <c r="H419" t="s">
        <v>181</v>
      </c>
      <c r="I419" t="s">
        <v>26</v>
      </c>
      <c r="J419">
        <v>93221</v>
      </c>
      <c r="K419">
        <v>36.303798999999998</v>
      </c>
      <c r="L419">
        <v>-119.102054</v>
      </c>
      <c r="M419" t="s">
        <v>1684</v>
      </c>
      <c r="N419">
        <v>20</v>
      </c>
      <c r="O419" t="s">
        <v>36</v>
      </c>
      <c r="P419">
        <v>0.5</v>
      </c>
      <c r="Q419">
        <v>1.1399999999999999</v>
      </c>
      <c r="W419" s="18">
        <v>42128</v>
      </c>
    </row>
    <row r="420" spans="1:23" hidden="1" x14ac:dyDescent="0.25">
      <c r="A420" t="s">
        <v>33</v>
      </c>
      <c r="B420" t="s">
        <v>923</v>
      </c>
      <c r="C420">
        <v>2019</v>
      </c>
      <c r="D420" t="s">
        <v>1683</v>
      </c>
      <c r="E420" t="s">
        <v>948</v>
      </c>
      <c r="F420" t="s">
        <v>52</v>
      </c>
      <c r="G420" t="s">
        <v>146</v>
      </c>
      <c r="H420" t="s">
        <v>146</v>
      </c>
      <c r="I420" t="s">
        <v>26</v>
      </c>
      <c r="J420">
        <v>93706</v>
      </c>
      <c r="K420">
        <v>36.5832335092622</v>
      </c>
      <c r="L420">
        <v>-120.05693919349901</v>
      </c>
      <c r="M420" t="s">
        <v>1682</v>
      </c>
      <c r="N420">
        <v>20</v>
      </c>
      <c r="O420" t="s">
        <v>36</v>
      </c>
      <c r="P420">
        <v>1.028</v>
      </c>
      <c r="Q420">
        <v>7.0190000000000001</v>
      </c>
      <c r="W420" s="18">
        <v>44117</v>
      </c>
    </row>
    <row r="421" spans="1:23" hidden="1" x14ac:dyDescent="0.25">
      <c r="A421" t="s">
        <v>33</v>
      </c>
      <c r="B421" t="s">
        <v>201</v>
      </c>
      <c r="C421">
        <v>2009</v>
      </c>
      <c r="D421" t="s">
        <v>1681</v>
      </c>
      <c r="E421" t="s">
        <v>1680</v>
      </c>
      <c r="F421" t="s">
        <v>52</v>
      </c>
      <c r="G421" t="s">
        <v>1679</v>
      </c>
      <c r="H421" t="s">
        <v>88</v>
      </c>
      <c r="I421" t="s">
        <v>26</v>
      </c>
      <c r="J421">
        <v>92280</v>
      </c>
      <c r="K421">
        <v>34.065832999999998</v>
      </c>
      <c r="L421">
        <v>-114.72027799999999</v>
      </c>
      <c r="M421" t="s">
        <v>1678</v>
      </c>
      <c r="N421">
        <v>25</v>
      </c>
      <c r="O421" t="s">
        <v>24</v>
      </c>
      <c r="P421">
        <v>150</v>
      </c>
      <c r="Q421">
        <v>449</v>
      </c>
      <c r="S421" s="18">
        <v>40169</v>
      </c>
      <c r="T421" s="18">
        <v>40392</v>
      </c>
      <c r="W421" s="18">
        <v>41890</v>
      </c>
    </row>
    <row r="422" spans="1:23" hidden="1" x14ac:dyDescent="0.25">
      <c r="A422" t="s">
        <v>33</v>
      </c>
      <c r="B422" t="s">
        <v>263</v>
      </c>
      <c r="C422">
        <v>2015</v>
      </c>
      <c r="D422" t="s">
        <v>1677</v>
      </c>
      <c r="E422" t="s">
        <v>130</v>
      </c>
      <c r="F422" t="s">
        <v>52</v>
      </c>
      <c r="G422" t="s">
        <v>799</v>
      </c>
      <c r="H422" t="s">
        <v>798</v>
      </c>
      <c r="I422" t="s">
        <v>26</v>
      </c>
      <c r="J422">
        <v>95963</v>
      </c>
      <c r="K422">
        <v>39.780656430000001</v>
      </c>
      <c r="L422">
        <v>-122.1334434</v>
      </c>
      <c r="M422" t="s">
        <v>1676</v>
      </c>
      <c r="N422">
        <v>20</v>
      </c>
      <c r="O422" t="s">
        <v>36</v>
      </c>
      <c r="P422">
        <v>0.75</v>
      </c>
      <c r="Q422">
        <v>1.6910000000000001</v>
      </c>
      <c r="W422" s="18">
        <v>42803</v>
      </c>
    </row>
    <row r="423" spans="1:23" hidden="1" x14ac:dyDescent="0.25">
      <c r="A423" t="s">
        <v>33</v>
      </c>
      <c r="B423" t="s">
        <v>232</v>
      </c>
      <c r="C423">
        <v>2012</v>
      </c>
      <c r="D423" t="s">
        <v>1675</v>
      </c>
      <c r="E423" t="s">
        <v>130</v>
      </c>
      <c r="F423" t="s">
        <v>52</v>
      </c>
      <c r="G423" t="s">
        <v>173</v>
      </c>
      <c r="H423" t="s">
        <v>12</v>
      </c>
      <c r="I423" t="s">
        <v>26</v>
      </c>
      <c r="J423">
        <v>93307</v>
      </c>
      <c r="K423">
        <v>35.310690000000001</v>
      </c>
      <c r="L423">
        <v>-118.94774200000001</v>
      </c>
      <c r="M423" t="s">
        <v>1623</v>
      </c>
      <c r="N423">
        <v>20</v>
      </c>
      <c r="O423" t="s">
        <v>36</v>
      </c>
      <c r="P423">
        <v>1.5</v>
      </c>
      <c r="Q423">
        <v>2.1</v>
      </c>
      <c r="W423" s="18">
        <v>41892</v>
      </c>
    </row>
    <row r="424" spans="1:23" hidden="1" x14ac:dyDescent="0.25">
      <c r="A424" t="s">
        <v>33</v>
      </c>
      <c r="B424" t="s">
        <v>540</v>
      </c>
      <c r="C424">
        <v>2012</v>
      </c>
      <c r="D424" t="s">
        <v>1674</v>
      </c>
      <c r="E424" t="s">
        <v>130</v>
      </c>
      <c r="F424" t="s">
        <v>52</v>
      </c>
      <c r="G424" t="s">
        <v>1673</v>
      </c>
      <c r="H424" t="s">
        <v>35</v>
      </c>
      <c r="I424" t="s">
        <v>26</v>
      </c>
      <c r="J424">
        <v>95230</v>
      </c>
      <c r="K424">
        <v>37.944719999999997</v>
      </c>
      <c r="L424">
        <v>-120.99889</v>
      </c>
      <c r="M424" t="s">
        <v>1672</v>
      </c>
      <c r="N424">
        <v>20</v>
      </c>
      <c r="O424" t="s">
        <v>36</v>
      </c>
      <c r="P424">
        <v>2</v>
      </c>
      <c r="Q424">
        <v>3.23</v>
      </c>
      <c r="S424" s="18">
        <v>41159</v>
      </c>
      <c r="T424" s="18">
        <v>41190</v>
      </c>
      <c r="W424" s="18">
        <v>41934</v>
      </c>
    </row>
    <row r="425" spans="1:23" hidden="1" x14ac:dyDescent="0.25">
      <c r="A425" t="s">
        <v>33</v>
      </c>
      <c r="B425" t="s">
        <v>232</v>
      </c>
      <c r="C425">
        <v>2013</v>
      </c>
      <c r="D425" t="s">
        <v>1671</v>
      </c>
      <c r="E425" t="s">
        <v>130</v>
      </c>
      <c r="F425" t="s">
        <v>52</v>
      </c>
      <c r="G425" t="s">
        <v>1670</v>
      </c>
      <c r="H425" t="s">
        <v>533</v>
      </c>
      <c r="I425" t="s">
        <v>26</v>
      </c>
      <c r="J425">
        <v>93615</v>
      </c>
      <c r="K425">
        <v>36.532054000000002</v>
      </c>
      <c r="L425">
        <v>-119.283843</v>
      </c>
      <c r="M425" t="s">
        <v>1669</v>
      </c>
      <c r="N425">
        <v>20</v>
      </c>
      <c r="O425" t="s">
        <v>36</v>
      </c>
      <c r="P425">
        <v>0.998</v>
      </c>
      <c r="Q425">
        <v>1.4</v>
      </c>
      <c r="W425" s="18">
        <v>42061</v>
      </c>
    </row>
    <row r="426" spans="1:23" hidden="1" x14ac:dyDescent="0.25">
      <c r="A426" t="s">
        <v>33</v>
      </c>
      <c r="B426" t="s">
        <v>32</v>
      </c>
      <c r="C426">
        <v>1985</v>
      </c>
      <c r="D426" t="s">
        <v>1668</v>
      </c>
      <c r="E426" t="s">
        <v>47</v>
      </c>
      <c r="F426" t="s">
        <v>29</v>
      </c>
      <c r="G426" t="s">
        <v>165</v>
      </c>
      <c r="H426" t="s">
        <v>74</v>
      </c>
      <c r="I426" t="s">
        <v>26</v>
      </c>
      <c r="J426">
        <v>96065</v>
      </c>
      <c r="K426">
        <v>40.874194000000003</v>
      </c>
      <c r="L426">
        <v>-121.92040299999999</v>
      </c>
      <c r="M426" t="s">
        <v>162</v>
      </c>
      <c r="N426">
        <v>30</v>
      </c>
      <c r="O426" t="s">
        <v>24</v>
      </c>
      <c r="P426">
        <v>7</v>
      </c>
      <c r="Q426">
        <v>17.681000000000001</v>
      </c>
    </row>
    <row r="427" spans="1:23" hidden="1" x14ac:dyDescent="0.25">
      <c r="A427" t="s">
        <v>43</v>
      </c>
      <c r="B427" t="s">
        <v>32</v>
      </c>
      <c r="C427">
        <v>2016</v>
      </c>
      <c r="D427" t="s">
        <v>1546</v>
      </c>
      <c r="E427" t="s">
        <v>30</v>
      </c>
      <c r="F427" t="s">
        <v>52</v>
      </c>
      <c r="G427" t="s">
        <v>1140</v>
      </c>
      <c r="H427" t="s">
        <v>88</v>
      </c>
      <c r="I427" t="s">
        <v>26</v>
      </c>
      <c r="J427">
        <v>92240</v>
      </c>
      <c r="K427">
        <v>33.924900000000001</v>
      </c>
      <c r="L427">
        <v>-116.5685</v>
      </c>
      <c r="M427" t="s">
        <v>1546</v>
      </c>
      <c r="N427">
        <v>1</v>
      </c>
      <c r="O427" t="s">
        <v>36</v>
      </c>
      <c r="Q427">
        <v>12.73</v>
      </c>
      <c r="W427" s="18">
        <v>42664</v>
      </c>
    </row>
    <row r="428" spans="1:23" hidden="1" x14ac:dyDescent="0.25">
      <c r="A428" t="s">
        <v>33</v>
      </c>
      <c r="B428" t="s">
        <v>232</v>
      </c>
      <c r="C428">
        <v>2013</v>
      </c>
      <c r="D428" t="s">
        <v>1667</v>
      </c>
      <c r="E428" t="s">
        <v>130</v>
      </c>
      <c r="F428" t="s">
        <v>52</v>
      </c>
      <c r="G428" t="s">
        <v>542</v>
      </c>
      <c r="H428" t="s">
        <v>533</v>
      </c>
      <c r="I428" t="s">
        <v>26</v>
      </c>
      <c r="J428">
        <v>93245</v>
      </c>
      <c r="K428">
        <v>36.139372999999999</v>
      </c>
      <c r="L428">
        <v>-120.16092500000001</v>
      </c>
      <c r="M428" t="s">
        <v>1482</v>
      </c>
      <c r="N428">
        <v>20</v>
      </c>
      <c r="O428" t="s">
        <v>36</v>
      </c>
      <c r="P428">
        <v>1.5</v>
      </c>
      <c r="Q428">
        <v>2.1</v>
      </c>
      <c r="W428" s="18">
        <v>42073</v>
      </c>
    </row>
    <row r="429" spans="1:23" hidden="1" x14ac:dyDescent="0.25">
      <c r="A429" t="s">
        <v>33</v>
      </c>
      <c r="B429" t="s">
        <v>232</v>
      </c>
      <c r="C429">
        <v>2013</v>
      </c>
      <c r="D429" t="s">
        <v>1666</v>
      </c>
      <c r="E429" t="s">
        <v>130</v>
      </c>
      <c r="F429" t="s">
        <v>52</v>
      </c>
      <c r="G429" t="s">
        <v>542</v>
      </c>
      <c r="H429" t="s">
        <v>533</v>
      </c>
      <c r="I429" t="s">
        <v>26</v>
      </c>
      <c r="J429">
        <v>93245</v>
      </c>
      <c r="K429">
        <v>36.139372999999999</v>
      </c>
      <c r="L429">
        <v>-120.16092500000001</v>
      </c>
      <c r="M429" t="s">
        <v>1482</v>
      </c>
      <c r="N429">
        <v>20</v>
      </c>
      <c r="O429" t="s">
        <v>36</v>
      </c>
      <c r="P429">
        <v>1.5</v>
      </c>
      <c r="Q429">
        <v>2.1</v>
      </c>
      <c r="W429" s="18">
        <v>42052</v>
      </c>
    </row>
    <row r="430" spans="1:23" hidden="1" x14ac:dyDescent="0.25">
      <c r="A430" t="s">
        <v>33</v>
      </c>
      <c r="B430" t="s">
        <v>206</v>
      </c>
      <c r="C430">
        <v>2012</v>
      </c>
      <c r="D430" t="s">
        <v>1665</v>
      </c>
      <c r="E430" t="s">
        <v>30</v>
      </c>
      <c r="F430" t="s">
        <v>52</v>
      </c>
      <c r="G430" t="s">
        <v>28</v>
      </c>
      <c r="H430" t="s">
        <v>35</v>
      </c>
      <c r="I430" t="s">
        <v>26</v>
      </c>
      <c r="J430">
        <v>95351</v>
      </c>
      <c r="K430">
        <v>37.752099999999999</v>
      </c>
      <c r="L430">
        <v>-121.6063</v>
      </c>
      <c r="M430" t="s">
        <v>1645</v>
      </c>
      <c r="N430">
        <v>20</v>
      </c>
      <c r="O430" t="s">
        <v>36</v>
      </c>
      <c r="P430">
        <v>20</v>
      </c>
      <c r="Q430">
        <v>43.76</v>
      </c>
      <c r="R430" t="s">
        <v>334</v>
      </c>
      <c r="S430" s="18">
        <v>41394</v>
      </c>
      <c r="T430" s="18">
        <v>41423</v>
      </c>
      <c r="W430" s="18">
        <v>42473</v>
      </c>
    </row>
    <row r="431" spans="1:23" hidden="1" x14ac:dyDescent="0.25">
      <c r="A431" t="s">
        <v>33</v>
      </c>
      <c r="B431" t="s">
        <v>206</v>
      </c>
      <c r="C431">
        <v>2014</v>
      </c>
      <c r="D431" t="s">
        <v>1664</v>
      </c>
      <c r="E431" t="s">
        <v>30</v>
      </c>
      <c r="F431" t="s">
        <v>52</v>
      </c>
      <c r="G431" t="s">
        <v>60</v>
      </c>
      <c r="H431" t="s">
        <v>88</v>
      </c>
      <c r="I431" t="s">
        <v>26</v>
      </c>
      <c r="J431">
        <v>92262</v>
      </c>
      <c r="K431">
        <v>33.892780999999999</v>
      </c>
      <c r="L431">
        <v>-116.572204</v>
      </c>
      <c r="M431" t="s">
        <v>1663</v>
      </c>
      <c r="N431">
        <v>20</v>
      </c>
      <c r="O431" t="s">
        <v>36</v>
      </c>
      <c r="P431">
        <v>20</v>
      </c>
      <c r="Q431">
        <v>53.13</v>
      </c>
      <c r="R431" t="s">
        <v>785</v>
      </c>
      <c r="S431" s="18">
        <v>41964</v>
      </c>
      <c r="T431" s="18">
        <v>41994</v>
      </c>
      <c r="W431" s="18">
        <v>42713</v>
      </c>
    </row>
    <row r="432" spans="1:23" hidden="1" x14ac:dyDescent="0.25">
      <c r="A432" t="s">
        <v>33</v>
      </c>
      <c r="B432" t="s">
        <v>32</v>
      </c>
      <c r="C432">
        <v>1985</v>
      </c>
      <c r="D432" t="s">
        <v>392</v>
      </c>
      <c r="E432" t="s">
        <v>41</v>
      </c>
      <c r="F432" t="s">
        <v>52</v>
      </c>
      <c r="G432" t="s">
        <v>64</v>
      </c>
      <c r="H432" t="s">
        <v>63</v>
      </c>
      <c r="I432" t="s">
        <v>26</v>
      </c>
      <c r="J432">
        <v>96136</v>
      </c>
      <c r="K432">
        <v>40.353665999999997</v>
      </c>
      <c r="L432">
        <v>-120.215891</v>
      </c>
      <c r="M432" t="s">
        <v>1552</v>
      </c>
      <c r="N432">
        <v>30</v>
      </c>
      <c r="O432" t="s">
        <v>24</v>
      </c>
      <c r="P432">
        <v>32</v>
      </c>
      <c r="Q432">
        <v>166.01900000000001</v>
      </c>
      <c r="W432" s="18">
        <v>42766</v>
      </c>
    </row>
    <row r="433" spans="1:23" hidden="1" x14ac:dyDescent="0.25">
      <c r="A433" t="s">
        <v>33</v>
      </c>
      <c r="B433" t="s">
        <v>263</v>
      </c>
      <c r="C433">
        <v>2016</v>
      </c>
      <c r="D433" t="s">
        <v>1662</v>
      </c>
      <c r="E433" t="s">
        <v>130</v>
      </c>
      <c r="F433" t="s">
        <v>52</v>
      </c>
      <c r="G433" t="s">
        <v>650</v>
      </c>
      <c r="H433" t="s">
        <v>649</v>
      </c>
      <c r="I433" t="s">
        <v>26</v>
      </c>
      <c r="J433">
        <v>95966</v>
      </c>
      <c r="K433">
        <v>39.525077132</v>
      </c>
      <c r="L433">
        <v>-121.54192133399999</v>
      </c>
      <c r="M433" t="s">
        <v>1629</v>
      </c>
      <c r="N433">
        <v>20</v>
      </c>
      <c r="O433" t="s">
        <v>36</v>
      </c>
      <c r="P433">
        <v>1.75</v>
      </c>
      <c r="Q433">
        <v>4.093</v>
      </c>
      <c r="W433" s="18">
        <v>43150</v>
      </c>
    </row>
    <row r="434" spans="1:23" hidden="1" x14ac:dyDescent="0.25">
      <c r="A434" t="s">
        <v>33</v>
      </c>
      <c r="B434" t="s">
        <v>263</v>
      </c>
      <c r="C434">
        <v>2015</v>
      </c>
      <c r="D434" t="s">
        <v>1661</v>
      </c>
      <c r="E434" t="s">
        <v>130</v>
      </c>
      <c r="F434" t="s">
        <v>52</v>
      </c>
      <c r="G434" t="s">
        <v>137</v>
      </c>
      <c r="H434" t="s">
        <v>136</v>
      </c>
      <c r="I434" t="s">
        <v>26</v>
      </c>
      <c r="J434">
        <v>95648</v>
      </c>
      <c r="K434">
        <v>38.869314510000002</v>
      </c>
      <c r="L434">
        <v>-121.38371410000001</v>
      </c>
      <c r="M434" t="s">
        <v>1629</v>
      </c>
      <c r="N434">
        <v>20</v>
      </c>
      <c r="O434" t="s">
        <v>36</v>
      </c>
      <c r="P434">
        <v>2.2999999999999998</v>
      </c>
      <c r="Q434">
        <v>5.1970000000000001</v>
      </c>
      <c r="W434" s="18">
        <v>42814</v>
      </c>
    </row>
    <row r="435" spans="1:23" hidden="1" x14ac:dyDescent="0.25">
      <c r="A435" t="s">
        <v>43</v>
      </c>
      <c r="B435" t="s">
        <v>540</v>
      </c>
      <c r="C435">
        <v>2015</v>
      </c>
      <c r="D435" t="s">
        <v>1660</v>
      </c>
      <c r="E435" t="s">
        <v>90</v>
      </c>
      <c r="F435" t="s">
        <v>52</v>
      </c>
      <c r="G435" t="s">
        <v>1659</v>
      </c>
      <c r="H435" t="s">
        <v>59</v>
      </c>
      <c r="I435" t="s">
        <v>26</v>
      </c>
      <c r="J435">
        <v>92562</v>
      </c>
      <c r="K435">
        <v>33.32</v>
      </c>
      <c r="L435">
        <v>-117.105</v>
      </c>
      <c r="N435">
        <v>20</v>
      </c>
      <c r="O435" t="s">
        <v>36</v>
      </c>
      <c r="P435">
        <v>1</v>
      </c>
      <c r="Q435">
        <v>1.96</v>
      </c>
      <c r="W435" s="18">
        <v>42753</v>
      </c>
    </row>
    <row r="436" spans="1:23" hidden="1" x14ac:dyDescent="0.25">
      <c r="A436" t="s">
        <v>43</v>
      </c>
      <c r="B436" t="s">
        <v>32</v>
      </c>
      <c r="C436">
        <v>1985</v>
      </c>
      <c r="D436" t="s">
        <v>1658</v>
      </c>
      <c r="E436" t="s">
        <v>30</v>
      </c>
      <c r="F436" t="s">
        <v>29</v>
      </c>
      <c r="G436" t="s">
        <v>149</v>
      </c>
      <c r="H436" t="s">
        <v>12</v>
      </c>
      <c r="I436" t="s">
        <v>26</v>
      </c>
      <c r="J436">
        <v>93561</v>
      </c>
      <c r="K436">
        <v>35.087499999999999</v>
      </c>
      <c r="L436">
        <v>-118.35</v>
      </c>
      <c r="M436" t="s">
        <v>1658</v>
      </c>
      <c r="N436">
        <v>30</v>
      </c>
      <c r="O436" t="s">
        <v>24</v>
      </c>
      <c r="P436">
        <v>5.31</v>
      </c>
      <c r="Q436">
        <v>9.82</v>
      </c>
    </row>
    <row r="437" spans="1:23" hidden="1" x14ac:dyDescent="0.25">
      <c r="A437" t="s">
        <v>43</v>
      </c>
      <c r="B437" t="s">
        <v>32</v>
      </c>
      <c r="C437">
        <v>1984</v>
      </c>
      <c r="D437" t="s">
        <v>1657</v>
      </c>
      <c r="E437" t="s">
        <v>30</v>
      </c>
      <c r="F437" t="s">
        <v>52</v>
      </c>
      <c r="G437" t="s">
        <v>149</v>
      </c>
      <c r="H437" t="s">
        <v>80</v>
      </c>
      <c r="I437" t="s">
        <v>26</v>
      </c>
      <c r="J437">
        <v>93561</v>
      </c>
      <c r="K437">
        <v>35.095799999999997</v>
      </c>
      <c r="L437">
        <v>-118.391666</v>
      </c>
      <c r="M437" t="s">
        <v>1463</v>
      </c>
      <c r="N437">
        <v>30</v>
      </c>
      <c r="O437" t="s">
        <v>24</v>
      </c>
      <c r="P437">
        <v>4.5</v>
      </c>
      <c r="Q437">
        <v>1.38</v>
      </c>
      <c r="W437" s="18">
        <v>42152</v>
      </c>
    </row>
    <row r="438" spans="1:23" hidden="1" x14ac:dyDescent="0.25">
      <c r="A438" t="s">
        <v>43</v>
      </c>
      <c r="B438" t="s">
        <v>161</v>
      </c>
      <c r="C438">
        <v>2009</v>
      </c>
      <c r="D438" t="s">
        <v>1656</v>
      </c>
      <c r="E438" t="s">
        <v>71</v>
      </c>
      <c r="F438" t="s">
        <v>52</v>
      </c>
      <c r="G438" t="s">
        <v>1025</v>
      </c>
      <c r="H438" t="s">
        <v>88</v>
      </c>
      <c r="I438" t="s">
        <v>26</v>
      </c>
      <c r="J438">
        <v>92883</v>
      </c>
      <c r="K438">
        <v>33.793199999999999</v>
      </c>
      <c r="L438">
        <v>-117.47416699999999</v>
      </c>
      <c r="M438" t="s">
        <v>1617</v>
      </c>
      <c r="N438">
        <v>10</v>
      </c>
      <c r="O438" t="s">
        <v>24</v>
      </c>
      <c r="P438">
        <v>3.77</v>
      </c>
      <c r="Q438">
        <v>17</v>
      </c>
      <c r="S438" s="18">
        <v>40266</v>
      </c>
      <c r="T438" s="18">
        <v>40444</v>
      </c>
      <c r="W438" s="18">
        <v>42684</v>
      </c>
    </row>
    <row r="439" spans="1:23" hidden="1" x14ac:dyDescent="0.25">
      <c r="A439" t="s">
        <v>33</v>
      </c>
      <c r="B439" t="s">
        <v>263</v>
      </c>
      <c r="C439">
        <v>2015</v>
      </c>
      <c r="D439" t="s">
        <v>1655</v>
      </c>
      <c r="E439" t="s">
        <v>130</v>
      </c>
      <c r="F439" t="s">
        <v>52</v>
      </c>
      <c r="G439" t="s">
        <v>861</v>
      </c>
      <c r="H439" t="s">
        <v>860</v>
      </c>
      <c r="I439" t="s">
        <v>26</v>
      </c>
      <c r="J439">
        <v>95935</v>
      </c>
      <c r="K439">
        <v>39.382381340000002</v>
      </c>
      <c r="L439">
        <v>-121.22302000000001</v>
      </c>
      <c r="M439" t="s">
        <v>1625</v>
      </c>
      <c r="N439">
        <v>20</v>
      </c>
      <c r="O439" t="s">
        <v>36</v>
      </c>
      <c r="P439">
        <v>0.5</v>
      </c>
      <c r="Q439">
        <v>1.034</v>
      </c>
      <c r="W439" s="18">
        <v>42423</v>
      </c>
    </row>
    <row r="440" spans="1:23" hidden="1" x14ac:dyDescent="0.25">
      <c r="A440" t="s">
        <v>43</v>
      </c>
      <c r="B440" t="s">
        <v>32</v>
      </c>
      <c r="C440">
        <v>1985</v>
      </c>
      <c r="D440" t="s">
        <v>1654</v>
      </c>
      <c r="E440" t="s">
        <v>30</v>
      </c>
      <c r="F440" t="s">
        <v>52</v>
      </c>
      <c r="G440" t="s">
        <v>81</v>
      </c>
      <c r="H440" t="s">
        <v>12</v>
      </c>
      <c r="I440" t="s">
        <v>26</v>
      </c>
      <c r="J440">
        <v>93501</v>
      </c>
      <c r="K440">
        <v>35.049999999999997</v>
      </c>
      <c r="L440">
        <v>-118.27500000000001</v>
      </c>
      <c r="M440" t="s">
        <v>1654</v>
      </c>
      <c r="N440">
        <v>30</v>
      </c>
      <c r="O440" t="s">
        <v>24</v>
      </c>
      <c r="P440">
        <v>75</v>
      </c>
      <c r="Q440">
        <v>201.9</v>
      </c>
      <c r="W440" s="18">
        <v>43890</v>
      </c>
    </row>
    <row r="441" spans="1:23" hidden="1" x14ac:dyDescent="0.25">
      <c r="A441" t="s">
        <v>43</v>
      </c>
      <c r="B441" t="s">
        <v>111</v>
      </c>
      <c r="C441">
        <v>2020</v>
      </c>
      <c r="D441" t="s">
        <v>109</v>
      </c>
      <c r="E441" t="s">
        <v>109</v>
      </c>
      <c r="F441" t="s">
        <v>40</v>
      </c>
      <c r="G441" t="s">
        <v>109</v>
      </c>
      <c r="H441" t="s">
        <v>109</v>
      </c>
      <c r="I441" t="s">
        <v>26</v>
      </c>
      <c r="J441" t="s">
        <v>110</v>
      </c>
      <c r="K441" t="s">
        <v>109</v>
      </c>
      <c r="L441" t="s">
        <v>109</v>
      </c>
      <c r="M441" t="s">
        <v>1197</v>
      </c>
      <c r="N441">
        <v>2</v>
      </c>
      <c r="O441" t="s">
        <v>36</v>
      </c>
      <c r="Q441">
        <v>5.2770000000000001</v>
      </c>
      <c r="S441" s="18">
        <v>44041</v>
      </c>
      <c r="T441" s="18">
        <v>44068</v>
      </c>
    </row>
    <row r="442" spans="1:23" hidden="1" x14ac:dyDescent="0.25">
      <c r="A442" t="s">
        <v>33</v>
      </c>
      <c r="B442" t="s">
        <v>206</v>
      </c>
      <c r="C442">
        <v>2014</v>
      </c>
      <c r="D442" t="s">
        <v>1653</v>
      </c>
      <c r="E442" t="s">
        <v>130</v>
      </c>
      <c r="F442" t="s">
        <v>52</v>
      </c>
      <c r="G442" t="s">
        <v>382</v>
      </c>
      <c r="H442" t="s">
        <v>12</v>
      </c>
      <c r="I442" t="s">
        <v>26</v>
      </c>
      <c r="J442">
        <v>93268</v>
      </c>
      <c r="K442">
        <v>35.112017000000002</v>
      </c>
      <c r="L442">
        <v>-119.327378</v>
      </c>
      <c r="M442" t="s">
        <v>1652</v>
      </c>
      <c r="N442">
        <v>15</v>
      </c>
      <c r="O442" t="s">
        <v>36</v>
      </c>
      <c r="P442">
        <v>20</v>
      </c>
      <c r="Q442">
        <v>54.947000000000003</v>
      </c>
      <c r="R442" t="s">
        <v>785</v>
      </c>
      <c r="S442" s="18">
        <v>41964</v>
      </c>
      <c r="T442" s="18">
        <v>41994</v>
      </c>
      <c r="W442" s="18">
        <v>42898</v>
      </c>
    </row>
    <row r="443" spans="1:23" hidden="1" x14ac:dyDescent="0.25">
      <c r="A443" t="s">
        <v>33</v>
      </c>
      <c r="B443" t="s">
        <v>201</v>
      </c>
      <c r="C443">
        <v>2009</v>
      </c>
      <c r="D443" t="s">
        <v>1651</v>
      </c>
      <c r="E443" t="s">
        <v>41</v>
      </c>
      <c r="F443" t="s">
        <v>52</v>
      </c>
      <c r="G443" t="s">
        <v>443</v>
      </c>
      <c r="H443" t="s">
        <v>74</v>
      </c>
      <c r="I443" t="s">
        <v>26</v>
      </c>
      <c r="J443">
        <v>96007</v>
      </c>
      <c r="K443">
        <v>40.468800000000002</v>
      </c>
      <c r="L443">
        <v>-122.328</v>
      </c>
      <c r="M443" t="s">
        <v>1650</v>
      </c>
      <c r="N443">
        <v>15</v>
      </c>
      <c r="O443" t="s">
        <v>36</v>
      </c>
      <c r="P443">
        <v>6.8</v>
      </c>
      <c r="Q443">
        <v>50</v>
      </c>
      <c r="S443" s="18">
        <v>40486</v>
      </c>
      <c r="T443" s="18">
        <v>40892</v>
      </c>
      <c r="W443" s="18">
        <v>42034</v>
      </c>
    </row>
    <row r="444" spans="1:23" hidden="1" x14ac:dyDescent="0.25">
      <c r="A444" t="s">
        <v>33</v>
      </c>
      <c r="B444" t="s">
        <v>197</v>
      </c>
      <c r="C444">
        <v>2012</v>
      </c>
      <c r="D444" t="s">
        <v>1649</v>
      </c>
      <c r="E444" t="s">
        <v>30</v>
      </c>
      <c r="F444" t="s">
        <v>52</v>
      </c>
      <c r="G444" t="s">
        <v>28</v>
      </c>
      <c r="H444" t="s">
        <v>35</v>
      </c>
      <c r="I444" t="s">
        <v>26</v>
      </c>
      <c r="J444">
        <v>95351</v>
      </c>
      <c r="K444">
        <v>37.752099999999999</v>
      </c>
      <c r="L444">
        <v>-121.6063</v>
      </c>
      <c r="M444" t="s">
        <v>1645</v>
      </c>
      <c r="N444">
        <v>20</v>
      </c>
      <c r="O444" t="s">
        <v>36</v>
      </c>
      <c r="P444">
        <v>8.6</v>
      </c>
      <c r="Q444">
        <v>22.8</v>
      </c>
      <c r="S444" s="18">
        <v>41690</v>
      </c>
      <c r="T444" s="18">
        <v>41929</v>
      </c>
      <c r="W444" s="18">
        <v>42052</v>
      </c>
    </row>
    <row r="445" spans="1:23" hidden="1" x14ac:dyDescent="0.25">
      <c r="A445" t="s">
        <v>43</v>
      </c>
      <c r="B445" t="s">
        <v>32</v>
      </c>
      <c r="C445">
        <v>1990</v>
      </c>
      <c r="D445" t="s">
        <v>1226</v>
      </c>
      <c r="E445" t="s">
        <v>47</v>
      </c>
      <c r="F445" t="s">
        <v>52</v>
      </c>
      <c r="G445" t="s">
        <v>1227</v>
      </c>
      <c r="H445" t="s">
        <v>103</v>
      </c>
      <c r="I445" t="s">
        <v>1445</v>
      </c>
      <c r="J445">
        <v>91763</v>
      </c>
      <c r="K445">
        <v>34.092300000000002</v>
      </c>
      <c r="L445">
        <v>-117.68467</v>
      </c>
      <c r="M445" t="s">
        <v>1226</v>
      </c>
      <c r="N445">
        <v>30</v>
      </c>
      <c r="O445" t="s">
        <v>24</v>
      </c>
      <c r="P445">
        <v>0.86499999999999999</v>
      </c>
      <c r="Q445">
        <v>0.27</v>
      </c>
      <c r="W445" s="18">
        <v>41840</v>
      </c>
    </row>
    <row r="446" spans="1:23" hidden="1" x14ac:dyDescent="0.25">
      <c r="A446" t="s">
        <v>43</v>
      </c>
      <c r="B446" t="s">
        <v>232</v>
      </c>
      <c r="C446">
        <v>2012</v>
      </c>
      <c r="D446" t="s">
        <v>1648</v>
      </c>
      <c r="E446" t="s">
        <v>130</v>
      </c>
      <c r="F446" t="s">
        <v>52</v>
      </c>
      <c r="G446" t="s">
        <v>1221</v>
      </c>
      <c r="H446" t="s">
        <v>133</v>
      </c>
      <c r="I446" t="s">
        <v>26</v>
      </c>
      <c r="J446">
        <v>92277</v>
      </c>
      <c r="K446">
        <v>34.170699999999997</v>
      </c>
      <c r="L446">
        <v>-116.0775</v>
      </c>
      <c r="M446" t="s">
        <v>1647</v>
      </c>
      <c r="N446">
        <v>20</v>
      </c>
      <c r="O446" t="s">
        <v>36</v>
      </c>
      <c r="P446">
        <v>1.5</v>
      </c>
      <c r="Q446">
        <v>3.53</v>
      </c>
      <c r="S446" s="18">
        <v>41359</v>
      </c>
      <c r="T446" s="18">
        <v>41452</v>
      </c>
      <c r="W446" s="18">
        <v>41886</v>
      </c>
    </row>
    <row r="447" spans="1:23" hidden="1" x14ac:dyDescent="0.25">
      <c r="A447" t="s">
        <v>33</v>
      </c>
      <c r="B447" t="s">
        <v>197</v>
      </c>
      <c r="C447">
        <v>2012</v>
      </c>
      <c r="D447" t="s">
        <v>1646</v>
      </c>
      <c r="E447" t="s">
        <v>30</v>
      </c>
      <c r="F447" t="s">
        <v>52</v>
      </c>
      <c r="G447" t="s">
        <v>28</v>
      </c>
      <c r="H447" t="s">
        <v>35</v>
      </c>
      <c r="I447" t="s">
        <v>26</v>
      </c>
      <c r="J447">
        <v>95351</v>
      </c>
      <c r="K447">
        <v>37.752099999999999</v>
      </c>
      <c r="L447">
        <v>-121.6063</v>
      </c>
      <c r="M447" t="s">
        <v>1645</v>
      </c>
      <c r="N447">
        <v>20</v>
      </c>
      <c r="O447" t="s">
        <v>36</v>
      </c>
      <c r="P447">
        <v>11.4</v>
      </c>
      <c r="Q447">
        <v>30.2</v>
      </c>
      <c r="S447" s="18">
        <v>41690</v>
      </c>
      <c r="T447" s="18">
        <v>41929</v>
      </c>
      <c r="W447" s="18">
        <v>42052</v>
      </c>
    </row>
    <row r="448" spans="1:23" hidden="1" x14ac:dyDescent="0.25">
      <c r="A448" t="s">
        <v>33</v>
      </c>
      <c r="B448" t="s">
        <v>232</v>
      </c>
      <c r="C448">
        <v>2013</v>
      </c>
      <c r="D448" t="s">
        <v>1644</v>
      </c>
      <c r="E448" t="s">
        <v>130</v>
      </c>
      <c r="F448" t="s">
        <v>52</v>
      </c>
      <c r="G448" t="s">
        <v>629</v>
      </c>
      <c r="H448" t="s">
        <v>146</v>
      </c>
      <c r="I448" t="s">
        <v>26</v>
      </c>
      <c r="J448">
        <v>93234</v>
      </c>
      <c r="K448">
        <v>36.139372999999999</v>
      </c>
      <c r="L448">
        <v>-120.16092500000001</v>
      </c>
      <c r="M448" t="s">
        <v>1643</v>
      </c>
      <c r="N448">
        <v>20</v>
      </c>
      <c r="O448" t="s">
        <v>36</v>
      </c>
      <c r="P448">
        <v>1.5</v>
      </c>
      <c r="Q448">
        <v>2.1</v>
      </c>
      <c r="W448" s="18">
        <v>42107</v>
      </c>
    </row>
    <row r="449" spans="1:23" hidden="1" x14ac:dyDescent="0.25">
      <c r="A449" t="s">
        <v>33</v>
      </c>
      <c r="B449" t="s">
        <v>232</v>
      </c>
      <c r="C449">
        <v>2013</v>
      </c>
      <c r="D449" t="s">
        <v>1642</v>
      </c>
      <c r="E449" t="s">
        <v>130</v>
      </c>
      <c r="F449" t="s">
        <v>52</v>
      </c>
      <c r="G449" t="s">
        <v>1641</v>
      </c>
      <c r="H449" t="s">
        <v>649</v>
      </c>
      <c r="I449" t="s">
        <v>26</v>
      </c>
      <c r="J449">
        <v>95973</v>
      </c>
      <c r="K449">
        <v>39.843547000000001</v>
      </c>
      <c r="L449">
        <v>-121.82878100000001</v>
      </c>
      <c r="M449" t="s">
        <v>1629</v>
      </c>
      <c r="N449">
        <v>20</v>
      </c>
      <c r="O449" t="s">
        <v>36</v>
      </c>
      <c r="P449">
        <v>1.25</v>
      </c>
      <c r="Q449">
        <v>1.8</v>
      </c>
      <c r="W449" s="18">
        <v>42241</v>
      </c>
    </row>
    <row r="450" spans="1:23" hidden="1" x14ac:dyDescent="0.25">
      <c r="A450" t="s">
        <v>33</v>
      </c>
      <c r="B450" t="s">
        <v>206</v>
      </c>
      <c r="C450">
        <v>2012</v>
      </c>
      <c r="D450" t="s">
        <v>1640</v>
      </c>
      <c r="E450" t="s">
        <v>130</v>
      </c>
      <c r="F450" t="s">
        <v>52</v>
      </c>
      <c r="G450" t="s">
        <v>199</v>
      </c>
      <c r="H450" t="s">
        <v>1639</v>
      </c>
      <c r="I450" t="s">
        <v>26</v>
      </c>
      <c r="J450">
        <v>95687</v>
      </c>
      <c r="K450">
        <v>38.314500000000002</v>
      </c>
      <c r="L450">
        <v>-121.92700000000001</v>
      </c>
      <c r="M450" t="s">
        <v>1638</v>
      </c>
      <c r="N450">
        <v>20</v>
      </c>
      <c r="O450" t="s">
        <v>36</v>
      </c>
      <c r="P450">
        <v>14</v>
      </c>
      <c r="Q450">
        <v>29.35</v>
      </c>
      <c r="R450" t="s">
        <v>370</v>
      </c>
      <c r="S450" s="18">
        <v>41180</v>
      </c>
      <c r="T450" s="18">
        <v>41222</v>
      </c>
      <c r="W450" s="18">
        <v>42195</v>
      </c>
    </row>
    <row r="451" spans="1:23" hidden="1" x14ac:dyDescent="0.25">
      <c r="A451" t="s">
        <v>33</v>
      </c>
      <c r="B451" t="s">
        <v>263</v>
      </c>
      <c r="C451">
        <v>2014</v>
      </c>
      <c r="D451" t="s">
        <v>1637</v>
      </c>
      <c r="E451" t="s">
        <v>130</v>
      </c>
      <c r="F451" t="s">
        <v>52</v>
      </c>
      <c r="G451" t="s">
        <v>480</v>
      </c>
      <c r="H451" t="s">
        <v>94</v>
      </c>
      <c r="I451" t="s">
        <v>26</v>
      </c>
      <c r="J451">
        <v>94105</v>
      </c>
      <c r="K451">
        <v>38.186768000000001</v>
      </c>
      <c r="L451">
        <v>-121.774292</v>
      </c>
      <c r="M451" t="s">
        <v>1636</v>
      </c>
      <c r="N451">
        <v>20</v>
      </c>
      <c r="O451" t="s">
        <v>36</v>
      </c>
      <c r="P451">
        <v>2.1</v>
      </c>
      <c r="Q451">
        <v>5.3170000000000002</v>
      </c>
      <c r="W451" s="18">
        <v>42423</v>
      </c>
    </row>
    <row r="452" spans="1:23" hidden="1" x14ac:dyDescent="0.25">
      <c r="A452" t="s">
        <v>43</v>
      </c>
      <c r="B452" t="s">
        <v>232</v>
      </c>
      <c r="C452">
        <v>2012</v>
      </c>
      <c r="D452" t="s">
        <v>1635</v>
      </c>
      <c r="E452" t="s">
        <v>130</v>
      </c>
      <c r="F452" t="s">
        <v>52</v>
      </c>
      <c r="G452" t="s">
        <v>1508</v>
      </c>
      <c r="H452" t="s">
        <v>133</v>
      </c>
      <c r="I452" t="s">
        <v>26</v>
      </c>
      <c r="J452">
        <v>92285</v>
      </c>
      <c r="K452">
        <v>34.343615999999997</v>
      </c>
      <c r="L452">
        <v>-116.471144</v>
      </c>
      <c r="M452" t="s">
        <v>1507</v>
      </c>
      <c r="N452">
        <v>20</v>
      </c>
      <c r="O452" t="s">
        <v>36</v>
      </c>
      <c r="P452">
        <v>1.5</v>
      </c>
      <c r="Q452">
        <v>4.8499999999999996</v>
      </c>
      <c r="S452" s="18">
        <v>41359</v>
      </c>
      <c r="T452" s="18">
        <v>41452</v>
      </c>
      <c r="W452" s="18">
        <v>42041</v>
      </c>
    </row>
    <row r="453" spans="1:23" hidden="1" x14ac:dyDescent="0.25">
      <c r="A453" t="s">
        <v>33</v>
      </c>
      <c r="B453" t="s">
        <v>263</v>
      </c>
      <c r="C453">
        <v>2015</v>
      </c>
      <c r="D453" t="s">
        <v>1634</v>
      </c>
      <c r="E453" t="s">
        <v>130</v>
      </c>
      <c r="F453" t="s">
        <v>52</v>
      </c>
      <c r="G453" t="s">
        <v>608</v>
      </c>
      <c r="H453" t="s">
        <v>35</v>
      </c>
      <c r="I453" t="s">
        <v>26</v>
      </c>
      <c r="J453">
        <v>95240</v>
      </c>
      <c r="K453">
        <v>38.149211149999999</v>
      </c>
      <c r="L453">
        <v>-121.10779983099999</v>
      </c>
      <c r="M453" t="s">
        <v>1625</v>
      </c>
      <c r="N453">
        <v>20</v>
      </c>
      <c r="O453" t="s">
        <v>36</v>
      </c>
      <c r="P453">
        <v>1.82</v>
      </c>
      <c r="Q453">
        <v>4.2960000000000003</v>
      </c>
      <c r="W453" s="18">
        <v>42409</v>
      </c>
    </row>
    <row r="454" spans="1:23" hidden="1" x14ac:dyDescent="0.25">
      <c r="A454" t="s">
        <v>67</v>
      </c>
      <c r="B454" t="s">
        <v>206</v>
      </c>
      <c r="C454">
        <v>2013</v>
      </c>
      <c r="D454" t="s">
        <v>1633</v>
      </c>
      <c r="E454" t="s">
        <v>130</v>
      </c>
      <c r="F454" t="s">
        <v>204</v>
      </c>
      <c r="G454" t="s">
        <v>1397</v>
      </c>
      <c r="H454" t="s">
        <v>133</v>
      </c>
      <c r="I454" t="s">
        <v>26</v>
      </c>
      <c r="J454">
        <v>92394</v>
      </c>
      <c r="K454">
        <v>34.589970000000001</v>
      </c>
      <c r="L454">
        <v>-117.27500000000001</v>
      </c>
      <c r="M454" t="s">
        <v>1632</v>
      </c>
      <c r="N454">
        <v>20</v>
      </c>
      <c r="O454" t="s">
        <v>36</v>
      </c>
      <c r="P454">
        <v>10</v>
      </c>
      <c r="Q454">
        <v>27.32</v>
      </c>
      <c r="R454" t="s">
        <v>484</v>
      </c>
      <c r="S454" s="18">
        <v>41600</v>
      </c>
      <c r="T454" s="18">
        <v>41628</v>
      </c>
    </row>
    <row r="455" spans="1:23" hidden="1" x14ac:dyDescent="0.25">
      <c r="A455" t="s">
        <v>33</v>
      </c>
      <c r="B455" t="s">
        <v>263</v>
      </c>
      <c r="C455">
        <v>2015</v>
      </c>
      <c r="D455" t="s">
        <v>1631</v>
      </c>
      <c r="E455" t="s">
        <v>130</v>
      </c>
      <c r="F455" t="s">
        <v>52</v>
      </c>
      <c r="G455" t="s">
        <v>636</v>
      </c>
      <c r="H455" t="s">
        <v>146</v>
      </c>
      <c r="I455" t="s">
        <v>26</v>
      </c>
      <c r="J455">
        <v>93654</v>
      </c>
      <c r="K455">
        <v>36.612608780000002</v>
      </c>
      <c r="L455">
        <v>-119.382335313</v>
      </c>
      <c r="M455" t="s">
        <v>1625</v>
      </c>
      <c r="N455">
        <v>20</v>
      </c>
      <c r="O455" t="s">
        <v>36</v>
      </c>
      <c r="P455">
        <v>1.04</v>
      </c>
      <c r="Q455">
        <v>2.411</v>
      </c>
      <c r="W455" s="18">
        <v>42409</v>
      </c>
    </row>
    <row r="456" spans="1:23" hidden="1" x14ac:dyDescent="0.25">
      <c r="A456" t="s">
        <v>33</v>
      </c>
      <c r="B456" t="s">
        <v>263</v>
      </c>
      <c r="C456">
        <v>2016</v>
      </c>
      <c r="D456" t="s">
        <v>1630</v>
      </c>
      <c r="E456" t="s">
        <v>130</v>
      </c>
      <c r="F456" t="s">
        <v>52</v>
      </c>
      <c r="G456" t="s">
        <v>443</v>
      </c>
      <c r="H456" t="s">
        <v>74</v>
      </c>
      <c r="I456" t="s">
        <v>26</v>
      </c>
      <c r="J456">
        <v>96007</v>
      </c>
      <c r="K456">
        <v>40.481972376000002</v>
      </c>
      <c r="L456">
        <v>-122.21201208700001</v>
      </c>
      <c r="M456" t="s">
        <v>1629</v>
      </c>
      <c r="N456">
        <v>20</v>
      </c>
      <c r="O456" t="s">
        <v>36</v>
      </c>
      <c r="P456">
        <v>0.33300000000000002</v>
      </c>
      <c r="Q456">
        <v>0.77700000000000002</v>
      </c>
      <c r="W456" s="18">
        <v>43332</v>
      </c>
    </row>
    <row r="457" spans="1:23" hidden="1" x14ac:dyDescent="0.25">
      <c r="A457" t="s">
        <v>33</v>
      </c>
      <c r="B457" t="s">
        <v>263</v>
      </c>
      <c r="C457">
        <v>2016</v>
      </c>
      <c r="D457" t="s">
        <v>1628</v>
      </c>
      <c r="E457" t="s">
        <v>130</v>
      </c>
      <c r="F457" t="s">
        <v>52</v>
      </c>
      <c r="G457" t="s">
        <v>1627</v>
      </c>
      <c r="H457" t="s">
        <v>845</v>
      </c>
      <c r="I457" t="s">
        <v>26</v>
      </c>
      <c r="J457">
        <v>95642</v>
      </c>
      <c r="K457">
        <v>38.327215590999998</v>
      </c>
      <c r="L457">
        <v>-120.75854337600001</v>
      </c>
      <c r="M457" t="s">
        <v>1625</v>
      </c>
      <c r="N457">
        <v>20</v>
      </c>
      <c r="O457" t="s">
        <v>36</v>
      </c>
      <c r="P457">
        <v>0.5</v>
      </c>
      <c r="Q457">
        <v>1.173</v>
      </c>
      <c r="W457" s="18">
        <v>42463</v>
      </c>
    </row>
    <row r="458" spans="1:23" hidden="1" x14ac:dyDescent="0.25">
      <c r="A458" t="s">
        <v>33</v>
      </c>
      <c r="B458" t="s">
        <v>232</v>
      </c>
      <c r="C458">
        <v>2013</v>
      </c>
      <c r="D458" t="s">
        <v>1626</v>
      </c>
      <c r="E458" t="s">
        <v>130</v>
      </c>
      <c r="F458" t="s">
        <v>52</v>
      </c>
      <c r="G458" t="s">
        <v>498</v>
      </c>
      <c r="H458" t="s">
        <v>12</v>
      </c>
      <c r="I458" t="s">
        <v>26</v>
      </c>
      <c r="J458">
        <v>93268</v>
      </c>
      <c r="K458">
        <v>35.212401999999997</v>
      </c>
      <c r="L458">
        <v>-119.394713</v>
      </c>
      <c r="M458" t="s">
        <v>1625</v>
      </c>
      <c r="N458">
        <v>20</v>
      </c>
      <c r="O458" t="s">
        <v>36</v>
      </c>
      <c r="P458">
        <v>0.5</v>
      </c>
      <c r="Q458">
        <v>0.7</v>
      </c>
      <c r="W458" s="18">
        <v>41911</v>
      </c>
    </row>
    <row r="459" spans="1:23" hidden="1" x14ac:dyDescent="0.25">
      <c r="A459" t="s">
        <v>33</v>
      </c>
      <c r="B459" t="s">
        <v>232</v>
      </c>
      <c r="C459">
        <v>2012</v>
      </c>
      <c r="D459" t="s">
        <v>1624</v>
      </c>
      <c r="E459" t="s">
        <v>130</v>
      </c>
      <c r="F459" t="s">
        <v>52</v>
      </c>
      <c r="G459" t="s">
        <v>173</v>
      </c>
      <c r="H459" t="s">
        <v>12</v>
      </c>
      <c r="I459" t="s">
        <v>26</v>
      </c>
      <c r="J459">
        <v>93307</v>
      </c>
      <c r="K459">
        <v>35.310690000000001</v>
      </c>
      <c r="L459">
        <v>-118.9477</v>
      </c>
      <c r="M459" t="s">
        <v>1623</v>
      </c>
      <c r="N459">
        <v>20</v>
      </c>
      <c r="O459" t="s">
        <v>36</v>
      </c>
      <c r="P459">
        <v>1.5</v>
      </c>
      <c r="Q459">
        <v>2.1</v>
      </c>
      <c r="W459" s="18">
        <v>41892</v>
      </c>
    </row>
    <row r="460" spans="1:23" hidden="1" x14ac:dyDescent="0.25">
      <c r="A460" t="s">
        <v>33</v>
      </c>
      <c r="B460" t="s">
        <v>263</v>
      </c>
      <c r="C460">
        <v>2014</v>
      </c>
      <c r="D460" t="s">
        <v>1622</v>
      </c>
      <c r="E460" t="s">
        <v>130</v>
      </c>
      <c r="F460" t="s">
        <v>52</v>
      </c>
      <c r="G460" t="s">
        <v>1621</v>
      </c>
      <c r="H460" t="s">
        <v>153</v>
      </c>
      <c r="I460" t="s">
        <v>26</v>
      </c>
      <c r="J460">
        <v>95322</v>
      </c>
      <c r="K460">
        <v>37.240153646899998</v>
      </c>
      <c r="L460">
        <v>-121.047965781</v>
      </c>
      <c r="M460" t="s">
        <v>1620</v>
      </c>
      <c r="N460">
        <v>20</v>
      </c>
      <c r="O460" t="s">
        <v>36</v>
      </c>
      <c r="P460">
        <v>2</v>
      </c>
      <c r="Q460">
        <v>4.1959999999999997</v>
      </c>
      <c r="W460" s="18">
        <v>42506</v>
      </c>
    </row>
    <row r="461" spans="1:23" hidden="1" x14ac:dyDescent="0.25">
      <c r="A461" t="s">
        <v>43</v>
      </c>
      <c r="B461" t="s">
        <v>161</v>
      </c>
      <c r="C461">
        <v>2009</v>
      </c>
      <c r="D461" t="s">
        <v>1619</v>
      </c>
      <c r="E461" t="s">
        <v>71</v>
      </c>
      <c r="F461" t="s">
        <v>52</v>
      </c>
      <c r="G461" t="s">
        <v>1618</v>
      </c>
      <c r="H461" t="s">
        <v>234</v>
      </c>
      <c r="I461" t="s">
        <v>26</v>
      </c>
      <c r="J461">
        <v>93065</v>
      </c>
      <c r="K461">
        <v>34.292000000000002</v>
      </c>
      <c r="L461">
        <v>-118.799333</v>
      </c>
      <c r="M461" t="s">
        <v>1617</v>
      </c>
      <c r="N461">
        <v>10</v>
      </c>
      <c r="O461" t="s">
        <v>24</v>
      </c>
      <c r="P461">
        <v>2.4900000000000002</v>
      </c>
      <c r="Q461">
        <v>11</v>
      </c>
      <c r="S461" s="18">
        <v>40266</v>
      </c>
      <c r="T461" s="18">
        <v>40444</v>
      </c>
      <c r="W461" s="18">
        <v>42684</v>
      </c>
    </row>
    <row r="462" spans="1:23" hidden="1" x14ac:dyDescent="0.25">
      <c r="A462" t="s">
        <v>43</v>
      </c>
      <c r="B462" t="s">
        <v>232</v>
      </c>
      <c r="C462">
        <v>2012</v>
      </c>
      <c r="D462" t="s">
        <v>1616</v>
      </c>
      <c r="E462" t="s">
        <v>130</v>
      </c>
      <c r="F462" t="s">
        <v>204</v>
      </c>
      <c r="G462" t="s">
        <v>973</v>
      </c>
      <c r="H462" t="s">
        <v>533</v>
      </c>
      <c r="I462" t="s">
        <v>26</v>
      </c>
      <c r="J462">
        <v>93230</v>
      </c>
      <c r="K462">
        <v>36.213900000000002</v>
      </c>
      <c r="L462">
        <v>-119.34569999999999</v>
      </c>
      <c r="M462" t="s">
        <v>1569</v>
      </c>
      <c r="N462">
        <v>20</v>
      </c>
      <c r="O462" t="s">
        <v>36</v>
      </c>
      <c r="P462">
        <v>1.5</v>
      </c>
      <c r="Q462">
        <v>3.24</v>
      </c>
      <c r="S462" s="18">
        <v>41359</v>
      </c>
      <c r="T462" s="18">
        <v>41452</v>
      </c>
      <c r="W462" s="18">
        <v>41863</v>
      </c>
    </row>
    <row r="463" spans="1:23" hidden="1" x14ac:dyDescent="0.25">
      <c r="A463" t="s">
        <v>67</v>
      </c>
      <c r="B463" t="s">
        <v>232</v>
      </c>
      <c r="C463">
        <v>2013</v>
      </c>
      <c r="D463" t="s">
        <v>1615</v>
      </c>
      <c r="E463" t="s">
        <v>130</v>
      </c>
      <c r="F463" t="s">
        <v>204</v>
      </c>
      <c r="G463" t="s">
        <v>1592</v>
      </c>
      <c r="H463" t="s">
        <v>129</v>
      </c>
      <c r="I463" t="s">
        <v>26</v>
      </c>
      <c r="J463">
        <v>91962</v>
      </c>
      <c r="K463">
        <v>32.760590000000001</v>
      </c>
      <c r="L463">
        <v>-116.489</v>
      </c>
      <c r="M463" t="s">
        <v>1500</v>
      </c>
      <c r="N463">
        <v>20</v>
      </c>
      <c r="O463" t="s">
        <v>36</v>
      </c>
      <c r="P463">
        <v>1.5</v>
      </c>
      <c r="Q463">
        <v>3.3479999999999999</v>
      </c>
    </row>
    <row r="464" spans="1:23" hidden="1" x14ac:dyDescent="0.25">
      <c r="A464" t="s">
        <v>43</v>
      </c>
      <c r="B464" t="s">
        <v>232</v>
      </c>
      <c r="C464">
        <v>2012</v>
      </c>
      <c r="D464" t="s">
        <v>1614</v>
      </c>
      <c r="E464" t="s">
        <v>130</v>
      </c>
      <c r="F464" t="s">
        <v>204</v>
      </c>
      <c r="G464" t="s">
        <v>1581</v>
      </c>
      <c r="H464" t="s">
        <v>133</v>
      </c>
      <c r="I464" t="s">
        <v>26</v>
      </c>
      <c r="J464">
        <v>92252</v>
      </c>
      <c r="K464">
        <v>34.1404</v>
      </c>
      <c r="L464">
        <v>-116.2277</v>
      </c>
      <c r="M464" t="s">
        <v>1614</v>
      </c>
      <c r="N464">
        <v>20</v>
      </c>
      <c r="O464" t="s">
        <v>36</v>
      </c>
      <c r="P464">
        <v>1.5</v>
      </c>
      <c r="Q464">
        <v>3.6</v>
      </c>
      <c r="S464" s="18">
        <v>41359</v>
      </c>
      <c r="T464" s="18">
        <v>41452</v>
      </c>
    </row>
    <row r="465" spans="1:23" hidden="1" x14ac:dyDescent="0.25">
      <c r="A465" t="s">
        <v>43</v>
      </c>
      <c r="B465" t="s">
        <v>540</v>
      </c>
      <c r="C465">
        <v>2015</v>
      </c>
      <c r="D465" t="s">
        <v>1613</v>
      </c>
      <c r="E465" t="s">
        <v>90</v>
      </c>
      <c r="F465" t="s">
        <v>204</v>
      </c>
      <c r="G465" t="s">
        <v>1000</v>
      </c>
      <c r="H465" t="s">
        <v>133</v>
      </c>
      <c r="I465" t="s">
        <v>26</v>
      </c>
      <c r="J465">
        <v>91761</v>
      </c>
      <c r="K465">
        <v>34.039000000000001</v>
      </c>
      <c r="L465">
        <v>-117.634</v>
      </c>
      <c r="M465" t="s">
        <v>1510</v>
      </c>
      <c r="N465">
        <v>20</v>
      </c>
      <c r="O465" t="s">
        <v>36</v>
      </c>
      <c r="P465">
        <v>1.88</v>
      </c>
      <c r="Q465">
        <v>3.78</v>
      </c>
      <c r="S465" s="18">
        <v>42111</v>
      </c>
      <c r="W465" s="18">
        <v>42471</v>
      </c>
    </row>
    <row r="466" spans="1:23" hidden="1" x14ac:dyDescent="0.25">
      <c r="A466" t="s">
        <v>43</v>
      </c>
      <c r="B466" t="s">
        <v>232</v>
      </c>
      <c r="C466">
        <v>2012</v>
      </c>
      <c r="D466" t="s">
        <v>1612</v>
      </c>
      <c r="E466" t="s">
        <v>130</v>
      </c>
      <c r="F466" t="s">
        <v>52</v>
      </c>
      <c r="G466" t="s">
        <v>1508</v>
      </c>
      <c r="H466" t="s">
        <v>133</v>
      </c>
      <c r="I466" t="s">
        <v>26</v>
      </c>
      <c r="J466">
        <v>92285</v>
      </c>
      <c r="K466">
        <v>34.341808999999998</v>
      </c>
      <c r="L466">
        <v>-116.473208</v>
      </c>
      <c r="M466" t="s">
        <v>1507</v>
      </c>
      <c r="N466">
        <v>20</v>
      </c>
      <c r="O466" t="s">
        <v>36</v>
      </c>
      <c r="P466">
        <v>1.5</v>
      </c>
      <c r="Q466">
        <v>4.8499999999999996</v>
      </c>
      <c r="S466" s="18">
        <v>41359</v>
      </c>
      <c r="T466" s="18">
        <v>41452</v>
      </c>
      <c r="W466" s="18">
        <v>42041</v>
      </c>
    </row>
    <row r="467" spans="1:23" hidden="1" x14ac:dyDescent="0.25">
      <c r="A467" t="s">
        <v>67</v>
      </c>
      <c r="B467" t="s">
        <v>232</v>
      </c>
      <c r="C467">
        <v>2013</v>
      </c>
      <c r="D467" t="s">
        <v>1611</v>
      </c>
      <c r="E467" t="s">
        <v>130</v>
      </c>
      <c r="F467" t="s">
        <v>204</v>
      </c>
      <c r="G467" t="s">
        <v>1610</v>
      </c>
      <c r="H467" t="s">
        <v>129</v>
      </c>
      <c r="I467" t="s">
        <v>26</v>
      </c>
      <c r="J467">
        <v>92036</v>
      </c>
      <c r="K467">
        <v>33.083399999999997</v>
      </c>
      <c r="L467">
        <v>-116.639</v>
      </c>
      <c r="M467" t="s">
        <v>1609</v>
      </c>
      <c r="N467">
        <v>20</v>
      </c>
      <c r="O467" t="s">
        <v>36</v>
      </c>
      <c r="P467">
        <v>1</v>
      </c>
      <c r="Q467">
        <v>2.3289</v>
      </c>
    </row>
    <row r="468" spans="1:23" hidden="1" x14ac:dyDescent="0.25">
      <c r="A468" t="s">
        <v>43</v>
      </c>
      <c r="B468" t="s">
        <v>540</v>
      </c>
      <c r="C468">
        <v>2015</v>
      </c>
      <c r="D468" t="s">
        <v>1608</v>
      </c>
      <c r="E468" t="s">
        <v>90</v>
      </c>
      <c r="F468" t="s">
        <v>52</v>
      </c>
      <c r="G468" t="s">
        <v>1607</v>
      </c>
      <c r="H468" t="s">
        <v>259</v>
      </c>
      <c r="I468" t="s">
        <v>26</v>
      </c>
      <c r="J468">
        <v>90220</v>
      </c>
      <c r="K468">
        <v>33.869</v>
      </c>
      <c r="L468">
        <v>-118.22499999999999</v>
      </c>
      <c r="M468" t="s">
        <v>1606</v>
      </c>
      <c r="N468">
        <v>20</v>
      </c>
      <c r="O468" t="s">
        <v>36</v>
      </c>
      <c r="P468">
        <v>1.2</v>
      </c>
      <c r="Q468">
        <v>2.31</v>
      </c>
      <c r="S468" s="18">
        <v>42111</v>
      </c>
      <c r="T468" s="18">
        <v>42132</v>
      </c>
      <c r="W468" s="18">
        <v>42709</v>
      </c>
    </row>
    <row r="469" spans="1:23" hidden="1" x14ac:dyDescent="0.25">
      <c r="A469" t="s">
        <v>67</v>
      </c>
      <c r="B469" t="s">
        <v>197</v>
      </c>
      <c r="C469">
        <v>2018</v>
      </c>
      <c r="D469" t="s">
        <v>1605</v>
      </c>
      <c r="E469" t="s">
        <v>130</v>
      </c>
      <c r="F469" t="s">
        <v>52</v>
      </c>
      <c r="G469" t="s">
        <v>1604</v>
      </c>
      <c r="H469" t="s">
        <v>129</v>
      </c>
      <c r="I469" t="s">
        <v>26</v>
      </c>
      <c r="J469">
        <v>91903</v>
      </c>
      <c r="K469">
        <v>32.391241399999998</v>
      </c>
      <c r="L469">
        <v>-116.30117300000001</v>
      </c>
      <c r="M469" t="s">
        <v>1603</v>
      </c>
      <c r="N469">
        <v>20</v>
      </c>
      <c r="O469" t="s">
        <v>36</v>
      </c>
      <c r="P469">
        <v>2.4</v>
      </c>
      <c r="Q469">
        <v>7.3</v>
      </c>
      <c r="S469" s="18">
        <v>43238</v>
      </c>
      <c r="U469" s="18">
        <v>43262</v>
      </c>
      <c r="W469" s="18">
        <v>44280</v>
      </c>
    </row>
    <row r="470" spans="1:23" hidden="1" x14ac:dyDescent="0.25">
      <c r="A470" t="s">
        <v>67</v>
      </c>
      <c r="B470" t="s">
        <v>923</v>
      </c>
      <c r="C470">
        <v>2017</v>
      </c>
      <c r="D470" t="s">
        <v>1602</v>
      </c>
      <c r="E470" t="s">
        <v>948</v>
      </c>
      <c r="F470" t="s">
        <v>52</v>
      </c>
      <c r="G470" t="s">
        <v>1495</v>
      </c>
      <c r="H470" t="s">
        <v>129</v>
      </c>
      <c r="I470" t="s">
        <v>26</v>
      </c>
      <c r="J470">
        <v>92040</v>
      </c>
      <c r="K470">
        <v>32.900236474147803</v>
      </c>
      <c r="L470">
        <v>-116.93556068584</v>
      </c>
      <c r="M470" t="s">
        <v>1565</v>
      </c>
      <c r="N470">
        <v>20</v>
      </c>
      <c r="O470" t="s">
        <v>36</v>
      </c>
      <c r="P470">
        <v>3</v>
      </c>
      <c r="Q470">
        <v>24.44</v>
      </c>
      <c r="W470" s="18">
        <v>44279</v>
      </c>
    </row>
    <row r="471" spans="1:23" hidden="1" x14ac:dyDescent="0.25">
      <c r="A471" t="s">
        <v>43</v>
      </c>
      <c r="B471" t="s">
        <v>206</v>
      </c>
      <c r="C471">
        <v>2014</v>
      </c>
      <c r="D471" t="s">
        <v>1601</v>
      </c>
      <c r="E471" t="s">
        <v>130</v>
      </c>
      <c r="F471" t="s">
        <v>52</v>
      </c>
      <c r="G471" t="s">
        <v>1563</v>
      </c>
      <c r="H471" t="s">
        <v>59</v>
      </c>
      <c r="I471" t="s">
        <v>26</v>
      </c>
      <c r="J471">
        <v>92582</v>
      </c>
      <c r="K471">
        <v>33.810200000000002</v>
      </c>
      <c r="L471">
        <v>-117.033756</v>
      </c>
      <c r="M471" t="s">
        <v>102</v>
      </c>
      <c r="N471">
        <v>20</v>
      </c>
      <c r="O471" t="s">
        <v>36</v>
      </c>
      <c r="P471">
        <v>5.5</v>
      </c>
      <c r="Q471">
        <v>13.72</v>
      </c>
      <c r="R471" t="s">
        <v>785</v>
      </c>
      <c r="S471" s="18">
        <v>41949</v>
      </c>
      <c r="T471" s="18">
        <v>42025</v>
      </c>
      <c r="W471" s="18">
        <v>42439</v>
      </c>
    </row>
    <row r="472" spans="1:23" hidden="1" x14ac:dyDescent="0.25">
      <c r="A472" t="s">
        <v>43</v>
      </c>
      <c r="B472" t="s">
        <v>540</v>
      </c>
      <c r="C472">
        <v>2015</v>
      </c>
      <c r="D472" t="s">
        <v>1600</v>
      </c>
      <c r="E472" t="s">
        <v>90</v>
      </c>
      <c r="F472" t="s">
        <v>204</v>
      </c>
      <c r="G472" t="s">
        <v>1000</v>
      </c>
      <c r="H472" t="s">
        <v>133</v>
      </c>
      <c r="I472" t="s">
        <v>26</v>
      </c>
      <c r="J472">
        <v>91761</v>
      </c>
      <c r="K472">
        <v>34.049999999999997</v>
      </c>
      <c r="L472">
        <v>-117.569</v>
      </c>
      <c r="M472" t="s">
        <v>1510</v>
      </c>
      <c r="N472">
        <v>20</v>
      </c>
      <c r="O472" t="s">
        <v>36</v>
      </c>
      <c r="P472">
        <v>1.2</v>
      </c>
      <c r="Q472">
        <v>2.2400000000000002</v>
      </c>
      <c r="S472" s="18">
        <v>42111</v>
      </c>
      <c r="W472" s="18">
        <v>42471</v>
      </c>
    </row>
    <row r="473" spans="1:23" hidden="1" x14ac:dyDescent="0.25">
      <c r="A473" t="s">
        <v>43</v>
      </c>
      <c r="B473" t="s">
        <v>32</v>
      </c>
      <c r="C473">
        <v>1985</v>
      </c>
      <c r="D473" t="s">
        <v>1599</v>
      </c>
      <c r="E473" t="s">
        <v>47</v>
      </c>
      <c r="F473" t="s">
        <v>52</v>
      </c>
      <c r="G473" t="s">
        <v>1040</v>
      </c>
      <c r="H473" t="s">
        <v>98</v>
      </c>
      <c r="I473" t="s">
        <v>1445</v>
      </c>
      <c r="J473">
        <v>91311</v>
      </c>
      <c r="K473">
        <v>34.261944</v>
      </c>
      <c r="L473">
        <v>-118.624167</v>
      </c>
      <c r="M473" t="s">
        <v>44</v>
      </c>
      <c r="N473">
        <v>30</v>
      </c>
      <c r="O473" t="s">
        <v>24</v>
      </c>
      <c r="P473">
        <v>1.25</v>
      </c>
      <c r="Q473">
        <v>5.49</v>
      </c>
      <c r="W473" s="18">
        <v>41913</v>
      </c>
    </row>
    <row r="474" spans="1:23" hidden="1" x14ac:dyDescent="0.25">
      <c r="A474" t="s">
        <v>43</v>
      </c>
      <c r="B474" t="s">
        <v>540</v>
      </c>
      <c r="C474">
        <v>2013</v>
      </c>
      <c r="D474" t="s">
        <v>1598</v>
      </c>
      <c r="E474" t="s">
        <v>90</v>
      </c>
      <c r="F474" t="s">
        <v>52</v>
      </c>
      <c r="G474" t="s">
        <v>1511</v>
      </c>
      <c r="H474" t="s">
        <v>133</v>
      </c>
      <c r="I474" t="s">
        <v>26</v>
      </c>
      <c r="J474">
        <v>92337</v>
      </c>
      <c r="K474">
        <v>34.047199999999997</v>
      </c>
      <c r="L474">
        <v>-117.5138</v>
      </c>
      <c r="M474" t="s">
        <v>1510</v>
      </c>
      <c r="N474">
        <v>20</v>
      </c>
      <c r="O474" t="s">
        <v>36</v>
      </c>
      <c r="P474">
        <v>1</v>
      </c>
      <c r="Q474">
        <v>1.98</v>
      </c>
      <c r="S474" s="18">
        <v>41716</v>
      </c>
      <c r="T474" s="18">
        <v>41771</v>
      </c>
      <c r="W474" s="18">
        <v>42114</v>
      </c>
    </row>
    <row r="475" spans="1:23" hidden="1" x14ac:dyDescent="0.25">
      <c r="A475" t="s">
        <v>43</v>
      </c>
      <c r="B475" t="s">
        <v>540</v>
      </c>
      <c r="C475">
        <v>2013</v>
      </c>
      <c r="D475" t="s">
        <v>1597</v>
      </c>
      <c r="E475" t="s">
        <v>90</v>
      </c>
      <c r="F475" t="s">
        <v>52</v>
      </c>
      <c r="G475" t="s">
        <v>1596</v>
      </c>
      <c r="H475" t="s">
        <v>88</v>
      </c>
      <c r="I475" t="s">
        <v>26</v>
      </c>
      <c r="J475">
        <v>91752</v>
      </c>
      <c r="K475">
        <v>34.031999999999996</v>
      </c>
      <c r="L475">
        <v>-117.5277</v>
      </c>
      <c r="M475" t="s">
        <v>1595</v>
      </c>
      <c r="N475">
        <v>20</v>
      </c>
      <c r="O475" t="s">
        <v>36</v>
      </c>
      <c r="P475">
        <v>0.5</v>
      </c>
      <c r="Q475">
        <v>1.1000000000000001</v>
      </c>
      <c r="S475" s="18">
        <v>41716</v>
      </c>
      <c r="T475" s="18">
        <v>41771</v>
      </c>
      <c r="W475" s="18">
        <v>42512</v>
      </c>
    </row>
    <row r="476" spans="1:23" hidden="1" x14ac:dyDescent="0.25">
      <c r="A476" t="s">
        <v>43</v>
      </c>
      <c r="B476" t="s">
        <v>232</v>
      </c>
      <c r="C476">
        <v>2012</v>
      </c>
      <c r="D476" t="s">
        <v>1594</v>
      </c>
      <c r="E476" t="s">
        <v>130</v>
      </c>
      <c r="F476" t="s">
        <v>52</v>
      </c>
      <c r="G476" t="s">
        <v>1094</v>
      </c>
      <c r="H476" t="s">
        <v>133</v>
      </c>
      <c r="I476" t="s">
        <v>26</v>
      </c>
      <c r="J476">
        <v>92307</v>
      </c>
      <c r="K476">
        <v>34.321300000000001</v>
      </c>
      <c r="L476">
        <v>-117.10760000000001</v>
      </c>
      <c r="M476" t="s">
        <v>1559</v>
      </c>
      <c r="N476">
        <v>20</v>
      </c>
      <c r="O476" t="s">
        <v>36</v>
      </c>
      <c r="P476">
        <v>1.5</v>
      </c>
      <c r="Q476">
        <v>3.29</v>
      </c>
      <c r="S476" s="18">
        <v>41359</v>
      </c>
      <c r="T476" s="18">
        <v>41452</v>
      </c>
      <c r="W476" s="18">
        <v>42063</v>
      </c>
    </row>
    <row r="477" spans="1:23" hidden="1" x14ac:dyDescent="0.25">
      <c r="A477" t="s">
        <v>67</v>
      </c>
      <c r="B477" t="s">
        <v>232</v>
      </c>
      <c r="C477">
        <v>2013</v>
      </c>
      <c r="D477" t="s">
        <v>1593</v>
      </c>
      <c r="E477" t="s">
        <v>130</v>
      </c>
      <c r="F477" t="s">
        <v>204</v>
      </c>
      <c r="G477" t="s">
        <v>1592</v>
      </c>
      <c r="H477" t="s">
        <v>129</v>
      </c>
      <c r="I477" t="s">
        <v>26</v>
      </c>
      <c r="J477">
        <v>91962</v>
      </c>
      <c r="K477">
        <v>32.762259999999998</v>
      </c>
      <c r="L477">
        <v>-116.488</v>
      </c>
      <c r="M477" t="s">
        <v>1500</v>
      </c>
      <c r="N477">
        <v>20</v>
      </c>
      <c r="O477" t="s">
        <v>36</v>
      </c>
      <c r="P477">
        <v>1.5</v>
      </c>
      <c r="Q477">
        <v>3.35</v>
      </c>
    </row>
    <row r="478" spans="1:23" hidden="1" x14ac:dyDescent="0.25">
      <c r="A478" t="s">
        <v>43</v>
      </c>
      <c r="B478" t="s">
        <v>232</v>
      </c>
      <c r="C478">
        <v>2012</v>
      </c>
      <c r="D478" t="s">
        <v>1591</v>
      </c>
      <c r="E478" t="s">
        <v>130</v>
      </c>
      <c r="F478" t="s">
        <v>52</v>
      </c>
      <c r="G478" t="s">
        <v>1221</v>
      </c>
      <c r="H478" t="s">
        <v>133</v>
      </c>
      <c r="I478" t="s">
        <v>26</v>
      </c>
      <c r="J478">
        <v>92277</v>
      </c>
      <c r="K478">
        <v>34.170299999999997</v>
      </c>
      <c r="L478">
        <v>-116.07559999999999</v>
      </c>
      <c r="M478" t="s">
        <v>1590</v>
      </c>
      <c r="N478">
        <v>20</v>
      </c>
      <c r="O478" t="s">
        <v>36</v>
      </c>
      <c r="P478">
        <v>1.5</v>
      </c>
      <c r="Q478">
        <v>3.53</v>
      </c>
      <c r="S478" s="18">
        <v>41359</v>
      </c>
      <c r="T478" s="18">
        <v>41452</v>
      </c>
      <c r="W478" s="18">
        <v>41886</v>
      </c>
    </row>
    <row r="479" spans="1:23" hidden="1" x14ac:dyDescent="0.25">
      <c r="A479" t="s">
        <v>43</v>
      </c>
      <c r="B479" t="s">
        <v>232</v>
      </c>
      <c r="C479">
        <v>2012</v>
      </c>
      <c r="D479" t="s">
        <v>1589</v>
      </c>
      <c r="E479" t="s">
        <v>130</v>
      </c>
      <c r="F479" t="s">
        <v>52</v>
      </c>
      <c r="G479" t="s">
        <v>612</v>
      </c>
      <c r="H479" t="s">
        <v>88</v>
      </c>
      <c r="I479" t="s">
        <v>26</v>
      </c>
      <c r="J479">
        <v>92239</v>
      </c>
      <c r="K479">
        <v>33.753900000000002</v>
      </c>
      <c r="L479">
        <v>-115.348117</v>
      </c>
      <c r="M479" t="s">
        <v>1589</v>
      </c>
      <c r="N479">
        <v>20</v>
      </c>
      <c r="O479" t="s">
        <v>36</v>
      </c>
      <c r="P479">
        <v>1.5</v>
      </c>
      <c r="Q479">
        <v>3.51</v>
      </c>
      <c r="S479" s="18">
        <v>41359</v>
      </c>
      <c r="T479" s="18">
        <v>41452</v>
      </c>
      <c r="W479" s="18">
        <v>41920</v>
      </c>
    </row>
    <row r="480" spans="1:23" hidden="1" x14ac:dyDescent="0.25">
      <c r="A480" t="s">
        <v>43</v>
      </c>
      <c r="B480" t="s">
        <v>111</v>
      </c>
      <c r="C480">
        <v>2020</v>
      </c>
      <c r="D480" t="s">
        <v>109</v>
      </c>
      <c r="E480" t="s">
        <v>109</v>
      </c>
      <c r="F480" t="s">
        <v>40</v>
      </c>
      <c r="G480" t="s">
        <v>109</v>
      </c>
      <c r="H480" t="s">
        <v>109</v>
      </c>
      <c r="I480" t="s">
        <v>26</v>
      </c>
      <c r="J480" t="s">
        <v>110</v>
      </c>
      <c r="K480" t="s">
        <v>109</v>
      </c>
      <c r="L480" t="s">
        <v>109</v>
      </c>
      <c r="M480" t="s">
        <v>108</v>
      </c>
      <c r="N480">
        <v>2</v>
      </c>
      <c r="O480" t="s">
        <v>36</v>
      </c>
      <c r="Q480">
        <v>39.871000000000002</v>
      </c>
      <c r="S480" s="18">
        <v>44068</v>
      </c>
    </row>
    <row r="481" spans="1:23" hidden="1" x14ac:dyDescent="0.25">
      <c r="A481" t="s">
        <v>43</v>
      </c>
      <c r="B481" t="s">
        <v>232</v>
      </c>
      <c r="C481">
        <v>2012</v>
      </c>
      <c r="D481" t="s">
        <v>1588</v>
      </c>
      <c r="E481" t="s">
        <v>130</v>
      </c>
      <c r="F481" t="s">
        <v>52</v>
      </c>
      <c r="G481" t="s">
        <v>612</v>
      </c>
      <c r="H481" t="s">
        <v>88</v>
      </c>
      <c r="I481" t="s">
        <v>26</v>
      </c>
      <c r="J481">
        <v>92239</v>
      </c>
      <c r="K481">
        <v>33.783881999999998</v>
      </c>
      <c r="L481">
        <v>-115.32579200000001</v>
      </c>
      <c r="M481" t="s">
        <v>1588</v>
      </c>
      <c r="N481">
        <v>20</v>
      </c>
      <c r="O481" t="s">
        <v>36</v>
      </c>
      <c r="P481">
        <v>1.5</v>
      </c>
      <c r="Q481">
        <v>3.51</v>
      </c>
      <c r="S481" s="18">
        <v>41359</v>
      </c>
      <c r="T481" s="18">
        <v>41452</v>
      </c>
      <c r="W481" s="18">
        <v>41920</v>
      </c>
    </row>
    <row r="482" spans="1:23" hidden="1" x14ac:dyDescent="0.25">
      <c r="A482" t="s">
        <v>43</v>
      </c>
      <c r="B482" t="s">
        <v>263</v>
      </c>
      <c r="C482">
        <v>2014</v>
      </c>
      <c r="D482" t="s">
        <v>1587</v>
      </c>
      <c r="E482" t="s">
        <v>130</v>
      </c>
      <c r="F482" t="s">
        <v>204</v>
      </c>
      <c r="G482" t="s">
        <v>546</v>
      </c>
      <c r="H482" t="s">
        <v>259</v>
      </c>
      <c r="I482" t="s">
        <v>26</v>
      </c>
      <c r="J482">
        <v>93534</v>
      </c>
      <c r="K482">
        <v>34.818300000000001</v>
      </c>
      <c r="L482">
        <v>-118.598099</v>
      </c>
      <c r="M482" t="s">
        <v>1587</v>
      </c>
      <c r="N482">
        <v>20</v>
      </c>
      <c r="O482" t="s">
        <v>36</v>
      </c>
      <c r="P482">
        <v>1.5</v>
      </c>
      <c r="Q482">
        <v>4.83</v>
      </c>
      <c r="W482" s="18">
        <v>42476</v>
      </c>
    </row>
    <row r="483" spans="1:23" hidden="1" x14ac:dyDescent="0.25">
      <c r="A483" t="s">
        <v>43</v>
      </c>
      <c r="B483" t="s">
        <v>540</v>
      </c>
      <c r="C483">
        <v>2015</v>
      </c>
      <c r="D483" t="s">
        <v>1586</v>
      </c>
      <c r="E483" t="s">
        <v>90</v>
      </c>
      <c r="F483" t="s">
        <v>52</v>
      </c>
      <c r="G483" t="s">
        <v>1025</v>
      </c>
      <c r="H483" t="s">
        <v>88</v>
      </c>
      <c r="I483" t="s">
        <v>26</v>
      </c>
      <c r="J483">
        <v>92879</v>
      </c>
      <c r="K483">
        <v>33.878999999999998</v>
      </c>
      <c r="L483">
        <v>-117.551</v>
      </c>
      <c r="M483" t="s">
        <v>1510</v>
      </c>
      <c r="N483">
        <v>20</v>
      </c>
      <c r="O483" t="s">
        <v>36</v>
      </c>
      <c r="P483">
        <v>1.75</v>
      </c>
      <c r="Q483">
        <v>3.38</v>
      </c>
      <c r="S483" s="18">
        <v>42111</v>
      </c>
      <c r="T483" s="18">
        <v>42132</v>
      </c>
      <c r="W483" s="18">
        <v>42709</v>
      </c>
    </row>
    <row r="484" spans="1:23" hidden="1" x14ac:dyDescent="0.25">
      <c r="A484" t="s">
        <v>43</v>
      </c>
      <c r="B484" t="s">
        <v>232</v>
      </c>
      <c r="C484">
        <v>2012</v>
      </c>
      <c r="D484" t="s">
        <v>1585</v>
      </c>
      <c r="E484" t="s">
        <v>130</v>
      </c>
      <c r="F484" t="s">
        <v>52</v>
      </c>
      <c r="G484" t="s">
        <v>612</v>
      </c>
      <c r="H484" t="s">
        <v>88</v>
      </c>
      <c r="I484" t="s">
        <v>26</v>
      </c>
      <c r="J484">
        <v>92239</v>
      </c>
      <c r="K484">
        <v>33.783881999999998</v>
      </c>
      <c r="L484">
        <v>-115.32579200000001</v>
      </c>
      <c r="M484" t="s">
        <v>1585</v>
      </c>
      <c r="N484">
        <v>20</v>
      </c>
      <c r="O484" t="s">
        <v>36</v>
      </c>
      <c r="P484">
        <v>1.5</v>
      </c>
      <c r="Q484">
        <v>3.51</v>
      </c>
      <c r="S484" s="18">
        <v>41359</v>
      </c>
      <c r="T484" s="18">
        <v>41452</v>
      </c>
      <c r="W484" s="18">
        <v>41920</v>
      </c>
    </row>
    <row r="485" spans="1:23" hidden="1" x14ac:dyDescent="0.25">
      <c r="A485" t="s">
        <v>33</v>
      </c>
      <c r="B485" t="s">
        <v>32</v>
      </c>
      <c r="C485">
        <v>1984</v>
      </c>
      <c r="D485" t="s">
        <v>1584</v>
      </c>
      <c r="E485" t="s">
        <v>41</v>
      </c>
      <c r="F485" t="s">
        <v>52</v>
      </c>
      <c r="G485" t="s">
        <v>443</v>
      </c>
      <c r="H485" t="s">
        <v>74</v>
      </c>
      <c r="I485" t="s">
        <v>26</v>
      </c>
      <c r="J485">
        <v>96007</v>
      </c>
      <c r="K485">
        <v>40.428199999999997</v>
      </c>
      <c r="L485">
        <v>-122.2754</v>
      </c>
      <c r="M485" t="s">
        <v>1583</v>
      </c>
      <c r="N485">
        <v>30</v>
      </c>
      <c r="O485" t="s">
        <v>24</v>
      </c>
      <c r="P485">
        <v>54.9</v>
      </c>
      <c r="Q485">
        <v>388.822</v>
      </c>
      <c r="W485" s="18">
        <v>43070</v>
      </c>
    </row>
    <row r="486" spans="1:23" hidden="1" x14ac:dyDescent="0.25">
      <c r="A486" t="s">
        <v>43</v>
      </c>
      <c r="B486" t="s">
        <v>540</v>
      </c>
      <c r="C486">
        <v>2015</v>
      </c>
      <c r="D486" t="s">
        <v>1582</v>
      </c>
      <c r="E486" t="s">
        <v>90</v>
      </c>
      <c r="F486" t="s">
        <v>204</v>
      </c>
      <c r="G486" t="s">
        <v>1048</v>
      </c>
      <c r="H486" t="s">
        <v>374</v>
      </c>
      <c r="I486" t="s">
        <v>26</v>
      </c>
      <c r="J486">
        <v>92707</v>
      </c>
      <c r="K486">
        <v>33.723999999999997</v>
      </c>
      <c r="L486">
        <v>-117.855</v>
      </c>
      <c r="M486" t="s">
        <v>1510</v>
      </c>
      <c r="N486">
        <v>20</v>
      </c>
      <c r="O486" t="s">
        <v>36</v>
      </c>
      <c r="P486">
        <v>1.4</v>
      </c>
      <c r="Q486">
        <v>2.5099999999999998</v>
      </c>
      <c r="S486" s="18">
        <v>42111</v>
      </c>
      <c r="W486" s="18">
        <v>42471</v>
      </c>
    </row>
    <row r="487" spans="1:23" hidden="1" x14ac:dyDescent="0.25">
      <c r="A487" t="s">
        <v>43</v>
      </c>
      <c r="B487" t="s">
        <v>232</v>
      </c>
      <c r="C487">
        <v>2013</v>
      </c>
      <c r="D487" t="s">
        <v>1580</v>
      </c>
      <c r="E487" t="s">
        <v>130</v>
      </c>
      <c r="F487" t="s">
        <v>52</v>
      </c>
      <c r="G487" t="s">
        <v>1581</v>
      </c>
      <c r="H487" t="s">
        <v>133</v>
      </c>
      <c r="I487" t="s">
        <v>26</v>
      </c>
      <c r="J487">
        <v>92252</v>
      </c>
      <c r="K487">
        <v>34.117800000000003</v>
      </c>
      <c r="L487">
        <v>-116.3557</v>
      </c>
      <c r="M487" t="s">
        <v>1580</v>
      </c>
      <c r="N487">
        <v>20</v>
      </c>
      <c r="O487" t="s">
        <v>36</v>
      </c>
      <c r="P487">
        <v>1.5</v>
      </c>
      <c r="Q487">
        <v>3.6</v>
      </c>
      <c r="S487" s="18">
        <v>41359</v>
      </c>
      <c r="T487" s="18">
        <v>41452</v>
      </c>
      <c r="W487" s="18">
        <v>41918</v>
      </c>
    </row>
    <row r="488" spans="1:23" hidden="1" x14ac:dyDescent="0.25">
      <c r="A488" t="s">
        <v>43</v>
      </c>
      <c r="B488" t="s">
        <v>232</v>
      </c>
      <c r="C488">
        <v>2012</v>
      </c>
      <c r="D488" t="s">
        <v>1579</v>
      </c>
      <c r="E488" t="s">
        <v>130</v>
      </c>
      <c r="F488" t="s">
        <v>52</v>
      </c>
      <c r="G488" t="s">
        <v>546</v>
      </c>
      <c r="H488" t="s">
        <v>259</v>
      </c>
      <c r="I488" t="s">
        <v>26</v>
      </c>
      <c r="J488">
        <v>93536</v>
      </c>
      <c r="K488">
        <v>34.722814</v>
      </c>
      <c r="L488">
        <v>-118.28983599999999</v>
      </c>
      <c r="M488" t="s">
        <v>1579</v>
      </c>
      <c r="N488">
        <v>20</v>
      </c>
      <c r="O488" t="s">
        <v>36</v>
      </c>
      <c r="P488">
        <v>1.5</v>
      </c>
      <c r="Q488">
        <v>3.97</v>
      </c>
      <c r="W488" s="18">
        <v>41796</v>
      </c>
    </row>
    <row r="489" spans="1:23" hidden="1" x14ac:dyDescent="0.25">
      <c r="A489" t="s">
        <v>67</v>
      </c>
      <c r="B489" t="s">
        <v>201</v>
      </c>
      <c r="C489">
        <v>2010</v>
      </c>
      <c r="D489" t="s">
        <v>1578</v>
      </c>
      <c r="E489" t="s">
        <v>130</v>
      </c>
      <c r="F489" t="s">
        <v>204</v>
      </c>
      <c r="G489" t="s">
        <v>389</v>
      </c>
      <c r="H489" t="s">
        <v>305</v>
      </c>
      <c r="I489" t="s">
        <v>26</v>
      </c>
      <c r="J489">
        <v>92231</v>
      </c>
      <c r="K489">
        <v>32.679380000000002</v>
      </c>
      <c r="L489">
        <v>-115.62068600000001</v>
      </c>
      <c r="M489" t="s">
        <v>1497</v>
      </c>
      <c r="N489">
        <v>25</v>
      </c>
      <c r="O489" t="s">
        <v>36</v>
      </c>
      <c r="P489">
        <v>45</v>
      </c>
      <c r="Q489">
        <v>113</v>
      </c>
      <c r="S489" s="18">
        <v>40738</v>
      </c>
      <c r="T489" s="18">
        <v>40857</v>
      </c>
    </row>
    <row r="490" spans="1:23" hidden="1" x14ac:dyDescent="0.25">
      <c r="A490" t="s">
        <v>43</v>
      </c>
      <c r="B490" t="s">
        <v>232</v>
      </c>
      <c r="C490">
        <v>2012</v>
      </c>
      <c r="D490" t="s">
        <v>1577</v>
      </c>
      <c r="E490" t="s">
        <v>130</v>
      </c>
      <c r="F490" t="s">
        <v>52</v>
      </c>
      <c r="G490" t="s">
        <v>1508</v>
      </c>
      <c r="H490" t="s">
        <v>133</v>
      </c>
      <c r="I490" t="s">
        <v>26</v>
      </c>
      <c r="J490">
        <v>92285</v>
      </c>
      <c r="K490">
        <v>34.343397000000003</v>
      </c>
      <c r="L490">
        <v>-116.473157</v>
      </c>
      <c r="M490" t="s">
        <v>1507</v>
      </c>
      <c r="N490">
        <v>20</v>
      </c>
      <c r="O490" t="s">
        <v>36</v>
      </c>
      <c r="P490">
        <v>1.5</v>
      </c>
      <c r="Q490">
        <v>4.8499999999999996</v>
      </c>
      <c r="S490" s="18">
        <v>41359</v>
      </c>
      <c r="T490" s="18">
        <v>41452</v>
      </c>
      <c r="W490" s="18">
        <v>42041</v>
      </c>
    </row>
    <row r="491" spans="1:23" hidden="1" x14ac:dyDescent="0.25">
      <c r="A491" t="s">
        <v>43</v>
      </c>
      <c r="B491" t="s">
        <v>540</v>
      </c>
      <c r="C491">
        <v>2013</v>
      </c>
      <c r="D491" t="s">
        <v>1576</v>
      </c>
      <c r="E491" t="s">
        <v>90</v>
      </c>
      <c r="F491" t="s">
        <v>52</v>
      </c>
      <c r="G491" t="s">
        <v>190</v>
      </c>
      <c r="H491" t="s">
        <v>133</v>
      </c>
      <c r="I491" t="s">
        <v>26</v>
      </c>
      <c r="J491">
        <v>92374</v>
      </c>
      <c r="K491">
        <v>34.075800000000001</v>
      </c>
      <c r="L491">
        <v>-117.2316</v>
      </c>
      <c r="M491" t="s">
        <v>1575</v>
      </c>
      <c r="N491">
        <v>20</v>
      </c>
      <c r="O491" t="s">
        <v>36</v>
      </c>
      <c r="P491">
        <v>1.5</v>
      </c>
      <c r="Q491">
        <v>3.09</v>
      </c>
      <c r="S491" s="18">
        <v>41716</v>
      </c>
      <c r="T491" s="18">
        <v>41771</v>
      </c>
      <c r="W491" s="18">
        <v>42512</v>
      </c>
    </row>
    <row r="492" spans="1:23" hidden="1" x14ac:dyDescent="0.25">
      <c r="A492" t="s">
        <v>67</v>
      </c>
      <c r="B492" t="s">
        <v>201</v>
      </c>
      <c r="C492">
        <v>2010</v>
      </c>
      <c r="D492" t="s">
        <v>1574</v>
      </c>
      <c r="E492" t="s">
        <v>130</v>
      </c>
      <c r="F492" t="s">
        <v>52</v>
      </c>
      <c r="G492" t="s">
        <v>389</v>
      </c>
      <c r="H492" t="s">
        <v>305</v>
      </c>
      <c r="I492" t="s">
        <v>26</v>
      </c>
      <c r="J492">
        <v>92231</v>
      </c>
      <c r="K492">
        <v>32.664560000000002</v>
      </c>
      <c r="L492">
        <v>-115.638571</v>
      </c>
      <c r="M492" t="s">
        <v>1497</v>
      </c>
      <c r="N492">
        <v>25</v>
      </c>
      <c r="O492" t="s">
        <v>36</v>
      </c>
      <c r="P492">
        <v>80</v>
      </c>
      <c r="Q492">
        <v>203</v>
      </c>
      <c r="S492" s="18">
        <v>40738</v>
      </c>
      <c r="T492" s="18">
        <v>40857</v>
      </c>
      <c r="W492" s="18">
        <v>41971</v>
      </c>
    </row>
    <row r="493" spans="1:23" hidden="1" x14ac:dyDescent="0.25">
      <c r="A493" t="s">
        <v>43</v>
      </c>
      <c r="B493" t="s">
        <v>197</v>
      </c>
      <c r="C493">
        <v>2015</v>
      </c>
      <c r="D493" t="s">
        <v>1573</v>
      </c>
      <c r="E493" t="s">
        <v>90</v>
      </c>
      <c r="F493" t="s">
        <v>204</v>
      </c>
      <c r="G493" t="s">
        <v>1522</v>
      </c>
      <c r="H493" t="s">
        <v>374</v>
      </c>
      <c r="I493" t="s">
        <v>26</v>
      </c>
      <c r="J493">
        <v>92780</v>
      </c>
      <c r="K493">
        <v>33.717599999999997</v>
      </c>
      <c r="L493">
        <v>-117.8379</v>
      </c>
      <c r="M493" t="s">
        <v>1572</v>
      </c>
      <c r="N493">
        <v>20</v>
      </c>
      <c r="O493" t="s">
        <v>36</v>
      </c>
      <c r="P493">
        <v>1.131</v>
      </c>
      <c r="Q493">
        <v>2.33</v>
      </c>
      <c r="S493" s="18">
        <v>42353</v>
      </c>
      <c r="T493" s="18">
        <v>42628</v>
      </c>
      <c r="W493" s="18">
        <v>42739</v>
      </c>
    </row>
    <row r="494" spans="1:23" hidden="1" x14ac:dyDescent="0.25">
      <c r="A494" t="s">
        <v>33</v>
      </c>
      <c r="B494" t="s">
        <v>32</v>
      </c>
      <c r="C494">
        <v>1984</v>
      </c>
      <c r="D494" t="s">
        <v>1571</v>
      </c>
      <c r="E494" t="s">
        <v>47</v>
      </c>
      <c r="F494" t="s">
        <v>29</v>
      </c>
      <c r="G494" t="s">
        <v>865</v>
      </c>
      <c r="H494" t="s">
        <v>74</v>
      </c>
      <c r="I494" t="s">
        <v>26</v>
      </c>
      <c r="J494">
        <v>96011</v>
      </c>
      <c r="K494">
        <v>41.020699999999998</v>
      </c>
      <c r="L494">
        <v>-121.91113</v>
      </c>
      <c r="M494" t="s">
        <v>162</v>
      </c>
      <c r="N494">
        <v>30</v>
      </c>
      <c r="O494" t="s">
        <v>24</v>
      </c>
      <c r="P494">
        <v>0.6</v>
      </c>
      <c r="Q494">
        <v>2.141</v>
      </c>
    </row>
    <row r="495" spans="1:23" hidden="1" x14ac:dyDescent="0.25">
      <c r="A495" t="s">
        <v>43</v>
      </c>
      <c r="B495" t="s">
        <v>232</v>
      </c>
      <c r="C495">
        <v>2012</v>
      </c>
      <c r="D495" t="s">
        <v>1570</v>
      </c>
      <c r="E495" t="s">
        <v>130</v>
      </c>
      <c r="F495" t="s">
        <v>204</v>
      </c>
      <c r="G495" t="s">
        <v>973</v>
      </c>
      <c r="H495" t="s">
        <v>533</v>
      </c>
      <c r="I495" t="s">
        <v>26</v>
      </c>
      <c r="J495">
        <v>93230</v>
      </c>
      <c r="K495">
        <v>36.213900000000002</v>
      </c>
      <c r="L495">
        <v>-119.34569999999999</v>
      </c>
      <c r="M495" t="s">
        <v>1569</v>
      </c>
      <c r="N495">
        <v>20</v>
      </c>
      <c r="O495" t="s">
        <v>36</v>
      </c>
      <c r="P495">
        <v>1.5</v>
      </c>
      <c r="Q495">
        <v>3.24</v>
      </c>
      <c r="S495" s="18">
        <v>41359</v>
      </c>
      <c r="T495" s="18">
        <v>41452</v>
      </c>
      <c r="W495" s="18">
        <v>41863</v>
      </c>
    </row>
    <row r="496" spans="1:23" hidden="1" x14ac:dyDescent="0.25">
      <c r="A496" t="s">
        <v>67</v>
      </c>
      <c r="B496" t="s">
        <v>206</v>
      </c>
      <c r="C496">
        <v>2015</v>
      </c>
      <c r="D496" t="s">
        <v>380</v>
      </c>
      <c r="E496" t="s">
        <v>130</v>
      </c>
      <c r="F496" t="s">
        <v>52</v>
      </c>
      <c r="G496" t="s">
        <v>1568</v>
      </c>
      <c r="H496" t="s">
        <v>305</v>
      </c>
      <c r="I496" t="s">
        <v>26</v>
      </c>
      <c r="J496">
        <v>92227</v>
      </c>
      <c r="K496">
        <v>33.930109999999999</v>
      </c>
      <c r="L496">
        <v>-115.322717</v>
      </c>
      <c r="M496" t="s">
        <v>1567</v>
      </c>
      <c r="N496">
        <v>20</v>
      </c>
      <c r="O496" t="s">
        <v>36</v>
      </c>
      <c r="P496">
        <v>20</v>
      </c>
      <c r="Q496">
        <v>61.072000000000003</v>
      </c>
      <c r="R496" t="s">
        <v>377</v>
      </c>
      <c r="W496" s="18">
        <v>42736</v>
      </c>
    </row>
    <row r="497" spans="1:23" hidden="1" x14ac:dyDescent="0.25">
      <c r="A497" t="s">
        <v>67</v>
      </c>
      <c r="B497" t="s">
        <v>923</v>
      </c>
      <c r="C497">
        <v>2017</v>
      </c>
      <c r="D497" t="s">
        <v>1566</v>
      </c>
      <c r="E497" t="s">
        <v>948</v>
      </c>
      <c r="F497" t="s">
        <v>52</v>
      </c>
      <c r="G497" t="s">
        <v>1495</v>
      </c>
      <c r="H497" t="s">
        <v>129</v>
      </c>
      <c r="I497" t="s">
        <v>26</v>
      </c>
      <c r="J497">
        <v>92040</v>
      </c>
      <c r="K497">
        <v>32.900236474099998</v>
      </c>
      <c r="L497">
        <v>-116.935560686</v>
      </c>
      <c r="M497" t="s">
        <v>1565</v>
      </c>
      <c r="N497">
        <v>15</v>
      </c>
      <c r="O497" t="s">
        <v>36</v>
      </c>
      <c r="P497">
        <v>3</v>
      </c>
      <c r="Q497">
        <v>24.44</v>
      </c>
      <c r="W497" s="18">
        <v>43510.666666666664</v>
      </c>
    </row>
    <row r="498" spans="1:23" hidden="1" x14ac:dyDescent="0.25">
      <c r="A498" t="s">
        <v>43</v>
      </c>
      <c r="B498" t="s">
        <v>206</v>
      </c>
      <c r="C498">
        <v>2014</v>
      </c>
      <c r="D498" t="s">
        <v>1564</v>
      </c>
      <c r="E498" t="s">
        <v>130</v>
      </c>
      <c r="F498" t="s">
        <v>52</v>
      </c>
      <c r="G498" t="s">
        <v>1563</v>
      </c>
      <c r="H498" t="s">
        <v>59</v>
      </c>
      <c r="I498" t="s">
        <v>26</v>
      </c>
      <c r="J498">
        <v>92582</v>
      </c>
      <c r="K498">
        <v>33.810200000000002</v>
      </c>
      <c r="L498">
        <v>-117.033756</v>
      </c>
      <c r="M498" t="s">
        <v>102</v>
      </c>
      <c r="N498">
        <v>20</v>
      </c>
      <c r="O498" t="s">
        <v>36</v>
      </c>
      <c r="P498">
        <v>14.5</v>
      </c>
      <c r="Q498">
        <v>36.159999999999997</v>
      </c>
      <c r="R498" t="s">
        <v>785</v>
      </c>
      <c r="S498" s="18">
        <v>41949</v>
      </c>
      <c r="T498" s="18">
        <v>42025</v>
      </c>
      <c r="W498" s="18">
        <v>42439</v>
      </c>
    </row>
    <row r="499" spans="1:23" hidden="1" x14ac:dyDescent="0.25">
      <c r="A499" t="s">
        <v>43</v>
      </c>
      <c r="B499" t="s">
        <v>206</v>
      </c>
      <c r="C499">
        <v>2015</v>
      </c>
      <c r="D499" t="s">
        <v>1562</v>
      </c>
      <c r="E499" t="s">
        <v>130</v>
      </c>
      <c r="F499" t="s">
        <v>52</v>
      </c>
      <c r="G499" t="s">
        <v>290</v>
      </c>
      <c r="H499" t="s">
        <v>146</v>
      </c>
      <c r="I499" t="s">
        <v>1533</v>
      </c>
      <c r="J499">
        <v>93640</v>
      </c>
      <c r="K499">
        <v>36.716336099999999</v>
      </c>
      <c r="L499">
        <v>-120.4207833</v>
      </c>
      <c r="M499" t="s">
        <v>1514</v>
      </c>
      <c r="N499">
        <v>15</v>
      </c>
      <c r="O499" t="s">
        <v>36</v>
      </c>
      <c r="P499">
        <v>20</v>
      </c>
      <c r="Q499">
        <v>732</v>
      </c>
      <c r="R499" t="s">
        <v>377</v>
      </c>
      <c r="W499" s="18">
        <v>42429</v>
      </c>
    </row>
    <row r="500" spans="1:23" hidden="1" x14ac:dyDescent="0.25">
      <c r="A500" t="s">
        <v>67</v>
      </c>
      <c r="B500" t="s">
        <v>201</v>
      </c>
      <c r="C500">
        <v>2010</v>
      </c>
      <c r="D500" t="s">
        <v>1561</v>
      </c>
      <c r="E500" t="s">
        <v>130</v>
      </c>
      <c r="F500" t="s">
        <v>52</v>
      </c>
      <c r="G500" t="s">
        <v>389</v>
      </c>
      <c r="H500" t="s">
        <v>305</v>
      </c>
      <c r="I500" t="s">
        <v>26</v>
      </c>
      <c r="J500">
        <v>92231</v>
      </c>
      <c r="K500">
        <v>32.664560000000002</v>
      </c>
      <c r="L500">
        <v>-115.638571</v>
      </c>
      <c r="M500" t="s">
        <v>1497</v>
      </c>
      <c r="N500">
        <v>25</v>
      </c>
      <c r="O500" t="s">
        <v>36</v>
      </c>
      <c r="P500">
        <v>22</v>
      </c>
      <c r="Q500">
        <v>54.8</v>
      </c>
      <c r="S500" s="18">
        <v>40633</v>
      </c>
      <c r="T500" s="18">
        <v>40857</v>
      </c>
      <c r="W500" s="18">
        <v>41992</v>
      </c>
    </row>
    <row r="501" spans="1:23" hidden="1" x14ac:dyDescent="0.25">
      <c r="A501" t="s">
        <v>43</v>
      </c>
      <c r="B501" t="s">
        <v>232</v>
      </c>
      <c r="C501">
        <v>2012</v>
      </c>
      <c r="D501" t="s">
        <v>1560</v>
      </c>
      <c r="E501" t="s">
        <v>130</v>
      </c>
      <c r="F501" t="s">
        <v>52</v>
      </c>
      <c r="G501" t="s">
        <v>1094</v>
      </c>
      <c r="H501" t="s">
        <v>133</v>
      </c>
      <c r="I501" t="s">
        <v>26</v>
      </c>
      <c r="J501">
        <v>92308</v>
      </c>
      <c r="K501">
        <v>34.321300000000001</v>
      </c>
      <c r="L501">
        <v>-117.10760000000001</v>
      </c>
      <c r="M501" t="s">
        <v>1559</v>
      </c>
      <c r="N501">
        <v>20</v>
      </c>
      <c r="O501" t="s">
        <v>36</v>
      </c>
      <c r="P501">
        <v>1.5</v>
      </c>
      <c r="Q501">
        <v>3.29</v>
      </c>
      <c r="S501" s="18">
        <v>41359</v>
      </c>
      <c r="T501" s="18">
        <v>41452</v>
      </c>
      <c r="W501" s="18">
        <v>42063</v>
      </c>
    </row>
    <row r="502" spans="1:23" hidden="1" x14ac:dyDescent="0.25">
      <c r="A502" t="s">
        <v>43</v>
      </c>
      <c r="B502" t="s">
        <v>540</v>
      </c>
      <c r="C502">
        <v>2013</v>
      </c>
      <c r="D502" t="s">
        <v>1558</v>
      </c>
      <c r="E502" t="s">
        <v>90</v>
      </c>
      <c r="F502" t="s">
        <v>52</v>
      </c>
      <c r="G502" t="s">
        <v>1217</v>
      </c>
      <c r="H502" t="s">
        <v>234</v>
      </c>
      <c r="I502" t="s">
        <v>26</v>
      </c>
      <c r="J502">
        <v>93030</v>
      </c>
      <c r="K502">
        <v>34.199300000000001</v>
      </c>
      <c r="L502">
        <v>-119.16759999999999</v>
      </c>
      <c r="M502" t="s">
        <v>1510</v>
      </c>
      <c r="N502">
        <v>20</v>
      </c>
      <c r="O502" t="s">
        <v>36</v>
      </c>
      <c r="P502">
        <v>2</v>
      </c>
      <c r="Q502">
        <v>4.2300000000000004</v>
      </c>
      <c r="S502" s="18">
        <v>41716</v>
      </c>
      <c r="T502" s="18">
        <v>41771</v>
      </c>
      <c r="W502" s="18">
        <v>42117</v>
      </c>
    </row>
    <row r="503" spans="1:23" hidden="1" x14ac:dyDescent="0.25">
      <c r="A503" t="s">
        <v>67</v>
      </c>
      <c r="B503" t="s">
        <v>232</v>
      </c>
      <c r="C503">
        <v>2013</v>
      </c>
      <c r="D503" t="s">
        <v>1557</v>
      </c>
      <c r="E503" t="s">
        <v>130</v>
      </c>
      <c r="F503" t="s">
        <v>52</v>
      </c>
      <c r="G503" t="s">
        <v>1501</v>
      </c>
      <c r="H503" t="s">
        <v>129</v>
      </c>
      <c r="I503" t="s">
        <v>26</v>
      </c>
      <c r="J503">
        <v>91916</v>
      </c>
      <c r="K503">
        <v>32.850790000000003</v>
      </c>
      <c r="L503">
        <v>-116.605</v>
      </c>
      <c r="M503" t="s">
        <v>1500</v>
      </c>
      <c r="N503">
        <v>20</v>
      </c>
      <c r="O503" t="s">
        <v>36</v>
      </c>
      <c r="P503">
        <v>1.5</v>
      </c>
      <c r="Q503">
        <v>3.3479999999999999</v>
      </c>
      <c r="W503" s="18">
        <v>42091</v>
      </c>
    </row>
    <row r="504" spans="1:23" hidden="1" x14ac:dyDescent="0.25">
      <c r="A504" t="s">
        <v>43</v>
      </c>
      <c r="B504" t="s">
        <v>540</v>
      </c>
      <c r="C504">
        <v>2015</v>
      </c>
      <c r="D504" t="s">
        <v>1556</v>
      </c>
      <c r="E504" t="s">
        <v>90</v>
      </c>
      <c r="F504" t="s">
        <v>52</v>
      </c>
      <c r="G504" t="s">
        <v>1542</v>
      </c>
      <c r="H504" t="s">
        <v>259</v>
      </c>
      <c r="I504" t="s">
        <v>26</v>
      </c>
      <c r="J504">
        <v>90810</v>
      </c>
      <c r="K504">
        <v>33.844000000000001</v>
      </c>
      <c r="L504">
        <v>-118.215</v>
      </c>
      <c r="M504" t="s">
        <v>1555</v>
      </c>
      <c r="N504">
        <v>20</v>
      </c>
      <c r="O504" t="s">
        <v>36</v>
      </c>
      <c r="P504">
        <v>0.56000000000000005</v>
      </c>
      <c r="Q504">
        <v>1.1200000000000001</v>
      </c>
      <c r="S504" s="18">
        <v>42111</v>
      </c>
      <c r="T504" s="18">
        <v>42132</v>
      </c>
      <c r="W504" s="18">
        <v>42709</v>
      </c>
    </row>
    <row r="505" spans="1:23" hidden="1" x14ac:dyDescent="0.25">
      <c r="A505" t="s">
        <v>67</v>
      </c>
      <c r="B505" t="s">
        <v>232</v>
      </c>
      <c r="C505">
        <v>2012</v>
      </c>
      <c r="D505" t="s">
        <v>1554</v>
      </c>
      <c r="E505" t="s">
        <v>130</v>
      </c>
      <c r="F505" t="s">
        <v>52</v>
      </c>
      <c r="G505" t="s">
        <v>322</v>
      </c>
      <c r="H505" t="s">
        <v>129</v>
      </c>
      <c r="I505" t="s">
        <v>26</v>
      </c>
      <c r="J505">
        <v>92082</v>
      </c>
      <c r="K505">
        <v>33.247795000000004</v>
      </c>
      <c r="L505">
        <v>-117.091309</v>
      </c>
      <c r="M505" t="s">
        <v>1553</v>
      </c>
      <c r="N505">
        <v>20</v>
      </c>
      <c r="O505" t="s">
        <v>36</v>
      </c>
      <c r="P505">
        <v>1.5</v>
      </c>
      <c r="Q505">
        <v>4.4000000000000004</v>
      </c>
      <c r="W505" s="18">
        <v>42140</v>
      </c>
    </row>
    <row r="506" spans="1:23" hidden="1" x14ac:dyDescent="0.25">
      <c r="A506" t="s">
        <v>67</v>
      </c>
      <c r="B506" t="s">
        <v>42</v>
      </c>
      <c r="C506">
        <v>2016</v>
      </c>
      <c r="D506" t="s">
        <v>1552</v>
      </c>
      <c r="E506" t="s">
        <v>41</v>
      </c>
      <c r="F506" t="s">
        <v>40</v>
      </c>
      <c r="G506" t="s">
        <v>64</v>
      </c>
      <c r="H506" t="s">
        <v>63</v>
      </c>
      <c r="I506" t="s">
        <v>26</v>
      </c>
      <c r="J506">
        <v>95816</v>
      </c>
      <c r="K506">
        <v>40.368400000000001</v>
      </c>
      <c r="L506">
        <v>-120.265</v>
      </c>
      <c r="M506" t="s">
        <v>391</v>
      </c>
      <c r="N506">
        <v>5</v>
      </c>
      <c r="O506" t="s">
        <v>36</v>
      </c>
      <c r="P506">
        <v>24</v>
      </c>
      <c r="Q506">
        <v>175</v>
      </c>
      <c r="S506" s="18">
        <v>42690</v>
      </c>
      <c r="T506" s="18">
        <v>42720</v>
      </c>
    </row>
    <row r="507" spans="1:23" hidden="1" x14ac:dyDescent="0.25">
      <c r="A507" t="s">
        <v>43</v>
      </c>
      <c r="B507" t="s">
        <v>540</v>
      </c>
      <c r="C507">
        <v>2015</v>
      </c>
      <c r="D507" t="s">
        <v>1551</v>
      </c>
      <c r="E507" t="s">
        <v>130</v>
      </c>
      <c r="F507" t="s">
        <v>52</v>
      </c>
      <c r="G507" t="s">
        <v>1550</v>
      </c>
      <c r="H507" t="s">
        <v>133</v>
      </c>
      <c r="I507" t="s">
        <v>26</v>
      </c>
      <c r="J507">
        <v>92277</v>
      </c>
      <c r="K507">
        <v>34.2121</v>
      </c>
      <c r="L507">
        <v>-116.08880000000001</v>
      </c>
      <c r="M507" t="s">
        <v>1386</v>
      </c>
      <c r="N507">
        <v>20</v>
      </c>
      <c r="O507" t="s">
        <v>36</v>
      </c>
      <c r="P507">
        <v>15</v>
      </c>
      <c r="Q507">
        <v>4.5999999999999996</v>
      </c>
      <c r="W507" s="18">
        <v>42328</v>
      </c>
    </row>
    <row r="508" spans="1:23" hidden="1" x14ac:dyDescent="0.25">
      <c r="A508" t="s">
        <v>43</v>
      </c>
      <c r="B508" t="s">
        <v>263</v>
      </c>
      <c r="C508">
        <v>2016</v>
      </c>
      <c r="D508" t="s">
        <v>1549</v>
      </c>
      <c r="E508" t="s">
        <v>130</v>
      </c>
      <c r="F508" t="s">
        <v>52</v>
      </c>
      <c r="G508" t="s">
        <v>546</v>
      </c>
      <c r="H508" t="s">
        <v>259</v>
      </c>
      <c r="I508" t="s">
        <v>26</v>
      </c>
      <c r="J508">
        <v>93534</v>
      </c>
      <c r="K508">
        <v>34.650500000000001</v>
      </c>
      <c r="L508">
        <v>-118.1129</v>
      </c>
      <c r="M508" t="s">
        <v>1548</v>
      </c>
      <c r="N508">
        <v>20</v>
      </c>
      <c r="O508" t="s">
        <v>36</v>
      </c>
      <c r="P508">
        <v>3</v>
      </c>
      <c r="Q508">
        <v>3.2909999999999999</v>
      </c>
      <c r="W508" s="18">
        <v>42424</v>
      </c>
    </row>
    <row r="509" spans="1:23" hidden="1" x14ac:dyDescent="0.25">
      <c r="A509" t="s">
        <v>43</v>
      </c>
      <c r="B509" t="s">
        <v>232</v>
      </c>
      <c r="C509">
        <v>2012</v>
      </c>
      <c r="D509" t="s">
        <v>1547</v>
      </c>
      <c r="E509" t="s">
        <v>130</v>
      </c>
      <c r="F509" t="s">
        <v>52</v>
      </c>
      <c r="G509" t="s">
        <v>1526</v>
      </c>
      <c r="H509" t="s">
        <v>133</v>
      </c>
      <c r="I509" t="s">
        <v>26</v>
      </c>
      <c r="J509">
        <v>92285</v>
      </c>
      <c r="K509">
        <v>34.259526999999999</v>
      </c>
      <c r="L509">
        <v>-116.341323</v>
      </c>
      <c r="M509" t="s">
        <v>1396</v>
      </c>
      <c r="N509">
        <v>20</v>
      </c>
      <c r="O509" t="s">
        <v>36</v>
      </c>
      <c r="P509">
        <v>1.5</v>
      </c>
      <c r="Q509">
        <v>4.8499999999999996</v>
      </c>
      <c r="S509" s="18">
        <v>41359</v>
      </c>
      <c r="T509" s="18">
        <v>41452</v>
      </c>
      <c r="W509" s="18">
        <v>42041</v>
      </c>
    </row>
    <row r="510" spans="1:23" hidden="1" x14ac:dyDescent="0.25">
      <c r="A510" t="s">
        <v>43</v>
      </c>
      <c r="B510" t="s">
        <v>206</v>
      </c>
      <c r="C510">
        <v>2013</v>
      </c>
      <c r="D510" t="s">
        <v>1546</v>
      </c>
      <c r="E510" t="s">
        <v>30</v>
      </c>
      <c r="F510" t="s">
        <v>52</v>
      </c>
      <c r="G510" t="s">
        <v>1140</v>
      </c>
      <c r="H510" t="s">
        <v>88</v>
      </c>
      <c r="I510" t="s">
        <v>26</v>
      </c>
      <c r="J510">
        <v>92240</v>
      </c>
      <c r="K510">
        <v>33.947200000000002</v>
      </c>
      <c r="L510">
        <v>-116.527283</v>
      </c>
      <c r="M510" t="s">
        <v>1546</v>
      </c>
      <c r="N510">
        <v>20</v>
      </c>
      <c r="O510" t="s">
        <v>36</v>
      </c>
      <c r="P510">
        <v>16</v>
      </c>
      <c r="Q510">
        <v>47.65</v>
      </c>
      <c r="R510" t="s">
        <v>484</v>
      </c>
      <c r="S510" s="18">
        <v>41599</v>
      </c>
      <c r="T510" s="18">
        <v>41608</v>
      </c>
      <c r="W510" s="18">
        <v>42513</v>
      </c>
    </row>
    <row r="511" spans="1:23" hidden="1" x14ac:dyDescent="0.25">
      <c r="A511" t="s">
        <v>43</v>
      </c>
      <c r="B511" t="s">
        <v>540</v>
      </c>
      <c r="C511">
        <v>2015</v>
      </c>
      <c r="D511" t="s">
        <v>1545</v>
      </c>
      <c r="E511" t="s">
        <v>90</v>
      </c>
      <c r="F511" t="s">
        <v>52</v>
      </c>
      <c r="G511" t="s">
        <v>1000</v>
      </c>
      <c r="H511" t="s">
        <v>133</v>
      </c>
      <c r="I511" t="s">
        <v>26</v>
      </c>
      <c r="J511">
        <v>91761</v>
      </c>
      <c r="K511">
        <v>34.055999999999997</v>
      </c>
      <c r="L511">
        <v>-117.55200000000001</v>
      </c>
      <c r="M511" t="s">
        <v>1544</v>
      </c>
      <c r="N511">
        <v>20</v>
      </c>
      <c r="O511" t="s">
        <v>36</v>
      </c>
      <c r="P511">
        <v>0.7</v>
      </c>
      <c r="Q511">
        <v>1.36</v>
      </c>
      <c r="S511" s="18">
        <v>42111</v>
      </c>
      <c r="T511" s="18">
        <v>42132</v>
      </c>
      <c r="W511" s="18">
        <v>42709</v>
      </c>
    </row>
    <row r="512" spans="1:23" hidden="1" x14ac:dyDescent="0.25">
      <c r="A512" t="s">
        <v>43</v>
      </c>
      <c r="B512" t="s">
        <v>540</v>
      </c>
      <c r="C512">
        <v>2015</v>
      </c>
      <c r="D512" t="s">
        <v>1543</v>
      </c>
      <c r="E512" t="s">
        <v>90</v>
      </c>
      <c r="F512" t="s">
        <v>52</v>
      </c>
      <c r="G512" t="s">
        <v>1542</v>
      </c>
      <c r="H512" t="s">
        <v>259</v>
      </c>
      <c r="I512" t="s">
        <v>26</v>
      </c>
      <c r="J512">
        <v>90810</v>
      </c>
      <c r="K512">
        <v>33.832999999999998</v>
      </c>
      <c r="L512">
        <v>-118.23</v>
      </c>
      <c r="M512" t="s">
        <v>1541</v>
      </c>
      <c r="N512">
        <v>20</v>
      </c>
      <c r="O512" t="s">
        <v>36</v>
      </c>
      <c r="P512">
        <v>0.9</v>
      </c>
      <c r="Q512">
        <v>1.77</v>
      </c>
      <c r="S512" s="18">
        <v>42111</v>
      </c>
      <c r="T512" s="18">
        <v>42132</v>
      </c>
      <c r="W512" s="18">
        <v>42709</v>
      </c>
    </row>
    <row r="513" spans="1:23" hidden="1" x14ac:dyDescent="0.25">
      <c r="A513" t="s">
        <v>43</v>
      </c>
      <c r="B513" t="s">
        <v>540</v>
      </c>
      <c r="C513">
        <v>2015</v>
      </c>
      <c r="D513" t="s">
        <v>1540</v>
      </c>
      <c r="E513" t="s">
        <v>90</v>
      </c>
      <c r="F513" t="s">
        <v>52</v>
      </c>
      <c r="G513" t="s">
        <v>1539</v>
      </c>
      <c r="H513" t="s">
        <v>259</v>
      </c>
      <c r="I513" t="s">
        <v>26</v>
      </c>
      <c r="J513">
        <v>90640</v>
      </c>
      <c r="K513">
        <v>33.981000000000002</v>
      </c>
      <c r="L513">
        <v>-118.125</v>
      </c>
      <c r="M513" t="s">
        <v>1538</v>
      </c>
      <c r="N513">
        <v>20</v>
      </c>
      <c r="O513" t="s">
        <v>36</v>
      </c>
      <c r="P513">
        <v>0.88</v>
      </c>
      <c r="Q513">
        <v>1.68</v>
      </c>
      <c r="S513" s="18">
        <v>42111</v>
      </c>
      <c r="T513" s="18">
        <v>42132</v>
      </c>
      <c r="W513" s="18">
        <v>42709</v>
      </c>
    </row>
    <row r="514" spans="1:23" hidden="1" x14ac:dyDescent="0.25">
      <c r="A514" t="s">
        <v>43</v>
      </c>
      <c r="B514" t="s">
        <v>232</v>
      </c>
      <c r="C514">
        <v>2012</v>
      </c>
      <c r="D514" t="s">
        <v>1537</v>
      </c>
      <c r="E514" t="s">
        <v>130</v>
      </c>
      <c r="F514" t="s">
        <v>52</v>
      </c>
      <c r="G514" t="s">
        <v>546</v>
      </c>
      <c r="H514" t="s">
        <v>259</v>
      </c>
      <c r="I514" t="s">
        <v>26</v>
      </c>
      <c r="J514">
        <v>93536</v>
      </c>
      <c r="K514">
        <v>34.723052000000003</v>
      </c>
      <c r="L514">
        <v>-118.289846</v>
      </c>
      <c r="M514" t="s">
        <v>1537</v>
      </c>
      <c r="N514">
        <v>20</v>
      </c>
      <c r="O514" t="s">
        <v>36</v>
      </c>
      <c r="P514">
        <v>1.5</v>
      </c>
      <c r="Q514">
        <v>3.97</v>
      </c>
      <c r="W514" s="18">
        <v>41796</v>
      </c>
    </row>
    <row r="515" spans="1:23" hidden="1" x14ac:dyDescent="0.25">
      <c r="A515" t="s">
        <v>43</v>
      </c>
      <c r="B515" t="s">
        <v>32</v>
      </c>
      <c r="C515">
        <v>1985</v>
      </c>
      <c r="D515" t="s">
        <v>1536</v>
      </c>
      <c r="E515" t="s">
        <v>30</v>
      </c>
      <c r="F515" t="s">
        <v>52</v>
      </c>
      <c r="G515" t="s">
        <v>149</v>
      </c>
      <c r="H515" t="s">
        <v>12</v>
      </c>
      <c r="I515" t="s">
        <v>26</v>
      </c>
      <c r="J515">
        <v>93561</v>
      </c>
      <c r="K515">
        <v>35.264299999999999</v>
      </c>
      <c r="L515">
        <v>-118.24585</v>
      </c>
      <c r="M515" t="s">
        <v>1536</v>
      </c>
      <c r="N515">
        <v>30</v>
      </c>
      <c r="O515" t="s">
        <v>24</v>
      </c>
      <c r="P515">
        <v>20.925000000000001</v>
      </c>
      <c r="Q515">
        <v>44.13</v>
      </c>
      <c r="W515" s="18">
        <v>43830</v>
      </c>
    </row>
    <row r="516" spans="1:23" hidden="1" x14ac:dyDescent="0.25">
      <c r="A516" t="s">
        <v>43</v>
      </c>
      <c r="B516" t="s">
        <v>232</v>
      </c>
      <c r="C516">
        <v>2012</v>
      </c>
      <c r="D516" t="s">
        <v>1535</v>
      </c>
      <c r="E516" t="s">
        <v>130</v>
      </c>
      <c r="F516" t="s">
        <v>52</v>
      </c>
      <c r="G516" t="s">
        <v>1094</v>
      </c>
      <c r="H516" t="s">
        <v>133</v>
      </c>
      <c r="I516" t="s">
        <v>26</v>
      </c>
      <c r="J516">
        <v>92308</v>
      </c>
      <c r="K516">
        <v>34.440399999999997</v>
      </c>
      <c r="L516">
        <v>-117.1709</v>
      </c>
      <c r="M516" t="s">
        <v>1535</v>
      </c>
      <c r="N516">
        <v>20</v>
      </c>
      <c r="O516" t="s">
        <v>36</v>
      </c>
      <c r="P516">
        <v>1.5</v>
      </c>
      <c r="Q516">
        <v>3.57</v>
      </c>
      <c r="S516" s="18">
        <v>41359</v>
      </c>
      <c r="T516" s="18">
        <v>41452</v>
      </c>
      <c r="W516" s="18">
        <v>41918</v>
      </c>
    </row>
    <row r="517" spans="1:23" hidden="1" x14ac:dyDescent="0.25">
      <c r="A517" t="s">
        <v>43</v>
      </c>
      <c r="B517" t="s">
        <v>206</v>
      </c>
      <c r="C517">
        <v>2015</v>
      </c>
      <c r="D517" t="s">
        <v>1534</v>
      </c>
      <c r="E517" t="s">
        <v>130</v>
      </c>
      <c r="F517" t="s">
        <v>52</v>
      </c>
      <c r="G517" t="s">
        <v>290</v>
      </c>
      <c r="H517" t="s">
        <v>146</v>
      </c>
      <c r="I517" t="s">
        <v>1533</v>
      </c>
      <c r="J517">
        <v>93640</v>
      </c>
      <c r="K517">
        <v>36.7165806</v>
      </c>
      <c r="L517">
        <v>-120.4096722</v>
      </c>
      <c r="M517" t="s">
        <v>1514</v>
      </c>
      <c r="N517">
        <v>15</v>
      </c>
      <c r="O517" t="s">
        <v>36</v>
      </c>
      <c r="P517">
        <v>20</v>
      </c>
      <c r="Q517">
        <v>732</v>
      </c>
      <c r="R517" t="s">
        <v>377</v>
      </c>
      <c r="W517" s="18">
        <v>42429</v>
      </c>
    </row>
    <row r="518" spans="1:23" hidden="1" x14ac:dyDescent="0.25">
      <c r="A518" t="s">
        <v>43</v>
      </c>
      <c r="B518" t="s">
        <v>263</v>
      </c>
      <c r="C518">
        <v>2016</v>
      </c>
      <c r="D518" t="s">
        <v>1531</v>
      </c>
      <c r="E518" t="s">
        <v>90</v>
      </c>
      <c r="F518" t="s">
        <v>52</v>
      </c>
      <c r="G518" t="s">
        <v>1532</v>
      </c>
      <c r="H518" t="s">
        <v>59</v>
      </c>
      <c r="I518" t="s">
        <v>26</v>
      </c>
      <c r="J518">
        <v>95295</v>
      </c>
      <c r="K518">
        <v>33.595199999999998</v>
      </c>
      <c r="L518">
        <v>-117.226579</v>
      </c>
      <c r="M518" t="s">
        <v>1531</v>
      </c>
      <c r="N518">
        <v>20</v>
      </c>
      <c r="O518" t="s">
        <v>36</v>
      </c>
      <c r="P518">
        <v>1.224</v>
      </c>
      <c r="Q518">
        <v>2.109</v>
      </c>
      <c r="W518" s="18">
        <v>43270</v>
      </c>
    </row>
    <row r="519" spans="1:23" hidden="1" x14ac:dyDescent="0.25">
      <c r="A519" t="s">
        <v>43</v>
      </c>
      <c r="B519" t="s">
        <v>232</v>
      </c>
      <c r="C519">
        <v>2012</v>
      </c>
      <c r="D519" t="s">
        <v>1530</v>
      </c>
      <c r="E519" t="s">
        <v>130</v>
      </c>
      <c r="F519" t="s">
        <v>52</v>
      </c>
      <c r="G519" t="s">
        <v>1094</v>
      </c>
      <c r="H519" t="s">
        <v>133</v>
      </c>
      <c r="I519" t="s">
        <v>26</v>
      </c>
      <c r="J519">
        <v>92308</v>
      </c>
      <c r="K519">
        <v>34.441699999999997</v>
      </c>
      <c r="L519">
        <v>-117.1712</v>
      </c>
      <c r="M519" t="s">
        <v>1530</v>
      </c>
      <c r="N519">
        <v>20</v>
      </c>
      <c r="O519" t="s">
        <v>36</v>
      </c>
      <c r="P519">
        <v>1.5</v>
      </c>
      <c r="Q519">
        <v>3.57</v>
      </c>
      <c r="S519" s="18">
        <v>41359</v>
      </c>
      <c r="T519" s="18">
        <v>41452</v>
      </c>
      <c r="W519" s="18">
        <v>41918</v>
      </c>
    </row>
    <row r="520" spans="1:23" hidden="1" x14ac:dyDescent="0.25">
      <c r="A520" t="s">
        <v>43</v>
      </c>
      <c r="B520" t="s">
        <v>32</v>
      </c>
      <c r="C520">
        <v>1985</v>
      </c>
      <c r="D520" t="s">
        <v>1529</v>
      </c>
      <c r="E520" t="s">
        <v>30</v>
      </c>
      <c r="F520" t="s">
        <v>29</v>
      </c>
      <c r="G520" t="s">
        <v>149</v>
      </c>
      <c r="H520" t="s">
        <v>12</v>
      </c>
      <c r="I520" t="s">
        <v>26</v>
      </c>
      <c r="J520">
        <v>93561</v>
      </c>
      <c r="K520">
        <v>35.087499999999999</v>
      </c>
      <c r="L520">
        <v>-118.35</v>
      </c>
      <c r="M520" t="s">
        <v>1529</v>
      </c>
      <c r="N520">
        <v>30</v>
      </c>
      <c r="O520" t="s">
        <v>24</v>
      </c>
      <c r="P520">
        <v>4.99</v>
      </c>
      <c r="Q520">
        <v>8.2100000000000009</v>
      </c>
    </row>
    <row r="521" spans="1:23" hidden="1" x14ac:dyDescent="0.25">
      <c r="A521" t="s">
        <v>43</v>
      </c>
      <c r="B521" t="s">
        <v>232</v>
      </c>
      <c r="C521">
        <v>2012</v>
      </c>
      <c r="D521" t="s">
        <v>1528</v>
      </c>
      <c r="E521" t="s">
        <v>130</v>
      </c>
      <c r="F521" t="s">
        <v>52</v>
      </c>
      <c r="G521" t="s">
        <v>546</v>
      </c>
      <c r="H521" t="s">
        <v>259</v>
      </c>
      <c r="I521" t="s">
        <v>26</v>
      </c>
      <c r="J521">
        <v>93536</v>
      </c>
      <c r="K521">
        <v>34.723903999999997</v>
      </c>
      <c r="L521">
        <v>-118.289745</v>
      </c>
      <c r="M521" t="s">
        <v>1528</v>
      </c>
      <c r="N521">
        <v>20</v>
      </c>
      <c r="O521" t="s">
        <v>36</v>
      </c>
      <c r="P521">
        <v>1.5</v>
      </c>
      <c r="Q521">
        <v>3.97</v>
      </c>
      <c r="W521" s="18">
        <v>41796</v>
      </c>
    </row>
    <row r="522" spans="1:23" hidden="1" x14ac:dyDescent="0.25">
      <c r="A522" t="s">
        <v>43</v>
      </c>
      <c r="B522" t="s">
        <v>232</v>
      </c>
      <c r="C522">
        <v>2012</v>
      </c>
      <c r="D522" t="s">
        <v>1527</v>
      </c>
      <c r="E522" t="s">
        <v>130</v>
      </c>
      <c r="F522" t="s">
        <v>52</v>
      </c>
      <c r="G522" t="s">
        <v>1526</v>
      </c>
      <c r="H522" t="s">
        <v>133</v>
      </c>
      <c r="I522" t="s">
        <v>26</v>
      </c>
      <c r="J522">
        <v>92285</v>
      </c>
      <c r="K522">
        <v>34.260117999999999</v>
      </c>
      <c r="L522">
        <v>-116.33533799999999</v>
      </c>
      <c r="M522" t="s">
        <v>1396</v>
      </c>
      <c r="N522">
        <v>20</v>
      </c>
      <c r="O522" t="s">
        <v>36</v>
      </c>
      <c r="P522">
        <v>1.5</v>
      </c>
      <c r="Q522">
        <v>4.8499999999999996</v>
      </c>
      <c r="S522" s="18">
        <v>41359</v>
      </c>
      <c r="T522" s="18">
        <v>41452</v>
      </c>
      <c r="W522" s="18">
        <v>42041</v>
      </c>
    </row>
    <row r="523" spans="1:23" hidden="1" x14ac:dyDescent="0.25">
      <c r="A523" t="s">
        <v>43</v>
      </c>
      <c r="B523" t="s">
        <v>232</v>
      </c>
      <c r="C523">
        <v>2012</v>
      </c>
      <c r="D523" t="s">
        <v>1525</v>
      </c>
      <c r="E523" t="s">
        <v>130</v>
      </c>
      <c r="F523" t="s">
        <v>52</v>
      </c>
      <c r="G523" t="s">
        <v>1471</v>
      </c>
      <c r="H523" t="s">
        <v>88</v>
      </c>
      <c r="I523" t="s">
        <v>26</v>
      </c>
      <c r="J523">
        <v>92567</v>
      </c>
      <c r="K523">
        <v>33.8339</v>
      </c>
      <c r="L523">
        <v>-117.1435</v>
      </c>
      <c r="M523" t="s">
        <v>1524</v>
      </c>
      <c r="N523">
        <v>20</v>
      </c>
      <c r="O523" t="s">
        <v>36</v>
      </c>
      <c r="P523">
        <v>1.5</v>
      </c>
      <c r="Q523">
        <v>4.2</v>
      </c>
      <c r="S523" s="18">
        <v>41359</v>
      </c>
      <c r="T523" s="18">
        <v>41452</v>
      </c>
      <c r="W523" s="18">
        <v>41963</v>
      </c>
    </row>
    <row r="524" spans="1:23" hidden="1" x14ac:dyDescent="0.25">
      <c r="A524" t="s">
        <v>43</v>
      </c>
      <c r="B524" t="s">
        <v>197</v>
      </c>
      <c r="C524">
        <v>2015</v>
      </c>
      <c r="D524" t="s">
        <v>1523</v>
      </c>
      <c r="E524" t="s">
        <v>90</v>
      </c>
      <c r="F524" t="s">
        <v>204</v>
      </c>
      <c r="G524" t="s">
        <v>1522</v>
      </c>
      <c r="H524" t="s">
        <v>374</v>
      </c>
      <c r="I524" t="s">
        <v>26</v>
      </c>
      <c r="J524">
        <v>92780</v>
      </c>
      <c r="K524">
        <v>33.713700000000003</v>
      </c>
      <c r="L524">
        <v>-117.83620000000001</v>
      </c>
      <c r="M524" t="s">
        <v>1521</v>
      </c>
      <c r="N524">
        <v>20</v>
      </c>
      <c r="O524" t="s">
        <v>36</v>
      </c>
      <c r="P524">
        <v>1.036</v>
      </c>
      <c r="Q524">
        <v>1.99</v>
      </c>
      <c r="S524" s="18">
        <v>42353</v>
      </c>
      <c r="T524" s="18">
        <v>42628</v>
      </c>
      <c r="W524" s="18">
        <v>42739</v>
      </c>
    </row>
    <row r="525" spans="1:23" hidden="1" x14ac:dyDescent="0.25">
      <c r="A525" t="s">
        <v>43</v>
      </c>
      <c r="B525" t="s">
        <v>540</v>
      </c>
      <c r="C525">
        <v>2015</v>
      </c>
      <c r="D525" t="s">
        <v>1520</v>
      </c>
      <c r="E525" t="s">
        <v>90</v>
      </c>
      <c r="F525" t="s">
        <v>52</v>
      </c>
      <c r="G525" t="s">
        <v>1519</v>
      </c>
      <c r="H525" t="s">
        <v>259</v>
      </c>
      <c r="I525" t="s">
        <v>26</v>
      </c>
      <c r="J525">
        <v>90638</v>
      </c>
      <c r="K525">
        <v>33.881999999999998</v>
      </c>
      <c r="L525">
        <v>-118.015</v>
      </c>
      <c r="M525" t="s">
        <v>1518</v>
      </c>
      <c r="N525">
        <v>20</v>
      </c>
      <c r="O525" t="s">
        <v>36</v>
      </c>
      <c r="P525">
        <v>0.88</v>
      </c>
      <c r="Q525">
        <v>1.69</v>
      </c>
      <c r="S525" s="18">
        <v>42111</v>
      </c>
      <c r="T525" s="18">
        <v>42132</v>
      </c>
      <c r="W525" s="18">
        <v>42709</v>
      </c>
    </row>
    <row r="526" spans="1:23" hidden="1" x14ac:dyDescent="0.25">
      <c r="A526" t="s">
        <v>43</v>
      </c>
      <c r="B526" t="s">
        <v>540</v>
      </c>
      <c r="C526">
        <v>2015</v>
      </c>
      <c r="D526" t="s">
        <v>1517</v>
      </c>
      <c r="E526" t="s">
        <v>90</v>
      </c>
      <c r="F526" t="s">
        <v>52</v>
      </c>
      <c r="G526" t="s">
        <v>1397</v>
      </c>
      <c r="H526" t="s">
        <v>133</v>
      </c>
      <c r="I526" t="s">
        <v>26</v>
      </c>
      <c r="J526">
        <v>93385</v>
      </c>
      <c r="K526">
        <v>34.484000000000002</v>
      </c>
      <c r="L526">
        <v>-117.28400000000001</v>
      </c>
      <c r="M526" t="s">
        <v>1510</v>
      </c>
      <c r="N526">
        <v>20</v>
      </c>
      <c r="O526" t="s">
        <v>36</v>
      </c>
      <c r="P526">
        <v>5</v>
      </c>
      <c r="Q526">
        <v>11.15</v>
      </c>
      <c r="S526" s="18">
        <v>42111</v>
      </c>
      <c r="T526" s="18">
        <v>42132</v>
      </c>
      <c r="W526" s="18">
        <v>42709</v>
      </c>
    </row>
    <row r="527" spans="1:23" hidden="1" x14ac:dyDescent="0.25">
      <c r="A527" t="s">
        <v>43</v>
      </c>
      <c r="B527" t="s">
        <v>540</v>
      </c>
      <c r="C527">
        <v>2013</v>
      </c>
      <c r="D527" t="s">
        <v>1516</v>
      </c>
      <c r="E527" t="s">
        <v>130</v>
      </c>
      <c r="F527" t="s">
        <v>52</v>
      </c>
      <c r="G527" t="s">
        <v>1515</v>
      </c>
      <c r="H527" t="s">
        <v>133</v>
      </c>
      <c r="I527" t="s">
        <v>26</v>
      </c>
      <c r="J527">
        <v>89028</v>
      </c>
      <c r="K527">
        <v>34.9529</v>
      </c>
      <c r="L527">
        <v>-114.653334</v>
      </c>
      <c r="M527" t="s">
        <v>1514</v>
      </c>
      <c r="N527">
        <v>20</v>
      </c>
      <c r="O527" t="s">
        <v>36</v>
      </c>
      <c r="P527">
        <v>328</v>
      </c>
      <c r="Q527">
        <v>898.38008000000002</v>
      </c>
      <c r="S527" s="18">
        <v>41941</v>
      </c>
      <c r="T527" s="18">
        <v>42090</v>
      </c>
      <c r="W527" s="18">
        <v>42769</v>
      </c>
    </row>
    <row r="528" spans="1:23" hidden="1" x14ac:dyDescent="0.25">
      <c r="A528" t="s">
        <v>43</v>
      </c>
      <c r="B528" t="s">
        <v>540</v>
      </c>
      <c r="C528">
        <v>2015</v>
      </c>
      <c r="D528" t="s">
        <v>1513</v>
      </c>
      <c r="E528" t="s">
        <v>90</v>
      </c>
      <c r="F528" t="s">
        <v>52</v>
      </c>
      <c r="G528" t="s">
        <v>1511</v>
      </c>
      <c r="H528" t="s">
        <v>133</v>
      </c>
      <c r="I528" t="s">
        <v>26</v>
      </c>
      <c r="J528">
        <v>92337</v>
      </c>
      <c r="K528">
        <v>34.055999999999997</v>
      </c>
      <c r="L528">
        <v>-117.46899999999999</v>
      </c>
      <c r="M528" t="s">
        <v>1510</v>
      </c>
      <c r="N528">
        <v>20</v>
      </c>
      <c r="O528" t="s">
        <v>36</v>
      </c>
      <c r="P528">
        <v>1.5</v>
      </c>
      <c r="Q528">
        <v>2.84</v>
      </c>
      <c r="S528" s="18">
        <v>42111</v>
      </c>
      <c r="T528" s="18">
        <v>42132</v>
      </c>
      <c r="W528" s="18">
        <v>42709</v>
      </c>
    </row>
    <row r="529" spans="1:23" hidden="1" x14ac:dyDescent="0.25">
      <c r="A529" t="s">
        <v>43</v>
      </c>
      <c r="B529" t="s">
        <v>540</v>
      </c>
      <c r="C529">
        <v>2015</v>
      </c>
      <c r="D529" t="s">
        <v>1512</v>
      </c>
      <c r="E529" t="s">
        <v>90</v>
      </c>
      <c r="F529" t="s">
        <v>52</v>
      </c>
      <c r="G529" t="s">
        <v>1511</v>
      </c>
      <c r="H529" t="s">
        <v>133</v>
      </c>
      <c r="I529" t="s">
        <v>26</v>
      </c>
      <c r="J529">
        <v>92337</v>
      </c>
      <c r="K529">
        <v>34.06</v>
      </c>
      <c r="L529">
        <v>-117.51</v>
      </c>
      <c r="M529" t="s">
        <v>1510</v>
      </c>
      <c r="N529">
        <v>20</v>
      </c>
      <c r="O529" t="s">
        <v>36</v>
      </c>
      <c r="P529">
        <v>0.9</v>
      </c>
      <c r="Q529">
        <v>1.82</v>
      </c>
      <c r="S529" s="18">
        <v>42111</v>
      </c>
      <c r="T529" s="18">
        <v>42132</v>
      </c>
      <c r="W529" s="18">
        <v>42709</v>
      </c>
    </row>
    <row r="530" spans="1:23" hidden="1" x14ac:dyDescent="0.25">
      <c r="A530" t="s">
        <v>43</v>
      </c>
      <c r="B530" t="s">
        <v>232</v>
      </c>
      <c r="C530">
        <v>2012</v>
      </c>
      <c r="D530" t="s">
        <v>1509</v>
      </c>
      <c r="E530" t="s">
        <v>130</v>
      </c>
      <c r="F530" t="s">
        <v>52</v>
      </c>
      <c r="G530" t="s">
        <v>1508</v>
      </c>
      <c r="H530" t="s">
        <v>133</v>
      </c>
      <c r="I530" t="s">
        <v>26</v>
      </c>
      <c r="J530">
        <v>92285</v>
      </c>
      <c r="K530">
        <v>34.341890999999997</v>
      </c>
      <c r="L530">
        <v>-116.471161</v>
      </c>
      <c r="M530" t="s">
        <v>1507</v>
      </c>
      <c r="N530">
        <v>20</v>
      </c>
      <c r="O530" t="s">
        <v>36</v>
      </c>
      <c r="P530">
        <v>1.5</v>
      </c>
      <c r="Q530">
        <v>4.8499999999999996</v>
      </c>
      <c r="S530" s="18">
        <v>41359</v>
      </c>
      <c r="T530" s="18">
        <v>41452</v>
      </c>
      <c r="W530" s="18">
        <v>42041</v>
      </c>
    </row>
    <row r="531" spans="1:23" hidden="1" x14ac:dyDescent="0.25">
      <c r="A531" t="s">
        <v>33</v>
      </c>
      <c r="B531" t="s">
        <v>197</v>
      </c>
      <c r="C531">
        <v>2005</v>
      </c>
      <c r="D531" t="s">
        <v>1506</v>
      </c>
      <c r="E531" t="s">
        <v>30</v>
      </c>
      <c r="F531" t="s">
        <v>40</v>
      </c>
      <c r="G531" t="s">
        <v>163</v>
      </c>
      <c r="H531" t="s">
        <v>74</v>
      </c>
      <c r="I531" t="s">
        <v>26</v>
      </c>
      <c r="J531">
        <v>96013</v>
      </c>
      <c r="K531">
        <v>40.869199999999999</v>
      </c>
      <c r="L531">
        <v>-121.7594</v>
      </c>
      <c r="M531" t="s">
        <v>482</v>
      </c>
      <c r="N531">
        <v>15</v>
      </c>
      <c r="O531" t="s">
        <v>24</v>
      </c>
      <c r="P531">
        <v>103.2</v>
      </c>
      <c r="Q531">
        <v>303</v>
      </c>
      <c r="S531" s="18">
        <v>39772.666666666664</v>
      </c>
      <c r="T531" s="18">
        <v>39866.666666666664</v>
      </c>
    </row>
    <row r="532" spans="1:23" hidden="1" x14ac:dyDescent="0.25">
      <c r="A532" t="s">
        <v>43</v>
      </c>
      <c r="B532" t="s">
        <v>206</v>
      </c>
      <c r="C532">
        <v>2013</v>
      </c>
      <c r="D532" t="s">
        <v>1505</v>
      </c>
      <c r="E532" t="s">
        <v>130</v>
      </c>
      <c r="F532" t="s">
        <v>52</v>
      </c>
      <c r="G532" t="s">
        <v>81</v>
      </c>
      <c r="H532" t="s">
        <v>12</v>
      </c>
      <c r="I532" t="s">
        <v>26</v>
      </c>
      <c r="J532">
        <v>93501</v>
      </c>
      <c r="K532">
        <v>35.036391999999999</v>
      </c>
      <c r="L532">
        <v>-118.180768</v>
      </c>
      <c r="M532" t="s">
        <v>1504</v>
      </c>
      <c r="N532">
        <v>20</v>
      </c>
      <c r="O532" t="s">
        <v>36</v>
      </c>
      <c r="P532">
        <v>20</v>
      </c>
      <c r="Q532">
        <v>60.19</v>
      </c>
      <c r="R532" t="s">
        <v>334</v>
      </c>
      <c r="S532" s="18">
        <v>41395</v>
      </c>
      <c r="T532" s="18">
        <v>41428</v>
      </c>
      <c r="W532" s="18">
        <v>41950</v>
      </c>
    </row>
    <row r="533" spans="1:23" hidden="1" x14ac:dyDescent="0.25">
      <c r="A533" t="s">
        <v>43</v>
      </c>
      <c r="B533" t="s">
        <v>206</v>
      </c>
      <c r="C533">
        <v>2013</v>
      </c>
      <c r="D533" t="s">
        <v>1503</v>
      </c>
      <c r="E533" t="s">
        <v>130</v>
      </c>
      <c r="F533" t="s">
        <v>52</v>
      </c>
      <c r="G533" t="s">
        <v>382</v>
      </c>
      <c r="H533" t="s">
        <v>12</v>
      </c>
      <c r="I533" t="s">
        <v>26</v>
      </c>
      <c r="J533">
        <v>93313</v>
      </c>
      <c r="K533">
        <v>35.101100000000002</v>
      </c>
      <c r="L533">
        <v>-119.08457</v>
      </c>
      <c r="M533" t="s">
        <v>1503</v>
      </c>
      <c r="N533">
        <v>10</v>
      </c>
      <c r="O533" t="s">
        <v>36</v>
      </c>
      <c r="P533">
        <v>18</v>
      </c>
      <c r="Q533">
        <v>46.76</v>
      </c>
      <c r="R533" t="s">
        <v>484</v>
      </c>
      <c r="S533" s="18">
        <v>41599</v>
      </c>
      <c r="T533" s="18">
        <v>41608</v>
      </c>
      <c r="W533" s="18">
        <v>42425</v>
      </c>
    </row>
    <row r="534" spans="1:23" hidden="1" x14ac:dyDescent="0.25">
      <c r="A534" t="s">
        <v>67</v>
      </c>
      <c r="B534" t="s">
        <v>232</v>
      </c>
      <c r="C534">
        <v>2013</v>
      </c>
      <c r="D534" t="s">
        <v>1502</v>
      </c>
      <c r="E534" t="s">
        <v>130</v>
      </c>
      <c r="F534" t="s">
        <v>204</v>
      </c>
      <c r="G534" t="s">
        <v>1501</v>
      </c>
      <c r="H534" t="s">
        <v>129</v>
      </c>
      <c r="I534" t="s">
        <v>26</v>
      </c>
      <c r="J534">
        <v>91916</v>
      </c>
      <c r="K534">
        <v>32.851390000000002</v>
      </c>
      <c r="L534">
        <v>-116.60299999999999</v>
      </c>
      <c r="M534" t="s">
        <v>1500</v>
      </c>
      <c r="N534">
        <v>20</v>
      </c>
      <c r="O534" t="s">
        <v>36</v>
      </c>
      <c r="P534">
        <v>1.5</v>
      </c>
      <c r="Q534">
        <v>3.3490000000000002</v>
      </c>
    </row>
    <row r="535" spans="1:23" hidden="1" x14ac:dyDescent="0.25">
      <c r="A535" t="s">
        <v>43</v>
      </c>
      <c r="B535" t="s">
        <v>32</v>
      </c>
      <c r="C535">
        <v>1984</v>
      </c>
      <c r="D535" t="s">
        <v>1444</v>
      </c>
      <c r="E535" t="s">
        <v>30</v>
      </c>
      <c r="F535" t="s">
        <v>40</v>
      </c>
      <c r="G535" t="s">
        <v>1140</v>
      </c>
      <c r="H535" t="s">
        <v>59</v>
      </c>
      <c r="I535" t="s">
        <v>1445</v>
      </c>
      <c r="J535">
        <v>92240</v>
      </c>
      <c r="K535">
        <v>33.922899999999998</v>
      </c>
      <c r="L535">
        <v>-116.56556399999999</v>
      </c>
      <c r="M535" t="s">
        <v>1444</v>
      </c>
      <c r="N535">
        <v>30</v>
      </c>
      <c r="O535" t="s">
        <v>24</v>
      </c>
      <c r="P535">
        <v>11.654999999999999</v>
      </c>
      <c r="Q535">
        <v>34.75</v>
      </c>
    </row>
    <row r="536" spans="1:23" hidden="1" x14ac:dyDescent="0.25">
      <c r="A536" t="s">
        <v>43</v>
      </c>
      <c r="B536" t="s">
        <v>197</v>
      </c>
      <c r="C536">
        <v>2018</v>
      </c>
      <c r="D536" t="s">
        <v>1499</v>
      </c>
      <c r="E536" t="s">
        <v>130</v>
      </c>
      <c r="F536" t="s">
        <v>52</v>
      </c>
      <c r="G536" t="s">
        <v>546</v>
      </c>
      <c r="H536" t="s">
        <v>259</v>
      </c>
      <c r="I536" t="s">
        <v>26</v>
      </c>
      <c r="J536">
        <v>93535</v>
      </c>
      <c r="K536">
        <v>34.729999999999997</v>
      </c>
      <c r="L536">
        <v>-118.22</v>
      </c>
      <c r="M536" t="s">
        <v>1499</v>
      </c>
      <c r="N536">
        <v>20</v>
      </c>
      <c r="O536" t="s">
        <v>36</v>
      </c>
      <c r="P536">
        <v>3</v>
      </c>
      <c r="Q536">
        <v>9.61</v>
      </c>
      <c r="S536" s="18">
        <v>43532</v>
      </c>
      <c r="T536" s="18">
        <v>43582</v>
      </c>
      <c r="W536" s="18">
        <v>44725</v>
      </c>
    </row>
    <row r="537" spans="1:23" hidden="1" x14ac:dyDescent="0.25">
      <c r="A537" t="s">
        <v>67</v>
      </c>
      <c r="B537" t="s">
        <v>201</v>
      </c>
      <c r="C537">
        <v>2010</v>
      </c>
      <c r="D537" t="s">
        <v>1498</v>
      </c>
      <c r="E537" t="s">
        <v>130</v>
      </c>
      <c r="F537" t="s">
        <v>52</v>
      </c>
      <c r="G537" t="s">
        <v>389</v>
      </c>
      <c r="H537" t="s">
        <v>305</v>
      </c>
      <c r="I537" t="s">
        <v>26</v>
      </c>
      <c r="J537">
        <v>92231</v>
      </c>
      <c r="K537">
        <v>32.664560000000002</v>
      </c>
      <c r="L537">
        <v>-115.638571</v>
      </c>
      <c r="M537" t="s">
        <v>1497</v>
      </c>
      <c r="N537">
        <v>25</v>
      </c>
      <c r="O537" t="s">
        <v>36</v>
      </c>
      <c r="P537">
        <v>6.5</v>
      </c>
      <c r="Q537">
        <v>13.7</v>
      </c>
      <c r="S537" s="18">
        <v>40633</v>
      </c>
      <c r="T537" s="18">
        <v>40857</v>
      </c>
      <c r="W537" s="18">
        <v>41992</v>
      </c>
    </row>
    <row r="538" spans="1:23" hidden="1" x14ac:dyDescent="0.25">
      <c r="A538" t="s">
        <v>67</v>
      </c>
      <c r="B538" t="s">
        <v>263</v>
      </c>
      <c r="C538">
        <v>2014</v>
      </c>
      <c r="D538" t="s">
        <v>1496</v>
      </c>
      <c r="E538" t="s">
        <v>130</v>
      </c>
      <c r="F538" t="s">
        <v>52</v>
      </c>
      <c r="G538" t="s">
        <v>1495</v>
      </c>
      <c r="H538" t="s">
        <v>129</v>
      </c>
      <c r="I538" t="s">
        <v>26</v>
      </c>
      <c r="J538">
        <v>92040</v>
      </c>
      <c r="K538">
        <v>32.877879999999998</v>
      </c>
      <c r="L538">
        <v>-116.863</v>
      </c>
      <c r="M538" t="s">
        <v>1494</v>
      </c>
      <c r="N538">
        <v>20</v>
      </c>
      <c r="O538" t="s">
        <v>36</v>
      </c>
      <c r="P538">
        <v>2</v>
      </c>
      <c r="Q538">
        <v>5.4</v>
      </c>
      <c r="W538" s="18">
        <v>42243</v>
      </c>
    </row>
    <row r="539" spans="1:23" hidden="1" x14ac:dyDescent="0.25">
      <c r="A539" t="s">
        <v>33</v>
      </c>
      <c r="B539" t="s">
        <v>32</v>
      </c>
      <c r="C539">
        <v>1985</v>
      </c>
      <c r="D539" t="s">
        <v>1493</v>
      </c>
      <c r="E539" t="s">
        <v>47</v>
      </c>
      <c r="F539" t="s">
        <v>52</v>
      </c>
      <c r="G539" t="s">
        <v>153</v>
      </c>
      <c r="H539" t="s">
        <v>153</v>
      </c>
      <c r="I539" t="s">
        <v>26</v>
      </c>
      <c r="J539">
        <v>95340</v>
      </c>
      <c r="K539">
        <v>37.368550300000003</v>
      </c>
      <c r="L539">
        <v>-120.4320515</v>
      </c>
      <c r="M539" t="s">
        <v>152</v>
      </c>
      <c r="N539">
        <v>999</v>
      </c>
      <c r="O539" t="s">
        <v>24</v>
      </c>
      <c r="P539">
        <v>0.9</v>
      </c>
      <c r="Q539">
        <v>1.651</v>
      </c>
      <c r="W539" s="18">
        <v>42063</v>
      </c>
    </row>
    <row r="540" spans="1:23" hidden="1" x14ac:dyDescent="0.25">
      <c r="A540" t="s">
        <v>43</v>
      </c>
      <c r="B540" t="s">
        <v>232</v>
      </c>
      <c r="C540">
        <v>2012</v>
      </c>
      <c r="D540" t="s">
        <v>1492</v>
      </c>
      <c r="E540" t="s">
        <v>130</v>
      </c>
      <c r="F540" t="s">
        <v>52</v>
      </c>
      <c r="G540" t="s">
        <v>1491</v>
      </c>
      <c r="H540" t="s">
        <v>259</v>
      </c>
      <c r="I540" t="s">
        <v>26</v>
      </c>
      <c r="J540">
        <v>91773</v>
      </c>
      <c r="K540">
        <v>34.105722</v>
      </c>
      <c r="L540">
        <v>-117.800394</v>
      </c>
      <c r="M540" t="s">
        <v>1490</v>
      </c>
      <c r="N540">
        <v>10</v>
      </c>
      <c r="O540" t="s">
        <v>36</v>
      </c>
      <c r="P540">
        <v>0.25</v>
      </c>
      <c r="Q540">
        <v>0.2</v>
      </c>
      <c r="W540" s="18">
        <v>44764</v>
      </c>
    </row>
    <row r="541" spans="1:23" hidden="1" x14ac:dyDescent="0.25">
      <c r="A541" t="s">
        <v>43</v>
      </c>
      <c r="B541" t="s">
        <v>32</v>
      </c>
      <c r="C541">
        <v>1985</v>
      </c>
      <c r="D541" t="s">
        <v>1489</v>
      </c>
      <c r="E541" t="s">
        <v>30</v>
      </c>
      <c r="F541" t="s">
        <v>52</v>
      </c>
      <c r="G541" t="s">
        <v>149</v>
      </c>
      <c r="H541" t="s">
        <v>12</v>
      </c>
      <c r="I541" t="s">
        <v>26</v>
      </c>
      <c r="J541">
        <v>93561</v>
      </c>
      <c r="K541">
        <v>35.087499999999999</v>
      </c>
      <c r="L541">
        <v>-118.35</v>
      </c>
      <c r="M541" t="s">
        <v>1489</v>
      </c>
      <c r="N541">
        <v>30</v>
      </c>
      <c r="O541" t="s">
        <v>24</v>
      </c>
      <c r="P541">
        <v>6.9749999999999996</v>
      </c>
      <c r="Q541">
        <v>15.54</v>
      </c>
      <c r="R541" t="s">
        <v>334</v>
      </c>
      <c r="W541" s="18">
        <v>43861</v>
      </c>
    </row>
    <row r="542" spans="1:23" hidden="1" x14ac:dyDescent="0.25">
      <c r="A542" t="s">
        <v>43</v>
      </c>
      <c r="B542" t="s">
        <v>32</v>
      </c>
      <c r="C542">
        <v>1983</v>
      </c>
      <c r="D542" t="s">
        <v>261</v>
      </c>
      <c r="E542" t="s">
        <v>47</v>
      </c>
      <c r="F542" t="s">
        <v>40</v>
      </c>
      <c r="G542" t="s">
        <v>260</v>
      </c>
      <c r="H542" t="s">
        <v>98</v>
      </c>
      <c r="I542" t="s">
        <v>26</v>
      </c>
      <c r="J542">
        <v>91750</v>
      </c>
      <c r="K542">
        <v>34.115900000000003</v>
      </c>
      <c r="L542">
        <v>-117.750919</v>
      </c>
      <c r="M542" t="s">
        <v>258</v>
      </c>
      <c r="N542">
        <v>30</v>
      </c>
      <c r="O542" t="s">
        <v>24</v>
      </c>
      <c r="P542">
        <v>0.35</v>
      </c>
      <c r="Q542">
        <v>1.56</v>
      </c>
    </row>
    <row r="543" spans="1:23" hidden="1" x14ac:dyDescent="0.25">
      <c r="A543" t="s">
        <v>67</v>
      </c>
      <c r="B543" t="s">
        <v>197</v>
      </c>
      <c r="C543">
        <v>2018</v>
      </c>
      <c r="D543" t="s">
        <v>1488</v>
      </c>
      <c r="E543" t="s">
        <v>130</v>
      </c>
      <c r="F543" t="s">
        <v>204</v>
      </c>
      <c r="G543" t="s">
        <v>142</v>
      </c>
      <c r="H543" t="s">
        <v>305</v>
      </c>
      <c r="I543" t="s">
        <v>26</v>
      </c>
      <c r="J543">
        <v>92257</v>
      </c>
      <c r="K543">
        <v>33.269426000000003</v>
      </c>
      <c r="L543">
        <v>-115.502954</v>
      </c>
      <c r="M543" t="s">
        <v>432</v>
      </c>
      <c r="N543">
        <v>20</v>
      </c>
      <c r="O543" t="s">
        <v>36</v>
      </c>
      <c r="P543">
        <v>20</v>
      </c>
      <c r="Q543">
        <v>58.7</v>
      </c>
      <c r="S543" s="18">
        <v>43238</v>
      </c>
      <c r="U543" s="18">
        <v>43262</v>
      </c>
    </row>
    <row r="544" spans="1:23" hidden="1" x14ac:dyDescent="0.25">
      <c r="A544" t="s">
        <v>33</v>
      </c>
      <c r="B544" t="s">
        <v>923</v>
      </c>
      <c r="C544">
        <v>2019</v>
      </c>
      <c r="D544" t="s">
        <v>961</v>
      </c>
      <c r="E544" t="s">
        <v>1013</v>
      </c>
      <c r="F544" t="s">
        <v>52</v>
      </c>
      <c r="G544" t="s">
        <v>146</v>
      </c>
      <c r="H544" t="s">
        <v>1487</v>
      </c>
      <c r="I544" t="s">
        <v>26</v>
      </c>
      <c r="J544">
        <v>93725</v>
      </c>
      <c r="K544">
        <v>36.690096500000003</v>
      </c>
      <c r="L544">
        <v>-119.7509026</v>
      </c>
      <c r="M544" t="s">
        <v>960</v>
      </c>
      <c r="N544">
        <v>20</v>
      </c>
      <c r="O544" t="s">
        <v>36</v>
      </c>
      <c r="P544">
        <v>3</v>
      </c>
      <c r="Q544">
        <v>23.472000000000001</v>
      </c>
      <c r="W544" s="18">
        <v>43942.708333333336</v>
      </c>
    </row>
    <row r="545" spans="1:23" ht="30" hidden="1" x14ac:dyDescent="0.25">
      <c r="A545" t="s">
        <v>67</v>
      </c>
      <c r="B545" t="s">
        <v>197</v>
      </c>
      <c r="C545">
        <v>2020</v>
      </c>
      <c r="D545" s="15" t="s">
        <v>1486</v>
      </c>
      <c r="E545" t="s">
        <v>291</v>
      </c>
      <c r="F545" t="s">
        <v>204</v>
      </c>
      <c r="G545" t="s">
        <v>429</v>
      </c>
      <c r="H545" t="s">
        <v>374</v>
      </c>
      <c r="I545" t="s">
        <v>26</v>
      </c>
      <c r="J545">
        <v>90720</v>
      </c>
      <c r="K545" t="s">
        <v>428</v>
      </c>
      <c r="L545" t="s">
        <v>427</v>
      </c>
      <c r="M545" t="s">
        <v>426</v>
      </c>
      <c r="N545">
        <v>10</v>
      </c>
      <c r="O545" t="s">
        <v>36</v>
      </c>
      <c r="P545">
        <v>20</v>
      </c>
      <c r="Q545">
        <v>58.35</v>
      </c>
      <c r="S545" s="18">
        <v>44195</v>
      </c>
      <c r="T545" s="18">
        <v>44301</v>
      </c>
    </row>
    <row r="546" spans="1:23" hidden="1" x14ac:dyDescent="0.25">
      <c r="A546" t="s">
        <v>43</v>
      </c>
      <c r="B546" t="s">
        <v>32</v>
      </c>
      <c r="C546">
        <v>2014</v>
      </c>
      <c r="D546" t="s">
        <v>1485</v>
      </c>
      <c r="E546" t="s">
        <v>130</v>
      </c>
      <c r="F546" t="s">
        <v>29</v>
      </c>
      <c r="G546" t="s">
        <v>546</v>
      </c>
      <c r="H546" t="s">
        <v>259</v>
      </c>
      <c r="I546" t="s">
        <v>26</v>
      </c>
      <c r="J546">
        <v>93536</v>
      </c>
      <c r="K546">
        <v>34.725000000000001</v>
      </c>
      <c r="L546">
        <v>-118.294</v>
      </c>
      <c r="M546" t="s">
        <v>1484</v>
      </c>
      <c r="N546">
        <v>1</v>
      </c>
      <c r="O546" t="s">
        <v>36</v>
      </c>
      <c r="P546">
        <v>6.5</v>
      </c>
      <c r="Q546">
        <v>16.68</v>
      </c>
    </row>
    <row r="547" spans="1:23" hidden="1" x14ac:dyDescent="0.25">
      <c r="A547" t="s">
        <v>33</v>
      </c>
      <c r="B547" t="s">
        <v>232</v>
      </c>
      <c r="C547">
        <v>2013</v>
      </c>
      <c r="D547" t="s">
        <v>1483</v>
      </c>
      <c r="E547" t="s">
        <v>130</v>
      </c>
      <c r="F547" t="s">
        <v>52</v>
      </c>
      <c r="G547" t="s">
        <v>542</v>
      </c>
      <c r="H547" t="s">
        <v>533</v>
      </c>
      <c r="I547" t="s">
        <v>26</v>
      </c>
      <c r="J547">
        <v>93245</v>
      </c>
      <c r="K547">
        <v>36.139372999999999</v>
      </c>
      <c r="L547">
        <v>-120.16092500000001</v>
      </c>
      <c r="M547" t="s">
        <v>1482</v>
      </c>
      <c r="N547">
        <v>20</v>
      </c>
      <c r="O547" t="s">
        <v>36</v>
      </c>
      <c r="P547">
        <v>1.5</v>
      </c>
      <c r="Q547">
        <v>2.1</v>
      </c>
      <c r="W547" s="18">
        <v>42052</v>
      </c>
    </row>
    <row r="548" spans="1:23" hidden="1" x14ac:dyDescent="0.25">
      <c r="A548" t="s">
        <v>67</v>
      </c>
      <c r="B548" t="s">
        <v>263</v>
      </c>
      <c r="C548">
        <v>2014</v>
      </c>
      <c r="D548" t="s">
        <v>1481</v>
      </c>
      <c r="E548" t="s">
        <v>130</v>
      </c>
      <c r="F548" t="s">
        <v>52</v>
      </c>
      <c r="G548" t="s">
        <v>129</v>
      </c>
      <c r="H548" t="s">
        <v>129</v>
      </c>
      <c r="I548" t="s">
        <v>26</v>
      </c>
      <c r="J548">
        <v>91906</v>
      </c>
      <c r="K548">
        <v>32.651000000000003</v>
      </c>
      <c r="L548">
        <v>-116.501</v>
      </c>
      <c r="M548" t="s">
        <v>1480</v>
      </c>
      <c r="N548">
        <v>20</v>
      </c>
      <c r="O548" t="s">
        <v>36</v>
      </c>
      <c r="P548">
        <v>2.4</v>
      </c>
      <c r="Q548">
        <v>7.0250000000000004</v>
      </c>
      <c r="W548" s="18">
        <v>42345</v>
      </c>
    </row>
    <row r="549" spans="1:23" hidden="1" x14ac:dyDescent="0.25">
      <c r="A549" t="s">
        <v>33</v>
      </c>
      <c r="B549" t="s">
        <v>32</v>
      </c>
      <c r="C549">
        <v>1984</v>
      </c>
      <c r="D549" t="s">
        <v>1479</v>
      </c>
      <c r="E549" t="s">
        <v>47</v>
      </c>
      <c r="F549" t="s">
        <v>29</v>
      </c>
      <c r="G549" t="s">
        <v>178</v>
      </c>
      <c r="H549" t="s">
        <v>178</v>
      </c>
      <c r="I549" t="s">
        <v>26</v>
      </c>
      <c r="J549">
        <v>93636</v>
      </c>
      <c r="K549">
        <v>37.158039000000002</v>
      </c>
      <c r="L549">
        <v>-120.121629</v>
      </c>
      <c r="M549" t="s">
        <v>177</v>
      </c>
      <c r="N549">
        <v>30</v>
      </c>
      <c r="O549" t="s">
        <v>24</v>
      </c>
      <c r="P549">
        <v>0.91600000000000004</v>
      </c>
      <c r="Q549">
        <v>1.722</v>
      </c>
    </row>
    <row r="550" spans="1:23" hidden="1" x14ac:dyDescent="0.25">
      <c r="A550" t="s">
        <v>43</v>
      </c>
      <c r="B550" t="s">
        <v>232</v>
      </c>
      <c r="C550">
        <v>2012</v>
      </c>
      <c r="D550" t="s">
        <v>1478</v>
      </c>
      <c r="E550" t="s">
        <v>130</v>
      </c>
      <c r="F550" t="s">
        <v>52</v>
      </c>
      <c r="G550" t="s">
        <v>546</v>
      </c>
      <c r="H550" t="s">
        <v>259</v>
      </c>
      <c r="I550" t="s">
        <v>26</v>
      </c>
      <c r="J550">
        <v>93536</v>
      </c>
      <c r="K550">
        <v>34.723191</v>
      </c>
      <c r="L550">
        <v>-118.28953799999999</v>
      </c>
      <c r="M550" t="s">
        <v>1478</v>
      </c>
      <c r="N550">
        <v>20</v>
      </c>
      <c r="O550" t="s">
        <v>36</v>
      </c>
      <c r="P550">
        <v>1.5</v>
      </c>
      <c r="Q550">
        <v>3.97</v>
      </c>
      <c r="W550" s="18">
        <v>41796</v>
      </c>
    </row>
    <row r="551" spans="1:23" hidden="1" x14ac:dyDescent="0.25">
      <c r="A551" t="s">
        <v>67</v>
      </c>
      <c r="B551" t="s">
        <v>92</v>
      </c>
      <c r="C551">
        <v>2015</v>
      </c>
      <c r="D551" t="s">
        <v>1477</v>
      </c>
      <c r="E551" t="s">
        <v>130</v>
      </c>
      <c r="F551" t="s">
        <v>29</v>
      </c>
      <c r="G551" t="s">
        <v>129</v>
      </c>
      <c r="H551" t="s">
        <v>129</v>
      </c>
      <c r="I551" t="s">
        <v>26</v>
      </c>
      <c r="J551">
        <v>92101</v>
      </c>
      <c r="K551">
        <v>32.699457000000002</v>
      </c>
      <c r="L551">
        <v>-117.101887</v>
      </c>
      <c r="M551" t="s">
        <v>1476</v>
      </c>
      <c r="N551">
        <v>10</v>
      </c>
      <c r="O551" t="s">
        <v>24</v>
      </c>
      <c r="P551">
        <v>5.6000000000000001E-2</v>
      </c>
      <c r="Q551">
        <v>9.4E-2</v>
      </c>
    </row>
    <row r="552" spans="1:23" hidden="1" x14ac:dyDescent="0.25">
      <c r="A552" t="s">
        <v>33</v>
      </c>
      <c r="B552" t="s">
        <v>263</v>
      </c>
      <c r="C552">
        <v>2015</v>
      </c>
      <c r="D552" t="s">
        <v>115</v>
      </c>
      <c r="E552" t="s">
        <v>47</v>
      </c>
      <c r="F552" t="s">
        <v>40</v>
      </c>
      <c r="G552" t="s">
        <v>114</v>
      </c>
      <c r="H552" t="s">
        <v>113</v>
      </c>
      <c r="I552" t="s">
        <v>26</v>
      </c>
      <c r="J552">
        <v>95667</v>
      </c>
      <c r="K552">
        <v>38.783450999999999</v>
      </c>
      <c r="L552">
        <v>-120.7785367</v>
      </c>
      <c r="M552" t="s">
        <v>1475</v>
      </c>
      <c r="N552">
        <v>20</v>
      </c>
      <c r="O552" t="s">
        <v>36</v>
      </c>
      <c r="P552">
        <v>2.7959999999999998</v>
      </c>
      <c r="Q552">
        <v>6.3239999999999998</v>
      </c>
    </row>
    <row r="553" spans="1:23" hidden="1" x14ac:dyDescent="0.25">
      <c r="A553" t="s">
        <v>43</v>
      </c>
      <c r="B553" t="s">
        <v>540</v>
      </c>
      <c r="C553">
        <v>2015</v>
      </c>
      <c r="D553" t="s">
        <v>1474</v>
      </c>
      <c r="E553" t="s">
        <v>90</v>
      </c>
      <c r="F553" t="s">
        <v>52</v>
      </c>
      <c r="G553" t="s">
        <v>259</v>
      </c>
      <c r="H553" t="s">
        <v>259</v>
      </c>
      <c r="I553" t="s">
        <v>26</v>
      </c>
      <c r="J553">
        <v>90040</v>
      </c>
      <c r="K553">
        <v>34.003</v>
      </c>
      <c r="L553">
        <v>-118.128</v>
      </c>
      <c r="M553" t="s">
        <v>1473</v>
      </c>
      <c r="N553">
        <v>20</v>
      </c>
      <c r="O553" t="s">
        <v>36</v>
      </c>
      <c r="P553">
        <v>1.76</v>
      </c>
      <c r="Q553">
        <v>3.39</v>
      </c>
      <c r="S553" s="18">
        <v>42111</v>
      </c>
      <c r="T553" s="18">
        <v>42132</v>
      </c>
      <c r="W553" s="18">
        <v>42709</v>
      </c>
    </row>
    <row r="554" spans="1:23" hidden="1" x14ac:dyDescent="0.25">
      <c r="A554" t="s">
        <v>43</v>
      </c>
      <c r="B554" t="s">
        <v>232</v>
      </c>
      <c r="C554">
        <v>2012</v>
      </c>
      <c r="D554" t="s">
        <v>1472</v>
      </c>
      <c r="E554" t="s">
        <v>130</v>
      </c>
      <c r="F554" t="s">
        <v>52</v>
      </c>
      <c r="G554" t="s">
        <v>1471</v>
      </c>
      <c r="H554" t="s">
        <v>88</v>
      </c>
      <c r="I554" t="s">
        <v>26</v>
      </c>
      <c r="J554">
        <v>92567</v>
      </c>
      <c r="K554">
        <v>33.836500000000001</v>
      </c>
      <c r="L554">
        <v>-117.14567</v>
      </c>
      <c r="M554" t="s">
        <v>1470</v>
      </c>
      <c r="N554">
        <v>20</v>
      </c>
      <c r="O554" t="s">
        <v>36</v>
      </c>
      <c r="P554">
        <v>1.5</v>
      </c>
      <c r="Q554">
        <v>4.2</v>
      </c>
      <c r="S554" s="18">
        <v>41359</v>
      </c>
      <c r="T554" s="18">
        <v>41452</v>
      </c>
      <c r="W554" s="18">
        <v>41963</v>
      </c>
    </row>
    <row r="555" spans="1:23" hidden="1" x14ac:dyDescent="0.25">
      <c r="A555" t="s">
        <v>43</v>
      </c>
      <c r="B555" t="s">
        <v>32</v>
      </c>
      <c r="C555">
        <v>1985</v>
      </c>
      <c r="D555" t="s">
        <v>1469</v>
      </c>
      <c r="E555" t="s">
        <v>30</v>
      </c>
      <c r="F555" t="s">
        <v>52</v>
      </c>
      <c r="G555" t="s">
        <v>149</v>
      </c>
      <c r="H555" t="s">
        <v>12</v>
      </c>
      <c r="I555" t="s">
        <v>26</v>
      </c>
      <c r="J555">
        <v>93561</v>
      </c>
      <c r="K555">
        <v>35.2044</v>
      </c>
      <c r="L555">
        <v>-118.23662299999999</v>
      </c>
      <c r="M555" t="s">
        <v>1469</v>
      </c>
      <c r="N555">
        <v>30</v>
      </c>
      <c r="O555" t="s">
        <v>24</v>
      </c>
      <c r="P555">
        <v>36.774999999999999</v>
      </c>
      <c r="Q555">
        <v>81.709999999999994</v>
      </c>
      <c r="W555" s="18">
        <v>43830</v>
      </c>
    </row>
    <row r="556" spans="1:23" hidden="1" x14ac:dyDescent="0.25">
      <c r="A556" t="s">
        <v>43</v>
      </c>
      <c r="B556" t="s">
        <v>32</v>
      </c>
      <c r="C556">
        <v>1983</v>
      </c>
      <c r="D556" t="s">
        <v>1468</v>
      </c>
      <c r="E556" t="s">
        <v>90</v>
      </c>
      <c r="F556" t="s">
        <v>52</v>
      </c>
      <c r="G556" t="s">
        <v>1397</v>
      </c>
      <c r="H556" t="s">
        <v>133</v>
      </c>
      <c r="I556" t="s">
        <v>26</v>
      </c>
      <c r="J556">
        <v>92392</v>
      </c>
      <c r="K556">
        <v>34.502142999999997</v>
      </c>
      <c r="L556">
        <v>-117.27131</v>
      </c>
      <c r="M556" t="s">
        <v>1468</v>
      </c>
      <c r="N556">
        <v>999</v>
      </c>
      <c r="O556" t="s">
        <v>24</v>
      </c>
      <c r="P556">
        <v>1.2999999999999999E-3</v>
      </c>
      <c r="W556" s="18">
        <v>44114</v>
      </c>
    </row>
    <row r="557" spans="1:23" hidden="1" x14ac:dyDescent="0.25">
      <c r="A557" t="s">
        <v>33</v>
      </c>
      <c r="B557" t="s">
        <v>263</v>
      </c>
      <c r="C557">
        <v>2021</v>
      </c>
      <c r="D557" t="s">
        <v>1467</v>
      </c>
      <c r="E557" t="s">
        <v>130</v>
      </c>
      <c r="F557" t="s">
        <v>52</v>
      </c>
      <c r="G557" t="s">
        <v>1466</v>
      </c>
      <c r="H557" t="s">
        <v>27</v>
      </c>
      <c r="I557" t="s">
        <v>26</v>
      </c>
      <c r="J557">
        <v>95391</v>
      </c>
      <c r="K557">
        <v>37.756508423926697</v>
      </c>
      <c r="L557">
        <v>-121.56102897625399</v>
      </c>
      <c r="M557" t="s">
        <v>1465</v>
      </c>
      <c r="N557">
        <v>15</v>
      </c>
      <c r="O557" t="s">
        <v>36</v>
      </c>
      <c r="P557">
        <v>2</v>
      </c>
      <c r="Q557">
        <v>5.4757199999999999</v>
      </c>
      <c r="W557" s="18">
        <v>45136</v>
      </c>
    </row>
    <row r="558" spans="1:23" hidden="1" x14ac:dyDescent="0.25">
      <c r="A558" t="s">
        <v>43</v>
      </c>
      <c r="B558" t="s">
        <v>32</v>
      </c>
      <c r="C558">
        <v>1984</v>
      </c>
      <c r="D558" t="s">
        <v>1464</v>
      </c>
      <c r="E558" t="s">
        <v>30</v>
      </c>
      <c r="F558" t="s">
        <v>29</v>
      </c>
      <c r="G558" t="s">
        <v>81</v>
      </c>
      <c r="H558" t="s">
        <v>80</v>
      </c>
      <c r="I558" t="s">
        <v>26</v>
      </c>
      <c r="J558">
        <v>93501</v>
      </c>
      <c r="K558">
        <v>35.070799999999998</v>
      </c>
      <c r="L558">
        <v>-118.329167</v>
      </c>
      <c r="M558" t="s">
        <v>1463</v>
      </c>
      <c r="N558">
        <v>30</v>
      </c>
      <c r="O558" t="s">
        <v>24</v>
      </c>
      <c r="P558">
        <v>3</v>
      </c>
      <c r="Q558">
        <v>11.36</v>
      </c>
    </row>
    <row r="559" spans="1:23" hidden="1" x14ac:dyDescent="0.25">
      <c r="A559" t="s">
        <v>43</v>
      </c>
      <c r="B559" t="s">
        <v>206</v>
      </c>
      <c r="C559">
        <v>2013</v>
      </c>
      <c r="D559" t="s">
        <v>1462</v>
      </c>
      <c r="E559" t="s">
        <v>30</v>
      </c>
      <c r="F559" t="s">
        <v>52</v>
      </c>
      <c r="G559" t="s">
        <v>81</v>
      </c>
      <c r="H559" t="s">
        <v>12</v>
      </c>
      <c r="I559" t="s">
        <v>26</v>
      </c>
      <c r="J559">
        <v>93501</v>
      </c>
      <c r="K559">
        <v>35.088999999999999</v>
      </c>
      <c r="L559">
        <v>-118.337</v>
      </c>
      <c r="M559" t="s">
        <v>1462</v>
      </c>
      <c r="N559">
        <v>10</v>
      </c>
      <c r="O559" t="s">
        <v>36</v>
      </c>
      <c r="P559">
        <v>7.46</v>
      </c>
      <c r="Q559">
        <v>18.29</v>
      </c>
      <c r="R559" t="s">
        <v>334</v>
      </c>
      <c r="S559" s="18">
        <v>41395</v>
      </c>
      <c r="T559" s="18">
        <v>41428</v>
      </c>
      <c r="W559" s="18">
        <v>43738</v>
      </c>
    </row>
    <row r="560" spans="1:23" hidden="1" x14ac:dyDescent="0.25">
      <c r="A560" t="s">
        <v>43</v>
      </c>
      <c r="B560" t="s">
        <v>206</v>
      </c>
      <c r="C560">
        <v>2014</v>
      </c>
      <c r="D560" t="s">
        <v>1460</v>
      </c>
      <c r="E560" t="s">
        <v>30</v>
      </c>
      <c r="F560" t="s">
        <v>52</v>
      </c>
      <c r="G560" t="s">
        <v>81</v>
      </c>
      <c r="H560" t="s">
        <v>1461</v>
      </c>
      <c r="I560" t="s">
        <v>26</v>
      </c>
      <c r="J560">
        <v>93501</v>
      </c>
      <c r="K560">
        <v>35.088999999999999</v>
      </c>
      <c r="L560">
        <v>-118.337</v>
      </c>
      <c r="M560" t="s">
        <v>1460</v>
      </c>
      <c r="N560">
        <v>10</v>
      </c>
      <c r="O560" t="s">
        <v>36</v>
      </c>
      <c r="P560">
        <v>7.46</v>
      </c>
      <c r="Q560">
        <v>19.840523999999998</v>
      </c>
      <c r="R560" t="s">
        <v>785</v>
      </c>
      <c r="W560" s="18">
        <v>43738</v>
      </c>
    </row>
    <row r="561" spans="1:23" hidden="1" x14ac:dyDescent="0.25">
      <c r="A561" t="s">
        <v>43</v>
      </c>
      <c r="B561" t="s">
        <v>32</v>
      </c>
      <c r="C561">
        <v>1985</v>
      </c>
      <c r="D561" t="s">
        <v>1459</v>
      </c>
      <c r="E561" t="s">
        <v>30</v>
      </c>
      <c r="F561" t="s">
        <v>52</v>
      </c>
      <c r="G561" t="s">
        <v>149</v>
      </c>
      <c r="H561" t="s">
        <v>12</v>
      </c>
      <c r="I561" t="s">
        <v>26</v>
      </c>
      <c r="J561">
        <v>93561</v>
      </c>
      <c r="K561">
        <v>35.087499999999999</v>
      </c>
      <c r="L561">
        <v>-118.35</v>
      </c>
      <c r="M561" t="s">
        <v>1459</v>
      </c>
      <c r="N561">
        <v>30</v>
      </c>
      <c r="O561" t="s">
        <v>24</v>
      </c>
      <c r="P561">
        <v>6.9749999999999996</v>
      </c>
      <c r="Q561">
        <v>16.399999999999999</v>
      </c>
      <c r="W561" s="18">
        <v>43861</v>
      </c>
    </row>
    <row r="562" spans="1:23" hidden="1" x14ac:dyDescent="0.25">
      <c r="A562" t="s">
        <v>33</v>
      </c>
      <c r="B562" t="s">
        <v>923</v>
      </c>
      <c r="C562">
        <v>2019</v>
      </c>
      <c r="D562" t="s">
        <v>1458</v>
      </c>
      <c r="E562" t="s">
        <v>948</v>
      </c>
      <c r="F562" t="s">
        <v>52</v>
      </c>
      <c r="G562" t="s">
        <v>956</v>
      </c>
      <c r="H562" t="s">
        <v>146</v>
      </c>
      <c r="I562" t="s">
        <v>26</v>
      </c>
      <c r="J562">
        <v>93656</v>
      </c>
      <c r="K562">
        <v>36.474315773131899</v>
      </c>
      <c r="L562">
        <v>-119.919910439581</v>
      </c>
      <c r="M562" t="s">
        <v>955</v>
      </c>
      <c r="N562">
        <v>20</v>
      </c>
      <c r="O562" t="s">
        <v>36</v>
      </c>
      <c r="P562">
        <v>0.55000000000000004</v>
      </c>
      <c r="Q562">
        <v>4.3361999999999998</v>
      </c>
      <c r="W562" s="18">
        <v>44886</v>
      </c>
    </row>
    <row r="563" spans="1:23" hidden="1" x14ac:dyDescent="0.25">
      <c r="A563" t="s">
        <v>43</v>
      </c>
      <c r="B563" t="s">
        <v>111</v>
      </c>
      <c r="C563">
        <v>2020</v>
      </c>
      <c r="D563" t="s">
        <v>109</v>
      </c>
      <c r="E563" t="s">
        <v>109</v>
      </c>
      <c r="F563" t="s">
        <v>40</v>
      </c>
      <c r="G563" t="s">
        <v>109</v>
      </c>
      <c r="H563" t="s">
        <v>109</v>
      </c>
      <c r="I563" t="s">
        <v>26</v>
      </c>
      <c r="J563" t="s">
        <v>110</v>
      </c>
      <c r="K563" t="s">
        <v>109</v>
      </c>
      <c r="L563" t="s">
        <v>109</v>
      </c>
      <c r="M563" t="s">
        <v>1197</v>
      </c>
      <c r="N563">
        <v>2</v>
      </c>
      <c r="O563" t="s">
        <v>36</v>
      </c>
      <c r="Q563">
        <v>25</v>
      </c>
      <c r="S563" s="18">
        <v>44335</v>
      </c>
    </row>
    <row r="564" spans="1:23" hidden="1" x14ac:dyDescent="0.25">
      <c r="A564" t="s">
        <v>33</v>
      </c>
      <c r="B564" t="s">
        <v>32</v>
      </c>
      <c r="C564">
        <v>1984</v>
      </c>
      <c r="D564" t="s">
        <v>1457</v>
      </c>
      <c r="E564" t="s">
        <v>30</v>
      </c>
      <c r="F564" t="s">
        <v>29</v>
      </c>
      <c r="G564" t="s">
        <v>28</v>
      </c>
      <c r="H564" t="s">
        <v>35</v>
      </c>
      <c r="I564" t="s">
        <v>26</v>
      </c>
      <c r="J564">
        <v>94550</v>
      </c>
      <c r="K564">
        <v>37.706325999999997</v>
      </c>
      <c r="L564">
        <v>-121.717358</v>
      </c>
      <c r="M564" t="s">
        <v>25</v>
      </c>
      <c r="N564">
        <v>28</v>
      </c>
      <c r="O564" t="s">
        <v>24</v>
      </c>
      <c r="P564">
        <v>15</v>
      </c>
      <c r="Q564">
        <v>21.327000000000002</v>
      </c>
    </row>
    <row r="565" spans="1:23" hidden="1" x14ac:dyDescent="0.25">
      <c r="A565" t="s">
        <v>43</v>
      </c>
      <c r="B565" t="s">
        <v>32</v>
      </c>
      <c r="C565">
        <v>1985</v>
      </c>
      <c r="D565" t="s">
        <v>1331</v>
      </c>
      <c r="E565" t="s">
        <v>47</v>
      </c>
      <c r="F565" t="s">
        <v>29</v>
      </c>
      <c r="G565" t="s">
        <v>1456</v>
      </c>
      <c r="H565" t="s">
        <v>98</v>
      </c>
      <c r="I565" t="s">
        <v>26</v>
      </c>
      <c r="J565">
        <v>91767</v>
      </c>
      <c r="K565">
        <v>34.100200000000001</v>
      </c>
      <c r="L565">
        <v>-117.75592</v>
      </c>
      <c r="M565" t="s">
        <v>258</v>
      </c>
      <c r="N565">
        <v>30</v>
      </c>
      <c r="O565" t="s">
        <v>24</v>
      </c>
      <c r="P565">
        <v>0.2</v>
      </c>
      <c r="Q565">
        <v>1.05</v>
      </c>
    </row>
    <row r="566" spans="1:23" hidden="1" x14ac:dyDescent="0.25">
      <c r="A566" t="s">
        <v>43</v>
      </c>
      <c r="B566" t="s">
        <v>32</v>
      </c>
      <c r="C566">
        <v>1987</v>
      </c>
      <c r="D566" t="s">
        <v>1455</v>
      </c>
      <c r="E566" t="s">
        <v>143</v>
      </c>
      <c r="F566" t="s">
        <v>29</v>
      </c>
      <c r="G566" t="s">
        <v>379</v>
      </c>
      <c r="H566" t="s">
        <v>141</v>
      </c>
      <c r="I566" t="s">
        <v>26</v>
      </c>
      <c r="J566">
        <v>92233</v>
      </c>
      <c r="K566">
        <v>33.157600000000002</v>
      </c>
      <c r="L566">
        <v>-115.64037999999999</v>
      </c>
      <c r="M566" t="s">
        <v>140</v>
      </c>
      <c r="N566">
        <v>30</v>
      </c>
      <c r="O566" t="s">
        <v>24</v>
      </c>
      <c r="P566">
        <v>10</v>
      </c>
      <c r="Q566">
        <v>64.48</v>
      </c>
    </row>
    <row r="567" spans="1:23" hidden="1" x14ac:dyDescent="0.25">
      <c r="A567" t="s">
        <v>43</v>
      </c>
      <c r="B567" t="s">
        <v>32</v>
      </c>
      <c r="C567">
        <v>1985</v>
      </c>
      <c r="D567" t="s">
        <v>1454</v>
      </c>
      <c r="E567" t="s">
        <v>30</v>
      </c>
      <c r="F567" t="s">
        <v>29</v>
      </c>
      <c r="G567" t="s">
        <v>60</v>
      </c>
      <c r="H567" t="s">
        <v>59</v>
      </c>
      <c r="I567" t="s">
        <v>26</v>
      </c>
      <c r="J567">
        <v>92262</v>
      </c>
      <c r="K567">
        <v>33.935499999999998</v>
      </c>
      <c r="L567">
        <v>-116.62405699999999</v>
      </c>
      <c r="M567" t="s">
        <v>1453</v>
      </c>
      <c r="N567">
        <v>30</v>
      </c>
      <c r="O567" t="s">
        <v>24</v>
      </c>
      <c r="P567">
        <v>19.265000000000001</v>
      </c>
      <c r="Q567">
        <v>36.31</v>
      </c>
    </row>
    <row r="568" spans="1:23" hidden="1" x14ac:dyDescent="0.25">
      <c r="A568" t="s">
        <v>43</v>
      </c>
      <c r="B568" t="s">
        <v>32</v>
      </c>
      <c r="C568">
        <v>1985</v>
      </c>
      <c r="D568" t="s">
        <v>1452</v>
      </c>
      <c r="E568" t="s">
        <v>143</v>
      </c>
      <c r="F568" t="s">
        <v>29</v>
      </c>
      <c r="G568" t="s">
        <v>379</v>
      </c>
      <c r="H568" t="s">
        <v>305</v>
      </c>
      <c r="I568" t="s">
        <v>26</v>
      </c>
      <c r="J568">
        <v>92233</v>
      </c>
      <c r="K568">
        <v>33.157600000000002</v>
      </c>
      <c r="L568">
        <v>-115.64037999999999</v>
      </c>
      <c r="M568" t="s">
        <v>1452</v>
      </c>
      <c r="N568">
        <v>30</v>
      </c>
      <c r="O568" t="s">
        <v>24</v>
      </c>
      <c r="P568">
        <v>49.8</v>
      </c>
      <c r="Q568">
        <v>322.58</v>
      </c>
    </row>
    <row r="569" spans="1:23" hidden="1" x14ac:dyDescent="0.25">
      <c r="A569" t="s">
        <v>43</v>
      </c>
      <c r="B569" t="s">
        <v>32</v>
      </c>
      <c r="C569">
        <v>1985</v>
      </c>
      <c r="D569" t="s">
        <v>1451</v>
      </c>
      <c r="E569" t="s">
        <v>143</v>
      </c>
      <c r="F569" t="s">
        <v>29</v>
      </c>
      <c r="G569" t="s">
        <v>142</v>
      </c>
      <c r="H569" t="s">
        <v>305</v>
      </c>
      <c r="I569" t="s">
        <v>26</v>
      </c>
      <c r="J569">
        <v>92257</v>
      </c>
      <c r="K569">
        <v>33.177999999999997</v>
      </c>
      <c r="L569">
        <v>-115.564756</v>
      </c>
      <c r="M569" t="s">
        <v>1451</v>
      </c>
      <c r="N569">
        <v>30</v>
      </c>
      <c r="O569" t="s">
        <v>24</v>
      </c>
      <c r="P569">
        <v>38</v>
      </c>
      <c r="Q569">
        <v>310.48</v>
      </c>
    </row>
    <row r="570" spans="1:23" hidden="1" x14ac:dyDescent="0.25">
      <c r="A570" t="s">
        <v>43</v>
      </c>
      <c r="B570" t="s">
        <v>92</v>
      </c>
      <c r="C570">
        <v>1911</v>
      </c>
      <c r="D570" t="s">
        <v>1449</v>
      </c>
      <c r="E570" t="s">
        <v>47</v>
      </c>
      <c r="F570" t="s">
        <v>40</v>
      </c>
      <c r="G570" t="s">
        <v>1450</v>
      </c>
      <c r="H570" t="s">
        <v>236</v>
      </c>
      <c r="I570" t="s">
        <v>26</v>
      </c>
      <c r="J570">
        <v>93541</v>
      </c>
      <c r="K570">
        <v>38.042361999999997</v>
      </c>
      <c r="L570">
        <v>-119.172258</v>
      </c>
      <c r="M570" t="s">
        <v>1449</v>
      </c>
      <c r="N570">
        <v>999</v>
      </c>
      <c r="O570" t="s">
        <v>24</v>
      </c>
      <c r="P570">
        <v>3</v>
      </c>
      <c r="Q570">
        <v>18.059709881</v>
      </c>
    </row>
    <row r="571" spans="1:23" hidden="1" x14ac:dyDescent="0.25">
      <c r="A571" t="s">
        <v>67</v>
      </c>
      <c r="B571" t="s">
        <v>263</v>
      </c>
      <c r="C571">
        <v>2014</v>
      </c>
      <c r="D571" t="s">
        <v>1448</v>
      </c>
      <c r="E571" t="s">
        <v>130</v>
      </c>
      <c r="F571" t="s">
        <v>204</v>
      </c>
      <c r="G571" t="s">
        <v>368</v>
      </c>
      <c r="H571" t="s">
        <v>129</v>
      </c>
      <c r="I571" t="s">
        <v>26</v>
      </c>
      <c r="J571">
        <v>91905</v>
      </c>
      <c r="K571">
        <v>32.4</v>
      </c>
      <c r="L571">
        <v>-116.15</v>
      </c>
      <c r="M571" t="s">
        <v>1447</v>
      </c>
      <c r="N571">
        <v>20</v>
      </c>
      <c r="O571" t="s">
        <v>36</v>
      </c>
      <c r="P571">
        <v>2.9</v>
      </c>
      <c r="Q571">
        <v>9.2739999999999991</v>
      </c>
    </row>
    <row r="572" spans="1:23" hidden="1" x14ac:dyDescent="0.25">
      <c r="A572" t="s">
        <v>43</v>
      </c>
      <c r="B572" t="s">
        <v>32</v>
      </c>
      <c r="C572">
        <v>2015</v>
      </c>
      <c r="D572" t="s">
        <v>1446</v>
      </c>
      <c r="E572" t="s">
        <v>30</v>
      </c>
      <c r="F572" t="s">
        <v>29</v>
      </c>
      <c r="G572" t="s">
        <v>1373</v>
      </c>
      <c r="H572" t="s">
        <v>59</v>
      </c>
      <c r="I572" t="s">
        <v>1445</v>
      </c>
      <c r="J572">
        <v>92558</v>
      </c>
      <c r="K572">
        <v>33.921534999999999</v>
      </c>
      <c r="L572">
        <v>-116.557636</v>
      </c>
      <c r="M572" t="s">
        <v>1444</v>
      </c>
      <c r="O572" t="s">
        <v>36</v>
      </c>
      <c r="P572">
        <v>11.7</v>
      </c>
      <c r="Q572">
        <v>33.822360000000003</v>
      </c>
    </row>
    <row r="573" spans="1:23" hidden="1" x14ac:dyDescent="0.25">
      <c r="A573" t="s">
        <v>33</v>
      </c>
      <c r="B573" t="s">
        <v>32</v>
      </c>
      <c r="C573">
        <v>1984</v>
      </c>
      <c r="D573" t="s">
        <v>1443</v>
      </c>
      <c r="E573" t="s">
        <v>30</v>
      </c>
      <c r="F573" t="s">
        <v>29</v>
      </c>
      <c r="G573" t="s">
        <v>28</v>
      </c>
      <c r="H573" t="s">
        <v>27</v>
      </c>
      <c r="I573" t="s">
        <v>26</v>
      </c>
      <c r="J573">
        <v>95391</v>
      </c>
      <c r="K573">
        <v>37.748358000000003</v>
      </c>
      <c r="L573">
        <v>-121.627579</v>
      </c>
      <c r="M573" t="s">
        <v>1443</v>
      </c>
      <c r="N573">
        <v>30</v>
      </c>
      <c r="O573" t="s">
        <v>24</v>
      </c>
      <c r="P573">
        <v>19</v>
      </c>
      <c r="Q573">
        <v>31.553999999999998</v>
      </c>
    </row>
    <row r="574" spans="1:23" hidden="1" x14ac:dyDescent="0.25">
      <c r="A574" t="s">
        <v>33</v>
      </c>
      <c r="B574" t="s">
        <v>32</v>
      </c>
      <c r="C574">
        <v>1985</v>
      </c>
      <c r="D574" t="s">
        <v>1442</v>
      </c>
      <c r="E574" t="s">
        <v>30</v>
      </c>
      <c r="F574" t="s">
        <v>29</v>
      </c>
      <c r="G574" t="s">
        <v>28</v>
      </c>
      <c r="H574" t="s">
        <v>27</v>
      </c>
      <c r="I574" t="s">
        <v>26</v>
      </c>
      <c r="J574">
        <v>95377</v>
      </c>
      <c r="K574">
        <v>37.730882999999999</v>
      </c>
      <c r="L574">
        <v>-121.589356</v>
      </c>
      <c r="M574" t="s">
        <v>25</v>
      </c>
      <c r="N574">
        <v>30</v>
      </c>
      <c r="O574" t="s">
        <v>24</v>
      </c>
      <c r="P574">
        <v>5.9</v>
      </c>
      <c r="Q574">
        <v>11.209</v>
      </c>
    </row>
    <row r="575" spans="1:23" hidden="1" x14ac:dyDescent="0.25">
      <c r="A575" t="s">
        <v>43</v>
      </c>
      <c r="B575" t="s">
        <v>263</v>
      </c>
      <c r="C575">
        <v>2017</v>
      </c>
      <c r="D575" t="s">
        <v>1441</v>
      </c>
      <c r="E575" t="s">
        <v>130</v>
      </c>
      <c r="F575" t="s">
        <v>40</v>
      </c>
      <c r="G575" t="s">
        <v>546</v>
      </c>
      <c r="H575" t="s">
        <v>259</v>
      </c>
      <c r="I575" t="s">
        <v>26</v>
      </c>
      <c r="J575">
        <v>93535</v>
      </c>
      <c r="K575">
        <v>34.688000000000002</v>
      </c>
      <c r="L575">
        <v>-117.99</v>
      </c>
      <c r="M575" t="s">
        <v>1440</v>
      </c>
      <c r="N575">
        <v>20</v>
      </c>
      <c r="O575" t="s">
        <v>36</v>
      </c>
      <c r="P575">
        <v>3</v>
      </c>
      <c r="Q575">
        <v>8.2569999999999997</v>
      </c>
    </row>
    <row r="576" spans="1:23" hidden="1" x14ac:dyDescent="0.25">
      <c r="A576" t="s">
        <v>43</v>
      </c>
      <c r="B576" t="s">
        <v>263</v>
      </c>
      <c r="C576">
        <v>2016</v>
      </c>
      <c r="D576" t="s">
        <v>1439</v>
      </c>
      <c r="E576" t="s">
        <v>130</v>
      </c>
      <c r="F576" t="s">
        <v>40</v>
      </c>
      <c r="G576" t="s">
        <v>1090</v>
      </c>
      <c r="H576" t="s">
        <v>259</v>
      </c>
      <c r="I576" t="s">
        <v>26</v>
      </c>
      <c r="J576">
        <v>93591</v>
      </c>
      <c r="K576">
        <v>34.597000000000001</v>
      </c>
      <c r="L576">
        <v>-117.932</v>
      </c>
      <c r="M576" t="s">
        <v>1439</v>
      </c>
      <c r="N576">
        <v>20</v>
      </c>
      <c r="O576" t="s">
        <v>36</v>
      </c>
      <c r="P576">
        <v>3</v>
      </c>
      <c r="Q576">
        <v>8.9</v>
      </c>
    </row>
    <row r="577" spans="1:22" hidden="1" x14ac:dyDescent="0.25">
      <c r="A577" t="s">
        <v>43</v>
      </c>
      <c r="B577" t="s">
        <v>161</v>
      </c>
      <c r="C577">
        <v>2016</v>
      </c>
      <c r="D577" t="s">
        <v>1438</v>
      </c>
      <c r="E577" t="s">
        <v>130</v>
      </c>
      <c r="F577" t="s">
        <v>40</v>
      </c>
      <c r="G577" t="s">
        <v>546</v>
      </c>
      <c r="H577" t="s">
        <v>259</v>
      </c>
      <c r="I577" t="s">
        <v>26</v>
      </c>
      <c r="J577">
        <v>93536</v>
      </c>
      <c r="K577">
        <v>34.74</v>
      </c>
      <c r="L577">
        <v>-118.30200000000001</v>
      </c>
      <c r="M577" t="s">
        <v>1438</v>
      </c>
      <c r="N577">
        <v>20</v>
      </c>
      <c r="O577" t="s">
        <v>36</v>
      </c>
      <c r="P577">
        <v>20</v>
      </c>
      <c r="Q577">
        <v>56</v>
      </c>
      <c r="S577" s="18">
        <v>42676</v>
      </c>
    </row>
    <row r="578" spans="1:22" hidden="1" x14ac:dyDescent="0.25">
      <c r="A578" t="s">
        <v>43</v>
      </c>
      <c r="B578" t="s">
        <v>263</v>
      </c>
      <c r="C578">
        <v>2016</v>
      </c>
      <c r="D578" t="s">
        <v>1437</v>
      </c>
      <c r="E578" t="s">
        <v>130</v>
      </c>
      <c r="F578" t="s">
        <v>40</v>
      </c>
      <c r="G578" t="s">
        <v>546</v>
      </c>
      <c r="H578" t="s">
        <v>259</v>
      </c>
      <c r="I578" t="s">
        <v>26</v>
      </c>
      <c r="J578">
        <v>93536</v>
      </c>
      <c r="K578">
        <v>34.655000000000001</v>
      </c>
      <c r="L578">
        <v>-118.08199999999999</v>
      </c>
      <c r="M578" t="s">
        <v>1436</v>
      </c>
      <c r="N578">
        <v>20</v>
      </c>
      <c r="O578" t="s">
        <v>36</v>
      </c>
      <c r="P578">
        <v>3</v>
      </c>
      <c r="Q578">
        <v>8.9</v>
      </c>
    </row>
    <row r="579" spans="1:22" hidden="1" x14ac:dyDescent="0.25">
      <c r="A579" t="s">
        <v>43</v>
      </c>
      <c r="B579" t="s">
        <v>232</v>
      </c>
      <c r="C579">
        <v>2011</v>
      </c>
      <c r="D579" t="s">
        <v>1435</v>
      </c>
      <c r="E579" t="s">
        <v>130</v>
      </c>
      <c r="F579" t="s">
        <v>40</v>
      </c>
      <c r="G579" t="s">
        <v>1094</v>
      </c>
      <c r="H579" t="s">
        <v>133</v>
      </c>
      <c r="I579" t="s">
        <v>26</v>
      </c>
      <c r="J579">
        <v>92307</v>
      </c>
      <c r="K579">
        <v>34.4968</v>
      </c>
      <c r="L579">
        <v>-117.145</v>
      </c>
      <c r="M579" t="s">
        <v>1434</v>
      </c>
      <c r="N579">
        <v>20</v>
      </c>
      <c r="O579" t="s">
        <v>36</v>
      </c>
      <c r="P579">
        <v>1.496</v>
      </c>
      <c r="Q579">
        <v>4.42</v>
      </c>
    </row>
    <row r="580" spans="1:22" hidden="1" x14ac:dyDescent="0.25">
      <c r="A580" t="s">
        <v>43</v>
      </c>
      <c r="B580" t="s">
        <v>923</v>
      </c>
      <c r="C580">
        <v>2018</v>
      </c>
      <c r="D580" t="s">
        <v>1432</v>
      </c>
      <c r="E580" t="s">
        <v>948</v>
      </c>
      <c r="F580" t="s">
        <v>40</v>
      </c>
      <c r="G580" t="s">
        <v>1433</v>
      </c>
      <c r="H580" t="s">
        <v>181</v>
      </c>
      <c r="I580" t="s">
        <v>26</v>
      </c>
      <c r="J580">
        <v>93272</v>
      </c>
      <c r="K580">
        <v>36.062673400000001</v>
      </c>
      <c r="L580">
        <v>-119.22549778</v>
      </c>
      <c r="M580" t="s">
        <v>1432</v>
      </c>
      <c r="N580">
        <v>20</v>
      </c>
      <c r="O580" t="s">
        <v>36</v>
      </c>
      <c r="P580">
        <v>0.8</v>
      </c>
      <c r="Q580">
        <v>4.2</v>
      </c>
    </row>
    <row r="581" spans="1:22" hidden="1" x14ac:dyDescent="0.25">
      <c r="A581" t="s">
        <v>43</v>
      </c>
      <c r="B581" t="s">
        <v>232</v>
      </c>
      <c r="C581">
        <v>2011</v>
      </c>
      <c r="D581" t="s">
        <v>1431</v>
      </c>
      <c r="E581" t="s">
        <v>130</v>
      </c>
      <c r="F581" t="s">
        <v>40</v>
      </c>
      <c r="G581" t="s">
        <v>1094</v>
      </c>
      <c r="H581" t="s">
        <v>133</v>
      </c>
      <c r="I581" t="s">
        <v>26</v>
      </c>
      <c r="J581">
        <v>92307</v>
      </c>
      <c r="K581">
        <v>34.544600000000003</v>
      </c>
      <c r="L581">
        <v>-117.1923</v>
      </c>
      <c r="M581" t="s">
        <v>1430</v>
      </c>
      <c r="N581">
        <v>20</v>
      </c>
      <c r="O581" t="s">
        <v>36</v>
      </c>
      <c r="P581">
        <v>1.496</v>
      </c>
      <c r="Q581">
        <v>3.58</v>
      </c>
    </row>
    <row r="582" spans="1:22" hidden="1" x14ac:dyDescent="0.25">
      <c r="A582" t="s">
        <v>43</v>
      </c>
      <c r="B582" t="s">
        <v>232</v>
      </c>
      <c r="C582">
        <v>2011</v>
      </c>
      <c r="D582" t="s">
        <v>1429</v>
      </c>
      <c r="E582" t="s">
        <v>130</v>
      </c>
      <c r="F582" t="s">
        <v>40</v>
      </c>
      <c r="G582" t="s">
        <v>1094</v>
      </c>
      <c r="H582" t="s">
        <v>133</v>
      </c>
      <c r="I582" t="s">
        <v>26</v>
      </c>
      <c r="J582">
        <v>92307</v>
      </c>
      <c r="K582">
        <v>34.549700000000001</v>
      </c>
      <c r="L582">
        <v>-117.1921</v>
      </c>
      <c r="M582" t="s">
        <v>1428</v>
      </c>
      <c r="N582">
        <v>20</v>
      </c>
      <c r="O582" t="s">
        <v>36</v>
      </c>
      <c r="P582">
        <v>1.496</v>
      </c>
      <c r="Q582">
        <v>4.4400000000000004</v>
      </c>
    </row>
    <row r="583" spans="1:22" hidden="1" x14ac:dyDescent="0.25">
      <c r="A583" t="s">
        <v>43</v>
      </c>
      <c r="B583" t="s">
        <v>161</v>
      </c>
      <c r="C583">
        <v>2010</v>
      </c>
      <c r="D583" t="s">
        <v>1427</v>
      </c>
      <c r="E583" t="s">
        <v>130</v>
      </c>
      <c r="F583" t="s">
        <v>40</v>
      </c>
      <c r="G583" t="s">
        <v>546</v>
      </c>
      <c r="H583" t="s">
        <v>259</v>
      </c>
      <c r="I583" t="s">
        <v>26</v>
      </c>
      <c r="J583">
        <v>93536</v>
      </c>
      <c r="K583">
        <v>34.715899999999998</v>
      </c>
      <c r="L583">
        <v>-118.29170000000001</v>
      </c>
      <c r="M583" t="s">
        <v>1427</v>
      </c>
      <c r="N583">
        <v>20</v>
      </c>
      <c r="O583" t="s">
        <v>36</v>
      </c>
      <c r="P583">
        <v>5</v>
      </c>
      <c r="Q583">
        <v>13</v>
      </c>
      <c r="S583" s="18">
        <v>40574</v>
      </c>
      <c r="T583" s="18">
        <v>40892</v>
      </c>
    </row>
    <row r="584" spans="1:22" hidden="1" x14ac:dyDescent="0.25">
      <c r="A584" t="s">
        <v>43</v>
      </c>
      <c r="B584" t="s">
        <v>161</v>
      </c>
      <c r="C584">
        <v>2010</v>
      </c>
      <c r="D584" t="s">
        <v>1426</v>
      </c>
      <c r="E584" t="s">
        <v>130</v>
      </c>
      <c r="F584" t="s">
        <v>40</v>
      </c>
      <c r="G584" t="s">
        <v>1397</v>
      </c>
      <c r="H584" t="s">
        <v>133</v>
      </c>
      <c r="I584" t="s">
        <v>26</v>
      </c>
      <c r="J584">
        <v>92371</v>
      </c>
      <c r="K584">
        <v>34.497399999999999</v>
      </c>
      <c r="L584">
        <v>-117.471</v>
      </c>
      <c r="M584" t="s">
        <v>1426</v>
      </c>
      <c r="N584">
        <v>20</v>
      </c>
      <c r="O584" t="s">
        <v>36</v>
      </c>
      <c r="P584">
        <v>5</v>
      </c>
      <c r="Q584">
        <v>10.29</v>
      </c>
      <c r="S584" s="18">
        <v>40574</v>
      </c>
      <c r="T584" s="18">
        <v>40892</v>
      </c>
    </row>
    <row r="585" spans="1:22" hidden="1" x14ac:dyDescent="0.25">
      <c r="A585" t="s">
        <v>43</v>
      </c>
      <c r="B585" t="s">
        <v>161</v>
      </c>
      <c r="C585">
        <v>2010</v>
      </c>
      <c r="D585" t="s">
        <v>1425</v>
      </c>
      <c r="E585" t="s">
        <v>130</v>
      </c>
      <c r="F585" t="s">
        <v>40</v>
      </c>
      <c r="G585" t="s">
        <v>1397</v>
      </c>
      <c r="H585" t="s">
        <v>133</v>
      </c>
      <c r="I585" t="s">
        <v>26</v>
      </c>
      <c r="J585">
        <v>92371</v>
      </c>
      <c r="K585">
        <v>34.497399999999999</v>
      </c>
      <c r="L585">
        <v>-117.471</v>
      </c>
      <c r="M585" t="s">
        <v>1425</v>
      </c>
      <c r="N585">
        <v>20</v>
      </c>
      <c r="O585" t="s">
        <v>36</v>
      </c>
      <c r="P585">
        <v>5</v>
      </c>
      <c r="Q585">
        <v>10.29</v>
      </c>
      <c r="S585" s="18">
        <v>40574</v>
      </c>
      <c r="T585" s="18">
        <v>40892</v>
      </c>
    </row>
    <row r="586" spans="1:22" hidden="1" x14ac:dyDescent="0.25">
      <c r="A586" t="s">
        <v>43</v>
      </c>
      <c r="B586" t="s">
        <v>161</v>
      </c>
      <c r="C586">
        <v>2010</v>
      </c>
      <c r="D586" t="s">
        <v>1424</v>
      </c>
      <c r="E586" t="s">
        <v>130</v>
      </c>
      <c r="F586" t="s">
        <v>40</v>
      </c>
      <c r="G586" t="s">
        <v>546</v>
      </c>
      <c r="H586" t="s">
        <v>259</v>
      </c>
      <c r="I586" t="s">
        <v>26</v>
      </c>
      <c r="J586">
        <v>91007</v>
      </c>
      <c r="K586">
        <v>34.697299999999998</v>
      </c>
      <c r="L586">
        <v>-118.298</v>
      </c>
      <c r="M586" t="s">
        <v>1423</v>
      </c>
      <c r="N586">
        <v>20</v>
      </c>
      <c r="O586" t="s">
        <v>36</v>
      </c>
      <c r="P586">
        <v>20</v>
      </c>
      <c r="Q586">
        <v>41.23</v>
      </c>
      <c r="S586" s="18">
        <v>41156</v>
      </c>
      <c r="T586" s="18">
        <v>41627</v>
      </c>
      <c r="U586" s="18">
        <v>41157</v>
      </c>
      <c r="V586" s="18">
        <v>41690</v>
      </c>
    </row>
    <row r="587" spans="1:22" hidden="1" x14ac:dyDescent="0.25">
      <c r="A587" t="s">
        <v>43</v>
      </c>
      <c r="B587" t="s">
        <v>161</v>
      </c>
      <c r="C587">
        <v>2010</v>
      </c>
      <c r="D587" t="s">
        <v>1422</v>
      </c>
      <c r="E587" t="s">
        <v>130</v>
      </c>
      <c r="F587" t="s">
        <v>40</v>
      </c>
      <c r="G587" t="s">
        <v>546</v>
      </c>
      <c r="H587" t="s">
        <v>259</v>
      </c>
      <c r="I587" t="s">
        <v>26</v>
      </c>
      <c r="J587">
        <v>93536</v>
      </c>
      <c r="K587">
        <v>34.809100000000001</v>
      </c>
      <c r="L587">
        <v>-118.3154</v>
      </c>
      <c r="M587" t="s">
        <v>1421</v>
      </c>
      <c r="N587">
        <v>20</v>
      </c>
      <c r="O587" t="s">
        <v>36</v>
      </c>
      <c r="P587">
        <v>20</v>
      </c>
      <c r="Q587">
        <v>41.23</v>
      </c>
      <c r="S587" s="18">
        <v>41156</v>
      </c>
      <c r="T587" s="18">
        <v>41627</v>
      </c>
      <c r="U587" s="18">
        <v>41157</v>
      </c>
      <c r="V587" s="18">
        <v>41690</v>
      </c>
    </row>
    <row r="588" spans="1:22" hidden="1" x14ac:dyDescent="0.25">
      <c r="A588" t="s">
        <v>43</v>
      </c>
      <c r="B588" t="s">
        <v>161</v>
      </c>
      <c r="C588">
        <v>2010</v>
      </c>
      <c r="D588" t="s">
        <v>1420</v>
      </c>
      <c r="E588" t="s">
        <v>130</v>
      </c>
      <c r="F588" t="s">
        <v>40</v>
      </c>
      <c r="G588" t="s">
        <v>546</v>
      </c>
      <c r="H588" t="s">
        <v>259</v>
      </c>
      <c r="I588" t="s">
        <v>26</v>
      </c>
      <c r="J588">
        <v>93534</v>
      </c>
      <c r="K588">
        <v>34.755099999999999</v>
      </c>
      <c r="L588">
        <v>-118.1598</v>
      </c>
      <c r="M588" t="s">
        <v>1419</v>
      </c>
      <c r="N588">
        <v>20</v>
      </c>
      <c r="O588" t="s">
        <v>36</v>
      </c>
      <c r="P588">
        <v>20</v>
      </c>
      <c r="Q588">
        <v>41.23</v>
      </c>
      <c r="S588" s="18">
        <v>41156</v>
      </c>
      <c r="T588" s="18">
        <v>41627</v>
      </c>
      <c r="U588" s="18">
        <v>41157</v>
      </c>
      <c r="V588" s="18">
        <v>41690</v>
      </c>
    </row>
    <row r="589" spans="1:22" hidden="1" x14ac:dyDescent="0.25">
      <c r="A589" t="s">
        <v>43</v>
      </c>
      <c r="B589" t="s">
        <v>161</v>
      </c>
      <c r="C589">
        <v>2010</v>
      </c>
      <c r="D589" t="s">
        <v>1418</v>
      </c>
      <c r="E589" t="s">
        <v>130</v>
      </c>
      <c r="F589" t="s">
        <v>40</v>
      </c>
      <c r="G589" t="s">
        <v>546</v>
      </c>
      <c r="H589" t="s">
        <v>259</v>
      </c>
      <c r="I589" t="s">
        <v>26</v>
      </c>
      <c r="J589">
        <v>93536</v>
      </c>
      <c r="K589">
        <v>34.731200000000001</v>
      </c>
      <c r="L589">
        <v>-118.258</v>
      </c>
      <c r="M589" t="s">
        <v>1417</v>
      </c>
      <c r="N589">
        <v>20</v>
      </c>
      <c r="O589" t="s">
        <v>36</v>
      </c>
      <c r="P589">
        <v>6.5</v>
      </c>
      <c r="Q589">
        <v>30.92</v>
      </c>
      <c r="S589" s="18">
        <v>41156</v>
      </c>
      <c r="T589" s="18">
        <v>41627</v>
      </c>
      <c r="U589" s="18">
        <v>41157</v>
      </c>
      <c r="V589" s="18">
        <v>41690</v>
      </c>
    </row>
    <row r="590" spans="1:22" hidden="1" x14ac:dyDescent="0.25">
      <c r="A590" t="s">
        <v>43</v>
      </c>
      <c r="B590" t="s">
        <v>206</v>
      </c>
      <c r="C590">
        <v>2012</v>
      </c>
      <c r="D590" t="s">
        <v>1416</v>
      </c>
      <c r="E590" t="s">
        <v>130</v>
      </c>
      <c r="F590" t="s">
        <v>40</v>
      </c>
      <c r="G590" t="s">
        <v>1397</v>
      </c>
      <c r="H590" t="s">
        <v>133</v>
      </c>
      <c r="I590" t="s">
        <v>26</v>
      </c>
      <c r="J590">
        <v>92394</v>
      </c>
      <c r="K590">
        <v>34.583399999999997</v>
      </c>
      <c r="L590">
        <v>-117.344582</v>
      </c>
      <c r="M590" t="s">
        <v>1415</v>
      </c>
      <c r="N590">
        <v>20</v>
      </c>
      <c r="O590" t="s">
        <v>36</v>
      </c>
      <c r="P590">
        <v>2</v>
      </c>
      <c r="Q590">
        <v>5.1100000000000003</v>
      </c>
      <c r="R590" t="s">
        <v>544</v>
      </c>
      <c r="S590" s="18">
        <v>40997</v>
      </c>
      <c r="T590" s="18">
        <v>41031</v>
      </c>
    </row>
    <row r="591" spans="1:22" hidden="1" x14ac:dyDescent="0.25">
      <c r="A591" t="s">
        <v>43</v>
      </c>
      <c r="B591" t="s">
        <v>206</v>
      </c>
      <c r="C591">
        <v>2012</v>
      </c>
      <c r="D591" t="s">
        <v>1414</v>
      </c>
      <c r="E591" t="s">
        <v>130</v>
      </c>
      <c r="F591" t="s">
        <v>40</v>
      </c>
      <c r="G591" t="s">
        <v>1397</v>
      </c>
      <c r="H591" t="s">
        <v>133</v>
      </c>
      <c r="I591" t="s">
        <v>26</v>
      </c>
      <c r="J591">
        <v>92394</v>
      </c>
      <c r="K591">
        <v>34.583399999999997</v>
      </c>
      <c r="L591">
        <v>-117.344582</v>
      </c>
      <c r="M591" t="s">
        <v>1413</v>
      </c>
      <c r="N591">
        <v>20</v>
      </c>
      <c r="O591" t="s">
        <v>36</v>
      </c>
      <c r="P591">
        <v>2</v>
      </c>
      <c r="Q591">
        <v>5.1100000000000003</v>
      </c>
      <c r="R591" t="s">
        <v>544</v>
      </c>
      <c r="S591" s="18">
        <v>40997</v>
      </c>
      <c r="T591" s="18">
        <v>41031</v>
      </c>
    </row>
    <row r="592" spans="1:22" hidden="1" x14ac:dyDescent="0.25">
      <c r="A592" t="s">
        <v>43</v>
      </c>
      <c r="B592" t="s">
        <v>232</v>
      </c>
      <c r="C592">
        <v>2011</v>
      </c>
      <c r="D592" t="s">
        <v>1412</v>
      </c>
      <c r="E592" t="s">
        <v>130</v>
      </c>
      <c r="F592" t="s">
        <v>40</v>
      </c>
      <c r="G592" t="s">
        <v>1085</v>
      </c>
      <c r="H592" t="s">
        <v>133</v>
      </c>
      <c r="I592" t="s">
        <v>26</v>
      </c>
      <c r="J592">
        <v>92301</v>
      </c>
      <c r="K592">
        <v>34.552399999999999</v>
      </c>
      <c r="L592">
        <v>-117.4568</v>
      </c>
      <c r="M592" t="s">
        <v>1411</v>
      </c>
      <c r="N592">
        <v>20</v>
      </c>
      <c r="O592" t="s">
        <v>36</v>
      </c>
      <c r="P592">
        <v>1.496</v>
      </c>
      <c r="Q592">
        <v>4.3899999999999997</v>
      </c>
    </row>
    <row r="593" spans="1:20" hidden="1" x14ac:dyDescent="0.25">
      <c r="A593" t="s">
        <v>43</v>
      </c>
      <c r="B593" t="s">
        <v>232</v>
      </c>
      <c r="C593">
        <v>2012</v>
      </c>
      <c r="D593" t="s">
        <v>1410</v>
      </c>
      <c r="E593" t="s">
        <v>130</v>
      </c>
      <c r="F593" t="s">
        <v>40</v>
      </c>
      <c r="G593" t="s">
        <v>546</v>
      </c>
      <c r="H593" t="s">
        <v>259</v>
      </c>
      <c r="I593" t="s">
        <v>26</v>
      </c>
      <c r="J593">
        <v>93536</v>
      </c>
      <c r="K593">
        <v>34.722499999999997</v>
      </c>
      <c r="L593">
        <v>-118.28981400000001</v>
      </c>
      <c r="M593" t="s">
        <v>1410</v>
      </c>
      <c r="N593">
        <v>20</v>
      </c>
      <c r="O593" t="s">
        <v>36</v>
      </c>
      <c r="P593">
        <v>1.5</v>
      </c>
      <c r="Q593">
        <v>3.87</v>
      </c>
    </row>
    <row r="594" spans="1:20" hidden="1" x14ac:dyDescent="0.25">
      <c r="A594" t="s">
        <v>43</v>
      </c>
      <c r="B594" t="s">
        <v>232</v>
      </c>
      <c r="C594">
        <v>2012</v>
      </c>
      <c r="D594" t="s">
        <v>1409</v>
      </c>
      <c r="E594" t="s">
        <v>130</v>
      </c>
      <c r="F594" t="s">
        <v>40</v>
      </c>
      <c r="G594" t="s">
        <v>546</v>
      </c>
      <c r="H594" t="s">
        <v>259</v>
      </c>
      <c r="I594" t="s">
        <v>26</v>
      </c>
      <c r="J594">
        <v>93536</v>
      </c>
      <c r="K594">
        <v>34.722499999999997</v>
      </c>
      <c r="L594">
        <v>-118.28981400000001</v>
      </c>
      <c r="M594" t="s">
        <v>1409</v>
      </c>
      <c r="N594">
        <v>20</v>
      </c>
      <c r="O594" t="s">
        <v>36</v>
      </c>
      <c r="P594">
        <v>1</v>
      </c>
      <c r="Q594">
        <v>2.31</v>
      </c>
    </row>
    <row r="595" spans="1:20" hidden="1" x14ac:dyDescent="0.25">
      <c r="A595" t="s">
        <v>43</v>
      </c>
      <c r="B595" t="s">
        <v>232</v>
      </c>
      <c r="C595">
        <v>2012</v>
      </c>
      <c r="D595" t="s">
        <v>1408</v>
      </c>
      <c r="E595" t="s">
        <v>130</v>
      </c>
      <c r="F595" t="s">
        <v>40</v>
      </c>
      <c r="G595" t="s">
        <v>546</v>
      </c>
      <c r="H595" t="s">
        <v>259</v>
      </c>
      <c r="I595" t="s">
        <v>26</v>
      </c>
      <c r="J595">
        <v>93536</v>
      </c>
      <c r="K595">
        <v>34.722099999999998</v>
      </c>
      <c r="L595">
        <v>-118.28980300000001</v>
      </c>
      <c r="M595" t="s">
        <v>1408</v>
      </c>
      <c r="N595">
        <v>20</v>
      </c>
      <c r="O595" t="s">
        <v>36</v>
      </c>
      <c r="P595">
        <v>1.5</v>
      </c>
      <c r="Q595">
        <v>3.87</v>
      </c>
    </row>
    <row r="596" spans="1:20" hidden="1" x14ac:dyDescent="0.25">
      <c r="A596" t="s">
        <v>43</v>
      </c>
      <c r="B596" t="s">
        <v>232</v>
      </c>
      <c r="C596">
        <v>2012</v>
      </c>
      <c r="D596" t="s">
        <v>1407</v>
      </c>
      <c r="E596" t="s">
        <v>130</v>
      </c>
      <c r="F596" t="s">
        <v>40</v>
      </c>
      <c r="G596" t="s">
        <v>546</v>
      </c>
      <c r="H596" t="s">
        <v>259</v>
      </c>
      <c r="I596" t="s">
        <v>26</v>
      </c>
      <c r="J596">
        <v>93536</v>
      </c>
      <c r="K596">
        <v>34.722099999999998</v>
      </c>
      <c r="L596">
        <v>-118.289817</v>
      </c>
      <c r="M596" t="s">
        <v>1407</v>
      </c>
      <c r="N596">
        <v>20</v>
      </c>
      <c r="O596" t="s">
        <v>36</v>
      </c>
      <c r="P596">
        <v>1.5</v>
      </c>
      <c r="Q596">
        <v>3.87</v>
      </c>
    </row>
    <row r="597" spans="1:20" hidden="1" x14ac:dyDescent="0.25">
      <c r="A597" t="s">
        <v>43</v>
      </c>
      <c r="B597" t="s">
        <v>232</v>
      </c>
      <c r="C597">
        <v>2012</v>
      </c>
      <c r="D597" t="s">
        <v>1406</v>
      </c>
      <c r="E597" t="s">
        <v>130</v>
      </c>
      <c r="F597" t="s">
        <v>40</v>
      </c>
      <c r="G597" t="s">
        <v>546</v>
      </c>
      <c r="H597" t="s">
        <v>259</v>
      </c>
      <c r="I597" t="s">
        <v>26</v>
      </c>
      <c r="J597">
        <v>93536</v>
      </c>
      <c r="K597">
        <v>34.712200000000003</v>
      </c>
      <c r="L597">
        <v>-118.289669</v>
      </c>
      <c r="M597" t="s">
        <v>1406</v>
      </c>
      <c r="N597">
        <v>20</v>
      </c>
      <c r="O597" t="s">
        <v>36</v>
      </c>
      <c r="P597">
        <v>1.5</v>
      </c>
      <c r="Q597">
        <v>3.97</v>
      </c>
    </row>
    <row r="598" spans="1:20" hidden="1" x14ac:dyDescent="0.25">
      <c r="A598" t="s">
        <v>43</v>
      </c>
      <c r="B598" t="s">
        <v>232</v>
      </c>
      <c r="C598">
        <v>2012</v>
      </c>
      <c r="D598" t="s">
        <v>1405</v>
      </c>
      <c r="E598" t="s">
        <v>130</v>
      </c>
      <c r="F598" t="s">
        <v>40</v>
      </c>
      <c r="G598" t="s">
        <v>546</v>
      </c>
      <c r="H598" t="s">
        <v>259</v>
      </c>
      <c r="I598" t="s">
        <v>26</v>
      </c>
      <c r="J598">
        <v>93536</v>
      </c>
      <c r="K598">
        <v>34.712200000000003</v>
      </c>
      <c r="L598">
        <v>-118.289676</v>
      </c>
      <c r="M598" t="s">
        <v>1405</v>
      </c>
      <c r="N598">
        <v>20</v>
      </c>
      <c r="O598" t="s">
        <v>36</v>
      </c>
      <c r="P598">
        <v>1.5</v>
      </c>
      <c r="Q598">
        <v>3.97</v>
      </c>
    </row>
    <row r="599" spans="1:20" hidden="1" x14ac:dyDescent="0.25">
      <c r="A599" t="s">
        <v>43</v>
      </c>
      <c r="B599" t="s">
        <v>232</v>
      </c>
      <c r="C599">
        <v>2012</v>
      </c>
      <c r="D599" t="s">
        <v>1404</v>
      </c>
      <c r="E599" t="s">
        <v>130</v>
      </c>
      <c r="F599" t="s">
        <v>40</v>
      </c>
      <c r="G599" t="s">
        <v>1397</v>
      </c>
      <c r="H599" t="s">
        <v>133</v>
      </c>
      <c r="I599" t="s">
        <v>26</v>
      </c>
      <c r="J599">
        <v>92394</v>
      </c>
      <c r="K599">
        <v>34.582700000000003</v>
      </c>
      <c r="L599">
        <v>-117.344589</v>
      </c>
      <c r="M599" t="s">
        <v>1404</v>
      </c>
      <c r="N599">
        <v>20</v>
      </c>
      <c r="O599" t="s">
        <v>36</v>
      </c>
      <c r="P599">
        <v>1.5</v>
      </c>
      <c r="Q599">
        <v>3.97</v>
      </c>
    </row>
    <row r="600" spans="1:20" hidden="1" x14ac:dyDescent="0.25">
      <c r="A600" t="s">
        <v>43</v>
      </c>
      <c r="B600" t="s">
        <v>263</v>
      </c>
      <c r="C600">
        <v>2014</v>
      </c>
      <c r="D600" t="s">
        <v>1403</v>
      </c>
      <c r="E600" t="s">
        <v>130</v>
      </c>
      <c r="F600" t="s">
        <v>40</v>
      </c>
      <c r="G600" t="s">
        <v>1090</v>
      </c>
      <c r="H600" t="s">
        <v>259</v>
      </c>
      <c r="I600" t="s">
        <v>26</v>
      </c>
      <c r="J600">
        <v>93501</v>
      </c>
      <c r="K600">
        <v>34.612299999999998</v>
      </c>
      <c r="L600">
        <v>-117.935114</v>
      </c>
      <c r="M600" t="s">
        <v>1402</v>
      </c>
      <c r="N600">
        <v>20</v>
      </c>
      <c r="O600" t="s">
        <v>36</v>
      </c>
      <c r="P600">
        <v>2</v>
      </c>
      <c r="Q600">
        <v>6.4672159999999996</v>
      </c>
      <c r="R600" t="s">
        <v>785</v>
      </c>
    </row>
    <row r="601" spans="1:20" hidden="1" x14ac:dyDescent="0.25">
      <c r="A601" t="s">
        <v>43</v>
      </c>
      <c r="B601" t="s">
        <v>232</v>
      </c>
      <c r="C601">
        <v>2012</v>
      </c>
      <c r="D601" t="s">
        <v>1401</v>
      </c>
      <c r="E601" t="s">
        <v>130</v>
      </c>
      <c r="F601" t="s">
        <v>40</v>
      </c>
      <c r="G601" t="s">
        <v>1397</v>
      </c>
      <c r="H601" t="s">
        <v>133</v>
      </c>
      <c r="I601" t="s">
        <v>26</v>
      </c>
      <c r="J601">
        <v>92392</v>
      </c>
      <c r="K601">
        <v>34.502983999999998</v>
      </c>
      <c r="L601">
        <v>-117.38563600000001</v>
      </c>
      <c r="M601" t="s">
        <v>1396</v>
      </c>
      <c r="N601">
        <v>20</v>
      </c>
      <c r="O601" t="s">
        <v>36</v>
      </c>
      <c r="P601">
        <v>1.5</v>
      </c>
      <c r="Q601">
        <v>3.97</v>
      </c>
      <c r="S601" s="18">
        <v>41359</v>
      </c>
      <c r="T601" s="18">
        <v>41452</v>
      </c>
    </row>
    <row r="602" spans="1:20" hidden="1" x14ac:dyDescent="0.25">
      <c r="A602" t="s">
        <v>43</v>
      </c>
      <c r="B602" t="s">
        <v>232</v>
      </c>
      <c r="C602">
        <v>2012</v>
      </c>
      <c r="D602" t="s">
        <v>1400</v>
      </c>
      <c r="E602" t="s">
        <v>130</v>
      </c>
      <c r="F602" t="s">
        <v>40</v>
      </c>
      <c r="G602" t="s">
        <v>1397</v>
      </c>
      <c r="H602" t="s">
        <v>133</v>
      </c>
      <c r="I602" t="s">
        <v>26</v>
      </c>
      <c r="J602">
        <v>92392</v>
      </c>
      <c r="K602">
        <v>34.502912000000002</v>
      </c>
      <c r="L602">
        <v>-117.385616</v>
      </c>
      <c r="M602" t="s">
        <v>1396</v>
      </c>
      <c r="N602">
        <v>20</v>
      </c>
      <c r="O602" t="s">
        <v>36</v>
      </c>
      <c r="P602">
        <v>1.5</v>
      </c>
      <c r="Q602">
        <v>3.97</v>
      </c>
      <c r="S602" s="18">
        <v>41359</v>
      </c>
      <c r="T602" s="18">
        <v>41452</v>
      </c>
    </row>
    <row r="603" spans="1:20" hidden="1" x14ac:dyDescent="0.25">
      <c r="A603" t="s">
        <v>43</v>
      </c>
      <c r="B603" t="s">
        <v>232</v>
      </c>
      <c r="C603">
        <v>2012</v>
      </c>
      <c r="D603" t="s">
        <v>1399</v>
      </c>
      <c r="E603" t="s">
        <v>130</v>
      </c>
      <c r="F603" t="s">
        <v>40</v>
      </c>
      <c r="G603" t="s">
        <v>1397</v>
      </c>
      <c r="H603" t="s">
        <v>133</v>
      </c>
      <c r="I603" t="s">
        <v>26</v>
      </c>
      <c r="J603">
        <v>92392</v>
      </c>
      <c r="K603">
        <v>34.502800000000001</v>
      </c>
      <c r="L603">
        <v>-117.38558500000001</v>
      </c>
      <c r="M603" t="s">
        <v>1396</v>
      </c>
      <c r="N603">
        <v>20</v>
      </c>
      <c r="O603" t="s">
        <v>36</v>
      </c>
      <c r="P603">
        <v>1.5</v>
      </c>
      <c r="Q603">
        <v>3.97</v>
      </c>
      <c r="S603" s="18">
        <v>41359</v>
      </c>
      <c r="T603" s="18">
        <v>41452</v>
      </c>
    </row>
    <row r="604" spans="1:20" hidden="1" x14ac:dyDescent="0.25">
      <c r="A604" t="s">
        <v>43</v>
      </c>
      <c r="B604" t="s">
        <v>232</v>
      </c>
      <c r="C604">
        <v>2012</v>
      </c>
      <c r="D604" t="s">
        <v>1398</v>
      </c>
      <c r="E604" t="s">
        <v>130</v>
      </c>
      <c r="F604" t="s">
        <v>40</v>
      </c>
      <c r="G604" t="s">
        <v>1397</v>
      </c>
      <c r="H604" t="s">
        <v>133</v>
      </c>
      <c r="I604" t="s">
        <v>26</v>
      </c>
      <c r="J604">
        <v>92392</v>
      </c>
      <c r="K604">
        <v>34.502744999999997</v>
      </c>
      <c r="L604">
        <v>-117.385543</v>
      </c>
      <c r="M604" t="s">
        <v>1396</v>
      </c>
      <c r="N604">
        <v>20</v>
      </c>
      <c r="O604" t="s">
        <v>36</v>
      </c>
      <c r="P604">
        <v>1.5</v>
      </c>
      <c r="Q604">
        <v>3.97</v>
      </c>
      <c r="S604" s="18">
        <v>41359</v>
      </c>
      <c r="T604" s="18">
        <v>41452</v>
      </c>
    </row>
    <row r="605" spans="1:20" hidden="1" x14ac:dyDescent="0.25">
      <c r="A605" t="s">
        <v>43</v>
      </c>
      <c r="B605" t="s">
        <v>206</v>
      </c>
      <c r="C605">
        <v>2013</v>
      </c>
      <c r="D605" t="s">
        <v>1395</v>
      </c>
      <c r="E605" t="s">
        <v>130</v>
      </c>
      <c r="F605" t="s">
        <v>40</v>
      </c>
      <c r="G605" t="s">
        <v>1090</v>
      </c>
      <c r="H605" t="s">
        <v>259</v>
      </c>
      <c r="I605" t="s">
        <v>26</v>
      </c>
      <c r="J605">
        <v>93591</v>
      </c>
      <c r="K605">
        <v>34.616700000000002</v>
      </c>
      <c r="L605">
        <v>-117.934</v>
      </c>
      <c r="M605" t="s">
        <v>1394</v>
      </c>
      <c r="N605">
        <v>20</v>
      </c>
      <c r="O605" t="s">
        <v>36</v>
      </c>
      <c r="P605">
        <v>10</v>
      </c>
      <c r="Q605">
        <v>27</v>
      </c>
      <c r="R605" t="s">
        <v>334</v>
      </c>
      <c r="S605" s="18">
        <v>41395</v>
      </c>
      <c r="T605" s="18">
        <v>41428</v>
      </c>
    </row>
    <row r="606" spans="1:20" hidden="1" x14ac:dyDescent="0.25">
      <c r="A606" t="s">
        <v>43</v>
      </c>
      <c r="B606" t="s">
        <v>263</v>
      </c>
      <c r="C606">
        <v>2015</v>
      </c>
      <c r="D606" t="s">
        <v>1393</v>
      </c>
      <c r="E606" t="s">
        <v>130</v>
      </c>
      <c r="F606" t="s">
        <v>40</v>
      </c>
      <c r="G606" t="s">
        <v>546</v>
      </c>
      <c r="H606" t="s">
        <v>259</v>
      </c>
      <c r="I606" t="s">
        <v>26</v>
      </c>
      <c r="J606">
        <v>93535</v>
      </c>
      <c r="K606">
        <v>34.776699999999998</v>
      </c>
      <c r="L606">
        <v>-118.193513</v>
      </c>
      <c r="M606" t="s">
        <v>1392</v>
      </c>
      <c r="N606">
        <v>20</v>
      </c>
      <c r="O606" t="s">
        <v>36</v>
      </c>
      <c r="P606">
        <v>3</v>
      </c>
      <c r="Q606">
        <v>8.98</v>
      </c>
    </row>
    <row r="607" spans="1:20" hidden="1" x14ac:dyDescent="0.25">
      <c r="A607" t="s">
        <v>43</v>
      </c>
      <c r="B607" t="s">
        <v>206</v>
      </c>
      <c r="C607">
        <v>2013</v>
      </c>
      <c r="D607" t="s">
        <v>1391</v>
      </c>
      <c r="E607" t="s">
        <v>130</v>
      </c>
      <c r="F607" t="s">
        <v>40</v>
      </c>
      <c r="G607" t="s">
        <v>290</v>
      </c>
      <c r="H607" t="s">
        <v>146</v>
      </c>
      <c r="I607" t="s">
        <v>26</v>
      </c>
      <c r="J607">
        <v>93640</v>
      </c>
      <c r="K607">
        <v>36.753599999999999</v>
      </c>
      <c r="L607">
        <v>-120.38160000000001</v>
      </c>
      <c r="M607" t="s">
        <v>1390</v>
      </c>
      <c r="N607">
        <v>20</v>
      </c>
      <c r="O607" t="s">
        <v>36</v>
      </c>
      <c r="P607">
        <v>5</v>
      </c>
      <c r="Q607">
        <v>11</v>
      </c>
      <c r="R607" t="s">
        <v>334</v>
      </c>
      <c r="S607" s="18">
        <v>41949</v>
      </c>
      <c r="T607" s="18">
        <v>42025</v>
      </c>
    </row>
    <row r="608" spans="1:20" x14ac:dyDescent="0.25">
      <c r="A608" t="s">
        <v>43</v>
      </c>
      <c r="B608" t="s">
        <v>206</v>
      </c>
      <c r="C608">
        <v>2013</v>
      </c>
      <c r="D608" t="s">
        <v>1389</v>
      </c>
      <c r="E608" t="s">
        <v>130</v>
      </c>
      <c r="F608" t="s">
        <v>40</v>
      </c>
      <c r="G608" t="s">
        <v>1388</v>
      </c>
      <c r="H608" t="s">
        <v>12</v>
      </c>
      <c r="I608" t="s">
        <v>26</v>
      </c>
      <c r="J608">
        <v>93307</v>
      </c>
      <c r="K608">
        <v>35.322099999999999</v>
      </c>
      <c r="L608">
        <v>-118.8113</v>
      </c>
      <c r="M608" t="s">
        <v>1387</v>
      </c>
      <c r="N608">
        <v>20</v>
      </c>
      <c r="O608" t="s">
        <v>36</v>
      </c>
      <c r="P608">
        <v>16.66</v>
      </c>
      <c r="Q608">
        <v>47.89</v>
      </c>
      <c r="R608" t="s">
        <v>334</v>
      </c>
      <c r="S608" s="18">
        <v>41395</v>
      </c>
      <c r="T608" s="18">
        <v>41428</v>
      </c>
    </row>
    <row r="609" spans="1:20" hidden="1" x14ac:dyDescent="0.25">
      <c r="A609" t="s">
        <v>43</v>
      </c>
      <c r="B609" t="s">
        <v>263</v>
      </c>
      <c r="C609">
        <v>2015</v>
      </c>
      <c r="D609" t="s">
        <v>1386</v>
      </c>
      <c r="E609" t="s">
        <v>130</v>
      </c>
      <c r="F609" t="s">
        <v>40</v>
      </c>
      <c r="G609" t="s">
        <v>546</v>
      </c>
      <c r="H609" t="s">
        <v>259</v>
      </c>
      <c r="I609" t="s">
        <v>26</v>
      </c>
      <c r="J609">
        <v>93536</v>
      </c>
      <c r="K609">
        <v>34.704000000000001</v>
      </c>
      <c r="L609">
        <v>-118.30249999999999</v>
      </c>
      <c r="M609" t="s">
        <v>1386</v>
      </c>
      <c r="N609">
        <v>20</v>
      </c>
      <c r="O609" t="s">
        <v>36</v>
      </c>
      <c r="P609">
        <v>3</v>
      </c>
      <c r="Q609">
        <v>8.0630000000000006</v>
      </c>
    </row>
    <row r="610" spans="1:20" hidden="1" x14ac:dyDescent="0.25">
      <c r="A610" t="s">
        <v>43</v>
      </c>
      <c r="B610" t="s">
        <v>206</v>
      </c>
      <c r="C610">
        <v>2013</v>
      </c>
      <c r="D610" t="s">
        <v>1385</v>
      </c>
      <c r="E610" t="s">
        <v>130</v>
      </c>
      <c r="F610" t="s">
        <v>40</v>
      </c>
      <c r="G610" t="s">
        <v>1090</v>
      </c>
      <c r="H610" t="s">
        <v>259</v>
      </c>
      <c r="I610" t="s">
        <v>26</v>
      </c>
      <c r="J610">
        <v>93591</v>
      </c>
      <c r="K610">
        <v>34.602200000000003</v>
      </c>
      <c r="L610">
        <v>-117.934091</v>
      </c>
      <c r="M610" t="s">
        <v>1385</v>
      </c>
      <c r="N610">
        <v>20</v>
      </c>
      <c r="O610" t="s">
        <v>36</v>
      </c>
      <c r="P610">
        <v>5</v>
      </c>
      <c r="Q610">
        <v>11</v>
      </c>
      <c r="R610" t="s">
        <v>484</v>
      </c>
      <c r="S610" s="18">
        <v>41599</v>
      </c>
      <c r="T610" s="18">
        <v>41608</v>
      </c>
    </row>
    <row r="611" spans="1:20" x14ac:dyDescent="0.25">
      <c r="A611" t="s">
        <v>43</v>
      </c>
      <c r="B611" t="s">
        <v>206</v>
      </c>
      <c r="C611">
        <v>2013</v>
      </c>
      <c r="D611" t="s">
        <v>1384</v>
      </c>
      <c r="E611" t="s">
        <v>130</v>
      </c>
      <c r="F611" t="s">
        <v>40</v>
      </c>
      <c r="G611" t="s">
        <v>81</v>
      </c>
      <c r="H611" t="s">
        <v>12</v>
      </c>
      <c r="I611" t="s">
        <v>26</v>
      </c>
      <c r="J611">
        <v>93501</v>
      </c>
      <c r="K611">
        <v>35.020299999999999</v>
      </c>
      <c r="L611">
        <v>-118.27888900000001</v>
      </c>
      <c r="M611" t="s">
        <v>1384</v>
      </c>
      <c r="N611">
        <v>20</v>
      </c>
      <c r="O611" t="s">
        <v>36</v>
      </c>
      <c r="P611">
        <v>20</v>
      </c>
      <c r="Q611">
        <v>59.25</v>
      </c>
      <c r="R611" t="s">
        <v>484</v>
      </c>
      <c r="S611" s="18">
        <v>41599</v>
      </c>
      <c r="T611" s="18">
        <v>41608</v>
      </c>
    </row>
    <row r="612" spans="1:20" hidden="1" x14ac:dyDescent="0.25">
      <c r="A612" t="s">
        <v>43</v>
      </c>
      <c r="B612" t="s">
        <v>206</v>
      </c>
      <c r="C612">
        <v>2013</v>
      </c>
      <c r="D612" t="s">
        <v>1383</v>
      </c>
      <c r="E612" t="s">
        <v>130</v>
      </c>
      <c r="F612" t="s">
        <v>40</v>
      </c>
      <c r="G612" t="s">
        <v>709</v>
      </c>
      <c r="H612" t="s">
        <v>178</v>
      </c>
      <c r="I612" t="s">
        <v>26</v>
      </c>
      <c r="J612">
        <v>93610</v>
      </c>
      <c r="K612">
        <v>37.119999999999997</v>
      </c>
      <c r="L612">
        <v>-120.31100000000001</v>
      </c>
      <c r="M612" t="s">
        <v>1382</v>
      </c>
      <c r="N612">
        <v>20</v>
      </c>
      <c r="O612" t="s">
        <v>36</v>
      </c>
      <c r="P612">
        <v>20</v>
      </c>
      <c r="Q612">
        <v>43.99</v>
      </c>
      <c r="R612" t="s">
        <v>484</v>
      </c>
      <c r="S612" s="18">
        <v>41599</v>
      </c>
      <c r="T612" s="18">
        <v>41608</v>
      </c>
    </row>
    <row r="613" spans="1:20" hidden="1" x14ac:dyDescent="0.25">
      <c r="A613" t="s">
        <v>43</v>
      </c>
      <c r="B613" t="s">
        <v>197</v>
      </c>
      <c r="C613">
        <v>2003</v>
      </c>
      <c r="D613" t="s">
        <v>1381</v>
      </c>
      <c r="E613" t="s">
        <v>30</v>
      </c>
      <c r="F613" t="s">
        <v>40</v>
      </c>
      <c r="G613" t="s">
        <v>60</v>
      </c>
      <c r="H613" t="s">
        <v>88</v>
      </c>
      <c r="I613" t="s">
        <v>26</v>
      </c>
      <c r="J613">
        <v>92258</v>
      </c>
      <c r="K613">
        <v>33.935600000000001</v>
      </c>
      <c r="L613">
        <v>-116.539722</v>
      </c>
      <c r="M613" t="s">
        <v>1381</v>
      </c>
      <c r="N613">
        <v>20</v>
      </c>
      <c r="O613" t="s">
        <v>24</v>
      </c>
      <c r="P613">
        <v>49</v>
      </c>
      <c r="Q613">
        <v>165</v>
      </c>
      <c r="S613" s="18">
        <v>40441</v>
      </c>
      <c r="T613" s="18">
        <v>40514</v>
      </c>
    </row>
    <row r="614" spans="1:20" hidden="1" x14ac:dyDescent="0.25">
      <c r="A614" t="s">
        <v>43</v>
      </c>
      <c r="B614" t="s">
        <v>232</v>
      </c>
      <c r="C614">
        <v>2011</v>
      </c>
      <c r="D614" t="s">
        <v>1380</v>
      </c>
      <c r="E614" t="s">
        <v>90</v>
      </c>
      <c r="F614" t="s">
        <v>40</v>
      </c>
      <c r="G614" t="s">
        <v>1025</v>
      </c>
      <c r="H614" t="s">
        <v>88</v>
      </c>
      <c r="I614" t="s">
        <v>26</v>
      </c>
      <c r="J614">
        <v>92277</v>
      </c>
      <c r="K614">
        <v>34.170699999999997</v>
      </c>
      <c r="L614">
        <v>-116.0703</v>
      </c>
      <c r="M614" t="s">
        <v>1379</v>
      </c>
      <c r="N614">
        <v>20</v>
      </c>
      <c r="O614" t="s">
        <v>36</v>
      </c>
      <c r="P614">
        <v>1.4992780000000001</v>
      </c>
      <c r="Q614">
        <v>1.5</v>
      </c>
    </row>
    <row r="615" spans="1:20" hidden="1" x14ac:dyDescent="0.25">
      <c r="A615" t="s">
        <v>43</v>
      </c>
      <c r="B615" t="s">
        <v>540</v>
      </c>
      <c r="C615">
        <v>2010</v>
      </c>
      <c r="D615" t="s">
        <v>1378</v>
      </c>
      <c r="E615" t="s">
        <v>90</v>
      </c>
      <c r="F615" t="s">
        <v>40</v>
      </c>
      <c r="G615" t="s">
        <v>171</v>
      </c>
      <c r="H615" t="s">
        <v>133</v>
      </c>
      <c r="I615" t="s">
        <v>26</v>
      </c>
      <c r="J615">
        <v>92252</v>
      </c>
      <c r="K615">
        <v>34.118499999999997</v>
      </c>
      <c r="L615">
        <v>-116.3557</v>
      </c>
      <c r="M615" t="s">
        <v>1377</v>
      </c>
      <c r="N615">
        <v>20</v>
      </c>
      <c r="O615" t="s">
        <v>36</v>
      </c>
      <c r="P615">
        <v>1.5</v>
      </c>
      <c r="Q615">
        <v>3</v>
      </c>
      <c r="S615" s="18">
        <v>40445</v>
      </c>
      <c r="T615" s="18">
        <v>40476</v>
      </c>
    </row>
    <row r="616" spans="1:20" hidden="1" x14ac:dyDescent="0.25">
      <c r="A616" t="s">
        <v>43</v>
      </c>
      <c r="B616" t="s">
        <v>540</v>
      </c>
      <c r="C616">
        <v>2010</v>
      </c>
      <c r="D616" t="s">
        <v>1376</v>
      </c>
      <c r="E616" t="s">
        <v>130</v>
      </c>
      <c r="F616" t="s">
        <v>40</v>
      </c>
      <c r="G616" t="s">
        <v>60</v>
      </c>
      <c r="H616" t="s">
        <v>88</v>
      </c>
      <c r="I616" t="s">
        <v>26</v>
      </c>
      <c r="J616">
        <v>93257</v>
      </c>
      <c r="K616">
        <v>36.0989</v>
      </c>
      <c r="L616">
        <v>-119.03703</v>
      </c>
      <c r="M616" t="s">
        <v>1374</v>
      </c>
      <c r="N616">
        <v>20</v>
      </c>
      <c r="O616" t="s">
        <v>36</v>
      </c>
      <c r="P616">
        <v>2.35215</v>
      </c>
      <c r="Q616">
        <v>5.29</v>
      </c>
      <c r="S616" s="18">
        <v>40445</v>
      </c>
      <c r="T616" s="18">
        <v>40476</v>
      </c>
    </row>
    <row r="617" spans="1:20" hidden="1" x14ac:dyDescent="0.25">
      <c r="A617" t="s">
        <v>43</v>
      </c>
      <c r="B617" t="s">
        <v>540</v>
      </c>
      <c r="C617">
        <v>2010</v>
      </c>
      <c r="D617" t="s">
        <v>1375</v>
      </c>
      <c r="E617" t="s">
        <v>130</v>
      </c>
      <c r="F617" t="s">
        <v>40</v>
      </c>
      <c r="G617" t="s">
        <v>60</v>
      </c>
      <c r="H617" t="s">
        <v>88</v>
      </c>
      <c r="I617" t="s">
        <v>26</v>
      </c>
      <c r="J617">
        <v>92240</v>
      </c>
      <c r="K617">
        <v>33.918399999999998</v>
      </c>
      <c r="L617">
        <v>-116.55390199999999</v>
      </c>
      <c r="M617" t="s">
        <v>1374</v>
      </c>
      <c r="N617">
        <v>20</v>
      </c>
      <c r="O617" t="s">
        <v>36</v>
      </c>
      <c r="P617">
        <v>4.12</v>
      </c>
      <c r="Q617">
        <v>9.4</v>
      </c>
      <c r="S617" s="18">
        <v>40445</v>
      </c>
      <c r="T617" s="18">
        <v>40476</v>
      </c>
    </row>
    <row r="618" spans="1:20" hidden="1" x14ac:dyDescent="0.25">
      <c r="A618" t="s">
        <v>43</v>
      </c>
      <c r="B618" t="s">
        <v>161</v>
      </c>
      <c r="C618">
        <v>2010</v>
      </c>
      <c r="D618" t="s">
        <v>1372</v>
      </c>
      <c r="E618" t="s">
        <v>130</v>
      </c>
      <c r="F618" t="s">
        <v>40</v>
      </c>
      <c r="G618" t="s">
        <v>1373</v>
      </c>
      <c r="H618" t="s">
        <v>88</v>
      </c>
      <c r="I618" t="s">
        <v>26</v>
      </c>
      <c r="J618">
        <v>92262</v>
      </c>
      <c r="K618">
        <v>33.888199999999998</v>
      </c>
      <c r="L618">
        <v>-116.5423</v>
      </c>
      <c r="M618" t="s">
        <v>1372</v>
      </c>
      <c r="N618">
        <v>20</v>
      </c>
      <c r="O618" t="s">
        <v>36</v>
      </c>
      <c r="P618">
        <v>4</v>
      </c>
      <c r="Q618">
        <v>9.41</v>
      </c>
      <c r="S618" s="18">
        <v>40574</v>
      </c>
      <c r="T618" s="18">
        <v>40892</v>
      </c>
    </row>
    <row r="619" spans="1:20" hidden="1" x14ac:dyDescent="0.25">
      <c r="A619" t="s">
        <v>43</v>
      </c>
      <c r="B619" t="s">
        <v>232</v>
      </c>
      <c r="C619">
        <v>2012</v>
      </c>
      <c r="D619" t="s">
        <v>1371</v>
      </c>
      <c r="E619" t="s">
        <v>130</v>
      </c>
      <c r="F619" t="s">
        <v>40</v>
      </c>
      <c r="G619" t="s">
        <v>546</v>
      </c>
      <c r="H619" t="s">
        <v>259</v>
      </c>
      <c r="I619" t="s">
        <v>26</v>
      </c>
      <c r="J619">
        <v>93534</v>
      </c>
      <c r="K619">
        <v>34.702199999999998</v>
      </c>
      <c r="L619">
        <v>-118.125514</v>
      </c>
      <c r="M619" t="s">
        <v>1370</v>
      </c>
      <c r="N619">
        <v>20</v>
      </c>
      <c r="O619" t="s">
        <v>36</v>
      </c>
      <c r="P619">
        <v>1</v>
      </c>
      <c r="Q619">
        <v>2</v>
      </c>
      <c r="S619" s="18">
        <v>41359</v>
      </c>
      <c r="T619" s="18">
        <v>41452</v>
      </c>
    </row>
    <row r="620" spans="1:20" hidden="1" x14ac:dyDescent="0.25">
      <c r="A620" t="s">
        <v>43</v>
      </c>
      <c r="B620" t="s">
        <v>232</v>
      </c>
      <c r="C620">
        <v>2013</v>
      </c>
      <c r="D620" t="s">
        <v>1369</v>
      </c>
      <c r="E620" t="s">
        <v>47</v>
      </c>
      <c r="F620" t="s">
        <v>40</v>
      </c>
      <c r="G620" t="s">
        <v>1012</v>
      </c>
      <c r="H620" t="s">
        <v>270</v>
      </c>
      <c r="I620" t="s">
        <v>26</v>
      </c>
      <c r="J620">
        <v>93117</v>
      </c>
      <c r="K620">
        <v>34.450699999999998</v>
      </c>
      <c r="L620">
        <v>-119.8549</v>
      </c>
      <c r="M620" t="s">
        <v>1368</v>
      </c>
      <c r="N620">
        <v>10</v>
      </c>
      <c r="O620" t="s">
        <v>36</v>
      </c>
      <c r="P620">
        <v>0.25</v>
      </c>
      <c r="Q620">
        <v>1.2</v>
      </c>
    </row>
    <row r="621" spans="1:20" hidden="1" x14ac:dyDescent="0.25">
      <c r="A621" t="s">
        <v>43</v>
      </c>
      <c r="B621" t="s">
        <v>232</v>
      </c>
      <c r="C621">
        <v>2012</v>
      </c>
      <c r="D621" t="s">
        <v>1367</v>
      </c>
      <c r="E621" t="s">
        <v>130</v>
      </c>
      <c r="F621" t="s">
        <v>40</v>
      </c>
      <c r="G621" t="s">
        <v>546</v>
      </c>
      <c r="H621" t="s">
        <v>259</v>
      </c>
      <c r="I621" t="s">
        <v>26</v>
      </c>
      <c r="J621">
        <v>93534</v>
      </c>
      <c r="K621">
        <v>34.700400000000002</v>
      </c>
      <c r="L621">
        <v>-118.125514</v>
      </c>
      <c r="M621" t="s">
        <v>1366</v>
      </c>
      <c r="N621">
        <v>20</v>
      </c>
      <c r="O621" t="s">
        <v>36</v>
      </c>
      <c r="P621">
        <v>1</v>
      </c>
      <c r="Q621">
        <v>2</v>
      </c>
      <c r="S621" s="18">
        <v>41359</v>
      </c>
      <c r="T621" s="18">
        <v>41452</v>
      </c>
    </row>
    <row r="622" spans="1:20" hidden="1" x14ac:dyDescent="0.25">
      <c r="A622" t="s">
        <v>43</v>
      </c>
      <c r="B622" t="s">
        <v>232</v>
      </c>
      <c r="C622">
        <v>2012</v>
      </c>
      <c r="D622" t="s">
        <v>1365</v>
      </c>
      <c r="E622" t="s">
        <v>130</v>
      </c>
      <c r="F622" t="s">
        <v>40</v>
      </c>
      <c r="G622" t="s">
        <v>546</v>
      </c>
      <c r="H622" t="s">
        <v>259</v>
      </c>
      <c r="I622" t="s">
        <v>26</v>
      </c>
      <c r="J622">
        <v>93534</v>
      </c>
      <c r="K622">
        <v>34.7072</v>
      </c>
      <c r="L622">
        <v>-118.12922500000001</v>
      </c>
      <c r="M622" t="s">
        <v>1364</v>
      </c>
      <c r="N622">
        <v>20</v>
      </c>
      <c r="O622" t="s">
        <v>36</v>
      </c>
      <c r="P622">
        <v>1.5</v>
      </c>
      <c r="Q622">
        <v>3.06</v>
      </c>
      <c r="S622" s="18">
        <v>41359</v>
      </c>
      <c r="T622" s="18">
        <v>41452</v>
      </c>
    </row>
    <row r="623" spans="1:20" hidden="1" x14ac:dyDescent="0.25">
      <c r="A623" t="s">
        <v>43</v>
      </c>
      <c r="B623" t="s">
        <v>232</v>
      </c>
      <c r="C623">
        <v>2012</v>
      </c>
      <c r="D623" t="s">
        <v>1363</v>
      </c>
      <c r="E623" t="s">
        <v>130</v>
      </c>
      <c r="F623" t="s">
        <v>40</v>
      </c>
      <c r="G623" t="s">
        <v>546</v>
      </c>
      <c r="H623" t="s">
        <v>259</v>
      </c>
      <c r="I623" t="s">
        <v>26</v>
      </c>
      <c r="J623">
        <v>93534</v>
      </c>
      <c r="K623">
        <v>34.7072</v>
      </c>
      <c r="L623">
        <v>-118.12922500000001</v>
      </c>
      <c r="M623" t="s">
        <v>1362</v>
      </c>
      <c r="N623">
        <v>20</v>
      </c>
      <c r="O623" t="s">
        <v>36</v>
      </c>
      <c r="P623">
        <v>1</v>
      </c>
      <c r="Q623">
        <v>2.04</v>
      </c>
      <c r="S623" s="18">
        <v>41359</v>
      </c>
      <c r="T623" s="18">
        <v>41452</v>
      </c>
    </row>
    <row r="624" spans="1:20" hidden="1" x14ac:dyDescent="0.25">
      <c r="A624" t="s">
        <v>43</v>
      </c>
      <c r="B624" t="s">
        <v>232</v>
      </c>
      <c r="C624">
        <v>2012</v>
      </c>
      <c r="D624" t="s">
        <v>1361</v>
      </c>
      <c r="E624" t="s">
        <v>130</v>
      </c>
      <c r="F624" t="s">
        <v>40</v>
      </c>
      <c r="G624" t="s">
        <v>546</v>
      </c>
      <c r="H624" t="s">
        <v>259</v>
      </c>
      <c r="I624" t="s">
        <v>26</v>
      </c>
      <c r="J624">
        <v>93534</v>
      </c>
      <c r="K624">
        <v>34.7072</v>
      </c>
      <c r="L624">
        <v>-118.12922500000001</v>
      </c>
      <c r="M624" t="s">
        <v>1360</v>
      </c>
      <c r="N624">
        <v>20</v>
      </c>
      <c r="O624" t="s">
        <v>36</v>
      </c>
      <c r="P624">
        <v>1</v>
      </c>
      <c r="Q624">
        <v>2.04</v>
      </c>
      <c r="S624" s="18">
        <v>41359</v>
      </c>
      <c r="T624" s="18">
        <v>41452</v>
      </c>
    </row>
    <row r="625" spans="1:22" hidden="1" x14ac:dyDescent="0.25">
      <c r="A625" t="s">
        <v>43</v>
      </c>
      <c r="B625" t="s">
        <v>263</v>
      </c>
      <c r="C625">
        <v>2014</v>
      </c>
      <c r="D625" t="s">
        <v>1359</v>
      </c>
      <c r="E625" t="s">
        <v>130</v>
      </c>
      <c r="F625" t="s">
        <v>40</v>
      </c>
      <c r="G625" t="s">
        <v>546</v>
      </c>
      <c r="H625" t="s">
        <v>259</v>
      </c>
      <c r="I625" t="s">
        <v>26</v>
      </c>
      <c r="J625">
        <v>93535</v>
      </c>
      <c r="K625">
        <v>34.662199999999999</v>
      </c>
      <c r="L625">
        <v>-118.086656</v>
      </c>
      <c r="M625" t="s">
        <v>1358</v>
      </c>
      <c r="N625">
        <v>20</v>
      </c>
      <c r="O625" t="s">
        <v>36</v>
      </c>
      <c r="P625">
        <v>3</v>
      </c>
      <c r="Q625">
        <v>7.07</v>
      </c>
    </row>
    <row r="626" spans="1:22" hidden="1" x14ac:dyDescent="0.25">
      <c r="A626" t="s">
        <v>43</v>
      </c>
      <c r="B626" t="s">
        <v>540</v>
      </c>
      <c r="C626">
        <v>2013</v>
      </c>
      <c r="D626" t="s">
        <v>1138</v>
      </c>
      <c r="E626" t="s">
        <v>130</v>
      </c>
      <c r="F626" t="s">
        <v>40</v>
      </c>
      <c r="G626" t="s">
        <v>546</v>
      </c>
      <c r="H626" t="s">
        <v>259</v>
      </c>
      <c r="I626" t="s">
        <v>26</v>
      </c>
      <c r="J626">
        <v>93535</v>
      </c>
      <c r="K626">
        <v>34.747199999999999</v>
      </c>
      <c r="L626">
        <v>-117.9721</v>
      </c>
      <c r="M626" t="s">
        <v>1358</v>
      </c>
      <c r="N626">
        <v>20</v>
      </c>
      <c r="O626" t="s">
        <v>36</v>
      </c>
      <c r="P626">
        <v>3.75</v>
      </c>
      <c r="Q626">
        <v>10.41</v>
      </c>
      <c r="S626" s="18">
        <v>41716</v>
      </c>
      <c r="T626" s="18">
        <v>41771</v>
      </c>
    </row>
    <row r="627" spans="1:22" hidden="1" x14ac:dyDescent="0.25">
      <c r="A627" t="s">
        <v>43</v>
      </c>
      <c r="B627" t="s">
        <v>263</v>
      </c>
      <c r="C627">
        <v>2015</v>
      </c>
      <c r="D627" t="s">
        <v>1357</v>
      </c>
      <c r="E627" t="s">
        <v>130</v>
      </c>
      <c r="F627" t="s">
        <v>40</v>
      </c>
      <c r="G627" t="s">
        <v>1140</v>
      </c>
      <c r="H627" t="s">
        <v>88</v>
      </c>
      <c r="I627" t="s">
        <v>26</v>
      </c>
      <c r="J627">
        <v>92240</v>
      </c>
      <c r="K627">
        <v>33.930999999999997</v>
      </c>
      <c r="L627">
        <v>-116.43300000000001</v>
      </c>
      <c r="M627" t="s">
        <v>1356</v>
      </c>
      <c r="N627">
        <v>20</v>
      </c>
      <c r="O627" t="s">
        <v>36</v>
      </c>
      <c r="P627">
        <v>0.92100000000000004</v>
      </c>
      <c r="Q627">
        <v>1.95</v>
      </c>
    </row>
    <row r="628" spans="1:22" hidden="1" x14ac:dyDescent="0.25">
      <c r="A628" t="s">
        <v>43</v>
      </c>
      <c r="B628" t="s">
        <v>197</v>
      </c>
      <c r="C628">
        <v>2015</v>
      </c>
      <c r="D628" t="s">
        <v>1355</v>
      </c>
      <c r="E628" t="s">
        <v>130</v>
      </c>
      <c r="F628" t="s">
        <v>40</v>
      </c>
      <c r="G628" t="s">
        <v>612</v>
      </c>
      <c r="H628" t="s">
        <v>88</v>
      </c>
      <c r="I628" t="s">
        <v>26</v>
      </c>
      <c r="J628">
        <v>92239</v>
      </c>
      <c r="K628">
        <v>33.698999999999998</v>
      </c>
      <c r="L628">
        <v>-115.218</v>
      </c>
      <c r="M628" t="s">
        <v>1355</v>
      </c>
      <c r="N628">
        <v>15</v>
      </c>
      <c r="O628" t="s">
        <v>36</v>
      </c>
      <c r="P628">
        <v>124.968</v>
      </c>
      <c r="Q628">
        <v>416</v>
      </c>
    </row>
    <row r="629" spans="1:22" hidden="1" x14ac:dyDescent="0.25">
      <c r="A629" t="s">
        <v>43</v>
      </c>
      <c r="B629" t="s">
        <v>206</v>
      </c>
      <c r="C629">
        <v>2012</v>
      </c>
      <c r="D629" t="s">
        <v>1354</v>
      </c>
      <c r="E629" t="s">
        <v>130</v>
      </c>
      <c r="F629" t="s">
        <v>40</v>
      </c>
      <c r="G629" t="s">
        <v>1023</v>
      </c>
      <c r="H629" t="s">
        <v>146</v>
      </c>
      <c r="I629" t="s">
        <v>26</v>
      </c>
      <c r="J629">
        <v>93640</v>
      </c>
      <c r="K629">
        <v>36.611400000000003</v>
      </c>
      <c r="L629">
        <v>-120.3844</v>
      </c>
      <c r="M629" t="s">
        <v>1353</v>
      </c>
      <c r="N629">
        <v>20</v>
      </c>
      <c r="O629" t="s">
        <v>36</v>
      </c>
      <c r="P629">
        <v>19</v>
      </c>
      <c r="Q629">
        <v>47.39</v>
      </c>
      <c r="R629" t="s">
        <v>370</v>
      </c>
      <c r="S629" s="18">
        <v>41183</v>
      </c>
      <c r="T629" s="18">
        <v>41217</v>
      </c>
    </row>
    <row r="630" spans="1:22" hidden="1" x14ac:dyDescent="0.25">
      <c r="A630" t="s">
        <v>43</v>
      </c>
      <c r="B630" t="s">
        <v>263</v>
      </c>
      <c r="C630">
        <v>2016</v>
      </c>
      <c r="D630" t="s">
        <v>1352</v>
      </c>
      <c r="E630" t="s">
        <v>130</v>
      </c>
      <c r="F630" t="s">
        <v>40</v>
      </c>
      <c r="G630" t="s">
        <v>546</v>
      </c>
      <c r="H630" t="s">
        <v>259</v>
      </c>
      <c r="I630" t="s">
        <v>26</v>
      </c>
      <c r="J630">
        <v>93535</v>
      </c>
      <c r="K630">
        <v>34.744999999999997</v>
      </c>
      <c r="L630">
        <v>-117.9739</v>
      </c>
      <c r="M630" t="s">
        <v>1351</v>
      </c>
      <c r="N630">
        <v>20</v>
      </c>
      <c r="O630" t="s">
        <v>36</v>
      </c>
      <c r="P630">
        <v>3</v>
      </c>
      <c r="Q630">
        <v>7.6849999999999996</v>
      </c>
    </row>
    <row r="631" spans="1:22" x14ac:dyDescent="0.25">
      <c r="A631" t="s">
        <v>43</v>
      </c>
      <c r="B631" t="s">
        <v>206</v>
      </c>
      <c r="C631">
        <v>2013</v>
      </c>
      <c r="D631" t="s">
        <v>1350</v>
      </c>
      <c r="E631" t="s">
        <v>130</v>
      </c>
      <c r="F631" t="s">
        <v>40</v>
      </c>
      <c r="G631" t="s">
        <v>347</v>
      </c>
      <c r="H631" t="s">
        <v>12</v>
      </c>
      <c r="I631" t="s">
        <v>26</v>
      </c>
      <c r="J631">
        <v>93560</v>
      </c>
      <c r="K631">
        <v>34.927</v>
      </c>
      <c r="L631">
        <v>-118.3599</v>
      </c>
      <c r="M631" t="s">
        <v>1350</v>
      </c>
      <c r="N631">
        <v>20</v>
      </c>
      <c r="O631" t="s">
        <v>36</v>
      </c>
      <c r="P631">
        <v>17.986000000000001</v>
      </c>
      <c r="Q631">
        <v>55.69</v>
      </c>
      <c r="R631" t="s">
        <v>334</v>
      </c>
      <c r="S631" s="18">
        <v>41395</v>
      </c>
      <c r="T631" s="18">
        <v>41428</v>
      </c>
    </row>
    <row r="632" spans="1:22" x14ac:dyDescent="0.25">
      <c r="A632" t="s">
        <v>43</v>
      </c>
      <c r="B632" t="s">
        <v>197</v>
      </c>
      <c r="C632">
        <v>2014</v>
      </c>
      <c r="D632" t="s">
        <v>1349</v>
      </c>
      <c r="E632" t="s">
        <v>130</v>
      </c>
      <c r="F632" t="s">
        <v>40</v>
      </c>
      <c r="G632" t="s">
        <v>347</v>
      </c>
      <c r="H632" t="s">
        <v>12</v>
      </c>
      <c r="I632" t="s">
        <v>26</v>
      </c>
      <c r="J632">
        <v>93560</v>
      </c>
      <c r="K632">
        <v>34.905999999999999</v>
      </c>
      <c r="L632">
        <v>-118.384</v>
      </c>
      <c r="M632" t="s">
        <v>1349</v>
      </c>
      <c r="N632">
        <v>15</v>
      </c>
      <c r="O632" t="s">
        <v>36</v>
      </c>
      <c r="P632">
        <v>111.2</v>
      </c>
      <c r="Q632">
        <v>328</v>
      </c>
      <c r="S632" s="18">
        <v>42447</v>
      </c>
      <c r="T632" s="18">
        <v>42565</v>
      </c>
      <c r="U632" s="18">
        <v>42450</v>
      </c>
      <c r="V632" s="18">
        <v>42565</v>
      </c>
    </row>
    <row r="633" spans="1:22" hidden="1" x14ac:dyDescent="0.25">
      <c r="A633" t="s">
        <v>43</v>
      </c>
      <c r="B633" t="s">
        <v>206</v>
      </c>
      <c r="C633">
        <v>2015</v>
      </c>
      <c r="D633" t="s">
        <v>1348</v>
      </c>
      <c r="E633" t="s">
        <v>71</v>
      </c>
      <c r="F633" t="s">
        <v>40</v>
      </c>
      <c r="G633" t="s">
        <v>1347</v>
      </c>
      <c r="H633" t="s">
        <v>582</v>
      </c>
      <c r="I633" t="s">
        <v>26</v>
      </c>
      <c r="J633">
        <v>94952</v>
      </c>
      <c r="K633">
        <v>38.302</v>
      </c>
      <c r="L633">
        <v>-122.748</v>
      </c>
      <c r="M633" t="s">
        <v>1346</v>
      </c>
      <c r="N633">
        <v>10</v>
      </c>
      <c r="O633" t="s">
        <v>36</v>
      </c>
      <c r="P633">
        <v>5</v>
      </c>
      <c r="Q633">
        <v>35</v>
      </c>
      <c r="R633" t="s">
        <v>377</v>
      </c>
      <c r="S633" s="18">
        <v>42402</v>
      </c>
      <c r="T633" s="18">
        <v>42465</v>
      </c>
    </row>
    <row r="634" spans="1:22" hidden="1" x14ac:dyDescent="0.25">
      <c r="A634" t="s">
        <v>43</v>
      </c>
      <c r="B634" t="s">
        <v>42</v>
      </c>
      <c r="C634">
        <v>2016</v>
      </c>
      <c r="D634" t="s">
        <v>37</v>
      </c>
      <c r="E634" t="s">
        <v>41</v>
      </c>
      <c r="F634" t="s">
        <v>40</v>
      </c>
      <c r="G634" t="s">
        <v>39</v>
      </c>
      <c r="H634" t="s">
        <v>38</v>
      </c>
      <c r="I634" t="s">
        <v>26</v>
      </c>
      <c r="J634">
        <v>95327</v>
      </c>
      <c r="K634">
        <v>37.874369000000002</v>
      </c>
      <c r="L634">
        <v>-120.47733599999999</v>
      </c>
      <c r="M634" t="s">
        <v>37</v>
      </c>
      <c r="N634">
        <v>10</v>
      </c>
      <c r="O634" t="s">
        <v>36</v>
      </c>
      <c r="P634">
        <v>18</v>
      </c>
      <c r="Q634">
        <v>129</v>
      </c>
    </row>
    <row r="635" spans="1:22" hidden="1" x14ac:dyDescent="0.25">
      <c r="A635" t="s">
        <v>43</v>
      </c>
      <c r="B635" t="s">
        <v>42</v>
      </c>
      <c r="C635">
        <v>2016</v>
      </c>
      <c r="D635" t="s">
        <v>135</v>
      </c>
      <c r="E635" t="s">
        <v>41</v>
      </c>
      <c r="F635" t="s">
        <v>40</v>
      </c>
      <c r="G635" t="s">
        <v>137</v>
      </c>
      <c r="H635" t="s">
        <v>136</v>
      </c>
      <c r="I635" t="s">
        <v>26</v>
      </c>
      <c r="J635">
        <v>95648</v>
      </c>
      <c r="K635">
        <v>38.832571000000002</v>
      </c>
      <c r="L635">
        <v>-121.11181000000001</v>
      </c>
      <c r="M635" t="s">
        <v>135</v>
      </c>
      <c r="N635">
        <v>10</v>
      </c>
      <c r="O635" t="s">
        <v>36</v>
      </c>
      <c r="P635">
        <v>24.4</v>
      </c>
      <c r="Q635">
        <v>182</v>
      </c>
    </row>
    <row r="636" spans="1:22" hidden="1" x14ac:dyDescent="0.25">
      <c r="A636" t="s">
        <v>43</v>
      </c>
      <c r="B636" t="s">
        <v>197</v>
      </c>
      <c r="C636">
        <v>2015</v>
      </c>
      <c r="D636" t="s">
        <v>1345</v>
      </c>
      <c r="E636" t="s">
        <v>47</v>
      </c>
      <c r="F636" t="s">
        <v>40</v>
      </c>
      <c r="G636" t="s">
        <v>857</v>
      </c>
      <c r="H636" t="s">
        <v>74</v>
      </c>
      <c r="I636" t="s">
        <v>26</v>
      </c>
      <c r="J636">
        <v>96088</v>
      </c>
      <c r="K636">
        <v>40.534500000000001</v>
      </c>
      <c r="L636">
        <v>-121.95924100000001</v>
      </c>
      <c r="M636" t="s">
        <v>1344</v>
      </c>
      <c r="N636">
        <v>15</v>
      </c>
      <c r="O636" t="s">
        <v>36</v>
      </c>
      <c r="P636">
        <v>2.8340000000000001</v>
      </c>
      <c r="Q636">
        <v>9.7279999999999998</v>
      </c>
      <c r="S636" s="18">
        <v>42269</v>
      </c>
      <c r="T636" s="18">
        <v>42341</v>
      </c>
    </row>
    <row r="637" spans="1:22" hidden="1" x14ac:dyDescent="0.25">
      <c r="A637" t="s">
        <v>43</v>
      </c>
      <c r="B637" t="s">
        <v>197</v>
      </c>
      <c r="C637">
        <v>2018</v>
      </c>
      <c r="D637" t="s">
        <v>1342</v>
      </c>
      <c r="E637" t="s">
        <v>130</v>
      </c>
      <c r="F637" t="s">
        <v>40</v>
      </c>
      <c r="G637" t="s">
        <v>1343</v>
      </c>
      <c r="H637" t="s">
        <v>133</v>
      </c>
      <c r="I637" t="s">
        <v>26</v>
      </c>
      <c r="J637">
        <v>92301</v>
      </c>
      <c r="K637">
        <v>34.341230000000003</v>
      </c>
      <c r="L637">
        <v>-117.34332999999999</v>
      </c>
      <c r="M637" t="s">
        <v>1342</v>
      </c>
      <c r="N637">
        <v>20</v>
      </c>
      <c r="O637" t="s">
        <v>36</v>
      </c>
      <c r="P637">
        <v>3</v>
      </c>
      <c r="Q637">
        <v>9.02</v>
      </c>
      <c r="S637" s="18">
        <v>43396</v>
      </c>
      <c r="T637" s="18">
        <v>43426</v>
      </c>
    </row>
    <row r="638" spans="1:22" hidden="1" x14ac:dyDescent="0.25">
      <c r="A638" t="s">
        <v>43</v>
      </c>
      <c r="B638" t="s">
        <v>197</v>
      </c>
      <c r="C638">
        <v>2008</v>
      </c>
      <c r="D638" t="s">
        <v>1341</v>
      </c>
      <c r="E638" t="s">
        <v>130</v>
      </c>
      <c r="F638" t="s">
        <v>40</v>
      </c>
      <c r="G638" t="s">
        <v>612</v>
      </c>
      <c r="H638" t="s">
        <v>88</v>
      </c>
      <c r="I638" t="s">
        <v>26</v>
      </c>
      <c r="J638">
        <v>92277</v>
      </c>
      <c r="K638">
        <v>34.415300000000002</v>
      </c>
      <c r="L638">
        <v>-115.23</v>
      </c>
      <c r="M638" t="s">
        <v>1340</v>
      </c>
      <c r="N638">
        <v>20</v>
      </c>
      <c r="O638" t="s">
        <v>24</v>
      </c>
      <c r="P638">
        <v>250</v>
      </c>
      <c r="Q638">
        <v>571</v>
      </c>
      <c r="S638" s="18">
        <v>40102</v>
      </c>
      <c r="T638" s="18">
        <v>40423</v>
      </c>
    </row>
    <row r="639" spans="1:22" hidden="1" x14ac:dyDescent="0.25">
      <c r="A639" t="s">
        <v>43</v>
      </c>
      <c r="B639" t="s">
        <v>201</v>
      </c>
      <c r="C639">
        <v>2009</v>
      </c>
      <c r="D639" t="s">
        <v>1339</v>
      </c>
      <c r="E639" t="s">
        <v>130</v>
      </c>
      <c r="F639" t="s">
        <v>40</v>
      </c>
      <c r="G639" t="s">
        <v>1338</v>
      </c>
      <c r="H639" t="s">
        <v>578</v>
      </c>
      <c r="I639" t="s">
        <v>294</v>
      </c>
      <c r="J639">
        <v>92364</v>
      </c>
      <c r="K639">
        <v>35.371499999999997</v>
      </c>
      <c r="L639">
        <v>-115.19569</v>
      </c>
      <c r="M639" t="s">
        <v>1337</v>
      </c>
      <c r="N639">
        <v>20</v>
      </c>
      <c r="O639" t="s">
        <v>36</v>
      </c>
      <c r="P639">
        <v>250</v>
      </c>
      <c r="Q639">
        <v>613.20000000000005</v>
      </c>
      <c r="S639" s="18">
        <v>40669</v>
      </c>
      <c r="T639" s="18">
        <v>40940</v>
      </c>
    </row>
    <row r="640" spans="1:22" hidden="1" x14ac:dyDescent="0.25">
      <c r="A640" t="s">
        <v>43</v>
      </c>
      <c r="B640" t="s">
        <v>201</v>
      </c>
      <c r="C640">
        <v>2011</v>
      </c>
      <c r="D640" t="s">
        <v>1336</v>
      </c>
      <c r="E640" t="s">
        <v>130</v>
      </c>
      <c r="F640" t="s">
        <v>40</v>
      </c>
      <c r="G640" t="s">
        <v>495</v>
      </c>
      <c r="H640" t="s">
        <v>88</v>
      </c>
      <c r="I640" t="s">
        <v>26</v>
      </c>
      <c r="J640">
        <v>92225</v>
      </c>
      <c r="K640">
        <v>33.703099999999999</v>
      </c>
      <c r="L640">
        <v>-114.764916</v>
      </c>
      <c r="M640" t="s">
        <v>1336</v>
      </c>
      <c r="N640">
        <v>20</v>
      </c>
      <c r="O640" t="s">
        <v>36</v>
      </c>
      <c r="P640">
        <v>250</v>
      </c>
      <c r="Q640">
        <v>680</v>
      </c>
      <c r="S640" s="18">
        <v>40875</v>
      </c>
      <c r="T640" s="18">
        <v>41067</v>
      </c>
    </row>
    <row r="641" spans="1:20" hidden="1" x14ac:dyDescent="0.25">
      <c r="A641" t="s">
        <v>43</v>
      </c>
      <c r="B641" t="s">
        <v>232</v>
      </c>
      <c r="C641">
        <v>2013</v>
      </c>
      <c r="D641" t="s">
        <v>1335</v>
      </c>
      <c r="E641" t="s">
        <v>130</v>
      </c>
      <c r="F641" t="s">
        <v>40</v>
      </c>
      <c r="G641" t="s">
        <v>495</v>
      </c>
      <c r="H641" t="s">
        <v>88</v>
      </c>
      <c r="I641" t="s">
        <v>26</v>
      </c>
      <c r="J641">
        <v>92225</v>
      </c>
      <c r="K641">
        <v>33.598100000000002</v>
      </c>
      <c r="L641">
        <v>-114.5716</v>
      </c>
      <c r="M641" t="s">
        <v>1333</v>
      </c>
      <c r="N641">
        <v>20</v>
      </c>
      <c r="O641" t="s">
        <v>36</v>
      </c>
      <c r="P641">
        <v>1.5</v>
      </c>
      <c r="Q641">
        <v>3.41</v>
      </c>
      <c r="S641" s="18">
        <v>41359</v>
      </c>
      <c r="T641" s="18">
        <v>41452</v>
      </c>
    </row>
    <row r="642" spans="1:20" hidden="1" x14ac:dyDescent="0.25">
      <c r="A642" t="s">
        <v>43</v>
      </c>
      <c r="B642" t="s">
        <v>232</v>
      </c>
      <c r="C642">
        <v>2013</v>
      </c>
      <c r="D642" t="s">
        <v>1334</v>
      </c>
      <c r="E642" t="s">
        <v>130</v>
      </c>
      <c r="F642" t="s">
        <v>40</v>
      </c>
      <c r="G642" t="s">
        <v>495</v>
      </c>
      <c r="H642" t="s">
        <v>88</v>
      </c>
      <c r="I642" t="s">
        <v>26</v>
      </c>
      <c r="J642">
        <v>92225</v>
      </c>
      <c r="K642">
        <v>33.598100000000002</v>
      </c>
      <c r="L642">
        <v>-114.5716</v>
      </c>
      <c r="M642" t="s">
        <v>1333</v>
      </c>
      <c r="N642">
        <v>20</v>
      </c>
      <c r="O642" t="s">
        <v>36</v>
      </c>
      <c r="P642">
        <v>1.5</v>
      </c>
      <c r="Q642">
        <v>3.41</v>
      </c>
      <c r="S642" s="18">
        <v>41359</v>
      </c>
      <c r="T642" s="18">
        <v>41452</v>
      </c>
    </row>
    <row r="643" spans="1:20" hidden="1" x14ac:dyDescent="0.25">
      <c r="A643" t="s">
        <v>43</v>
      </c>
      <c r="B643" t="s">
        <v>206</v>
      </c>
      <c r="C643">
        <v>2013</v>
      </c>
      <c r="D643" t="s">
        <v>1332</v>
      </c>
      <c r="E643" t="s">
        <v>130</v>
      </c>
      <c r="F643" t="s">
        <v>40</v>
      </c>
      <c r="G643" t="s">
        <v>1085</v>
      </c>
      <c r="H643" t="s">
        <v>133</v>
      </c>
      <c r="I643" t="s">
        <v>26</v>
      </c>
      <c r="J643">
        <v>92301</v>
      </c>
      <c r="K643">
        <v>34.557400000000001</v>
      </c>
      <c r="L643">
        <v>-117.382886</v>
      </c>
      <c r="M643" t="s">
        <v>1332</v>
      </c>
      <c r="N643">
        <v>20</v>
      </c>
      <c r="O643" t="s">
        <v>36</v>
      </c>
      <c r="P643">
        <v>20</v>
      </c>
      <c r="Q643">
        <v>61.84</v>
      </c>
      <c r="R643" t="s">
        <v>334</v>
      </c>
      <c r="S643" s="18">
        <v>41395</v>
      </c>
      <c r="T643" s="18">
        <v>41425</v>
      </c>
    </row>
    <row r="644" spans="1:20" hidden="1" x14ac:dyDescent="0.25">
      <c r="A644" t="s">
        <v>43</v>
      </c>
      <c r="B644" t="s">
        <v>32</v>
      </c>
      <c r="C644">
        <v>2017</v>
      </c>
      <c r="D644" t="s">
        <v>1331</v>
      </c>
      <c r="E644" t="s">
        <v>47</v>
      </c>
      <c r="F644" t="s">
        <v>40</v>
      </c>
      <c r="G644" t="s">
        <v>260</v>
      </c>
      <c r="H644" t="s">
        <v>259</v>
      </c>
      <c r="I644" t="s">
        <v>26</v>
      </c>
      <c r="J644">
        <v>91767</v>
      </c>
      <c r="K644">
        <v>34.100200000000001</v>
      </c>
      <c r="L644">
        <v>-117.75592</v>
      </c>
      <c r="M644" t="s">
        <v>258</v>
      </c>
      <c r="N644">
        <v>7</v>
      </c>
      <c r="O644" t="s">
        <v>36</v>
      </c>
      <c r="P644">
        <v>0.2</v>
      </c>
      <c r="Q644">
        <v>0.543126</v>
      </c>
    </row>
    <row r="645" spans="1:20" hidden="1" x14ac:dyDescent="0.25">
      <c r="A645" t="s">
        <v>43</v>
      </c>
      <c r="B645" t="s">
        <v>540</v>
      </c>
      <c r="C645">
        <v>2013</v>
      </c>
      <c r="D645" t="s">
        <v>1330</v>
      </c>
      <c r="E645" t="s">
        <v>130</v>
      </c>
      <c r="F645" t="s">
        <v>40</v>
      </c>
      <c r="G645" t="s">
        <v>1085</v>
      </c>
      <c r="H645" t="s">
        <v>133</v>
      </c>
      <c r="I645" t="s">
        <v>26</v>
      </c>
      <c r="J645">
        <v>92301</v>
      </c>
      <c r="K645">
        <v>34.557400000000001</v>
      </c>
      <c r="L645">
        <v>-117.382886</v>
      </c>
      <c r="M645" t="s">
        <v>1329</v>
      </c>
      <c r="N645">
        <v>20</v>
      </c>
      <c r="O645" t="s">
        <v>36</v>
      </c>
      <c r="P645">
        <v>7</v>
      </c>
      <c r="Q645">
        <v>19.86</v>
      </c>
      <c r="S645" s="18">
        <v>41716</v>
      </c>
      <c r="T645" s="18">
        <v>41771</v>
      </c>
    </row>
    <row r="646" spans="1:20" hidden="1" x14ac:dyDescent="0.25">
      <c r="A646" t="s">
        <v>43</v>
      </c>
      <c r="B646" t="s">
        <v>197</v>
      </c>
      <c r="C646">
        <v>2013</v>
      </c>
      <c r="D646" t="s">
        <v>1328</v>
      </c>
      <c r="E646" t="s">
        <v>130</v>
      </c>
      <c r="F646" t="s">
        <v>40</v>
      </c>
      <c r="G646" t="s">
        <v>178</v>
      </c>
      <c r="H646" t="s">
        <v>178</v>
      </c>
      <c r="I646" t="s">
        <v>26</v>
      </c>
      <c r="J646">
        <v>93636</v>
      </c>
      <c r="K646">
        <v>36.941299999999998</v>
      </c>
      <c r="L646">
        <v>-119.960655</v>
      </c>
      <c r="M646" t="s">
        <v>1328</v>
      </c>
      <c r="N646">
        <v>20</v>
      </c>
      <c r="O646" t="s">
        <v>36</v>
      </c>
      <c r="P646">
        <v>51.3</v>
      </c>
      <c r="Q646">
        <v>130.69911999999999</v>
      </c>
      <c r="S646" s="18">
        <v>41940</v>
      </c>
      <c r="T646" s="18">
        <v>42076</v>
      </c>
    </row>
    <row r="647" spans="1:20" hidden="1" x14ac:dyDescent="0.25">
      <c r="A647" t="s">
        <v>43</v>
      </c>
      <c r="B647" t="s">
        <v>197</v>
      </c>
      <c r="C647">
        <v>2015</v>
      </c>
      <c r="D647" t="s">
        <v>1327</v>
      </c>
      <c r="E647" t="s">
        <v>130</v>
      </c>
      <c r="F647" t="s">
        <v>40</v>
      </c>
      <c r="G647" t="s">
        <v>495</v>
      </c>
      <c r="H647" t="s">
        <v>88</v>
      </c>
      <c r="I647" t="s">
        <v>26</v>
      </c>
      <c r="J647">
        <v>92225</v>
      </c>
      <c r="K647">
        <v>33.679000000000002</v>
      </c>
      <c r="L647">
        <v>-114.73166999999999</v>
      </c>
      <c r="M647" t="s">
        <v>102</v>
      </c>
      <c r="N647">
        <v>20</v>
      </c>
      <c r="O647" t="s">
        <v>36</v>
      </c>
      <c r="P647">
        <v>131.19999999999999</v>
      </c>
      <c r="Q647">
        <v>385.12799999999999</v>
      </c>
    </row>
    <row r="648" spans="1:20" hidden="1" x14ac:dyDescent="0.25">
      <c r="A648" t="s">
        <v>43</v>
      </c>
      <c r="B648" t="s">
        <v>197</v>
      </c>
      <c r="C648">
        <v>2015</v>
      </c>
      <c r="D648" t="s">
        <v>1326</v>
      </c>
      <c r="E648" t="s">
        <v>130</v>
      </c>
      <c r="F648" t="s">
        <v>40</v>
      </c>
      <c r="G648" t="s">
        <v>495</v>
      </c>
      <c r="H648" t="s">
        <v>88</v>
      </c>
      <c r="I648" t="s">
        <v>26</v>
      </c>
      <c r="J648">
        <v>92225</v>
      </c>
      <c r="K648">
        <v>33.659999999999997</v>
      </c>
      <c r="L648">
        <v>-114.735</v>
      </c>
      <c r="M648" t="s">
        <v>102</v>
      </c>
      <c r="N648">
        <v>20</v>
      </c>
      <c r="O648" t="s">
        <v>36</v>
      </c>
      <c r="P648">
        <v>136.80000000000001</v>
      </c>
      <c r="Q648">
        <v>385</v>
      </c>
    </row>
    <row r="649" spans="1:20" x14ac:dyDescent="0.25">
      <c r="A649" t="s">
        <v>43</v>
      </c>
      <c r="B649" t="s">
        <v>263</v>
      </c>
      <c r="C649">
        <v>2017</v>
      </c>
      <c r="D649" t="s">
        <v>1325</v>
      </c>
      <c r="E649" t="s">
        <v>130</v>
      </c>
      <c r="F649" t="s">
        <v>40</v>
      </c>
      <c r="G649" t="s">
        <v>1324</v>
      </c>
      <c r="H649" t="s">
        <v>12</v>
      </c>
      <c r="I649" t="s">
        <v>26</v>
      </c>
      <c r="J649">
        <v>93505</v>
      </c>
      <c r="K649">
        <v>35.141373999999999</v>
      </c>
      <c r="L649">
        <v>-117.965748</v>
      </c>
      <c r="M649" t="s">
        <v>1323</v>
      </c>
      <c r="N649">
        <v>20</v>
      </c>
      <c r="O649" t="s">
        <v>36</v>
      </c>
      <c r="P649">
        <v>2.99</v>
      </c>
      <c r="Q649">
        <v>8.58</v>
      </c>
    </row>
    <row r="650" spans="1:20" hidden="1" x14ac:dyDescent="0.25">
      <c r="A650" t="s">
        <v>43</v>
      </c>
      <c r="B650" t="s">
        <v>197</v>
      </c>
      <c r="C650">
        <v>2008</v>
      </c>
      <c r="D650" t="s">
        <v>1322</v>
      </c>
      <c r="E650" t="s">
        <v>30</v>
      </c>
      <c r="F650" t="s">
        <v>40</v>
      </c>
      <c r="G650" t="s">
        <v>1321</v>
      </c>
      <c r="H650" t="s">
        <v>1320</v>
      </c>
      <c r="I650" t="s">
        <v>1319</v>
      </c>
      <c r="J650">
        <v>83427</v>
      </c>
      <c r="K650">
        <v>43.443100000000001</v>
      </c>
      <c r="L650">
        <v>-111.839456</v>
      </c>
      <c r="M650" t="s">
        <v>1318</v>
      </c>
      <c r="N650">
        <v>20</v>
      </c>
      <c r="O650" t="s">
        <v>24</v>
      </c>
      <c r="P650">
        <v>124.5</v>
      </c>
      <c r="Q650">
        <v>338</v>
      </c>
      <c r="S650" s="18">
        <v>39941</v>
      </c>
      <c r="T650" s="18">
        <v>40101</v>
      </c>
    </row>
    <row r="651" spans="1:20" hidden="1" x14ac:dyDescent="0.25">
      <c r="A651" t="s">
        <v>43</v>
      </c>
      <c r="B651" t="s">
        <v>206</v>
      </c>
      <c r="C651">
        <v>2012</v>
      </c>
      <c r="D651" t="s">
        <v>1317</v>
      </c>
      <c r="E651" t="s">
        <v>130</v>
      </c>
      <c r="F651" t="s">
        <v>40</v>
      </c>
      <c r="G651" t="s">
        <v>1300</v>
      </c>
      <c r="H651" t="s">
        <v>133</v>
      </c>
      <c r="I651" t="s">
        <v>26</v>
      </c>
      <c r="J651">
        <v>92356</v>
      </c>
      <c r="K651">
        <v>34.409100000000002</v>
      </c>
      <c r="L651">
        <v>-116.86279999999999</v>
      </c>
      <c r="M651" t="s">
        <v>1316</v>
      </c>
      <c r="N651">
        <v>20</v>
      </c>
      <c r="O651" t="s">
        <v>36</v>
      </c>
      <c r="P651">
        <v>20</v>
      </c>
      <c r="Q651">
        <v>53.9</v>
      </c>
      <c r="R651" t="s">
        <v>370</v>
      </c>
      <c r="S651" s="18">
        <v>41183</v>
      </c>
      <c r="T651" s="18">
        <v>41217</v>
      </c>
    </row>
    <row r="652" spans="1:20" hidden="1" x14ac:dyDescent="0.25">
      <c r="A652" t="s">
        <v>43</v>
      </c>
      <c r="B652" t="s">
        <v>32</v>
      </c>
      <c r="C652">
        <v>2022</v>
      </c>
      <c r="D652" t="s">
        <v>1315</v>
      </c>
      <c r="E652" t="s">
        <v>130</v>
      </c>
      <c r="F652" t="s">
        <v>204</v>
      </c>
      <c r="G652" t="s">
        <v>347</v>
      </c>
      <c r="H652" t="s">
        <v>12</v>
      </c>
      <c r="I652" t="s">
        <v>26</v>
      </c>
      <c r="J652">
        <v>93560</v>
      </c>
      <c r="K652">
        <v>34.86</v>
      </c>
      <c r="L652">
        <v>-118.264</v>
      </c>
      <c r="M652" t="s">
        <v>1315</v>
      </c>
      <c r="N652">
        <v>12</v>
      </c>
      <c r="O652" t="s">
        <v>36</v>
      </c>
      <c r="P652">
        <v>20</v>
      </c>
      <c r="Q652">
        <v>63.87</v>
      </c>
    </row>
    <row r="653" spans="1:20" hidden="1" x14ac:dyDescent="0.25">
      <c r="A653" t="s">
        <v>43</v>
      </c>
      <c r="B653" t="s">
        <v>32</v>
      </c>
      <c r="C653">
        <v>1983</v>
      </c>
      <c r="D653" t="s">
        <v>1314</v>
      </c>
      <c r="E653" t="s">
        <v>47</v>
      </c>
      <c r="F653" t="s">
        <v>40</v>
      </c>
      <c r="G653" t="s">
        <v>133</v>
      </c>
      <c r="H653" t="s">
        <v>133</v>
      </c>
      <c r="I653" t="s">
        <v>26</v>
      </c>
      <c r="J653">
        <v>92407</v>
      </c>
      <c r="K653">
        <v>34.209000000000003</v>
      </c>
      <c r="L653">
        <v>-117.387816</v>
      </c>
      <c r="M653" t="s">
        <v>1308</v>
      </c>
      <c r="N653">
        <v>999</v>
      </c>
      <c r="O653" t="s">
        <v>24</v>
      </c>
      <c r="P653">
        <v>0.17799999999999999</v>
      </c>
      <c r="Q653">
        <v>0.4</v>
      </c>
    </row>
    <row r="654" spans="1:20" hidden="1" x14ac:dyDescent="0.25">
      <c r="A654" t="s">
        <v>43</v>
      </c>
      <c r="B654" t="s">
        <v>32</v>
      </c>
      <c r="C654">
        <v>1985</v>
      </c>
      <c r="D654" t="s">
        <v>1312</v>
      </c>
      <c r="E654" t="s">
        <v>47</v>
      </c>
      <c r="F654" t="s">
        <v>40</v>
      </c>
      <c r="G654" t="s">
        <v>1313</v>
      </c>
      <c r="H654" t="s">
        <v>234</v>
      </c>
      <c r="I654" t="s">
        <v>26</v>
      </c>
      <c r="J654">
        <v>93040</v>
      </c>
      <c r="K654">
        <v>34.479100000000003</v>
      </c>
      <c r="L654">
        <v>-118.770759</v>
      </c>
      <c r="M654" t="s">
        <v>1312</v>
      </c>
      <c r="N654">
        <v>999</v>
      </c>
      <c r="O654" t="s">
        <v>24</v>
      </c>
      <c r="P654">
        <v>0.93500000000000005</v>
      </c>
    </row>
    <row r="655" spans="1:20" hidden="1" x14ac:dyDescent="0.25">
      <c r="A655" t="s">
        <v>43</v>
      </c>
      <c r="B655" t="s">
        <v>32</v>
      </c>
      <c r="C655">
        <v>1988</v>
      </c>
      <c r="D655" t="s">
        <v>1310</v>
      </c>
      <c r="E655" t="s">
        <v>47</v>
      </c>
      <c r="F655" t="s">
        <v>40</v>
      </c>
      <c r="G655" t="s">
        <v>1311</v>
      </c>
      <c r="H655" t="s">
        <v>1224</v>
      </c>
      <c r="I655" t="s">
        <v>26</v>
      </c>
      <c r="J655">
        <v>93513</v>
      </c>
      <c r="K655">
        <v>37.373699999999999</v>
      </c>
      <c r="L655">
        <v>-117.98072000000001</v>
      </c>
      <c r="M655" t="s">
        <v>1310</v>
      </c>
      <c r="N655">
        <v>999</v>
      </c>
      <c r="O655" t="s">
        <v>24</v>
      </c>
      <c r="P655">
        <v>0.1</v>
      </c>
    </row>
    <row r="656" spans="1:20" hidden="1" x14ac:dyDescent="0.25">
      <c r="A656" t="s">
        <v>43</v>
      </c>
      <c r="B656" t="s">
        <v>32</v>
      </c>
      <c r="C656">
        <v>1987</v>
      </c>
      <c r="D656" t="s">
        <v>1309</v>
      </c>
      <c r="E656" t="s">
        <v>47</v>
      </c>
      <c r="F656" t="s">
        <v>40</v>
      </c>
      <c r="G656" t="s">
        <v>133</v>
      </c>
      <c r="H656" t="s">
        <v>133</v>
      </c>
      <c r="I656" t="s">
        <v>26</v>
      </c>
      <c r="J656">
        <v>92402</v>
      </c>
      <c r="K656">
        <v>34.221200000000003</v>
      </c>
      <c r="L656">
        <v>-117.403655</v>
      </c>
      <c r="M656" t="s">
        <v>1308</v>
      </c>
      <c r="N656">
        <v>999</v>
      </c>
      <c r="O656" t="s">
        <v>24</v>
      </c>
      <c r="P656">
        <v>7.4999999999999997E-2</v>
      </c>
    </row>
    <row r="657" spans="1:22" x14ac:dyDescent="0.25">
      <c r="A657" t="s">
        <v>43</v>
      </c>
      <c r="B657" t="s">
        <v>161</v>
      </c>
      <c r="C657">
        <v>2016</v>
      </c>
      <c r="D657" t="s">
        <v>1307</v>
      </c>
      <c r="E657" t="s">
        <v>130</v>
      </c>
      <c r="F657" t="s">
        <v>40</v>
      </c>
      <c r="G657" t="s">
        <v>81</v>
      </c>
      <c r="H657" t="s">
        <v>12</v>
      </c>
      <c r="I657" t="s">
        <v>26</v>
      </c>
      <c r="J657">
        <v>93501</v>
      </c>
      <c r="K657">
        <v>35.023000000000003</v>
      </c>
      <c r="L657">
        <v>-118.291</v>
      </c>
      <c r="M657" t="s">
        <v>1306</v>
      </c>
      <c r="N657">
        <v>15</v>
      </c>
      <c r="O657" t="s">
        <v>36</v>
      </c>
      <c r="P657">
        <v>20</v>
      </c>
      <c r="Q657">
        <v>51</v>
      </c>
    </row>
    <row r="658" spans="1:22" hidden="1" x14ac:dyDescent="0.25">
      <c r="A658" t="s">
        <v>43</v>
      </c>
      <c r="B658" t="s">
        <v>206</v>
      </c>
      <c r="C658">
        <v>2012</v>
      </c>
      <c r="D658" t="s">
        <v>1305</v>
      </c>
      <c r="E658" t="s">
        <v>130</v>
      </c>
      <c r="F658" t="s">
        <v>40</v>
      </c>
      <c r="G658" t="s">
        <v>1221</v>
      </c>
      <c r="H658" t="s">
        <v>133</v>
      </c>
      <c r="I658" t="s">
        <v>26</v>
      </c>
      <c r="J658">
        <v>92359</v>
      </c>
      <c r="K658">
        <v>34.101700000000001</v>
      </c>
      <c r="L658">
        <v>-116.989</v>
      </c>
      <c r="M658" t="s">
        <v>1304</v>
      </c>
      <c r="N658">
        <v>20</v>
      </c>
      <c r="O658" t="s">
        <v>36</v>
      </c>
      <c r="P658">
        <v>12</v>
      </c>
      <c r="Q658">
        <v>33.06</v>
      </c>
      <c r="R658" t="s">
        <v>544</v>
      </c>
      <c r="S658" s="18">
        <v>40997</v>
      </c>
      <c r="T658" s="18">
        <v>41031</v>
      </c>
    </row>
    <row r="659" spans="1:22" hidden="1" x14ac:dyDescent="0.25">
      <c r="A659" t="s">
        <v>43</v>
      </c>
      <c r="B659" t="s">
        <v>206</v>
      </c>
      <c r="C659">
        <v>2012</v>
      </c>
      <c r="D659" t="s">
        <v>1303</v>
      </c>
      <c r="E659" t="s">
        <v>130</v>
      </c>
      <c r="F659" t="s">
        <v>40</v>
      </c>
      <c r="G659" t="s">
        <v>1221</v>
      </c>
      <c r="H659" t="s">
        <v>133</v>
      </c>
      <c r="I659" t="s">
        <v>26</v>
      </c>
      <c r="J659">
        <v>92256</v>
      </c>
      <c r="K659">
        <v>34.112299999999998</v>
      </c>
      <c r="L659">
        <v>-116.52943999999999</v>
      </c>
      <c r="M659" t="s">
        <v>1302</v>
      </c>
      <c r="N659">
        <v>20</v>
      </c>
      <c r="O659" t="s">
        <v>36</v>
      </c>
      <c r="P659">
        <v>9</v>
      </c>
      <c r="Q659">
        <v>24.82</v>
      </c>
      <c r="R659" t="s">
        <v>544</v>
      </c>
      <c r="S659" s="18">
        <v>40997</v>
      </c>
      <c r="T659" s="18">
        <v>41031</v>
      </c>
    </row>
    <row r="660" spans="1:22" hidden="1" x14ac:dyDescent="0.25">
      <c r="A660" t="s">
        <v>43</v>
      </c>
      <c r="B660" t="s">
        <v>206</v>
      </c>
      <c r="C660">
        <v>2012</v>
      </c>
      <c r="D660" t="s">
        <v>1301</v>
      </c>
      <c r="E660" t="s">
        <v>130</v>
      </c>
      <c r="F660" t="s">
        <v>40</v>
      </c>
      <c r="G660" t="s">
        <v>1300</v>
      </c>
      <c r="H660" t="s">
        <v>133</v>
      </c>
      <c r="I660" t="s">
        <v>26</v>
      </c>
      <c r="J660">
        <v>92356</v>
      </c>
      <c r="K660">
        <v>34.3977</v>
      </c>
      <c r="L660">
        <v>-116.8668</v>
      </c>
      <c r="M660" t="s">
        <v>1299</v>
      </c>
      <c r="N660">
        <v>20</v>
      </c>
      <c r="O660" t="s">
        <v>36</v>
      </c>
      <c r="P660">
        <v>10</v>
      </c>
      <c r="Q660">
        <v>26.52</v>
      </c>
      <c r="R660" t="s">
        <v>370</v>
      </c>
      <c r="S660" s="18">
        <v>41183</v>
      </c>
      <c r="T660" s="18">
        <v>41217</v>
      </c>
    </row>
    <row r="661" spans="1:22" x14ac:dyDescent="0.25">
      <c r="A661" t="s">
        <v>43</v>
      </c>
      <c r="B661" t="s">
        <v>206</v>
      </c>
      <c r="C661">
        <v>2013</v>
      </c>
      <c r="D661" t="s">
        <v>1298</v>
      </c>
      <c r="E661" t="s">
        <v>130</v>
      </c>
      <c r="F661" t="s">
        <v>40</v>
      </c>
      <c r="G661" t="s">
        <v>1292</v>
      </c>
      <c r="H661" t="s">
        <v>12</v>
      </c>
      <c r="I661" t="s">
        <v>26</v>
      </c>
      <c r="J661">
        <v>93251</v>
      </c>
      <c r="K661">
        <v>35.4161</v>
      </c>
      <c r="L661">
        <v>-119.63861300000001</v>
      </c>
      <c r="M661" t="s">
        <v>1298</v>
      </c>
      <c r="N661">
        <v>20</v>
      </c>
      <c r="O661" t="s">
        <v>36</v>
      </c>
      <c r="P661">
        <v>20</v>
      </c>
      <c r="Q661">
        <v>54.43</v>
      </c>
      <c r="R661" t="s">
        <v>334</v>
      </c>
      <c r="S661" s="18">
        <v>41395</v>
      </c>
      <c r="T661" s="18">
        <v>41428</v>
      </c>
    </row>
    <row r="662" spans="1:22" x14ac:dyDescent="0.25">
      <c r="A662" t="s">
        <v>43</v>
      </c>
      <c r="B662" t="s">
        <v>206</v>
      </c>
      <c r="C662">
        <v>2013</v>
      </c>
      <c r="D662" t="s">
        <v>1297</v>
      </c>
      <c r="E662" t="s">
        <v>130</v>
      </c>
      <c r="F662" t="s">
        <v>40</v>
      </c>
      <c r="G662" t="s">
        <v>719</v>
      </c>
      <c r="H662" t="s">
        <v>12</v>
      </c>
      <c r="I662" t="s">
        <v>26</v>
      </c>
      <c r="J662">
        <v>93280</v>
      </c>
      <c r="K662">
        <v>35.619300000000003</v>
      </c>
      <c r="L662">
        <v>-119.566687</v>
      </c>
      <c r="M662" t="s">
        <v>1297</v>
      </c>
      <c r="N662">
        <v>20</v>
      </c>
      <c r="O662" t="s">
        <v>36</v>
      </c>
      <c r="P662">
        <v>20</v>
      </c>
      <c r="Q662">
        <v>54.17</v>
      </c>
      <c r="R662" t="s">
        <v>334</v>
      </c>
      <c r="S662" s="18">
        <v>41395</v>
      </c>
      <c r="T662" s="18">
        <v>41428</v>
      </c>
    </row>
    <row r="663" spans="1:22" x14ac:dyDescent="0.25">
      <c r="A663" t="s">
        <v>43</v>
      </c>
      <c r="B663" t="s">
        <v>197</v>
      </c>
      <c r="C663">
        <v>2015</v>
      </c>
      <c r="D663" t="s">
        <v>1296</v>
      </c>
      <c r="E663" t="s">
        <v>130</v>
      </c>
      <c r="F663" t="s">
        <v>40</v>
      </c>
      <c r="G663" t="s">
        <v>347</v>
      </c>
      <c r="H663" t="s">
        <v>12</v>
      </c>
      <c r="I663" t="s">
        <v>26</v>
      </c>
      <c r="J663">
        <v>93560</v>
      </c>
      <c r="K663">
        <v>34.86</v>
      </c>
      <c r="L663">
        <v>-118.35</v>
      </c>
      <c r="M663" t="s">
        <v>1296</v>
      </c>
      <c r="N663">
        <v>15</v>
      </c>
      <c r="O663" t="s">
        <v>36</v>
      </c>
      <c r="P663">
        <v>151</v>
      </c>
      <c r="Q663">
        <v>505</v>
      </c>
      <c r="S663" s="18">
        <v>42361</v>
      </c>
      <c r="T663" s="18">
        <v>42385</v>
      </c>
    </row>
    <row r="664" spans="1:22" hidden="1" x14ac:dyDescent="0.25">
      <c r="A664" t="s">
        <v>43</v>
      </c>
      <c r="B664" t="s">
        <v>206</v>
      </c>
      <c r="C664">
        <v>2014</v>
      </c>
      <c r="D664" t="s">
        <v>1294</v>
      </c>
      <c r="E664" t="s">
        <v>130</v>
      </c>
      <c r="F664" t="s">
        <v>40</v>
      </c>
      <c r="G664" t="s">
        <v>1295</v>
      </c>
      <c r="H664" t="s">
        <v>133</v>
      </c>
      <c r="I664" t="s">
        <v>26</v>
      </c>
      <c r="J664">
        <v>92311</v>
      </c>
      <c r="K664">
        <v>34.903399999999998</v>
      </c>
      <c r="L664">
        <v>-117.10839799999999</v>
      </c>
      <c r="M664" t="s">
        <v>1294</v>
      </c>
      <c r="N664">
        <v>20</v>
      </c>
      <c r="O664" t="s">
        <v>36</v>
      </c>
      <c r="P664">
        <v>20</v>
      </c>
      <c r="Q664">
        <v>63.77</v>
      </c>
      <c r="R664" t="s">
        <v>785</v>
      </c>
      <c r="S664" s="18">
        <v>41949</v>
      </c>
      <c r="T664" s="18">
        <v>42038</v>
      </c>
    </row>
    <row r="665" spans="1:22" x14ac:dyDescent="0.25">
      <c r="A665" t="s">
        <v>43</v>
      </c>
      <c r="B665" t="s">
        <v>206</v>
      </c>
      <c r="C665">
        <v>2014</v>
      </c>
      <c r="D665" t="s">
        <v>1293</v>
      </c>
      <c r="E665" t="s">
        <v>130</v>
      </c>
      <c r="F665" t="s">
        <v>40</v>
      </c>
      <c r="G665" t="s">
        <v>1292</v>
      </c>
      <c r="H665" t="s">
        <v>12</v>
      </c>
      <c r="I665" t="s">
        <v>26</v>
      </c>
      <c r="J665">
        <v>93206</v>
      </c>
      <c r="K665">
        <v>35.260100000000001</v>
      </c>
      <c r="L665">
        <v>-119.363255</v>
      </c>
      <c r="M665" t="s">
        <v>1293</v>
      </c>
      <c r="N665">
        <v>20</v>
      </c>
      <c r="O665" t="s">
        <v>36</v>
      </c>
      <c r="P665">
        <v>20</v>
      </c>
      <c r="Q665">
        <v>55.787608800000001</v>
      </c>
      <c r="R665" t="s">
        <v>785</v>
      </c>
      <c r="S665" s="18">
        <v>41949</v>
      </c>
      <c r="T665" s="18">
        <v>42038</v>
      </c>
    </row>
    <row r="666" spans="1:22" x14ac:dyDescent="0.25">
      <c r="A666" t="s">
        <v>43</v>
      </c>
      <c r="B666" t="s">
        <v>206</v>
      </c>
      <c r="C666">
        <v>2014</v>
      </c>
      <c r="D666" t="s">
        <v>1291</v>
      </c>
      <c r="E666" t="s">
        <v>130</v>
      </c>
      <c r="F666" t="s">
        <v>40</v>
      </c>
      <c r="G666" t="s">
        <v>1292</v>
      </c>
      <c r="H666" t="s">
        <v>12</v>
      </c>
      <c r="I666" t="s">
        <v>26</v>
      </c>
      <c r="J666">
        <v>93206</v>
      </c>
      <c r="K666">
        <v>35.2517</v>
      </c>
      <c r="L666">
        <v>-119.374555</v>
      </c>
      <c r="M666" t="s">
        <v>1291</v>
      </c>
      <c r="N666">
        <v>20</v>
      </c>
      <c r="O666" t="s">
        <v>36</v>
      </c>
      <c r="P666">
        <v>20</v>
      </c>
      <c r="Q666">
        <v>55.787608800000001</v>
      </c>
      <c r="R666" t="s">
        <v>785</v>
      </c>
      <c r="S666" s="18">
        <v>41949</v>
      </c>
      <c r="T666" s="18">
        <v>42038</v>
      </c>
    </row>
    <row r="667" spans="1:22" x14ac:dyDescent="0.25">
      <c r="A667" t="s">
        <v>43</v>
      </c>
      <c r="B667" t="s">
        <v>206</v>
      </c>
      <c r="C667">
        <v>2014</v>
      </c>
      <c r="D667" t="s">
        <v>1290</v>
      </c>
      <c r="E667" t="s">
        <v>130</v>
      </c>
      <c r="F667" t="s">
        <v>40</v>
      </c>
      <c r="G667" t="s">
        <v>719</v>
      </c>
      <c r="H667" t="s">
        <v>12</v>
      </c>
      <c r="I667" t="s">
        <v>26</v>
      </c>
      <c r="J667">
        <v>93249</v>
      </c>
      <c r="K667">
        <v>35.392099999999999</v>
      </c>
      <c r="L667">
        <v>-119.332994</v>
      </c>
      <c r="M667" t="s">
        <v>1290</v>
      </c>
      <c r="N667">
        <v>20</v>
      </c>
      <c r="O667" t="s">
        <v>36</v>
      </c>
      <c r="P667">
        <v>15</v>
      </c>
      <c r="Q667">
        <v>44.265689999999999</v>
      </c>
      <c r="R667" t="s">
        <v>785</v>
      </c>
      <c r="S667" s="18">
        <v>41949</v>
      </c>
      <c r="T667" s="18">
        <v>42038</v>
      </c>
    </row>
    <row r="668" spans="1:22" hidden="1" x14ac:dyDescent="0.25">
      <c r="A668" t="s">
        <v>43</v>
      </c>
      <c r="B668" t="s">
        <v>197</v>
      </c>
      <c r="C668">
        <v>2015</v>
      </c>
      <c r="D668" t="s">
        <v>1289</v>
      </c>
      <c r="E668" t="s">
        <v>130</v>
      </c>
      <c r="F668" t="s">
        <v>40</v>
      </c>
      <c r="G668" t="s">
        <v>677</v>
      </c>
      <c r="H668" t="s">
        <v>382</v>
      </c>
      <c r="I668" t="s">
        <v>438</v>
      </c>
      <c r="J668">
        <v>85354</v>
      </c>
      <c r="K668">
        <v>33.357999999999997</v>
      </c>
      <c r="L668">
        <v>-112.83499999999999</v>
      </c>
      <c r="M668" t="s">
        <v>1288</v>
      </c>
      <c r="N668">
        <v>15</v>
      </c>
      <c r="O668" t="s">
        <v>36</v>
      </c>
      <c r="P668">
        <v>160</v>
      </c>
      <c r="Q668">
        <v>467</v>
      </c>
      <c r="S668" s="18">
        <v>42361</v>
      </c>
      <c r="T668" s="18">
        <v>42530</v>
      </c>
      <c r="U668" s="18">
        <v>42468</v>
      </c>
      <c r="V668" s="18">
        <v>42530</v>
      </c>
    </row>
    <row r="669" spans="1:22" hidden="1" x14ac:dyDescent="0.25">
      <c r="A669" t="s">
        <v>43</v>
      </c>
      <c r="B669" t="s">
        <v>197</v>
      </c>
      <c r="C669">
        <v>2015</v>
      </c>
      <c r="D669" t="s">
        <v>1287</v>
      </c>
      <c r="E669" t="s">
        <v>130</v>
      </c>
      <c r="F669" t="s">
        <v>40</v>
      </c>
      <c r="G669" t="s">
        <v>1286</v>
      </c>
      <c r="H669" t="s">
        <v>295</v>
      </c>
      <c r="I669" t="s">
        <v>294</v>
      </c>
      <c r="J669">
        <v>89020</v>
      </c>
      <c r="K669">
        <v>36.5261</v>
      </c>
      <c r="L669">
        <v>-116.4944</v>
      </c>
      <c r="M669" t="s">
        <v>1285</v>
      </c>
      <c r="N669">
        <v>15</v>
      </c>
      <c r="O669" t="s">
        <v>36</v>
      </c>
      <c r="P669">
        <v>104</v>
      </c>
      <c r="Q669">
        <v>302</v>
      </c>
      <c r="S669" s="18">
        <v>42361</v>
      </c>
      <c r="T669" s="18">
        <v>42385</v>
      </c>
    </row>
    <row r="670" spans="1:22" hidden="1" x14ac:dyDescent="0.25">
      <c r="A670" t="s">
        <v>43</v>
      </c>
      <c r="B670" t="s">
        <v>201</v>
      </c>
      <c r="C670">
        <v>2012</v>
      </c>
      <c r="D670" t="s">
        <v>1284</v>
      </c>
      <c r="E670" t="s">
        <v>30</v>
      </c>
      <c r="F670" t="s">
        <v>40</v>
      </c>
      <c r="G670" t="s">
        <v>81</v>
      </c>
      <c r="H670" t="s">
        <v>12</v>
      </c>
      <c r="I670" t="s">
        <v>26</v>
      </c>
      <c r="J670">
        <v>93501</v>
      </c>
      <c r="K670">
        <v>35.06</v>
      </c>
      <c r="L670">
        <v>-118.24</v>
      </c>
      <c r="M670" t="s">
        <v>1283</v>
      </c>
      <c r="N670">
        <v>20</v>
      </c>
      <c r="O670" t="s">
        <v>36</v>
      </c>
      <c r="P670">
        <v>100</v>
      </c>
      <c r="Q670">
        <v>306.60000000000002</v>
      </c>
      <c r="S670" s="18">
        <v>41058</v>
      </c>
      <c r="T670" s="18">
        <v>41333</v>
      </c>
    </row>
    <row r="671" spans="1:22" hidden="1" x14ac:dyDescent="0.25">
      <c r="A671" t="s">
        <v>43</v>
      </c>
      <c r="B671" t="s">
        <v>201</v>
      </c>
      <c r="C671">
        <v>2013</v>
      </c>
      <c r="D671" t="s">
        <v>1282</v>
      </c>
      <c r="E671" t="s">
        <v>30</v>
      </c>
      <c r="F671" t="s">
        <v>40</v>
      </c>
      <c r="G671" t="s">
        <v>81</v>
      </c>
      <c r="H671" t="s">
        <v>12</v>
      </c>
      <c r="I671" t="s">
        <v>26</v>
      </c>
      <c r="J671">
        <v>93501</v>
      </c>
      <c r="K671">
        <v>35.067999999999998</v>
      </c>
      <c r="L671">
        <v>-118.23906700000001</v>
      </c>
      <c r="M671" t="s">
        <v>1281</v>
      </c>
      <c r="N671">
        <v>20</v>
      </c>
      <c r="O671" t="s">
        <v>36</v>
      </c>
      <c r="P671">
        <v>80</v>
      </c>
      <c r="Q671">
        <v>245.28</v>
      </c>
      <c r="S671" s="18">
        <v>41058</v>
      </c>
      <c r="T671" s="18">
        <v>41333</v>
      </c>
    </row>
    <row r="672" spans="1:22" hidden="1" x14ac:dyDescent="0.25">
      <c r="A672" t="s">
        <v>43</v>
      </c>
      <c r="B672" t="s">
        <v>197</v>
      </c>
      <c r="C672">
        <v>2020</v>
      </c>
      <c r="D672" t="s">
        <v>1280</v>
      </c>
      <c r="E672" t="s">
        <v>130</v>
      </c>
      <c r="F672" t="s">
        <v>204</v>
      </c>
      <c r="G672" t="s">
        <v>1056</v>
      </c>
      <c r="H672" t="s">
        <v>181</v>
      </c>
      <c r="I672" t="s">
        <v>26</v>
      </c>
      <c r="J672">
        <v>93291</v>
      </c>
      <c r="K672">
        <v>36.343814000000002</v>
      </c>
      <c r="L672">
        <v>-119.371061</v>
      </c>
      <c r="M672" t="s">
        <v>1279</v>
      </c>
      <c r="N672">
        <v>10</v>
      </c>
      <c r="O672" t="s">
        <v>36</v>
      </c>
      <c r="P672">
        <v>3</v>
      </c>
      <c r="Q672">
        <v>8.1280000000000001</v>
      </c>
    </row>
    <row r="673" spans="1:21" hidden="1" x14ac:dyDescent="0.25">
      <c r="A673" t="s">
        <v>43</v>
      </c>
      <c r="B673" t="s">
        <v>197</v>
      </c>
      <c r="C673">
        <v>2013</v>
      </c>
      <c r="D673" t="s">
        <v>157</v>
      </c>
      <c r="E673" t="s">
        <v>143</v>
      </c>
      <c r="F673" t="s">
        <v>40</v>
      </c>
      <c r="G673" t="s">
        <v>159</v>
      </c>
      <c r="H673" t="s">
        <v>158</v>
      </c>
      <c r="I673" t="s">
        <v>26</v>
      </c>
      <c r="J673">
        <v>95461</v>
      </c>
      <c r="K673">
        <v>38.7849</v>
      </c>
      <c r="L673">
        <v>-122.713536</v>
      </c>
      <c r="M673" t="s">
        <v>157</v>
      </c>
      <c r="N673">
        <v>10</v>
      </c>
      <c r="O673" t="s">
        <v>36</v>
      </c>
      <c r="P673">
        <v>225</v>
      </c>
      <c r="Q673">
        <v>1971</v>
      </c>
      <c r="S673" s="18">
        <v>41939</v>
      </c>
      <c r="T673" s="18">
        <v>42089</v>
      </c>
    </row>
    <row r="674" spans="1:21" hidden="1" x14ac:dyDescent="0.25">
      <c r="A674" t="s">
        <v>43</v>
      </c>
      <c r="B674" t="s">
        <v>197</v>
      </c>
      <c r="C674">
        <v>2014</v>
      </c>
      <c r="D674" t="s">
        <v>157</v>
      </c>
      <c r="E674" t="s">
        <v>143</v>
      </c>
      <c r="F674" t="s">
        <v>40</v>
      </c>
      <c r="G674" t="s">
        <v>159</v>
      </c>
      <c r="H674" t="s">
        <v>158</v>
      </c>
      <c r="I674" t="s">
        <v>26</v>
      </c>
      <c r="J674">
        <v>95461</v>
      </c>
      <c r="K674">
        <v>38.7849</v>
      </c>
      <c r="L674">
        <v>-122.713536</v>
      </c>
      <c r="M674" t="s">
        <v>157</v>
      </c>
      <c r="N674">
        <v>10</v>
      </c>
      <c r="O674" t="s">
        <v>36</v>
      </c>
      <c r="P674">
        <v>50</v>
      </c>
      <c r="Q674">
        <v>438</v>
      </c>
      <c r="S674" s="18">
        <v>42284</v>
      </c>
      <c r="T674" s="18">
        <v>42517</v>
      </c>
      <c r="U674" s="18">
        <v>42464</v>
      </c>
    </row>
    <row r="675" spans="1:21" hidden="1" x14ac:dyDescent="0.25">
      <c r="A675" t="s">
        <v>43</v>
      </c>
      <c r="B675" t="s">
        <v>206</v>
      </c>
      <c r="C675">
        <v>2015</v>
      </c>
      <c r="D675" t="s">
        <v>1278</v>
      </c>
      <c r="E675" t="s">
        <v>130</v>
      </c>
      <c r="F675" t="s">
        <v>40</v>
      </c>
      <c r="G675" t="s">
        <v>1023</v>
      </c>
      <c r="H675" t="s">
        <v>146</v>
      </c>
      <c r="I675" t="s">
        <v>26</v>
      </c>
      <c r="J675">
        <v>93608</v>
      </c>
      <c r="K675">
        <v>36.584000000000003</v>
      </c>
      <c r="L675">
        <v>-120.3822</v>
      </c>
      <c r="M675" t="s">
        <v>1278</v>
      </c>
      <c r="N675">
        <v>20</v>
      </c>
      <c r="O675" t="s">
        <v>36</v>
      </c>
      <c r="P675">
        <v>20</v>
      </c>
      <c r="Q675">
        <v>55.93</v>
      </c>
      <c r="R675" t="s">
        <v>377</v>
      </c>
      <c r="S675" s="18">
        <v>42402</v>
      </c>
      <c r="T675" s="18">
        <v>42478</v>
      </c>
    </row>
    <row r="676" spans="1:21" hidden="1" x14ac:dyDescent="0.25">
      <c r="A676" t="s">
        <v>43</v>
      </c>
      <c r="B676" t="s">
        <v>197</v>
      </c>
      <c r="C676">
        <v>2014</v>
      </c>
      <c r="D676" t="s">
        <v>1277</v>
      </c>
      <c r="E676" t="s">
        <v>130</v>
      </c>
      <c r="F676" t="s">
        <v>40</v>
      </c>
      <c r="G676" t="s">
        <v>579</v>
      </c>
      <c r="H676" t="s">
        <v>578</v>
      </c>
      <c r="I676" t="s">
        <v>294</v>
      </c>
      <c r="J676">
        <v>89006</v>
      </c>
      <c r="K676">
        <v>34.839300000000001</v>
      </c>
      <c r="L676">
        <v>-118.38969899999999</v>
      </c>
      <c r="M676" t="s">
        <v>1277</v>
      </c>
      <c r="N676">
        <v>20</v>
      </c>
      <c r="O676" t="s">
        <v>36</v>
      </c>
      <c r="P676">
        <v>93.6</v>
      </c>
      <c r="Q676">
        <v>258</v>
      </c>
      <c r="S676" s="18">
        <v>41941</v>
      </c>
      <c r="T676" s="18">
        <v>42075</v>
      </c>
    </row>
    <row r="677" spans="1:21" hidden="1" x14ac:dyDescent="0.25">
      <c r="A677" t="s">
        <v>43</v>
      </c>
      <c r="B677" t="s">
        <v>197</v>
      </c>
      <c r="C677">
        <v>2013</v>
      </c>
      <c r="D677" t="s">
        <v>1276</v>
      </c>
      <c r="E677" t="s">
        <v>130</v>
      </c>
      <c r="F677" t="s">
        <v>40</v>
      </c>
      <c r="G677" t="s">
        <v>389</v>
      </c>
      <c r="H677" t="s">
        <v>305</v>
      </c>
      <c r="I677" t="s">
        <v>26</v>
      </c>
      <c r="J677">
        <v>92231</v>
      </c>
      <c r="K677">
        <v>32.668300000000002</v>
      </c>
      <c r="L677">
        <v>-115.63994099999999</v>
      </c>
      <c r="M677" t="s">
        <v>1275</v>
      </c>
      <c r="N677">
        <v>20</v>
      </c>
      <c r="O677" t="s">
        <v>36</v>
      </c>
      <c r="P677">
        <v>153.52000000000001</v>
      </c>
      <c r="Q677">
        <v>421.19819999999999</v>
      </c>
      <c r="S677" s="18">
        <v>41940</v>
      </c>
      <c r="T677" s="18">
        <v>42076</v>
      </c>
    </row>
    <row r="678" spans="1:21" hidden="1" x14ac:dyDescent="0.25">
      <c r="A678" t="s">
        <v>43</v>
      </c>
      <c r="B678" t="s">
        <v>197</v>
      </c>
      <c r="C678">
        <v>2014</v>
      </c>
      <c r="D678" t="s">
        <v>1274</v>
      </c>
      <c r="E678" t="s">
        <v>130</v>
      </c>
      <c r="F678" t="s">
        <v>40</v>
      </c>
      <c r="G678" t="s">
        <v>677</v>
      </c>
      <c r="H678" t="s">
        <v>382</v>
      </c>
      <c r="I678" t="s">
        <v>438</v>
      </c>
      <c r="J678">
        <v>85354</v>
      </c>
      <c r="K678">
        <v>33.333669999999998</v>
      </c>
      <c r="L678">
        <v>-112.920931</v>
      </c>
      <c r="M678" t="s">
        <v>1273</v>
      </c>
      <c r="N678">
        <v>20</v>
      </c>
      <c r="O678" t="s">
        <v>36</v>
      </c>
      <c r="P678">
        <v>100.815</v>
      </c>
      <c r="Q678">
        <v>301.7</v>
      </c>
      <c r="S678" s="18">
        <v>42216</v>
      </c>
      <c r="T678" s="18">
        <v>42313</v>
      </c>
    </row>
    <row r="679" spans="1:21" hidden="1" x14ac:dyDescent="0.25">
      <c r="A679" t="s">
        <v>43</v>
      </c>
      <c r="B679" t="s">
        <v>197</v>
      </c>
      <c r="C679">
        <v>2022</v>
      </c>
      <c r="D679" t="s">
        <v>1272</v>
      </c>
      <c r="E679" t="s">
        <v>130</v>
      </c>
      <c r="F679" t="s">
        <v>204</v>
      </c>
      <c r="G679" t="s">
        <v>1269</v>
      </c>
      <c r="H679" t="s">
        <v>12</v>
      </c>
      <c r="I679" t="s">
        <v>26</v>
      </c>
      <c r="J679">
        <v>93555</v>
      </c>
      <c r="K679">
        <v>35.648499999999999</v>
      </c>
      <c r="L679">
        <v>-117.807</v>
      </c>
      <c r="M679" t="s">
        <v>1272</v>
      </c>
      <c r="N679">
        <v>20</v>
      </c>
      <c r="O679" t="s">
        <v>36</v>
      </c>
      <c r="P679">
        <v>20</v>
      </c>
      <c r="Q679">
        <v>64.891419999999997</v>
      </c>
      <c r="S679" s="18">
        <v>44722</v>
      </c>
      <c r="T679" s="18">
        <v>44752</v>
      </c>
    </row>
    <row r="680" spans="1:21" hidden="1" x14ac:dyDescent="0.25">
      <c r="A680" t="s">
        <v>43</v>
      </c>
      <c r="B680" t="s">
        <v>197</v>
      </c>
      <c r="C680">
        <v>2005</v>
      </c>
      <c r="D680" t="s">
        <v>1271</v>
      </c>
      <c r="E680" t="s">
        <v>30</v>
      </c>
      <c r="F680" t="s">
        <v>40</v>
      </c>
      <c r="G680" t="s">
        <v>81</v>
      </c>
      <c r="H680" t="s">
        <v>12</v>
      </c>
      <c r="I680" t="s">
        <v>26</v>
      </c>
      <c r="J680">
        <v>93501</v>
      </c>
      <c r="K680">
        <v>35.001100000000001</v>
      </c>
      <c r="L680">
        <v>-118.252602</v>
      </c>
      <c r="M680" t="s">
        <v>1270</v>
      </c>
      <c r="N680">
        <v>25</v>
      </c>
      <c r="O680" t="s">
        <v>24</v>
      </c>
      <c r="P680">
        <v>102</v>
      </c>
      <c r="Q680">
        <v>321.67</v>
      </c>
      <c r="S680" s="18">
        <v>39269</v>
      </c>
      <c r="T680" s="18">
        <v>39583</v>
      </c>
    </row>
    <row r="681" spans="1:21" hidden="1" x14ac:dyDescent="0.25">
      <c r="A681" t="s">
        <v>43</v>
      </c>
      <c r="B681" t="s">
        <v>197</v>
      </c>
      <c r="C681">
        <v>2022</v>
      </c>
      <c r="D681" t="s">
        <v>1268</v>
      </c>
      <c r="E681" t="s">
        <v>130</v>
      </c>
      <c r="F681" t="s">
        <v>204</v>
      </c>
      <c r="G681" t="s">
        <v>1269</v>
      </c>
      <c r="H681" t="s">
        <v>12</v>
      </c>
      <c r="I681" t="s">
        <v>26</v>
      </c>
      <c r="J681">
        <v>93555</v>
      </c>
      <c r="K681">
        <v>35.648499999999999</v>
      </c>
      <c r="L681">
        <v>-117.807</v>
      </c>
      <c r="M681" t="s">
        <v>1268</v>
      </c>
      <c r="N681">
        <v>20</v>
      </c>
      <c r="O681" t="s">
        <v>36</v>
      </c>
      <c r="P681">
        <v>12</v>
      </c>
      <c r="Q681">
        <v>39.198475999999999</v>
      </c>
      <c r="S681" s="18">
        <v>44722</v>
      </c>
      <c r="T681" s="18">
        <v>44752</v>
      </c>
    </row>
    <row r="682" spans="1:21" hidden="1" x14ac:dyDescent="0.25">
      <c r="A682" t="s">
        <v>43</v>
      </c>
      <c r="B682" t="s">
        <v>197</v>
      </c>
      <c r="C682">
        <v>2023</v>
      </c>
      <c r="D682" t="s">
        <v>1266</v>
      </c>
      <c r="E682" t="s">
        <v>130</v>
      </c>
      <c r="F682" t="s">
        <v>204</v>
      </c>
      <c r="G682" t="s">
        <v>1267</v>
      </c>
      <c r="H682" t="s">
        <v>133</v>
      </c>
      <c r="I682" t="s">
        <v>26</v>
      </c>
      <c r="J682">
        <v>92342</v>
      </c>
      <c r="K682">
        <v>34.785547000000001</v>
      </c>
      <c r="L682">
        <v>-117.252582</v>
      </c>
      <c r="M682" t="s">
        <v>1266</v>
      </c>
      <c r="N682">
        <v>20</v>
      </c>
      <c r="O682" t="s">
        <v>36</v>
      </c>
      <c r="P682">
        <v>3</v>
      </c>
      <c r="Q682">
        <v>9.4499999999999993</v>
      </c>
      <c r="S682" s="18">
        <v>45091</v>
      </c>
      <c r="T682" s="18">
        <v>45169</v>
      </c>
    </row>
    <row r="683" spans="1:21" hidden="1" x14ac:dyDescent="0.25">
      <c r="A683" t="s">
        <v>43</v>
      </c>
      <c r="B683" t="s">
        <v>197</v>
      </c>
      <c r="C683">
        <v>2007</v>
      </c>
      <c r="D683" t="s">
        <v>1265</v>
      </c>
      <c r="E683" t="s">
        <v>130</v>
      </c>
      <c r="F683" t="s">
        <v>40</v>
      </c>
      <c r="G683" t="s">
        <v>495</v>
      </c>
      <c r="H683" t="s">
        <v>88</v>
      </c>
      <c r="I683" t="s">
        <v>26</v>
      </c>
      <c r="J683">
        <v>92225</v>
      </c>
      <c r="K683">
        <v>33.590899999999998</v>
      </c>
      <c r="L683">
        <v>-114.7458</v>
      </c>
      <c r="M683" t="s">
        <v>1265</v>
      </c>
      <c r="N683">
        <v>20</v>
      </c>
      <c r="O683" t="s">
        <v>24</v>
      </c>
      <c r="P683">
        <v>21</v>
      </c>
      <c r="Q683">
        <v>49.67</v>
      </c>
      <c r="S683" s="18">
        <v>39447</v>
      </c>
      <c r="T683" s="18">
        <v>39639</v>
      </c>
    </row>
    <row r="684" spans="1:21" x14ac:dyDescent="0.25">
      <c r="A684" t="s">
        <v>43</v>
      </c>
      <c r="B684" t="s">
        <v>161</v>
      </c>
      <c r="C684">
        <v>2009</v>
      </c>
      <c r="D684" t="s">
        <v>1264</v>
      </c>
      <c r="E684" t="s">
        <v>130</v>
      </c>
      <c r="F684" t="s">
        <v>40</v>
      </c>
      <c r="G684" t="s">
        <v>81</v>
      </c>
      <c r="H684" t="s">
        <v>12</v>
      </c>
      <c r="I684" t="s">
        <v>26</v>
      </c>
      <c r="J684">
        <v>93501</v>
      </c>
      <c r="K684">
        <v>35.008504000000002</v>
      </c>
      <c r="L684">
        <v>-118.164134</v>
      </c>
      <c r="M684" t="s">
        <v>1264</v>
      </c>
      <c r="N684">
        <v>20</v>
      </c>
      <c r="O684" t="s">
        <v>24</v>
      </c>
      <c r="P684">
        <v>5</v>
      </c>
      <c r="Q684">
        <v>11.4</v>
      </c>
      <c r="S684" s="18">
        <v>40266</v>
      </c>
      <c r="T684" s="18">
        <v>40444</v>
      </c>
    </row>
    <row r="685" spans="1:21" x14ac:dyDescent="0.25">
      <c r="A685" t="s">
        <v>43</v>
      </c>
      <c r="B685" t="s">
        <v>161</v>
      </c>
      <c r="C685">
        <v>2009</v>
      </c>
      <c r="D685" t="s">
        <v>1263</v>
      </c>
      <c r="E685" t="s">
        <v>130</v>
      </c>
      <c r="F685" t="s">
        <v>40</v>
      </c>
      <c r="G685" t="s">
        <v>347</v>
      </c>
      <c r="H685" t="s">
        <v>12</v>
      </c>
      <c r="I685" t="s">
        <v>26</v>
      </c>
      <c r="J685">
        <v>93560</v>
      </c>
      <c r="K685">
        <v>34.903084</v>
      </c>
      <c r="L685">
        <v>-118.246987</v>
      </c>
      <c r="M685" t="s">
        <v>1263</v>
      </c>
      <c r="N685">
        <v>20</v>
      </c>
      <c r="O685" t="s">
        <v>24</v>
      </c>
      <c r="P685">
        <v>20</v>
      </c>
      <c r="Q685">
        <v>47.3</v>
      </c>
      <c r="S685" s="18">
        <v>40266</v>
      </c>
      <c r="T685" s="18">
        <v>40444</v>
      </c>
    </row>
    <row r="686" spans="1:21" hidden="1" x14ac:dyDescent="0.25">
      <c r="A686" t="s">
        <v>43</v>
      </c>
      <c r="B686" t="s">
        <v>161</v>
      </c>
      <c r="C686">
        <v>2009</v>
      </c>
      <c r="D686" t="s">
        <v>1262</v>
      </c>
      <c r="E686" t="s">
        <v>130</v>
      </c>
      <c r="F686" t="s">
        <v>40</v>
      </c>
      <c r="G686" t="s">
        <v>1085</v>
      </c>
      <c r="H686" t="s">
        <v>133</v>
      </c>
      <c r="I686" t="s">
        <v>26</v>
      </c>
      <c r="J686">
        <v>92371</v>
      </c>
      <c r="K686">
        <v>34.536110999999998</v>
      </c>
      <c r="L686">
        <v>-117.47750000000001</v>
      </c>
      <c r="M686" t="s">
        <v>1262</v>
      </c>
      <c r="N686">
        <v>20</v>
      </c>
      <c r="O686" t="s">
        <v>24</v>
      </c>
      <c r="P686">
        <v>20</v>
      </c>
      <c r="Q686">
        <v>49.1</v>
      </c>
      <c r="S686" s="18">
        <v>40266</v>
      </c>
      <c r="T686" s="18">
        <v>40444</v>
      </c>
    </row>
    <row r="687" spans="1:21" hidden="1" x14ac:dyDescent="0.25">
      <c r="A687" t="s">
        <v>43</v>
      </c>
      <c r="B687" t="s">
        <v>161</v>
      </c>
      <c r="C687">
        <v>2009</v>
      </c>
      <c r="D687" t="s">
        <v>1261</v>
      </c>
      <c r="E687" t="s">
        <v>130</v>
      </c>
      <c r="F687" t="s">
        <v>40</v>
      </c>
      <c r="G687" t="s">
        <v>546</v>
      </c>
      <c r="H687" t="s">
        <v>259</v>
      </c>
      <c r="I687" t="s">
        <v>26</v>
      </c>
      <c r="J687">
        <v>93536</v>
      </c>
      <c r="K687">
        <v>34.707261000000003</v>
      </c>
      <c r="L687">
        <v>-118.30462199999999</v>
      </c>
      <c r="M687" t="s">
        <v>1260</v>
      </c>
      <c r="N687">
        <v>20</v>
      </c>
      <c r="O687" t="s">
        <v>24</v>
      </c>
      <c r="P687">
        <v>20</v>
      </c>
      <c r="Q687">
        <v>55.56</v>
      </c>
      <c r="S687" s="18">
        <v>40266</v>
      </c>
      <c r="T687" s="18">
        <v>40444</v>
      </c>
    </row>
    <row r="688" spans="1:21" hidden="1" x14ac:dyDescent="0.25">
      <c r="A688" t="s">
        <v>43</v>
      </c>
      <c r="B688" t="s">
        <v>540</v>
      </c>
      <c r="C688">
        <v>2010</v>
      </c>
      <c r="D688" t="s">
        <v>1259</v>
      </c>
      <c r="E688" t="s">
        <v>90</v>
      </c>
      <c r="F688" t="s">
        <v>40</v>
      </c>
      <c r="G688" t="s">
        <v>1239</v>
      </c>
      <c r="H688" t="s">
        <v>259</v>
      </c>
      <c r="I688" t="s">
        <v>26</v>
      </c>
      <c r="J688">
        <v>90631</v>
      </c>
      <c r="K688">
        <v>33.912999999999997</v>
      </c>
      <c r="L688">
        <v>-117.95193999999999</v>
      </c>
      <c r="M688" t="s">
        <v>1258</v>
      </c>
      <c r="N688">
        <v>20</v>
      </c>
      <c r="O688" t="s">
        <v>36</v>
      </c>
      <c r="P688">
        <v>1.1815</v>
      </c>
      <c r="Q688">
        <v>2.04</v>
      </c>
      <c r="S688" s="18">
        <v>40445</v>
      </c>
      <c r="T688" s="18">
        <v>40476</v>
      </c>
    </row>
    <row r="689" spans="1:20" hidden="1" x14ac:dyDescent="0.25">
      <c r="A689" t="s">
        <v>43</v>
      </c>
      <c r="B689" t="s">
        <v>540</v>
      </c>
      <c r="C689">
        <v>2010</v>
      </c>
      <c r="D689" t="s">
        <v>1257</v>
      </c>
      <c r="E689" t="s">
        <v>90</v>
      </c>
      <c r="F689" t="s">
        <v>40</v>
      </c>
      <c r="G689" t="s">
        <v>1239</v>
      </c>
      <c r="H689" t="s">
        <v>259</v>
      </c>
      <c r="I689" t="s">
        <v>26</v>
      </c>
      <c r="J689">
        <v>90631</v>
      </c>
      <c r="K689">
        <v>33.912100000000002</v>
      </c>
      <c r="L689">
        <v>-117.94762</v>
      </c>
      <c r="M689" t="s">
        <v>1256</v>
      </c>
      <c r="N689">
        <v>20</v>
      </c>
      <c r="O689" t="s">
        <v>36</v>
      </c>
      <c r="P689">
        <v>1.2599</v>
      </c>
      <c r="Q689">
        <v>2.19</v>
      </c>
      <c r="S689" s="18">
        <v>40445</v>
      </c>
      <c r="T689" s="18">
        <v>40476</v>
      </c>
    </row>
    <row r="690" spans="1:20" x14ac:dyDescent="0.25">
      <c r="A690" t="s">
        <v>43</v>
      </c>
      <c r="B690" t="s">
        <v>197</v>
      </c>
      <c r="C690">
        <v>2009</v>
      </c>
      <c r="D690" t="s">
        <v>1255</v>
      </c>
      <c r="E690" t="s">
        <v>130</v>
      </c>
      <c r="F690" t="s">
        <v>40</v>
      </c>
      <c r="G690" t="s">
        <v>347</v>
      </c>
      <c r="H690" t="s">
        <v>12</v>
      </c>
      <c r="I690" t="s">
        <v>26</v>
      </c>
      <c r="J690">
        <v>93560</v>
      </c>
      <c r="K690">
        <v>34.836500000000001</v>
      </c>
      <c r="L690">
        <v>-118.42753500000001</v>
      </c>
      <c r="M690" t="s">
        <v>1254</v>
      </c>
      <c r="N690">
        <v>20</v>
      </c>
      <c r="O690" t="s">
        <v>36</v>
      </c>
      <c r="P690">
        <v>310</v>
      </c>
      <c r="Q690">
        <v>829.81</v>
      </c>
      <c r="S690" s="18">
        <v>40632</v>
      </c>
      <c r="T690" s="18">
        <v>40920</v>
      </c>
    </row>
    <row r="691" spans="1:20" x14ac:dyDescent="0.25">
      <c r="A691" t="s">
        <v>43</v>
      </c>
      <c r="B691" t="s">
        <v>197</v>
      </c>
      <c r="C691">
        <v>2009</v>
      </c>
      <c r="D691" t="s">
        <v>1253</v>
      </c>
      <c r="E691" t="s">
        <v>130</v>
      </c>
      <c r="F691" t="s">
        <v>40</v>
      </c>
      <c r="G691" t="s">
        <v>347</v>
      </c>
      <c r="H691" t="s">
        <v>12</v>
      </c>
      <c r="I691" t="s">
        <v>26</v>
      </c>
      <c r="J691">
        <v>93560</v>
      </c>
      <c r="K691">
        <v>34.836500000000001</v>
      </c>
      <c r="L691">
        <v>-118.42753500000001</v>
      </c>
      <c r="M691" t="s">
        <v>1252</v>
      </c>
      <c r="N691">
        <v>20</v>
      </c>
      <c r="O691" t="s">
        <v>36</v>
      </c>
      <c r="P691">
        <v>276</v>
      </c>
      <c r="Q691">
        <v>829.81</v>
      </c>
      <c r="S691" s="18">
        <v>40632</v>
      </c>
      <c r="T691" s="18">
        <v>40920</v>
      </c>
    </row>
    <row r="692" spans="1:20" hidden="1" x14ac:dyDescent="0.25">
      <c r="A692" t="s">
        <v>43</v>
      </c>
      <c r="B692" t="s">
        <v>197</v>
      </c>
      <c r="C692">
        <v>2005</v>
      </c>
      <c r="D692" t="s">
        <v>1251</v>
      </c>
      <c r="E692" t="s">
        <v>30</v>
      </c>
      <c r="F692" t="s">
        <v>40</v>
      </c>
      <c r="G692" t="s">
        <v>81</v>
      </c>
      <c r="H692" t="s">
        <v>12</v>
      </c>
      <c r="I692" t="s">
        <v>26</v>
      </c>
      <c r="J692">
        <v>93501</v>
      </c>
      <c r="K692">
        <v>35.004100000000001</v>
      </c>
      <c r="L692">
        <v>-118.235625</v>
      </c>
      <c r="M692" t="s">
        <v>1250</v>
      </c>
      <c r="N692">
        <v>24</v>
      </c>
      <c r="O692" t="s">
        <v>24</v>
      </c>
      <c r="P692">
        <v>168</v>
      </c>
      <c r="Q692">
        <v>529.79999999999995</v>
      </c>
      <c r="S692" s="18">
        <v>39269</v>
      </c>
      <c r="T692" s="18">
        <v>39583</v>
      </c>
    </row>
    <row r="693" spans="1:20" x14ac:dyDescent="0.25">
      <c r="A693" t="s">
        <v>43</v>
      </c>
      <c r="B693" t="s">
        <v>161</v>
      </c>
      <c r="C693">
        <v>2010</v>
      </c>
      <c r="D693" t="s">
        <v>1249</v>
      </c>
      <c r="E693" t="s">
        <v>130</v>
      </c>
      <c r="F693" t="s">
        <v>40</v>
      </c>
      <c r="G693" t="s">
        <v>81</v>
      </c>
      <c r="H693" t="s">
        <v>12</v>
      </c>
      <c r="I693" t="s">
        <v>26</v>
      </c>
      <c r="J693">
        <v>93501</v>
      </c>
      <c r="K693">
        <v>35.024721999999997</v>
      </c>
      <c r="L693">
        <v>-118.16416700000001</v>
      </c>
      <c r="M693" t="s">
        <v>1249</v>
      </c>
      <c r="N693">
        <v>20</v>
      </c>
      <c r="O693" t="s">
        <v>36</v>
      </c>
      <c r="P693">
        <v>10</v>
      </c>
      <c r="Q693">
        <v>24.9</v>
      </c>
      <c r="S693" s="18">
        <v>40574</v>
      </c>
      <c r="T693" s="18">
        <v>40892</v>
      </c>
    </row>
    <row r="694" spans="1:20" hidden="1" x14ac:dyDescent="0.25">
      <c r="A694" t="s">
        <v>43</v>
      </c>
      <c r="B694" t="s">
        <v>206</v>
      </c>
      <c r="C694">
        <v>2013</v>
      </c>
      <c r="D694" t="s">
        <v>1248</v>
      </c>
      <c r="E694" t="s">
        <v>130</v>
      </c>
      <c r="F694" t="s">
        <v>40</v>
      </c>
      <c r="G694" t="s">
        <v>1090</v>
      </c>
      <c r="H694" t="s">
        <v>259</v>
      </c>
      <c r="I694" t="s">
        <v>26</v>
      </c>
      <c r="J694">
        <v>93552</v>
      </c>
      <c r="K694">
        <v>34.649000000000001</v>
      </c>
      <c r="L694">
        <v>-118.081</v>
      </c>
      <c r="M694" t="s">
        <v>1248</v>
      </c>
      <c r="N694">
        <v>20</v>
      </c>
      <c r="O694" t="s">
        <v>36</v>
      </c>
      <c r="P694">
        <v>20</v>
      </c>
      <c r="Q694">
        <v>63.41</v>
      </c>
      <c r="R694" t="s">
        <v>484</v>
      </c>
      <c r="S694" s="18">
        <v>41599</v>
      </c>
      <c r="T694" s="18">
        <v>41608</v>
      </c>
    </row>
    <row r="695" spans="1:20" hidden="1" x14ac:dyDescent="0.25">
      <c r="A695" t="s">
        <v>43</v>
      </c>
      <c r="B695" t="s">
        <v>540</v>
      </c>
      <c r="C695">
        <v>2013</v>
      </c>
      <c r="D695" t="s">
        <v>1247</v>
      </c>
      <c r="E695" t="s">
        <v>90</v>
      </c>
      <c r="F695" t="s">
        <v>40</v>
      </c>
      <c r="G695" t="s">
        <v>1239</v>
      </c>
      <c r="H695" t="s">
        <v>259</v>
      </c>
      <c r="I695" t="s">
        <v>26</v>
      </c>
      <c r="J695">
        <v>90670</v>
      </c>
      <c r="K695">
        <v>33.910899999999998</v>
      </c>
      <c r="L695">
        <v>-118.048841</v>
      </c>
      <c r="M695" t="s">
        <v>1241</v>
      </c>
      <c r="N695">
        <v>20</v>
      </c>
      <c r="O695" t="s">
        <v>36</v>
      </c>
      <c r="P695">
        <v>1.5</v>
      </c>
      <c r="Q695">
        <v>2.81</v>
      </c>
      <c r="S695" s="18">
        <v>41716</v>
      </c>
      <c r="T695" s="18">
        <v>41771</v>
      </c>
    </row>
    <row r="696" spans="1:20" hidden="1" x14ac:dyDescent="0.25">
      <c r="A696" t="s">
        <v>43</v>
      </c>
      <c r="B696" t="s">
        <v>540</v>
      </c>
      <c r="C696">
        <v>2013</v>
      </c>
      <c r="D696" t="s">
        <v>1246</v>
      </c>
      <c r="E696" t="s">
        <v>90</v>
      </c>
      <c r="F696" t="s">
        <v>40</v>
      </c>
      <c r="G696" t="s">
        <v>1239</v>
      </c>
      <c r="H696" t="s">
        <v>259</v>
      </c>
      <c r="I696" t="s">
        <v>26</v>
      </c>
      <c r="J696">
        <v>90670</v>
      </c>
      <c r="K696">
        <v>33.910800000000002</v>
      </c>
      <c r="L696">
        <v>-118.04435700000001</v>
      </c>
      <c r="M696" t="s">
        <v>1241</v>
      </c>
      <c r="N696">
        <v>20</v>
      </c>
      <c r="O696" t="s">
        <v>36</v>
      </c>
      <c r="P696">
        <v>1.75</v>
      </c>
      <c r="Q696">
        <v>3.38</v>
      </c>
      <c r="S696" s="18">
        <v>41716</v>
      </c>
      <c r="T696" s="18">
        <v>41771</v>
      </c>
    </row>
    <row r="697" spans="1:20" hidden="1" x14ac:dyDescent="0.25">
      <c r="A697" t="s">
        <v>43</v>
      </c>
      <c r="B697" t="s">
        <v>540</v>
      </c>
      <c r="C697">
        <v>2015</v>
      </c>
      <c r="D697" t="s">
        <v>1245</v>
      </c>
      <c r="E697" t="s">
        <v>90</v>
      </c>
      <c r="F697" t="s">
        <v>40</v>
      </c>
      <c r="G697" t="s">
        <v>1239</v>
      </c>
      <c r="H697" t="s">
        <v>259</v>
      </c>
      <c r="I697" t="s">
        <v>26</v>
      </c>
      <c r="J697">
        <v>90670</v>
      </c>
      <c r="K697">
        <v>33.914000000000001</v>
      </c>
      <c r="L697">
        <v>-118.048</v>
      </c>
      <c r="M697" t="s">
        <v>1244</v>
      </c>
      <c r="N697">
        <v>20</v>
      </c>
      <c r="O697" t="s">
        <v>36</v>
      </c>
      <c r="P697">
        <v>1.325</v>
      </c>
      <c r="Q697">
        <v>2.78</v>
      </c>
      <c r="S697" s="18">
        <v>42075</v>
      </c>
    </row>
    <row r="698" spans="1:20" hidden="1" x14ac:dyDescent="0.25">
      <c r="A698" t="s">
        <v>43</v>
      </c>
      <c r="B698" t="s">
        <v>540</v>
      </c>
      <c r="C698">
        <v>2015</v>
      </c>
      <c r="D698" t="s">
        <v>1243</v>
      </c>
      <c r="E698" t="s">
        <v>90</v>
      </c>
      <c r="F698" t="s">
        <v>40</v>
      </c>
      <c r="G698" t="s">
        <v>1239</v>
      </c>
      <c r="H698" t="s">
        <v>259</v>
      </c>
      <c r="I698" t="s">
        <v>26</v>
      </c>
      <c r="J698">
        <v>90670</v>
      </c>
      <c r="K698">
        <v>33.911999999999999</v>
      </c>
      <c r="L698">
        <v>-118.048</v>
      </c>
      <c r="M698" t="s">
        <v>1241</v>
      </c>
      <c r="N698">
        <v>20</v>
      </c>
      <c r="O698" t="s">
        <v>36</v>
      </c>
      <c r="P698">
        <v>1.248</v>
      </c>
      <c r="Q698">
        <v>2.59</v>
      </c>
      <c r="S698" s="18">
        <v>42075</v>
      </c>
    </row>
    <row r="699" spans="1:20" hidden="1" x14ac:dyDescent="0.25">
      <c r="A699" t="s">
        <v>43</v>
      </c>
      <c r="B699" t="s">
        <v>540</v>
      </c>
      <c r="C699">
        <v>2015</v>
      </c>
      <c r="D699" t="s">
        <v>1242</v>
      </c>
      <c r="E699" t="s">
        <v>90</v>
      </c>
      <c r="F699" t="s">
        <v>40</v>
      </c>
      <c r="G699" t="s">
        <v>1239</v>
      </c>
      <c r="H699" t="s">
        <v>259</v>
      </c>
      <c r="I699" t="s">
        <v>26</v>
      </c>
      <c r="J699">
        <v>90670</v>
      </c>
      <c r="K699">
        <v>33.911999999999999</v>
      </c>
      <c r="L699">
        <v>-118.041</v>
      </c>
      <c r="M699" t="s">
        <v>1241</v>
      </c>
      <c r="N699">
        <v>20</v>
      </c>
      <c r="O699" t="s">
        <v>36</v>
      </c>
      <c r="P699">
        <v>1</v>
      </c>
      <c r="Q699">
        <v>1.84</v>
      </c>
      <c r="S699" s="18">
        <v>42075</v>
      </c>
    </row>
    <row r="700" spans="1:20" hidden="1" x14ac:dyDescent="0.25">
      <c r="A700" t="s">
        <v>43</v>
      </c>
      <c r="B700" t="s">
        <v>540</v>
      </c>
      <c r="C700">
        <v>2015</v>
      </c>
      <c r="D700" t="s">
        <v>1240</v>
      </c>
      <c r="E700" t="s">
        <v>90</v>
      </c>
      <c r="F700" t="s">
        <v>40</v>
      </c>
      <c r="G700" t="s">
        <v>1239</v>
      </c>
      <c r="H700" t="s">
        <v>259</v>
      </c>
      <c r="I700" t="s">
        <v>26</v>
      </c>
      <c r="J700">
        <v>90670</v>
      </c>
      <c r="K700">
        <v>33.890999999999998</v>
      </c>
      <c r="L700">
        <v>-118.036</v>
      </c>
      <c r="M700" t="s">
        <v>1238</v>
      </c>
      <c r="N700">
        <v>20</v>
      </c>
      <c r="O700" t="s">
        <v>36</v>
      </c>
      <c r="P700">
        <v>2</v>
      </c>
      <c r="Q700">
        <v>4.3899999999999997</v>
      </c>
      <c r="S700" s="18">
        <v>42075</v>
      </c>
    </row>
    <row r="701" spans="1:20" hidden="1" x14ac:dyDescent="0.25">
      <c r="A701" t="s">
        <v>43</v>
      </c>
      <c r="B701" t="s">
        <v>540</v>
      </c>
      <c r="C701">
        <v>2015</v>
      </c>
      <c r="D701" t="s">
        <v>1237</v>
      </c>
      <c r="E701" t="s">
        <v>90</v>
      </c>
      <c r="F701" t="s">
        <v>40</v>
      </c>
      <c r="G701" t="s">
        <v>1236</v>
      </c>
      <c r="H701" t="s">
        <v>88</v>
      </c>
      <c r="I701" t="s">
        <v>26</v>
      </c>
      <c r="J701">
        <v>91760</v>
      </c>
      <c r="K701">
        <v>34.029000000000003</v>
      </c>
      <c r="L701">
        <v>-117.51600000000001</v>
      </c>
      <c r="M701" t="s">
        <v>1235</v>
      </c>
      <c r="N701">
        <v>20</v>
      </c>
      <c r="O701" t="s">
        <v>36</v>
      </c>
      <c r="P701">
        <v>2</v>
      </c>
      <c r="Q701">
        <v>3.82</v>
      </c>
      <c r="S701" s="18">
        <v>42075</v>
      </c>
    </row>
    <row r="702" spans="1:20" hidden="1" x14ac:dyDescent="0.25">
      <c r="A702" t="s">
        <v>43</v>
      </c>
      <c r="B702" t="s">
        <v>197</v>
      </c>
      <c r="C702">
        <v>2005</v>
      </c>
      <c r="D702" t="s">
        <v>1234</v>
      </c>
      <c r="E702" t="s">
        <v>30</v>
      </c>
      <c r="F702" t="s">
        <v>40</v>
      </c>
      <c r="G702" t="s">
        <v>81</v>
      </c>
      <c r="H702" t="s">
        <v>12</v>
      </c>
      <c r="I702" t="s">
        <v>26</v>
      </c>
      <c r="J702">
        <v>93561</v>
      </c>
      <c r="K702">
        <v>35.035400000000003</v>
      </c>
      <c r="L702">
        <v>-118.373704</v>
      </c>
      <c r="M702" t="s">
        <v>1233</v>
      </c>
      <c r="N702">
        <v>25</v>
      </c>
      <c r="O702" t="s">
        <v>24</v>
      </c>
      <c r="P702">
        <v>150</v>
      </c>
      <c r="Q702">
        <v>473.04</v>
      </c>
      <c r="S702" s="18">
        <v>39269</v>
      </c>
      <c r="T702" s="18">
        <v>39583</v>
      </c>
    </row>
    <row r="703" spans="1:20" hidden="1" x14ac:dyDescent="0.25">
      <c r="A703" t="s">
        <v>43</v>
      </c>
      <c r="B703" t="s">
        <v>232</v>
      </c>
      <c r="C703">
        <v>2011</v>
      </c>
      <c r="D703" t="s">
        <v>1232</v>
      </c>
      <c r="E703" t="s">
        <v>47</v>
      </c>
      <c r="F703" t="s">
        <v>40</v>
      </c>
      <c r="G703" t="s">
        <v>237</v>
      </c>
      <c r="H703" t="s">
        <v>1224</v>
      </c>
      <c r="I703" t="s">
        <v>26</v>
      </c>
      <c r="J703">
        <v>93514</v>
      </c>
      <c r="K703">
        <v>37.360300000000002</v>
      </c>
      <c r="L703">
        <v>-118.7011</v>
      </c>
      <c r="M703" t="s">
        <v>1232</v>
      </c>
      <c r="N703">
        <v>20</v>
      </c>
      <c r="O703" t="s">
        <v>36</v>
      </c>
      <c r="P703">
        <v>0.25</v>
      </c>
      <c r="Q703">
        <v>1.56</v>
      </c>
    </row>
    <row r="704" spans="1:20" hidden="1" x14ac:dyDescent="0.25">
      <c r="A704" t="s">
        <v>43</v>
      </c>
      <c r="B704" t="s">
        <v>232</v>
      </c>
      <c r="C704">
        <v>2011</v>
      </c>
      <c r="D704" t="s">
        <v>1231</v>
      </c>
      <c r="E704" t="s">
        <v>47</v>
      </c>
      <c r="F704" t="s">
        <v>40</v>
      </c>
      <c r="G704" t="s">
        <v>1230</v>
      </c>
      <c r="H704" t="s">
        <v>12</v>
      </c>
      <c r="I704" t="s">
        <v>26</v>
      </c>
      <c r="J704">
        <v>93240</v>
      </c>
      <c r="K704">
        <v>35.644199999999998</v>
      </c>
      <c r="L704">
        <v>-118.481675</v>
      </c>
      <c r="M704" t="s">
        <v>1229</v>
      </c>
      <c r="N704">
        <v>20</v>
      </c>
      <c r="O704" t="s">
        <v>36</v>
      </c>
      <c r="P704">
        <v>0.86</v>
      </c>
      <c r="Q704">
        <v>3.2</v>
      </c>
    </row>
    <row r="705" spans="1:20" hidden="1" x14ac:dyDescent="0.25">
      <c r="A705" t="s">
        <v>43</v>
      </c>
      <c r="B705" t="s">
        <v>232</v>
      </c>
      <c r="C705">
        <v>2012</v>
      </c>
      <c r="D705" t="s">
        <v>1228</v>
      </c>
      <c r="E705" t="s">
        <v>47</v>
      </c>
      <c r="F705" t="s">
        <v>40</v>
      </c>
      <c r="G705" t="s">
        <v>1227</v>
      </c>
      <c r="H705" t="s">
        <v>133</v>
      </c>
      <c r="I705" t="s">
        <v>26</v>
      </c>
      <c r="J705">
        <v>91763</v>
      </c>
      <c r="K705">
        <v>34.092100000000002</v>
      </c>
      <c r="L705">
        <v>-117.684775</v>
      </c>
      <c r="M705" t="s">
        <v>1226</v>
      </c>
      <c r="N705">
        <v>20</v>
      </c>
      <c r="O705" t="s">
        <v>36</v>
      </c>
      <c r="P705">
        <v>0.86499999999999999</v>
      </c>
      <c r="Q705">
        <v>1.4</v>
      </c>
    </row>
    <row r="706" spans="1:20" hidden="1" x14ac:dyDescent="0.25">
      <c r="A706" t="s">
        <v>43</v>
      </c>
      <c r="B706" t="s">
        <v>232</v>
      </c>
      <c r="C706">
        <v>2011</v>
      </c>
      <c r="D706" t="s">
        <v>1225</v>
      </c>
      <c r="E706" t="s">
        <v>47</v>
      </c>
      <c r="F706" t="s">
        <v>40</v>
      </c>
      <c r="G706" t="s">
        <v>237</v>
      </c>
      <c r="H706" t="s">
        <v>1224</v>
      </c>
      <c r="I706" t="s">
        <v>26</v>
      </c>
      <c r="J706">
        <v>93514</v>
      </c>
      <c r="K706">
        <v>37.365499999999997</v>
      </c>
      <c r="L706">
        <v>-118.225668</v>
      </c>
      <c r="M706" t="s">
        <v>1223</v>
      </c>
      <c r="N706">
        <v>20</v>
      </c>
      <c r="O706" t="s">
        <v>36</v>
      </c>
      <c r="P706">
        <v>0.28999999999999998</v>
      </c>
      <c r="Q706">
        <v>0.85</v>
      </c>
    </row>
    <row r="707" spans="1:20" hidden="1" x14ac:dyDescent="0.25">
      <c r="A707" t="s">
        <v>43</v>
      </c>
      <c r="B707" t="s">
        <v>540</v>
      </c>
      <c r="C707">
        <v>2010</v>
      </c>
      <c r="D707" t="s">
        <v>1222</v>
      </c>
      <c r="E707" t="s">
        <v>130</v>
      </c>
      <c r="F707" t="s">
        <v>40</v>
      </c>
      <c r="G707" t="s">
        <v>1090</v>
      </c>
      <c r="H707" t="s">
        <v>259</v>
      </c>
      <c r="I707" t="s">
        <v>26</v>
      </c>
      <c r="J707">
        <v>92338</v>
      </c>
      <c r="K707">
        <v>34.618099999999998</v>
      </c>
      <c r="L707">
        <v>-116.0775</v>
      </c>
      <c r="M707" t="s">
        <v>1222</v>
      </c>
      <c r="N707">
        <v>20</v>
      </c>
      <c r="O707" t="s">
        <v>36</v>
      </c>
      <c r="P707">
        <v>2</v>
      </c>
      <c r="Q707">
        <v>4.96</v>
      </c>
      <c r="S707" s="18">
        <v>40445</v>
      </c>
      <c r="T707" s="18">
        <v>40476</v>
      </c>
    </row>
    <row r="708" spans="1:20" hidden="1" x14ac:dyDescent="0.25">
      <c r="A708" t="s">
        <v>43</v>
      </c>
      <c r="B708" t="s">
        <v>540</v>
      </c>
      <c r="C708">
        <v>2010</v>
      </c>
      <c r="D708" t="s">
        <v>1220</v>
      </c>
      <c r="E708" t="s">
        <v>130</v>
      </c>
      <c r="F708" t="s">
        <v>40</v>
      </c>
      <c r="G708" t="s">
        <v>1221</v>
      </c>
      <c r="H708" t="s">
        <v>133</v>
      </c>
      <c r="I708" t="s">
        <v>26</v>
      </c>
      <c r="J708">
        <v>92277</v>
      </c>
      <c r="K708">
        <v>34.172199999999997</v>
      </c>
      <c r="L708">
        <v>-115.8475</v>
      </c>
      <c r="M708" t="s">
        <v>1220</v>
      </c>
      <c r="N708">
        <v>20</v>
      </c>
      <c r="O708" t="s">
        <v>36</v>
      </c>
      <c r="P708">
        <v>2</v>
      </c>
      <c r="Q708">
        <v>4.58</v>
      </c>
      <c r="S708" s="18">
        <v>40445</v>
      </c>
      <c r="T708" s="18">
        <v>40476</v>
      </c>
    </row>
    <row r="709" spans="1:20" hidden="1" x14ac:dyDescent="0.25">
      <c r="A709" t="s">
        <v>43</v>
      </c>
      <c r="B709" t="s">
        <v>206</v>
      </c>
      <c r="C709">
        <v>2015</v>
      </c>
      <c r="D709" t="s">
        <v>1219</v>
      </c>
      <c r="E709" t="s">
        <v>130</v>
      </c>
      <c r="F709" t="s">
        <v>40</v>
      </c>
      <c r="G709" t="s">
        <v>792</v>
      </c>
      <c r="H709" t="s">
        <v>133</v>
      </c>
      <c r="I709" t="s">
        <v>26</v>
      </c>
      <c r="J709">
        <v>92327</v>
      </c>
      <c r="K709">
        <v>34.8673</v>
      </c>
      <c r="L709">
        <v>-116.825249</v>
      </c>
      <c r="M709" t="s">
        <v>1218</v>
      </c>
      <c r="N709">
        <v>20</v>
      </c>
      <c r="O709" t="s">
        <v>36</v>
      </c>
      <c r="P709">
        <v>13.8</v>
      </c>
      <c r="Q709">
        <v>41</v>
      </c>
      <c r="R709" t="s">
        <v>377</v>
      </c>
      <c r="S709" s="18">
        <v>42402</v>
      </c>
      <c r="T709" s="18">
        <v>42465</v>
      </c>
    </row>
    <row r="710" spans="1:20" hidden="1" x14ac:dyDescent="0.25">
      <c r="A710" t="s">
        <v>43</v>
      </c>
      <c r="B710" t="s">
        <v>232</v>
      </c>
      <c r="C710">
        <v>2011</v>
      </c>
      <c r="D710" t="s">
        <v>1216</v>
      </c>
      <c r="E710" t="s">
        <v>90</v>
      </c>
      <c r="F710" t="s">
        <v>40</v>
      </c>
      <c r="G710" t="s">
        <v>1217</v>
      </c>
      <c r="H710" t="s">
        <v>234</v>
      </c>
      <c r="I710" t="s">
        <v>26</v>
      </c>
      <c r="J710">
        <v>93030</v>
      </c>
      <c r="K710">
        <v>34.199300000000001</v>
      </c>
      <c r="L710">
        <v>-119.160783</v>
      </c>
      <c r="M710" t="s">
        <v>1216</v>
      </c>
      <c r="N710">
        <v>20</v>
      </c>
      <c r="O710" t="s">
        <v>36</v>
      </c>
      <c r="P710">
        <v>0.75</v>
      </c>
      <c r="Q710">
        <v>1.31</v>
      </c>
    </row>
    <row r="711" spans="1:20" hidden="1" x14ac:dyDescent="0.25">
      <c r="A711" t="s">
        <v>43</v>
      </c>
      <c r="B711" t="s">
        <v>232</v>
      </c>
      <c r="C711">
        <v>2011</v>
      </c>
      <c r="D711" t="s">
        <v>1215</v>
      </c>
      <c r="E711" t="s">
        <v>130</v>
      </c>
      <c r="F711" t="s">
        <v>40</v>
      </c>
      <c r="G711" t="s">
        <v>1214</v>
      </c>
      <c r="H711" t="s">
        <v>133</v>
      </c>
      <c r="I711" t="s">
        <v>26</v>
      </c>
      <c r="J711">
        <v>92365</v>
      </c>
      <c r="K711">
        <v>34.826500000000003</v>
      </c>
      <c r="L711">
        <v>-116.68064099999999</v>
      </c>
      <c r="M711" t="s">
        <v>1213</v>
      </c>
      <c r="N711">
        <v>20</v>
      </c>
      <c r="O711" t="s">
        <v>36</v>
      </c>
      <c r="P711">
        <v>1.492</v>
      </c>
      <c r="Q711">
        <v>3.38</v>
      </c>
    </row>
    <row r="712" spans="1:20" hidden="1" x14ac:dyDescent="0.25">
      <c r="A712" t="s">
        <v>43</v>
      </c>
      <c r="B712" t="s">
        <v>232</v>
      </c>
      <c r="C712">
        <v>2011</v>
      </c>
      <c r="D712" t="s">
        <v>1212</v>
      </c>
      <c r="E712" t="s">
        <v>130</v>
      </c>
      <c r="F712" t="s">
        <v>40</v>
      </c>
      <c r="G712" t="s">
        <v>1090</v>
      </c>
      <c r="H712" t="s">
        <v>259</v>
      </c>
      <c r="I712" t="s">
        <v>26</v>
      </c>
      <c r="J712">
        <v>93550</v>
      </c>
      <c r="K712">
        <v>34.654200000000003</v>
      </c>
      <c r="L712">
        <v>-117.97327300000001</v>
      </c>
      <c r="M712" t="s">
        <v>1212</v>
      </c>
      <c r="N712">
        <v>20</v>
      </c>
      <c r="O712" t="s">
        <v>36</v>
      </c>
      <c r="P712">
        <v>1.5</v>
      </c>
      <c r="Q712">
        <v>3.2</v>
      </c>
    </row>
    <row r="713" spans="1:20" hidden="1" x14ac:dyDescent="0.25">
      <c r="A713" t="s">
        <v>43</v>
      </c>
      <c r="B713" t="s">
        <v>232</v>
      </c>
      <c r="C713">
        <v>2011</v>
      </c>
      <c r="D713" t="s">
        <v>1211</v>
      </c>
      <c r="E713" t="s">
        <v>130</v>
      </c>
      <c r="F713" t="s">
        <v>40</v>
      </c>
      <c r="G713" t="s">
        <v>1090</v>
      </c>
      <c r="H713" t="s">
        <v>259</v>
      </c>
      <c r="I713" t="s">
        <v>26</v>
      </c>
      <c r="J713">
        <v>93550</v>
      </c>
      <c r="K713">
        <v>34.654200000000003</v>
      </c>
      <c r="L713">
        <v>-117.971299</v>
      </c>
      <c r="M713" t="s">
        <v>1211</v>
      </c>
      <c r="N713">
        <v>20</v>
      </c>
      <c r="O713" t="s">
        <v>36</v>
      </c>
      <c r="P713">
        <v>1.5</v>
      </c>
      <c r="Q713">
        <v>3.2</v>
      </c>
    </row>
    <row r="714" spans="1:20" hidden="1" x14ac:dyDescent="0.25">
      <c r="A714" t="s">
        <v>43</v>
      </c>
      <c r="B714" t="s">
        <v>232</v>
      </c>
      <c r="C714">
        <v>2011</v>
      </c>
      <c r="D714" t="s">
        <v>1210</v>
      </c>
      <c r="E714" t="s">
        <v>130</v>
      </c>
      <c r="F714" t="s">
        <v>40</v>
      </c>
      <c r="G714" t="s">
        <v>546</v>
      </c>
      <c r="H714" t="s">
        <v>259</v>
      </c>
      <c r="I714" t="s">
        <v>26</v>
      </c>
      <c r="J714">
        <v>93536</v>
      </c>
      <c r="K714">
        <v>34.6646</v>
      </c>
      <c r="L714">
        <v>-118.28679099999999</v>
      </c>
      <c r="M714" t="s">
        <v>1210</v>
      </c>
      <c r="N714">
        <v>20</v>
      </c>
      <c r="O714" t="s">
        <v>36</v>
      </c>
      <c r="P714">
        <v>1.5</v>
      </c>
      <c r="Q714">
        <v>3.86</v>
      </c>
    </row>
    <row r="715" spans="1:20" hidden="1" x14ac:dyDescent="0.25">
      <c r="A715" t="s">
        <v>43</v>
      </c>
      <c r="B715" t="s">
        <v>232</v>
      </c>
      <c r="C715">
        <v>2011</v>
      </c>
      <c r="D715" t="s">
        <v>1209</v>
      </c>
      <c r="E715" t="s">
        <v>130</v>
      </c>
      <c r="F715" t="s">
        <v>40</v>
      </c>
      <c r="G715" t="s">
        <v>546</v>
      </c>
      <c r="H715" t="s">
        <v>259</v>
      </c>
      <c r="I715" t="s">
        <v>26</v>
      </c>
      <c r="J715">
        <v>93536</v>
      </c>
      <c r="K715">
        <v>34.6663</v>
      </c>
      <c r="L715">
        <v>-118.28814300000001</v>
      </c>
      <c r="M715" t="s">
        <v>1209</v>
      </c>
      <c r="N715">
        <v>20</v>
      </c>
      <c r="O715" t="s">
        <v>36</v>
      </c>
      <c r="P715">
        <v>1.5</v>
      </c>
      <c r="Q715">
        <v>3.86</v>
      </c>
    </row>
    <row r="716" spans="1:20" hidden="1" x14ac:dyDescent="0.25">
      <c r="A716" t="s">
        <v>43</v>
      </c>
      <c r="B716" t="s">
        <v>232</v>
      </c>
      <c r="C716">
        <v>2012</v>
      </c>
      <c r="D716" t="s">
        <v>1208</v>
      </c>
      <c r="E716" t="s">
        <v>130</v>
      </c>
      <c r="F716" t="s">
        <v>40</v>
      </c>
      <c r="G716" t="s">
        <v>1205</v>
      </c>
      <c r="H716" t="s">
        <v>181</v>
      </c>
      <c r="I716" t="s">
        <v>26</v>
      </c>
      <c r="J716">
        <v>93221</v>
      </c>
      <c r="K716">
        <v>33.650799999999997</v>
      </c>
      <c r="L716">
        <v>-117.829622</v>
      </c>
      <c r="M716" t="s">
        <v>1193</v>
      </c>
      <c r="N716">
        <v>20</v>
      </c>
      <c r="O716" t="s">
        <v>36</v>
      </c>
      <c r="P716">
        <v>1</v>
      </c>
      <c r="Q716">
        <v>2.02</v>
      </c>
    </row>
    <row r="717" spans="1:20" hidden="1" x14ac:dyDescent="0.25">
      <c r="A717" t="s">
        <v>43</v>
      </c>
      <c r="B717" t="s">
        <v>232</v>
      </c>
      <c r="C717">
        <v>2012</v>
      </c>
      <c r="D717" t="s">
        <v>1207</v>
      </c>
      <c r="E717" t="s">
        <v>130</v>
      </c>
      <c r="F717" t="s">
        <v>40</v>
      </c>
      <c r="G717" t="s">
        <v>1205</v>
      </c>
      <c r="H717" t="s">
        <v>181</v>
      </c>
      <c r="I717" t="s">
        <v>26</v>
      </c>
      <c r="J717">
        <v>93221</v>
      </c>
      <c r="K717">
        <v>33.650799999999997</v>
      </c>
      <c r="L717">
        <v>-117.829622</v>
      </c>
      <c r="M717" t="s">
        <v>1193</v>
      </c>
      <c r="N717">
        <v>20</v>
      </c>
      <c r="O717" t="s">
        <v>36</v>
      </c>
      <c r="P717">
        <v>1</v>
      </c>
      <c r="Q717">
        <v>2.02</v>
      </c>
    </row>
    <row r="718" spans="1:20" hidden="1" x14ac:dyDescent="0.25">
      <c r="A718" t="s">
        <v>43</v>
      </c>
      <c r="B718" t="s">
        <v>232</v>
      </c>
      <c r="C718">
        <v>2012</v>
      </c>
      <c r="D718" t="s">
        <v>1206</v>
      </c>
      <c r="E718" t="s">
        <v>130</v>
      </c>
      <c r="F718" t="s">
        <v>40</v>
      </c>
      <c r="G718" t="s">
        <v>1205</v>
      </c>
      <c r="H718" t="s">
        <v>181</v>
      </c>
      <c r="I718" t="s">
        <v>26</v>
      </c>
      <c r="J718">
        <v>93221</v>
      </c>
      <c r="K718">
        <v>33.650799999999997</v>
      </c>
      <c r="L718">
        <v>-117.829622</v>
      </c>
      <c r="M718" t="s">
        <v>1193</v>
      </c>
      <c r="N718">
        <v>20</v>
      </c>
      <c r="O718" t="s">
        <v>36</v>
      </c>
      <c r="P718">
        <v>1.5</v>
      </c>
      <c r="Q718">
        <v>3.02</v>
      </c>
    </row>
    <row r="719" spans="1:20" hidden="1" x14ac:dyDescent="0.25">
      <c r="A719" t="s">
        <v>43</v>
      </c>
      <c r="B719" t="s">
        <v>232</v>
      </c>
      <c r="C719">
        <v>2012</v>
      </c>
      <c r="D719" t="s">
        <v>1204</v>
      </c>
      <c r="E719" t="s">
        <v>130</v>
      </c>
      <c r="F719" t="s">
        <v>40</v>
      </c>
      <c r="G719" t="s">
        <v>1201</v>
      </c>
      <c r="H719" t="s">
        <v>181</v>
      </c>
      <c r="I719" t="s">
        <v>26</v>
      </c>
      <c r="J719">
        <v>93247</v>
      </c>
      <c r="K719">
        <v>36.17</v>
      </c>
      <c r="L719">
        <v>-119.054393</v>
      </c>
      <c r="M719" t="s">
        <v>1193</v>
      </c>
      <c r="N719">
        <v>20</v>
      </c>
      <c r="O719" t="s">
        <v>36</v>
      </c>
      <c r="P719">
        <v>1.5</v>
      </c>
      <c r="Q719">
        <v>3.02</v>
      </c>
    </row>
    <row r="720" spans="1:20" hidden="1" x14ac:dyDescent="0.25">
      <c r="A720" t="s">
        <v>43</v>
      </c>
      <c r="B720" t="s">
        <v>232</v>
      </c>
      <c r="C720">
        <v>2012</v>
      </c>
      <c r="D720" t="s">
        <v>1203</v>
      </c>
      <c r="E720" t="s">
        <v>130</v>
      </c>
      <c r="F720" t="s">
        <v>40</v>
      </c>
      <c r="G720" t="s">
        <v>1201</v>
      </c>
      <c r="H720" t="s">
        <v>181</v>
      </c>
      <c r="I720" t="s">
        <v>26</v>
      </c>
      <c r="J720">
        <v>93247</v>
      </c>
      <c r="K720">
        <v>36.17</v>
      </c>
      <c r="L720">
        <v>-119.054393</v>
      </c>
      <c r="M720" t="s">
        <v>1193</v>
      </c>
      <c r="N720">
        <v>20</v>
      </c>
      <c r="O720" t="s">
        <v>36</v>
      </c>
      <c r="P720">
        <v>1.5</v>
      </c>
      <c r="Q720">
        <v>3.02</v>
      </c>
    </row>
    <row r="721" spans="1:20" hidden="1" x14ac:dyDescent="0.25">
      <c r="A721" t="s">
        <v>43</v>
      </c>
      <c r="B721" t="s">
        <v>232</v>
      </c>
      <c r="C721">
        <v>2012</v>
      </c>
      <c r="D721" t="s">
        <v>1202</v>
      </c>
      <c r="E721" t="s">
        <v>130</v>
      </c>
      <c r="F721" t="s">
        <v>40</v>
      </c>
      <c r="G721" t="s">
        <v>1201</v>
      </c>
      <c r="H721" t="s">
        <v>181</v>
      </c>
      <c r="I721" t="s">
        <v>26</v>
      </c>
      <c r="J721">
        <v>93247</v>
      </c>
      <c r="K721">
        <v>36.17</v>
      </c>
      <c r="L721">
        <v>-119.054393</v>
      </c>
      <c r="M721" t="s">
        <v>1193</v>
      </c>
      <c r="N721">
        <v>20</v>
      </c>
      <c r="O721" t="s">
        <v>36</v>
      </c>
      <c r="P721">
        <v>1</v>
      </c>
      <c r="Q721">
        <v>2.02</v>
      </c>
    </row>
    <row r="722" spans="1:20" hidden="1" x14ac:dyDescent="0.25">
      <c r="A722" t="s">
        <v>43</v>
      </c>
      <c r="B722" t="s">
        <v>232</v>
      </c>
      <c r="C722">
        <v>2012</v>
      </c>
      <c r="D722" t="s">
        <v>1200</v>
      </c>
      <c r="E722" t="s">
        <v>130</v>
      </c>
      <c r="F722" t="s">
        <v>40</v>
      </c>
      <c r="G722" t="s">
        <v>1056</v>
      </c>
      <c r="H722" t="s">
        <v>181</v>
      </c>
      <c r="I722" t="s">
        <v>26</v>
      </c>
      <c r="J722">
        <v>93292</v>
      </c>
      <c r="K722">
        <v>36.385399999999997</v>
      </c>
      <c r="L722">
        <v>-119.250005</v>
      </c>
      <c r="M722" t="s">
        <v>1193</v>
      </c>
      <c r="N722">
        <v>20</v>
      </c>
      <c r="O722" t="s">
        <v>36</v>
      </c>
      <c r="P722">
        <v>1.5</v>
      </c>
      <c r="Q722">
        <v>3.02</v>
      </c>
    </row>
    <row r="723" spans="1:20" hidden="1" x14ac:dyDescent="0.25">
      <c r="A723" t="s">
        <v>43</v>
      </c>
      <c r="B723" t="s">
        <v>232</v>
      </c>
      <c r="C723">
        <v>2012</v>
      </c>
      <c r="D723" t="s">
        <v>1199</v>
      </c>
      <c r="E723" t="s">
        <v>130</v>
      </c>
      <c r="F723" t="s">
        <v>40</v>
      </c>
      <c r="G723" t="s">
        <v>1056</v>
      </c>
      <c r="H723" t="s">
        <v>181</v>
      </c>
      <c r="I723" t="s">
        <v>26</v>
      </c>
      <c r="J723">
        <v>93292</v>
      </c>
      <c r="K723">
        <v>36.385399999999997</v>
      </c>
      <c r="L723">
        <v>-119.250005</v>
      </c>
      <c r="M723" t="s">
        <v>1193</v>
      </c>
      <c r="N723">
        <v>20</v>
      </c>
      <c r="O723" t="s">
        <v>36</v>
      </c>
      <c r="P723">
        <v>0.5</v>
      </c>
      <c r="Q723">
        <v>1.01</v>
      </c>
    </row>
    <row r="724" spans="1:20" hidden="1" x14ac:dyDescent="0.25">
      <c r="A724" t="s">
        <v>43</v>
      </c>
      <c r="B724" t="s">
        <v>232</v>
      </c>
      <c r="C724">
        <v>2012</v>
      </c>
      <c r="D724" t="s">
        <v>1198</v>
      </c>
      <c r="E724" t="s">
        <v>130</v>
      </c>
      <c r="F724" t="s">
        <v>40</v>
      </c>
      <c r="G724" t="s">
        <v>1056</v>
      </c>
      <c r="H724" t="s">
        <v>181</v>
      </c>
      <c r="I724" t="s">
        <v>26</v>
      </c>
      <c r="J724">
        <v>93292</v>
      </c>
      <c r="K724">
        <v>34.552500000000002</v>
      </c>
      <c r="L724">
        <v>-117.41758299999999</v>
      </c>
      <c r="M724" t="s">
        <v>1193</v>
      </c>
      <c r="N724">
        <v>20</v>
      </c>
      <c r="O724" t="s">
        <v>36</v>
      </c>
      <c r="P724">
        <v>1.5</v>
      </c>
      <c r="Q724">
        <v>3.02</v>
      </c>
    </row>
    <row r="725" spans="1:20" hidden="1" x14ac:dyDescent="0.25">
      <c r="A725" t="s">
        <v>43</v>
      </c>
      <c r="B725" t="s">
        <v>111</v>
      </c>
      <c r="C725">
        <v>2022</v>
      </c>
      <c r="D725" t="s">
        <v>109</v>
      </c>
      <c r="E725" t="s">
        <v>109</v>
      </c>
      <c r="F725" t="s">
        <v>40</v>
      </c>
      <c r="G725" t="s">
        <v>109</v>
      </c>
      <c r="H725" t="s">
        <v>109</v>
      </c>
      <c r="I725" t="s">
        <v>26</v>
      </c>
      <c r="J725" t="s">
        <v>110</v>
      </c>
      <c r="K725" t="s">
        <v>109</v>
      </c>
      <c r="L725" t="s">
        <v>109</v>
      </c>
      <c r="M725" t="s">
        <v>1197</v>
      </c>
      <c r="N725">
        <v>2</v>
      </c>
      <c r="O725" t="s">
        <v>36</v>
      </c>
      <c r="Q725">
        <v>35</v>
      </c>
    </row>
    <row r="726" spans="1:20" hidden="1" x14ac:dyDescent="0.25">
      <c r="A726" t="s">
        <v>43</v>
      </c>
      <c r="B726" t="s">
        <v>232</v>
      </c>
      <c r="C726">
        <v>2012</v>
      </c>
      <c r="D726" t="s">
        <v>1196</v>
      </c>
      <c r="E726" t="s">
        <v>130</v>
      </c>
      <c r="F726" t="s">
        <v>40</v>
      </c>
      <c r="G726" t="s">
        <v>1147</v>
      </c>
      <c r="H726" t="s">
        <v>181</v>
      </c>
      <c r="I726" t="s">
        <v>26</v>
      </c>
      <c r="J726">
        <v>93257</v>
      </c>
      <c r="K726">
        <v>34.826500000000003</v>
      </c>
      <c r="L726">
        <v>-116.68064099999999</v>
      </c>
      <c r="M726" t="s">
        <v>1193</v>
      </c>
      <c r="N726">
        <v>20</v>
      </c>
      <c r="O726" t="s">
        <v>36</v>
      </c>
      <c r="P726">
        <v>1</v>
      </c>
      <c r="Q726">
        <v>2.02</v>
      </c>
    </row>
    <row r="727" spans="1:20" hidden="1" x14ac:dyDescent="0.25">
      <c r="A727" t="s">
        <v>43</v>
      </c>
      <c r="B727" t="s">
        <v>232</v>
      </c>
      <c r="C727">
        <v>2012</v>
      </c>
      <c r="D727" t="s">
        <v>1195</v>
      </c>
      <c r="E727" t="s">
        <v>130</v>
      </c>
      <c r="F727" t="s">
        <v>40</v>
      </c>
      <c r="G727" t="s">
        <v>1147</v>
      </c>
      <c r="H727" t="s">
        <v>181</v>
      </c>
      <c r="I727" t="s">
        <v>26</v>
      </c>
      <c r="J727">
        <v>93257</v>
      </c>
      <c r="K727">
        <v>36.330199999999998</v>
      </c>
      <c r="L727">
        <v>-119.26960699999999</v>
      </c>
      <c r="M727" t="s">
        <v>1193</v>
      </c>
      <c r="N727">
        <v>20</v>
      </c>
      <c r="O727" t="s">
        <v>36</v>
      </c>
      <c r="P727">
        <v>1</v>
      </c>
      <c r="Q727">
        <v>2.02</v>
      </c>
    </row>
    <row r="728" spans="1:20" hidden="1" x14ac:dyDescent="0.25">
      <c r="A728" t="s">
        <v>43</v>
      </c>
      <c r="B728" t="s">
        <v>232</v>
      </c>
      <c r="C728">
        <v>2012</v>
      </c>
      <c r="D728" t="s">
        <v>1194</v>
      </c>
      <c r="E728" t="s">
        <v>130</v>
      </c>
      <c r="F728" t="s">
        <v>40</v>
      </c>
      <c r="G728" t="s">
        <v>1147</v>
      </c>
      <c r="H728" t="s">
        <v>181</v>
      </c>
      <c r="I728" t="s">
        <v>26</v>
      </c>
      <c r="J728">
        <v>93257</v>
      </c>
      <c r="K728">
        <v>36.330199999999998</v>
      </c>
      <c r="L728">
        <v>-119.26960699999999</v>
      </c>
      <c r="M728" t="s">
        <v>1193</v>
      </c>
      <c r="N728">
        <v>20</v>
      </c>
      <c r="O728" t="s">
        <v>36</v>
      </c>
      <c r="P728">
        <v>1.5</v>
      </c>
      <c r="Q728">
        <v>3.02</v>
      </c>
    </row>
    <row r="729" spans="1:20" hidden="1" x14ac:dyDescent="0.25">
      <c r="A729" t="s">
        <v>43</v>
      </c>
      <c r="B729" t="s">
        <v>232</v>
      </c>
      <c r="C729">
        <v>2013</v>
      </c>
      <c r="D729" t="s">
        <v>1192</v>
      </c>
      <c r="E729" t="s">
        <v>130</v>
      </c>
      <c r="F729" t="s">
        <v>40</v>
      </c>
      <c r="G729" t="s">
        <v>1191</v>
      </c>
      <c r="H729" t="s">
        <v>88</v>
      </c>
      <c r="I729" t="s">
        <v>26</v>
      </c>
      <c r="J729">
        <v>92596</v>
      </c>
      <c r="K729">
        <v>33.7121</v>
      </c>
      <c r="L729">
        <v>-117.07299999999999</v>
      </c>
      <c r="M729" t="s">
        <v>1190</v>
      </c>
      <c r="N729">
        <v>20</v>
      </c>
      <c r="O729" t="s">
        <v>36</v>
      </c>
      <c r="P729">
        <v>1.25</v>
      </c>
      <c r="Q729">
        <v>2.69</v>
      </c>
      <c r="S729" s="18">
        <v>41359</v>
      </c>
      <c r="T729" s="18">
        <v>41452</v>
      </c>
    </row>
    <row r="730" spans="1:20" hidden="1" x14ac:dyDescent="0.25">
      <c r="A730" t="s">
        <v>43</v>
      </c>
      <c r="B730" t="s">
        <v>232</v>
      </c>
      <c r="C730">
        <v>2012</v>
      </c>
      <c r="D730" t="s">
        <v>1188</v>
      </c>
      <c r="E730" t="s">
        <v>130</v>
      </c>
      <c r="F730" t="s">
        <v>40</v>
      </c>
      <c r="G730" t="s">
        <v>1189</v>
      </c>
      <c r="H730" t="s">
        <v>181</v>
      </c>
      <c r="I730" t="s">
        <v>26</v>
      </c>
      <c r="J730">
        <v>93271</v>
      </c>
      <c r="K730">
        <v>36.418799999999997</v>
      </c>
      <c r="L730">
        <v>-118.9213</v>
      </c>
      <c r="M730" t="s">
        <v>1188</v>
      </c>
      <c r="N730">
        <v>20</v>
      </c>
      <c r="O730" t="s">
        <v>36</v>
      </c>
      <c r="P730">
        <v>0.28320000000000001</v>
      </c>
      <c r="Q730">
        <v>0.68</v>
      </c>
      <c r="S730" s="18">
        <v>41359</v>
      </c>
      <c r="T730" s="18">
        <v>41452</v>
      </c>
    </row>
    <row r="731" spans="1:20" hidden="1" x14ac:dyDescent="0.25">
      <c r="A731" t="s">
        <v>43</v>
      </c>
      <c r="B731" t="s">
        <v>232</v>
      </c>
      <c r="C731">
        <v>2013</v>
      </c>
      <c r="D731" t="s">
        <v>1187</v>
      </c>
      <c r="E731" t="s">
        <v>130</v>
      </c>
      <c r="F731" t="s">
        <v>40</v>
      </c>
      <c r="G731" t="s">
        <v>1085</v>
      </c>
      <c r="H731" t="s">
        <v>133</v>
      </c>
      <c r="I731" t="s">
        <v>26</v>
      </c>
      <c r="J731">
        <v>92301</v>
      </c>
      <c r="K731">
        <v>34.549300000000002</v>
      </c>
      <c r="L731">
        <v>-117.46550000000001</v>
      </c>
      <c r="M731" t="s">
        <v>1186</v>
      </c>
      <c r="N731">
        <v>20</v>
      </c>
      <c r="O731" t="s">
        <v>36</v>
      </c>
      <c r="P731">
        <v>1.5</v>
      </c>
      <c r="Q731">
        <v>3.6</v>
      </c>
      <c r="S731" s="18">
        <v>41359</v>
      </c>
      <c r="T731" s="18">
        <v>41452</v>
      </c>
    </row>
    <row r="732" spans="1:20" hidden="1" x14ac:dyDescent="0.25">
      <c r="A732" t="s">
        <v>43</v>
      </c>
      <c r="B732" t="s">
        <v>232</v>
      </c>
      <c r="C732">
        <v>2013</v>
      </c>
      <c r="D732" t="s">
        <v>1185</v>
      </c>
      <c r="E732" t="s">
        <v>130</v>
      </c>
      <c r="F732" t="s">
        <v>40</v>
      </c>
      <c r="G732" t="s">
        <v>1085</v>
      </c>
      <c r="H732" t="s">
        <v>133</v>
      </c>
      <c r="I732" t="s">
        <v>26</v>
      </c>
      <c r="J732">
        <v>92301</v>
      </c>
      <c r="K732">
        <v>34.547800000000002</v>
      </c>
      <c r="L732">
        <v>-117.4654</v>
      </c>
      <c r="M732" t="s">
        <v>1184</v>
      </c>
      <c r="N732">
        <v>20</v>
      </c>
      <c r="O732" t="s">
        <v>36</v>
      </c>
      <c r="P732">
        <v>1.5</v>
      </c>
      <c r="Q732">
        <v>3.6</v>
      </c>
      <c r="S732" s="18">
        <v>41359</v>
      </c>
      <c r="T732" s="18">
        <v>41452</v>
      </c>
    </row>
    <row r="733" spans="1:20" x14ac:dyDescent="0.25">
      <c r="A733" t="s">
        <v>43</v>
      </c>
      <c r="B733" t="s">
        <v>206</v>
      </c>
      <c r="C733">
        <v>2014</v>
      </c>
      <c r="D733" t="s">
        <v>1183</v>
      </c>
      <c r="E733" t="s">
        <v>130</v>
      </c>
      <c r="F733" t="s">
        <v>40</v>
      </c>
      <c r="G733" t="s">
        <v>498</v>
      </c>
      <c r="H733" t="s">
        <v>12</v>
      </c>
      <c r="I733" t="s">
        <v>26</v>
      </c>
      <c r="J733">
        <v>93268</v>
      </c>
      <c r="K733">
        <v>35.129550209999998</v>
      </c>
      <c r="L733">
        <v>-119.2489049</v>
      </c>
      <c r="M733" t="s">
        <v>1183</v>
      </c>
      <c r="N733">
        <v>20</v>
      </c>
      <c r="O733" t="s">
        <v>36</v>
      </c>
      <c r="P733">
        <v>10</v>
      </c>
      <c r="Q733">
        <v>25.9735072</v>
      </c>
      <c r="R733" t="s">
        <v>785</v>
      </c>
      <c r="S733" s="18">
        <v>41949</v>
      </c>
      <c r="T733" s="18">
        <v>42025</v>
      </c>
    </row>
    <row r="734" spans="1:20" hidden="1" x14ac:dyDescent="0.25">
      <c r="A734" t="s">
        <v>43</v>
      </c>
      <c r="B734" t="s">
        <v>206</v>
      </c>
      <c r="C734">
        <v>2014</v>
      </c>
      <c r="D734" t="s">
        <v>1182</v>
      </c>
      <c r="E734" t="s">
        <v>130</v>
      </c>
      <c r="F734" t="s">
        <v>40</v>
      </c>
      <c r="G734" t="s">
        <v>1181</v>
      </c>
      <c r="H734" t="s">
        <v>129</v>
      </c>
      <c r="I734" t="s">
        <v>26</v>
      </c>
      <c r="J734">
        <v>91934</v>
      </c>
      <c r="K734">
        <v>32.6235</v>
      </c>
      <c r="L734">
        <v>-116.125798</v>
      </c>
      <c r="M734" t="s">
        <v>1180</v>
      </c>
      <c r="N734">
        <v>20</v>
      </c>
      <c r="O734" t="s">
        <v>36</v>
      </c>
      <c r="P734">
        <v>20</v>
      </c>
      <c r="Q734">
        <v>51.01</v>
      </c>
      <c r="R734" t="s">
        <v>785</v>
      </c>
      <c r="S734" s="18">
        <v>41949</v>
      </c>
      <c r="T734" s="18">
        <v>42025</v>
      </c>
    </row>
    <row r="735" spans="1:20" hidden="1" x14ac:dyDescent="0.25">
      <c r="A735" t="s">
        <v>43</v>
      </c>
      <c r="B735" t="s">
        <v>197</v>
      </c>
      <c r="C735">
        <v>2015</v>
      </c>
      <c r="D735" t="s">
        <v>1179</v>
      </c>
      <c r="E735" t="s">
        <v>30</v>
      </c>
      <c r="F735" t="s">
        <v>40</v>
      </c>
      <c r="G735" t="s">
        <v>1175</v>
      </c>
      <c r="H735" t="s">
        <v>1178</v>
      </c>
      <c r="I735" t="s">
        <v>988</v>
      </c>
      <c r="J735">
        <v>88120</v>
      </c>
      <c r="K735">
        <v>34.762999999999998</v>
      </c>
      <c r="L735">
        <v>-103.18077</v>
      </c>
      <c r="M735" t="s">
        <v>1177</v>
      </c>
      <c r="N735">
        <v>20</v>
      </c>
      <c r="O735" t="s">
        <v>36</v>
      </c>
      <c r="P735">
        <v>142.6</v>
      </c>
      <c r="Q735">
        <v>602.1</v>
      </c>
    </row>
    <row r="736" spans="1:20" hidden="1" x14ac:dyDescent="0.25">
      <c r="A736" t="s">
        <v>43</v>
      </c>
      <c r="B736" t="s">
        <v>197</v>
      </c>
      <c r="C736">
        <v>2015</v>
      </c>
      <c r="D736" t="s">
        <v>1176</v>
      </c>
      <c r="E736" t="s">
        <v>30</v>
      </c>
      <c r="F736" t="s">
        <v>40</v>
      </c>
      <c r="G736" t="s">
        <v>1175</v>
      </c>
      <c r="H736" t="s">
        <v>1174</v>
      </c>
      <c r="I736" t="s">
        <v>1173</v>
      </c>
      <c r="J736">
        <v>88120</v>
      </c>
      <c r="K736">
        <v>34.75</v>
      </c>
      <c r="L736">
        <v>-103.09645999999999</v>
      </c>
      <c r="M736" t="s">
        <v>1172</v>
      </c>
      <c r="N736">
        <v>20</v>
      </c>
      <c r="O736" t="s">
        <v>36</v>
      </c>
      <c r="P736">
        <v>181.7</v>
      </c>
      <c r="Q736">
        <v>767.2</v>
      </c>
    </row>
    <row r="737" spans="1:21" hidden="1" x14ac:dyDescent="0.25">
      <c r="A737" t="s">
        <v>43</v>
      </c>
      <c r="B737" t="s">
        <v>111</v>
      </c>
      <c r="C737">
        <v>2022</v>
      </c>
      <c r="D737" t="s">
        <v>109</v>
      </c>
      <c r="E737" t="s">
        <v>41</v>
      </c>
      <c r="F737" t="s">
        <v>40</v>
      </c>
      <c r="G737" t="s">
        <v>109</v>
      </c>
      <c r="H737" t="s">
        <v>109</v>
      </c>
      <c r="I737" t="s">
        <v>26</v>
      </c>
      <c r="J737" t="s">
        <v>110</v>
      </c>
      <c r="K737" t="s">
        <v>109</v>
      </c>
      <c r="L737" t="s">
        <v>109</v>
      </c>
      <c r="M737" t="s">
        <v>444</v>
      </c>
      <c r="N737">
        <v>2</v>
      </c>
      <c r="O737" t="s">
        <v>36</v>
      </c>
      <c r="Q737">
        <v>148.52199999999999</v>
      </c>
    </row>
    <row r="738" spans="1:21" hidden="1" x14ac:dyDescent="0.25">
      <c r="A738" t="s">
        <v>43</v>
      </c>
      <c r="B738" t="s">
        <v>232</v>
      </c>
      <c r="C738">
        <v>2013</v>
      </c>
      <c r="D738" t="s">
        <v>1171</v>
      </c>
      <c r="E738" t="s">
        <v>339</v>
      </c>
      <c r="F738" t="s">
        <v>40</v>
      </c>
      <c r="G738" t="s">
        <v>270</v>
      </c>
      <c r="H738" t="s">
        <v>270</v>
      </c>
      <c r="I738" t="s">
        <v>26</v>
      </c>
      <c r="J738">
        <v>93105</v>
      </c>
      <c r="K738">
        <v>34.458100000000002</v>
      </c>
      <c r="L738">
        <v>-119.7247</v>
      </c>
      <c r="M738" t="s">
        <v>1170</v>
      </c>
      <c r="N738">
        <v>20</v>
      </c>
      <c r="O738" t="s">
        <v>36</v>
      </c>
      <c r="P738">
        <v>0.75</v>
      </c>
      <c r="Q738">
        <v>1.87</v>
      </c>
    </row>
    <row r="739" spans="1:21" hidden="1" x14ac:dyDescent="0.25">
      <c r="A739" t="s">
        <v>43</v>
      </c>
      <c r="B739" t="s">
        <v>263</v>
      </c>
      <c r="C739">
        <v>2021</v>
      </c>
      <c r="D739" t="s">
        <v>1168</v>
      </c>
      <c r="E739" t="s">
        <v>130</v>
      </c>
      <c r="F739" t="s">
        <v>40</v>
      </c>
      <c r="G739" t="s">
        <v>1169</v>
      </c>
      <c r="H739" t="s">
        <v>133</v>
      </c>
      <c r="I739" t="s">
        <v>26</v>
      </c>
      <c r="J739">
        <v>93592</v>
      </c>
      <c r="K739">
        <v>35.804577999999999</v>
      </c>
      <c r="L739">
        <v>-117.351415</v>
      </c>
      <c r="M739" t="s">
        <v>1168</v>
      </c>
      <c r="N739">
        <v>20</v>
      </c>
      <c r="O739" t="s">
        <v>36</v>
      </c>
      <c r="P739">
        <v>2</v>
      </c>
      <c r="Q739">
        <v>5.0579999999999998</v>
      </c>
    </row>
    <row r="740" spans="1:21" hidden="1" x14ac:dyDescent="0.25">
      <c r="A740" t="s">
        <v>43</v>
      </c>
      <c r="B740" t="s">
        <v>197</v>
      </c>
      <c r="C740">
        <v>2009</v>
      </c>
      <c r="D740" t="s">
        <v>1167</v>
      </c>
      <c r="E740" t="s">
        <v>130</v>
      </c>
      <c r="F740" t="s">
        <v>40</v>
      </c>
      <c r="G740" t="s">
        <v>534</v>
      </c>
      <c r="H740" t="s">
        <v>533</v>
      </c>
      <c r="I740" t="s">
        <v>26</v>
      </c>
      <c r="J740">
        <v>93230</v>
      </c>
      <c r="K740">
        <v>36.146700000000003</v>
      </c>
      <c r="L740">
        <v>-119.5864</v>
      </c>
      <c r="M740" t="s">
        <v>1167</v>
      </c>
      <c r="N740">
        <v>20</v>
      </c>
      <c r="O740" t="s">
        <v>36</v>
      </c>
      <c r="P740">
        <v>19.75</v>
      </c>
      <c r="Q740">
        <v>39.619999999999997</v>
      </c>
      <c r="S740" s="18">
        <v>40674</v>
      </c>
      <c r="T740" s="18">
        <v>41081</v>
      </c>
    </row>
    <row r="741" spans="1:21" hidden="1" x14ac:dyDescent="0.25">
      <c r="A741" t="s">
        <v>43</v>
      </c>
      <c r="B741" t="s">
        <v>197</v>
      </c>
      <c r="C741">
        <v>2009</v>
      </c>
      <c r="D741" t="s">
        <v>1166</v>
      </c>
      <c r="E741" t="s">
        <v>130</v>
      </c>
      <c r="F741" t="s">
        <v>40</v>
      </c>
      <c r="G741" t="s">
        <v>711</v>
      </c>
      <c r="H741" t="s">
        <v>153</v>
      </c>
      <c r="I741" t="s">
        <v>26</v>
      </c>
      <c r="J741">
        <v>95322</v>
      </c>
      <c r="K741">
        <v>37.130099999999999</v>
      </c>
      <c r="L741">
        <v>-121.052266</v>
      </c>
      <c r="M741" t="s">
        <v>1165</v>
      </c>
      <c r="N741">
        <v>20</v>
      </c>
      <c r="O741" t="s">
        <v>36</v>
      </c>
      <c r="P741">
        <v>108</v>
      </c>
      <c r="Q741">
        <v>275</v>
      </c>
      <c r="S741" s="18">
        <v>40632</v>
      </c>
      <c r="T741" s="18">
        <v>40920</v>
      </c>
    </row>
    <row r="742" spans="1:21" hidden="1" x14ac:dyDescent="0.25">
      <c r="A742" t="s">
        <v>43</v>
      </c>
      <c r="B742" t="s">
        <v>161</v>
      </c>
      <c r="C742">
        <v>2010</v>
      </c>
      <c r="D742" t="s">
        <v>1164</v>
      </c>
      <c r="E742" t="s">
        <v>130</v>
      </c>
      <c r="F742" t="s">
        <v>40</v>
      </c>
      <c r="G742" t="s">
        <v>1161</v>
      </c>
      <c r="H742" t="s">
        <v>181</v>
      </c>
      <c r="I742" t="s">
        <v>26</v>
      </c>
      <c r="J742">
        <v>93215</v>
      </c>
      <c r="K742">
        <v>35.834000000000003</v>
      </c>
      <c r="L742">
        <v>-119.053</v>
      </c>
      <c r="M742" t="s">
        <v>1163</v>
      </c>
      <c r="N742">
        <v>20</v>
      </c>
      <c r="O742" t="s">
        <v>36</v>
      </c>
      <c r="P742">
        <v>20</v>
      </c>
      <c r="Q742">
        <v>51.87</v>
      </c>
      <c r="S742" s="18">
        <v>40574</v>
      </c>
      <c r="T742" s="18">
        <v>40892</v>
      </c>
      <c r="U742" s="18">
        <v>41831</v>
      </c>
    </row>
    <row r="743" spans="1:21" hidden="1" x14ac:dyDescent="0.25">
      <c r="A743" t="s">
        <v>43</v>
      </c>
      <c r="B743" t="s">
        <v>161</v>
      </c>
      <c r="C743">
        <v>2010</v>
      </c>
      <c r="D743" t="s">
        <v>1162</v>
      </c>
      <c r="E743" t="s">
        <v>130</v>
      </c>
      <c r="F743" t="s">
        <v>40</v>
      </c>
      <c r="G743" t="s">
        <v>1161</v>
      </c>
      <c r="H743" t="s">
        <v>181</v>
      </c>
      <c r="I743" t="s">
        <v>26</v>
      </c>
      <c r="J743">
        <v>93215</v>
      </c>
      <c r="K743">
        <v>35.834000000000003</v>
      </c>
      <c r="L743">
        <v>-119.053</v>
      </c>
      <c r="M743" t="s">
        <v>1160</v>
      </c>
      <c r="N743">
        <v>20</v>
      </c>
      <c r="O743" t="s">
        <v>36</v>
      </c>
      <c r="P743">
        <v>14</v>
      </c>
      <c r="Q743">
        <v>36.31</v>
      </c>
      <c r="S743" s="18">
        <v>40574</v>
      </c>
      <c r="T743" s="18">
        <v>40892</v>
      </c>
      <c r="U743" s="18">
        <v>41831</v>
      </c>
    </row>
    <row r="744" spans="1:21" hidden="1" x14ac:dyDescent="0.25">
      <c r="A744" t="s">
        <v>43</v>
      </c>
      <c r="B744" t="s">
        <v>263</v>
      </c>
      <c r="C744">
        <v>2015</v>
      </c>
      <c r="D744" t="s">
        <v>1159</v>
      </c>
      <c r="E744" t="s">
        <v>130</v>
      </c>
      <c r="F744" t="s">
        <v>40</v>
      </c>
      <c r="G744" t="s">
        <v>1090</v>
      </c>
      <c r="H744" t="s">
        <v>259</v>
      </c>
      <c r="I744" t="s">
        <v>26</v>
      </c>
      <c r="J744">
        <v>93591</v>
      </c>
      <c r="K744">
        <v>34.365499999999997</v>
      </c>
      <c r="L744">
        <v>-117.934043</v>
      </c>
      <c r="M744" t="s">
        <v>1159</v>
      </c>
      <c r="N744">
        <v>20</v>
      </c>
      <c r="O744" t="s">
        <v>36</v>
      </c>
      <c r="P744">
        <v>2</v>
      </c>
      <c r="Q744">
        <v>6.2519999999999998</v>
      </c>
    </row>
    <row r="745" spans="1:21" hidden="1" x14ac:dyDescent="0.25">
      <c r="A745" t="s">
        <v>43</v>
      </c>
      <c r="B745" t="s">
        <v>232</v>
      </c>
      <c r="C745">
        <v>2012</v>
      </c>
      <c r="D745" t="s">
        <v>1158</v>
      </c>
      <c r="E745" t="s">
        <v>130</v>
      </c>
      <c r="F745" t="s">
        <v>40</v>
      </c>
      <c r="G745" t="s">
        <v>181</v>
      </c>
      <c r="H745" t="s">
        <v>181</v>
      </c>
      <c r="I745" t="s">
        <v>26</v>
      </c>
      <c r="J745">
        <v>93274</v>
      </c>
      <c r="K745">
        <v>36.203499999999998</v>
      </c>
      <c r="L745">
        <v>-119.41825900000001</v>
      </c>
      <c r="M745" t="s">
        <v>1156</v>
      </c>
      <c r="N745">
        <v>20</v>
      </c>
      <c r="O745" t="s">
        <v>36</v>
      </c>
      <c r="P745">
        <v>1.5</v>
      </c>
      <c r="Q745">
        <v>3.02</v>
      </c>
    </row>
    <row r="746" spans="1:21" hidden="1" x14ac:dyDescent="0.25">
      <c r="A746" t="s">
        <v>43</v>
      </c>
      <c r="B746" t="s">
        <v>232</v>
      </c>
      <c r="C746">
        <v>2012</v>
      </c>
      <c r="D746" t="s">
        <v>1157</v>
      </c>
      <c r="E746" t="s">
        <v>130</v>
      </c>
      <c r="F746" t="s">
        <v>40</v>
      </c>
      <c r="G746" t="s">
        <v>181</v>
      </c>
      <c r="H746" t="s">
        <v>181</v>
      </c>
      <c r="I746" t="s">
        <v>26</v>
      </c>
      <c r="J746">
        <v>93274</v>
      </c>
      <c r="K746">
        <v>36.203499999999998</v>
      </c>
      <c r="L746">
        <v>-119.41825900000001</v>
      </c>
      <c r="M746" t="s">
        <v>1156</v>
      </c>
      <c r="N746">
        <v>20</v>
      </c>
      <c r="O746" t="s">
        <v>36</v>
      </c>
      <c r="P746">
        <v>1.5</v>
      </c>
      <c r="Q746">
        <v>3.02</v>
      </c>
    </row>
    <row r="747" spans="1:21" hidden="1" x14ac:dyDescent="0.25">
      <c r="A747" t="s">
        <v>43</v>
      </c>
      <c r="B747" t="s">
        <v>232</v>
      </c>
      <c r="C747">
        <v>2012</v>
      </c>
      <c r="D747" t="s">
        <v>1155</v>
      </c>
      <c r="E747" t="s">
        <v>130</v>
      </c>
      <c r="F747" t="s">
        <v>40</v>
      </c>
      <c r="G747" t="s">
        <v>1151</v>
      </c>
      <c r="H747" t="s">
        <v>181</v>
      </c>
      <c r="I747" t="s">
        <v>26</v>
      </c>
      <c r="J747">
        <v>93223</v>
      </c>
      <c r="K747">
        <v>36.319000000000003</v>
      </c>
      <c r="L747">
        <v>-119.2137</v>
      </c>
      <c r="M747" t="s">
        <v>1150</v>
      </c>
      <c r="N747">
        <v>20</v>
      </c>
      <c r="O747" t="s">
        <v>36</v>
      </c>
      <c r="P747">
        <v>1.5</v>
      </c>
      <c r="Q747">
        <v>3.02</v>
      </c>
      <c r="S747" s="18">
        <v>41359</v>
      </c>
      <c r="T747" s="18">
        <v>41452</v>
      </c>
    </row>
    <row r="748" spans="1:21" hidden="1" x14ac:dyDescent="0.25">
      <c r="A748" t="s">
        <v>43</v>
      </c>
      <c r="B748" t="s">
        <v>232</v>
      </c>
      <c r="C748">
        <v>2012</v>
      </c>
      <c r="D748" t="s">
        <v>1154</v>
      </c>
      <c r="E748" t="s">
        <v>130</v>
      </c>
      <c r="F748" t="s">
        <v>40</v>
      </c>
      <c r="G748" t="s">
        <v>1151</v>
      </c>
      <c r="H748" t="s">
        <v>181</v>
      </c>
      <c r="I748" t="s">
        <v>26</v>
      </c>
      <c r="J748">
        <v>93223</v>
      </c>
      <c r="K748">
        <v>36.317700000000002</v>
      </c>
      <c r="L748">
        <v>-119.2141</v>
      </c>
      <c r="M748" t="s">
        <v>1150</v>
      </c>
      <c r="N748">
        <v>20</v>
      </c>
      <c r="O748" t="s">
        <v>36</v>
      </c>
      <c r="P748">
        <v>1.5</v>
      </c>
      <c r="Q748">
        <v>3.02</v>
      </c>
      <c r="S748" s="18">
        <v>41359</v>
      </c>
      <c r="T748" s="18">
        <v>41452</v>
      </c>
    </row>
    <row r="749" spans="1:21" x14ac:dyDescent="0.25">
      <c r="A749" t="s">
        <v>43</v>
      </c>
      <c r="B749" t="s">
        <v>206</v>
      </c>
      <c r="C749">
        <v>2012</v>
      </c>
      <c r="D749" t="s">
        <v>1153</v>
      </c>
      <c r="E749" t="s">
        <v>130</v>
      </c>
      <c r="F749" t="s">
        <v>40</v>
      </c>
      <c r="G749" t="s">
        <v>203</v>
      </c>
      <c r="H749" t="s">
        <v>12</v>
      </c>
      <c r="I749" t="s">
        <v>26</v>
      </c>
      <c r="J749">
        <v>93249</v>
      </c>
      <c r="K749">
        <v>35.707000000000001</v>
      </c>
      <c r="L749">
        <v>-119.869</v>
      </c>
      <c r="M749" t="s">
        <v>1153</v>
      </c>
      <c r="N749">
        <v>20</v>
      </c>
      <c r="O749" t="s">
        <v>36</v>
      </c>
      <c r="P749">
        <v>20</v>
      </c>
      <c r="Q749">
        <v>52.38</v>
      </c>
      <c r="R749" t="s">
        <v>370</v>
      </c>
      <c r="S749" s="18">
        <v>41183</v>
      </c>
      <c r="T749" s="18">
        <v>41217</v>
      </c>
    </row>
    <row r="750" spans="1:21" hidden="1" x14ac:dyDescent="0.25">
      <c r="A750" t="s">
        <v>43</v>
      </c>
      <c r="B750" t="s">
        <v>232</v>
      </c>
      <c r="C750">
        <v>2012</v>
      </c>
      <c r="D750" t="s">
        <v>1152</v>
      </c>
      <c r="E750" t="s">
        <v>130</v>
      </c>
      <c r="F750" t="s">
        <v>40</v>
      </c>
      <c r="G750" t="s">
        <v>1151</v>
      </c>
      <c r="H750" t="s">
        <v>181</v>
      </c>
      <c r="I750" t="s">
        <v>26</v>
      </c>
      <c r="J750">
        <v>93223</v>
      </c>
      <c r="K750">
        <v>36.318600000000004</v>
      </c>
      <c r="L750">
        <v>-119.21469999999999</v>
      </c>
      <c r="M750" t="s">
        <v>1150</v>
      </c>
      <c r="N750">
        <v>20</v>
      </c>
      <c r="O750" t="s">
        <v>36</v>
      </c>
      <c r="P750">
        <v>1.5</v>
      </c>
      <c r="Q750">
        <v>3.02</v>
      </c>
      <c r="S750" s="18">
        <v>41359</v>
      </c>
      <c r="T750" s="18">
        <v>41452</v>
      </c>
    </row>
    <row r="751" spans="1:21" hidden="1" x14ac:dyDescent="0.25">
      <c r="A751" t="s">
        <v>43</v>
      </c>
      <c r="B751" t="s">
        <v>232</v>
      </c>
      <c r="C751">
        <v>2012</v>
      </c>
      <c r="D751" t="s">
        <v>1149</v>
      </c>
      <c r="E751" t="s">
        <v>130</v>
      </c>
      <c r="F751" t="s">
        <v>40</v>
      </c>
      <c r="G751" t="s">
        <v>1147</v>
      </c>
      <c r="H751" t="s">
        <v>181</v>
      </c>
      <c r="I751" t="s">
        <v>26</v>
      </c>
      <c r="J751">
        <v>93257</v>
      </c>
      <c r="K751">
        <v>36.099600000000002</v>
      </c>
      <c r="L751">
        <v>-119.03738</v>
      </c>
      <c r="M751" t="s">
        <v>1146</v>
      </c>
      <c r="N751">
        <v>20</v>
      </c>
      <c r="O751" t="s">
        <v>36</v>
      </c>
      <c r="P751">
        <v>1.5</v>
      </c>
      <c r="Q751">
        <v>3.02</v>
      </c>
      <c r="S751" s="18">
        <v>41359</v>
      </c>
      <c r="T751" s="18">
        <v>41452</v>
      </c>
    </row>
    <row r="752" spans="1:21" hidden="1" x14ac:dyDescent="0.25">
      <c r="A752" t="s">
        <v>43</v>
      </c>
      <c r="B752" t="s">
        <v>232</v>
      </c>
      <c r="C752">
        <v>2012</v>
      </c>
      <c r="D752" t="s">
        <v>1148</v>
      </c>
      <c r="E752" t="s">
        <v>130</v>
      </c>
      <c r="F752" t="s">
        <v>40</v>
      </c>
      <c r="G752" t="s">
        <v>1147</v>
      </c>
      <c r="H752" t="s">
        <v>181</v>
      </c>
      <c r="I752" t="s">
        <v>26</v>
      </c>
      <c r="J752">
        <v>93257</v>
      </c>
      <c r="K752">
        <v>36.0989</v>
      </c>
      <c r="L752">
        <v>-119.03703</v>
      </c>
      <c r="M752" t="s">
        <v>1146</v>
      </c>
      <c r="N752">
        <v>20</v>
      </c>
      <c r="O752" t="s">
        <v>36</v>
      </c>
      <c r="P752">
        <v>1.5</v>
      </c>
      <c r="Q752">
        <v>3.02</v>
      </c>
      <c r="S752" s="18">
        <v>41359</v>
      </c>
      <c r="T752" s="18">
        <v>41452</v>
      </c>
    </row>
    <row r="753" spans="1:20" hidden="1" x14ac:dyDescent="0.25">
      <c r="A753" t="s">
        <v>43</v>
      </c>
      <c r="B753" t="s">
        <v>232</v>
      </c>
      <c r="C753">
        <v>2012</v>
      </c>
      <c r="D753" t="s">
        <v>1145</v>
      </c>
      <c r="E753" t="s">
        <v>130</v>
      </c>
      <c r="F753" t="s">
        <v>40</v>
      </c>
      <c r="G753" t="s">
        <v>973</v>
      </c>
      <c r="H753" t="s">
        <v>533</v>
      </c>
      <c r="I753" t="s">
        <v>26</v>
      </c>
      <c r="J753">
        <v>93230</v>
      </c>
      <c r="K753">
        <v>36.308</v>
      </c>
      <c r="L753">
        <v>-119.63018099999999</v>
      </c>
      <c r="M753" t="s">
        <v>1143</v>
      </c>
      <c r="N753">
        <v>20</v>
      </c>
      <c r="O753" t="s">
        <v>36</v>
      </c>
      <c r="P753">
        <v>1.5</v>
      </c>
      <c r="Q753">
        <v>3.02</v>
      </c>
      <c r="S753" s="18">
        <v>41359</v>
      </c>
      <c r="T753" s="18">
        <v>41452</v>
      </c>
    </row>
    <row r="754" spans="1:20" hidden="1" x14ac:dyDescent="0.25">
      <c r="A754" t="s">
        <v>43</v>
      </c>
      <c r="B754" t="s">
        <v>232</v>
      </c>
      <c r="C754">
        <v>2012</v>
      </c>
      <c r="D754" t="s">
        <v>1144</v>
      </c>
      <c r="E754" t="s">
        <v>130</v>
      </c>
      <c r="F754" t="s">
        <v>40</v>
      </c>
      <c r="G754" t="s">
        <v>973</v>
      </c>
      <c r="H754" t="s">
        <v>533</v>
      </c>
      <c r="I754" t="s">
        <v>26</v>
      </c>
      <c r="J754">
        <v>93230</v>
      </c>
      <c r="K754">
        <v>36.308</v>
      </c>
      <c r="L754">
        <v>-119.630218</v>
      </c>
      <c r="M754" t="s">
        <v>1143</v>
      </c>
      <c r="N754">
        <v>20</v>
      </c>
      <c r="O754" t="s">
        <v>36</v>
      </c>
      <c r="P754">
        <v>1.5</v>
      </c>
      <c r="Q754">
        <v>3.02</v>
      </c>
      <c r="S754" s="18">
        <v>41359</v>
      </c>
      <c r="T754" s="18">
        <v>41452</v>
      </c>
    </row>
    <row r="755" spans="1:20" hidden="1" x14ac:dyDescent="0.25">
      <c r="A755" t="s">
        <v>43</v>
      </c>
      <c r="B755" t="s">
        <v>232</v>
      </c>
      <c r="C755">
        <v>2012</v>
      </c>
      <c r="D755" t="s">
        <v>1142</v>
      </c>
      <c r="E755" t="s">
        <v>130</v>
      </c>
      <c r="F755" t="s">
        <v>40</v>
      </c>
      <c r="G755" t="s">
        <v>1140</v>
      </c>
      <c r="H755" t="s">
        <v>88</v>
      </c>
      <c r="I755" t="s">
        <v>26</v>
      </c>
      <c r="J755">
        <v>92258</v>
      </c>
      <c r="K755">
        <v>33.923200000000001</v>
      </c>
      <c r="L755">
        <v>-116.5296</v>
      </c>
      <c r="M755" t="s">
        <v>1139</v>
      </c>
      <c r="N755">
        <v>20</v>
      </c>
      <c r="O755" t="s">
        <v>36</v>
      </c>
      <c r="P755">
        <v>1</v>
      </c>
      <c r="Q755">
        <v>2.57</v>
      </c>
      <c r="S755" s="18">
        <v>41359</v>
      </c>
      <c r="T755" s="18">
        <v>41452</v>
      </c>
    </row>
    <row r="756" spans="1:20" hidden="1" x14ac:dyDescent="0.25">
      <c r="A756" t="s">
        <v>43</v>
      </c>
      <c r="B756" t="s">
        <v>232</v>
      </c>
      <c r="C756">
        <v>2012</v>
      </c>
      <c r="D756" t="s">
        <v>1141</v>
      </c>
      <c r="E756" t="s">
        <v>130</v>
      </c>
      <c r="F756" t="s">
        <v>40</v>
      </c>
      <c r="G756" t="s">
        <v>1140</v>
      </c>
      <c r="H756" t="s">
        <v>88</v>
      </c>
      <c r="I756" t="s">
        <v>26</v>
      </c>
      <c r="J756">
        <v>92258</v>
      </c>
      <c r="K756">
        <v>33.923200000000001</v>
      </c>
      <c r="L756">
        <v>-116.5035</v>
      </c>
      <c r="M756" t="s">
        <v>1139</v>
      </c>
      <c r="N756">
        <v>20</v>
      </c>
      <c r="O756" t="s">
        <v>36</v>
      </c>
      <c r="P756">
        <v>1.5</v>
      </c>
      <c r="Q756">
        <v>3.72</v>
      </c>
      <c r="S756" s="18">
        <v>41359</v>
      </c>
      <c r="T756" s="18">
        <v>41452</v>
      </c>
    </row>
    <row r="757" spans="1:20" hidden="1" x14ac:dyDescent="0.25">
      <c r="A757" t="s">
        <v>43</v>
      </c>
      <c r="B757" t="s">
        <v>232</v>
      </c>
      <c r="C757">
        <v>2013</v>
      </c>
      <c r="D757" t="s">
        <v>1138</v>
      </c>
      <c r="E757" t="s">
        <v>130</v>
      </c>
      <c r="F757" t="s">
        <v>40</v>
      </c>
      <c r="G757" t="s">
        <v>546</v>
      </c>
      <c r="H757" t="s">
        <v>259</v>
      </c>
      <c r="I757" t="s">
        <v>26</v>
      </c>
      <c r="J757">
        <v>93535</v>
      </c>
      <c r="K757">
        <v>34.664200000000001</v>
      </c>
      <c r="L757">
        <v>-118.0943</v>
      </c>
      <c r="M757" t="s">
        <v>1136</v>
      </c>
      <c r="N757">
        <v>20</v>
      </c>
      <c r="O757" t="s">
        <v>36</v>
      </c>
      <c r="P757">
        <v>1.5</v>
      </c>
      <c r="Q757">
        <v>4.7300000000000004</v>
      </c>
      <c r="S757" s="18">
        <v>41359</v>
      </c>
      <c r="T757" s="18">
        <v>41452</v>
      </c>
    </row>
    <row r="758" spans="1:20" hidden="1" x14ac:dyDescent="0.25">
      <c r="A758" t="s">
        <v>43</v>
      </c>
      <c r="B758" t="s">
        <v>232</v>
      </c>
      <c r="C758">
        <v>2013</v>
      </c>
      <c r="D758" t="s">
        <v>1137</v>
      </c>
      <c r="E758" t="s">
        <v>130</v>
      </c>
      <c r="F758" t="s">
        <v>40</v>
      </c>
      <c r="G758" t="s">
        <v>546</v>
      </c>
      <c r="H758" t="s">
        <v>259</v>
      </c>
      <c r="I758" t="s">
        <v>26</v>
      </c>
      <c r="J758">
        <v>93535</v>
      </c>
      <c r="K758">
        <v>34.664200000000001</v>
      </c>
      <c r="L758">
        <v>-118.0942</v>
      </c>
      <c r="M758" t="s">
        <v>1136</v>
      </c>
      <c r="N758">
        <v>20</v>
      </c>
      <c r="O758" t="s">
        <v>36</v>
      </c>
      <c r="P758">
        <v>1.5</v>
      </c>
      <c r="Q758">
        <v>4.7300000000000004</v>
      </c>
      <c r="S758" s="18">
        <v>41359</v>
      </c>
      <c r="T758" s="18">
        <v>41452</v>
      </c>
    </row>
    <row r="759" spans="1:20" hidden="1" x14ac:dyDescent="0.25">
      <c r="A759" t="s">
        <v>43</v>
      </c>
      <c r="B759" t="s">
        <v>206</v>
      </c>
      <c r="C759">
        <v>2013</v>
      </c>
      <c r="D759" t="s">
        <v>1135</v>
      </c>
      <c r="E759" t="s">
        <v>130</v>
      </c>
      <c r="F759" t="s">
        <v>40</v>
      </c>
      <c r="G759" t="s">
        <v>563</v>
      </c>
      <c r="H759" t="s">
        <v>181</v>
      </c>
      <c r="I759" t="s">
        <v>26</v>
      </c>
      <c r="J759">
        <v>93219</v>
      </c>
      <c r="K759">
        <v>35.811599999999999</v>
      </c>
      <c r="L759">
        <v>-119.45614999999999</v>
      </c>
      <c r="M759" t="s">
        <v>1135</v>
      </c>
      <c r="N759">
        <v>20</v>
      </c>
      <c r="O759" t="s">
        <v>36</v>
      </c>
      <c r="P759">
        <v>20</v>
      </c>
      <c r="Q759">
        <v>49.4</v>
      </c>
      <c r="R759" t="s">
        <v>484</v>
      </c>
      <c r="S759" s="18">
        <v>41599</v>
      </c>
      <c r="T759" s="18">
        <v>41608</v>
      </c>
    </row>
    <row r="760" spans="1:20" hidden="1" x14ac:dyDescent="0.25">
      <c r="A760" t="s">
        <v>43</v>
      </c>
      <c r="B760" t="s">
        <v>197</v>
      </c>
      <c r="C760">
        <v>2013</v>
      </c>
      <c r="D760" t="s">
        <v>1134</v>
      </c>
      <c r="E760" t="s">
        <v>130</v>
      </c>
      <c r="F760" t="s">
        <v>40</v>
      </c>
      <c r="G760" t="s">
        <v>389</v>
      </c>
      <c r="H760" t="s">
        <v>305</v>
      </c>
      <c r="I760" t="s">
        <v>26</v>
      </c>
      <c r="J760">
        <v>92231</v>
      </c>
      <c r="K760">
        <v>32.668300000000002</v>
      </c>
      <c r="L760">
        <v>-115.561273</v>
      </c>
      <c r="M760" t="s">
        <v>1133</v>
      </c>
      <c r="N760">
        <v>20</v>
      </c>
      <c r="O760" t="s">
        <v>36</v>
      </c>
      <c r="P760">
        <v>252.32</v>
      </c>
      <c r="Q760">
        <v>691.596856</v>
      </c>
    </row>
    <row r="761" spans="1:20" hidden="1" x14ac:dyDescent="0.25">
      <c r="A761" t="s">
        <v>43</v>
      </c>
      <c r="B761" t="s">
        <v>197</v>
      </c>
      <c r="C761">
        <v>2013</v>
      </c>
      <c r="D761" t="s">
        <v>1132</v>
      </c>
      <c r="E761" t="s">
        <v>130</v>
      </c>
      <c r="F761" t="s">
        <v>40</v>
      </c>
      <c r="G761" t="s">
        <v>1131</v>
      </c>
      <c r="H761" t="s">
        <v>514</v>
      </c>
      <c r="I761" t="s">
        <v>26</v>
      </c>
      <c r="J761">
        <v>95403</v>
      </c>
      <c r="K761">
        <v>36.630499999999998</v>
      </c>
      <c r="L761">
        <v>-120.87661799999999</v>
      </c>
      <c r="M761" t="s">
        <v>1120</v>
      </c>
      <c r="N761">
        <v>20</v>
      </c>
      <c r="O761" t="s">
        <v>36</v>
      </c>
      <c r="P761">
        <v>140</v>
      </c>
      <c r="Q761">
        <v>391.06877700000001</v>
      </c>
      <c r="T761" s="18">
        <v>42075</v>
      </c>
    </row>
    <row r="762" spans="1:20" hidden="1" x14ac:dyDescent="0.25">
      <c r="A762" t="s">
        <v>43</v>
      </c>
      <c r="B762" t="s">
        <v>206</v>
      </c>
      <c r="C762">
        <v>2014</v>
      </c>
      <c r="D762" t="s">
        <v>1130</v>
      </c>
      <c r="E762" t="s">
        <v>130</v>
      </c>
      <c r="F762" t="s">
        <v>40</v>
      </c>
      <c r="G762" t="s">
        <v>1123</v>
      </c>
      <c r="H762" t="s">
        <v>181</v>
      </c>
      <c r="I762" t="s">
        <v>26</v>
      </c>
      <c r="J762">
        <v>93218</v>
      </c>
      <c r="K762">
        <v>35.856499999999997</v>
      </c>
      <c r="L762">
        <v>-119.067408</v>
      </c>
      <c r="M762" t="s">
        <v>1129</v>
      </c>
      <c r="N762">
        <v>20</v>
      </c>
      <c r="O762" t="s">
        <v>36</v>
      </c>
      <c r="P762">
        <v>20</v>
      </c>
      <c r="Q762">
        <v>52.09</v>
      </c>
      <c r="R762" t="s">
        <v>785</v>
      </c>
      <c r="S762" s="18">
        <v>42025</v>
      </c>
    </row>
    <row r="763" spans="1:20" hidden="1" x14ac:dyDescent="0.25">
      <c r="A763" t="s">
        <v>43</v>
      </c>
      <c r="B763" t="s">
        <v>206</v>
      </c>
      <c r="C763">
        <v>2014</v>
      </c>
      <c r="D763" t="s">
        <v>1128</v>
      </c>
      <c r="E763" t="s">
        <v>130</v>
      </c>
      <c r="F763" t="s">
        <v>40</v>
      </c>
      <c r="G763" t="s">
        <v>1123</v>
      </c>
      <c r="H763" t="s">
        <v>181</v>
      </c>
      <c r="I763" t="s">
        <v>26</v>
      </c>
      <c r="J763">
        <v>93218</v>
      </c>
      <c r="K763">
        <v>35.844700000000003</v>
      </c>
      <c r="L763">
        <v>-119.066958</v>
      </c>
      <c r="M763" t="s">
        <v>1127</v>
      </c>
      <c r="N763">
        <v>20</v>
      </c>
      <c r="O763" t="s">
        <v>36</v>
      </c>
      <c r="P763">
        <v>20</v>
      </c>
      <c r="Q763">
        <v>52.09</v>
      </c>
      <c r="R763" t="s">
        <v>785</v>
      </c>
      <c r="S763" s="18">
        <v>42025</v>
      </c>
    </row>
    <row r="764" spans="1:20" hidden="1" x14ac:dyDescent="0.25">
      <c r="A764" t="s">
        <v>43</v>
      </c>
      <c r="B764" t="s">
        <v>206</v>
      </c>
      <c r="C764">
        <v>2014</v>
      </c>
      <c r="D764" t="s">
        <v>1126</v>
      </c>
      <c r="E764" t="s">
        <v>130</v>
      </c>
      <c r="F764" t="s">
        <v>40</v>
      </c>
      <c r="G764" t="s">
        <v>1123</v>
      </c>
      <c r="H764" t="s">
        <v>181</v>
      </c>
      <c r="I764" t="s">
        <v>26</v>
      </c>
      <c r="J764">
        <v>93218</v>
      </c>
      <c r="K764">
        <v>35.850200000000001</v>
      </c>
      <c r="L764">
        <v>-119.031802</v>
      </c>
      <c r="M764" t="s">
        <v>1125</v>
      </c>
      <c r="N764">
        <v>20</v>
      </c>
      <c r="O764" t="s">
        <v>36</v>
      </c>
      <c r="P764">
        <v>20</v>
      </c>
      <c r="Q764">
        <v>52.09</v>
      </c>
      <c r="R764" t="s">
        <v>785</v>
      </c>
      <c r="S764" s="18">
        <v>42025</v>
      </c>
    </row>
    <row r="765" spans="1:20" hidden="1" x14ac:dyDescent="0.25">
      <c r="A765" t="s">
        <v>43</v>
      </c>
      <c r="B765" t="s">
        <v>206</v>
      </c>
      <c r="C765">
        <v>2014</v>
      </c>
      <c r="D765" t="s">
        <v>1124</v>
      </c>
      <c r="E765" t="s">
        <v>130</v>
      </c>
      <c r="F765" t="s">
        <v>40</v>
      </c>
      <c r="G765" t="s">
        <v>1123</v>
      </c>
      <c r="H765" t="s">
        <v>181</v>
      </c>
      <c r="I765" t="s">
        <v>26</v>
      </c>
      <c r="J765">
        <v>93218</v>
      </c>
      <c r="K765">
        <v>35.8446</v>
      </c>
      <c r="L765">
        <v>-119.05959799999999</v>
      </c>
      <c r="M765" t="s">
        <v>1122</v>
      </c>
      <c r="N765">
        <v>20</v>
      </c>
      <c r="O765" t="s">
        <v>36</v>
      </c>
      <c r="P765">
        <v>15</v>
      </c>
      <c r="Q765">
        <v>41.13</v>
      </c>
      <c r="R765" t="s">
        <v>785</v>
      </c>
      <c r="S765" s="18">
        <v>42025</v>
      </c>
    </row>
    <row r="766" spans="1:20" hidden="1" x14ac:dyDescent="0.25">
      <c r="A766" t="s">
        <v>43</v>
      </c>
      <c r="B766" t="s">
        <v>201</v>
      </c>
      <c r="C766">
        <v>2018</v>
      </c>
      <c r="D766" t="s">
        <v>1121</v>
      </c>
      <c r="E766" t="s">
        <v>130</v>
      </c>
      <c r="F766" t="s">
        <v>40</v>
      </c>
      <c r="G766" t="s">
        <v>389</v>
      </c>
      <c r="H766" t="s">
        <v>305</v>
      </c>
      <c r="I766" t="s">
        <v>26</v>
      </c>
      <c r="J766">
        <v>92231</v>
      </c>
      <c r="K766">
        <v>32.678800000000003</v>
      </c>
      <c r="L766">
        <v>-115.6206</v>
      </c>
      <c r="M766" t="s">
        <v>1120</v>
      </c>
      <c r="N766">
        <v>20</v>
      </c>
      <c r="O766" t="s">
        <v>36</v>
      </c>
      <c r="P766">
        <v>106.688</v>
      </c>
      <c r="Q766">
        <v>308.66797300000002</v>
      </c>
    </row>
    <row r="767" spans="1:20" hidden="1" x14ac:dyDescent="0.25">
      <c r="A767" t="s">
        <v>43</v>
      </c>
      <c r="B767" t="s">
        <v>197</v>
      </c>
      <c r="C767">
        <v>2005</v>
      </c>
      <c r="D767" t="s">
        <v>1119</v>
      </c>
      <c r="E767" t="s">
        <v>30</v>
      </c>
      <c r="F767" t="s">
        <v>40</v>
      </c>
      <c r="G767" t="s">
        <v>81</v>
      </c>
      <c r="H767" t="s">
        <v>12</v>
      </c>
      <c r="I767" t="s">
        <v>26</v>
      </c>
      <c r="J767">
        <v>93501</v>
      </c>
      <c r="K767">
        <v>35.028599999999997</v>
      </c>
      <c r="L767">
        <v>-118.327815</v>
      </c>
      <c r="M767" t="s">
        <v>1118</v>
      </c>
      <c r="N767">
        <v>24</v>
      </c>
      <c r="O767" t="s">
        <v>24</v>
      </c>
      <c r="P767">
        <v>150</v>
      </c>
      <c r="Q767">
        <v>473.04</v>
      </c>
      <c r="S767" s="18">
        <v>39269</v>
      </c>
      <c r="T767" s="18">
        <v>39583</v>
      </c>
    </row>
    <row r="768" spans="1:20" hidden="1" x14ac:dyDescent="0.25">
      <c r="A768" t="s">
        <v>43</v>
      </c>
      <c r="B768" t="s">
        <v>197</v>
      </c>
      <c r="C768">
        <v>2023</v>
      </c>
      <c r="D768" t="s">
        <v>1117</v>
      </c>
      <c r="E768" t="s">
        <v>130</v>
      </c>
      <c r="F768" t="s">
        <v>204</v>
      </c>
      <c r="G768" t="s">
        <v>1115</v>
      </c>
      <c r="H768" t="s">
        <v>1114</v>
      </c>
      <c r="I768" t="s">
        <v>438</v>
      </c>
      <c r="J768">
        <v>85348</v>
      </c>
      <c r="K768">
        <v>33.598640000000003</v>
      </c>
      <c r="L768">
        <v>-113.594662</v>
      </c>
      <c r="M768" t="s">
        <v>1117</v>
      </c>
      <c r="N768">
        <v>15</v>
      </c>
      <c r="O768" t="s">
        <v>36</v>
      </c>
      <c r="P768">
        <v>200</v>
      </c>
      <c r="Q768">
        <v>632.15</v>
      </c>
    </row>
    <row r="769" spans="1:20" hidden="1" x14ac:dyDescent="0.25">
      <c r="A769" t="s">
        <v>43</v>
      </c>
      <c r="B769" t="s">
        <v>197</v>
      </c>
      <c r="C769">
        <v>2023</v>
      </c>
      <c r="D769" t="s">
        <v>1116</v>
      </c>
      <c r="E769" t="s">
        <v>130</v>
      </c>
      <c r="F769" t="s">
        <v>204</v>
      </c>
      <c r="G769" t="s">
        <v>1115</v>
      </c>
      <c r="H769" t="s">
        <v>1114</v>
      </c>
      <c r="I769" t="s">
        <v>438</v>
      </c>
      <c r="J769">
        <v>85348</v>
      </c>
      <c r="K769">
        <v>33.598640000000003</v>
      </c>
      <c r="L769">
        <v>-113.594662</v>
      </c>
      <c r="M769" t="s">
        <v>1116</v>
      </c>
      <c r="N769">
        <v>15</v>
      </c>
      <c r="O769" t="s">
        <v>36</v>
      </c>
      <c r="P769">
        <v>100</v>
      </c>
      <c r="Q769">
        <v>316.07499999999999</v>
      </c>
    </row>
    <row r="770" spans="1:20" hidden="1" x14ac:dyDescent="0.25">
      <c r="A770" t="s">
        <v>43</v>
      </c>
      <c r="B770" t="s">
        <v>197</v>
      </c>
      <c r="C770">
        <v>2023</v>
      </c>
      <c r="D770" t="s">
        <v>1113</v>
      </c>
      <c r="E770" t="s">
        <v>130</v>
      </c>
      <c r="F770" t="s">
        <v>204</v>
      </c>
      <c r="G770" t="s">
        <v>1115</v>
      </c>
      <c r="H770" t="s">
        <v>1114</v>
      </c>
      <c r="I770" t="s">
        <v>438</v>
      </c>
      <c r="J770">
        <v>85348</v>
      </c>
      <c r="K770">
        <v>33.598640000000003</v>
      </c>
      <c r="L770">
        <v>-113.594662</v>
      </c>
      <c r="M770" t="s">
        <v>1113</v>
      </c>
      <c r="N770">
        <v>15</v>
      </c>
      <c r="O770" t="s">
        <v>36</v>
      </c>
      <c r="P770">
        <v>225</v>
      </c>
      <c r="Q770">
        <v>711.16875000000005</v>
      </c>
    </row>
    <row r="771" spans="1:20" hidden="1" x14ac:dyDescent="0.25">
      <c r="A771" t="s">
        <v>43</v>
      </c>
      <c r="B771" t="s">
        <v>32</v>
      </c>
      <c r="C771">
        <v>1991</v>
      </c>
      <c r="D771" t="s">
        <v>1112</v>
      </c>
      <c r="E771" t="s">
        <v>1013</v>
      </c>
      <c r="F771" t="s">
        <v>40</v>
      </c>
      <c r="G771" t="s">
        <v>1111</v>
      </c>
      <c r="H771" t="s">
        <v>374</v>
      </c>
      <c r="I771" t="s">
        <v>26</v>
      </c>
      <c r="J771">
        <v>92646</v>
      </c>
      <c r="K771">
        <v>33.640293</v>
      </c>
      <c r="L771">
        <v>-117.959205</v>
      </c>
      <c r="M771" t="s">
        <v>1110</v>
      </c>
      <c r="N771">
        <v>30</v>
      </c>
      <c r="O771" t="s">
        <v>24</v>
      </c>
      <c r="P771">
        <v>12</v>
      </c>
      <c r="Q771">
        <v>0.01</v>
      </c>
    </row>
    <row r="772" spans="1:20" x14ac:dyDescent="0.25">
      <c r="A772" t="s">
        <v>43</v>
      </c>
      <c r="B772" t="s">
        <v>197</v>
      </c>
      <c r="C772">
        <v>2009</v>
      </c>
      <c r="D772" t="s">
        <v>1108</v>
      </c>
      <c r="E772" t="s">
        <v>130</v>
      </c>
      <c r="F772" t="s">
        <v>40</v>
      </c>
      <c r="G772" t="s">
        <v>1109</v>
      </c>
      <c r="H772" t="s">
        <v>12</v>
      </c>
      <c r="I772" t="s">
        <v>26</v>
      </c>
      <c r="J772">
        <v>93307</v>
      </c>
      <c r="K772">
        <v>35.296399999999998</v>
      </c>
      <c r="L772">
        <v>-118.8519</v>
      </c>
      <c r="M772" t="s">
        <v>1108</v>
      </c>
      <c r="N772">
        <v>20</v>
      </c>
      <c r="O772" t="s">
        <v>36</v>
      </c>
      <c r="P772">
        <v>60</v>
      </c>
      <c r="Q772">
        <v>173.4</v>
      </c>
      <c r="S772" s="18">
        <v>40623</v>
      </c>
      <c r="T772" s="18">
        <v>41053</v>
      </c>
    </row>
    <row r="773" spans="1:20" hidden="1" x14ac:dyDescent="0.25">
      <c r="A773" t="s">
        <v>43</v>
      </c>
      <c r="B773" t="s">
        <v>540</v>
      </c>
      <c r="C773">
        <v>2010</v>
      </c>
      <c r="D773" t="s">
        <v>1107</v>
      </c>
      <c r="E773" t="s">
        <v>90</v>
      </c>
      <c r="F773" t="s">
        <v>40</v>
      </c>
      <c r="G773" t="s">
        <v>1106</v>
      </c>
      <c r="H773" t="s">
        <v>259</v>
      </c>
      <c r="I773" t="s">
        <v>26</v>
      </c>
      <c r="J773">
        <v>91789</v>
      </c>
      <c r="K773">
        <v>34.009300000000003</v>
      </c>
      <c r="L773">
        <v>-117.845</v>
      </c>
      <c r="M773" t="s">
        <v>1105</v>
      </c>
      <c r="N773">
        <v>20</v>
      </c>
      <c r="O773" t="s">
        <v>36</v>
      </c>
      <c r="P773">
        <v>1.5</v>
      </c>
      <c r="Q773">
        <v>2.85</v>
      </c>
      <c r="S773" s="18">
        <v>40445</v>
      </c>
      <c r="T773" s="18">
        <v>40476</v>
      </c>
    </row>
    <row r="774" spans="1:20" hidden="1" x14ac:dyDescent="0.25">
      <c r="A774" t="s">
        <v>43</v>
      </c>
      <c r="B774" t="s">
        <v>263</v>
      </c>
      <c r="C774">
        <v>2014</v>
      </c>
      <c r="D774" t="s">
        <v>1104</v>
      </c>
      <c r="E774" t="s">
        <v>130</v>
      </c>
      <c r="F774" t="s">
        <v>40</v>
      </c>
      <c r="G774" t="s">
        <v>1090</v>
      </c>
      <c r="H774" t="s">
        <v>259</v>
      </c>
      <c r="I774" t="s">
        <v>26</v>
      </c>
      <c r="J774">
        <v>93543</v>
      </c>
      <c r="K774">
        <v>34.6008</v>
      </c>
      <c r="L774">
        <v>-117.95023999999999</v>
      </c>
      <c r="M774" t="s">
        <v>1103</v>
      </c>
      <c r="N774">
        <v>20</v>
      </c>
      <c r="O774" t="s">
        <v>36</v>
      </c>
      <c r="P774">
        <v>3</v>
      </c>
      <c r="Q774">
        <v>10.01</v>
      </c>
    </row>
    <row r="775" spans="1:20" hidden="1" x14ac:dyDescent="0.25">
      <c r="A775" t="s">
        <v>43</v>
      </c>
      <c r="B775" t="s">
        <v>232</v>
      </c>
      <c r="C775">
        <v>2012</v>
      </c>
      <c r="D775" t="s">
        <v>1086</v>
      </c>
      <c r="E775" t="s">
        <v>130</v>
      </c>
      <c r="F775" t="s">
        <v>40</v>
      </c>
      <c r="G775" t="s">
        <v>1090</v>
      </c>
      <c r="H775" t="s">
        <v>259</v>
      </c>
      <c r="I775" t="s">
        <v>26</v>
      </c>
      <c r="J775">
        <v>93552</v>
      </c>
      <c r="K775">
        <v>34.654663999999997</v>
      </c>
      <c r="L775">
        <v>-118.05073299999999</v>
      </c>
      <c r="M775" t="s">
        <v>1102</v>
      </c>
      <c r="N775">
        <v>20</v>
      </c>
      <c r="O775" t="s">
        <v>36</v>
      </c>
      <c r="P775">
        <v>1</v>
      </c>
      <c r="Q775">
        <v>3.07</v>
      </c>
    </row>
    <row r="776" spans="1:20" hidden="1" x14ac:dyDescent="0.25">
      <c r="A776" t="s">
        <v>43</v>
      </c>
      <c r="B776" t="s">
        <v>232</v>
      </c>
      <c r="C776">
        <v>2012</v>
      </c>
      <c r="D776" t="s">
        <v>1086</v>
      </c>
      <c r="E776" t="s">
        <v>130</v>
      </c>
      <c r="F776" t="s">
        <v>40</v>
      </c>
      <c r="G776" t="s">
        <v>1090</v>
      </c>
      <c r="H776" t="s">
        <v>259</v>
      </c>
      <c r="I776" t="s">
        <v>26</v>
      </c>
      <c r="J776">
        <v>93552</v>
      </c>
      <c r="K776">
        <v>34.654663999999997</v>
      </c>
      <c r="L776">
        <v>-118.05073299999999</v>
      </c>
      <c r="M776" t="s">
        <v>1101</v>
      </c>
      <c r="N776">
        <v>20</v>
      </c>
      <c r="O776" t="s">
        <v>36</v>
      </c>
      <c r="P776">
        <v>1</v>
      </c>
      <c r="Q776">
        <v>3.07</v>
      </c>
    </row>
    <row r="777" spans="1:20" hidden="1" x14ac:dyDescent="0.25">
      <c r="A777" t="s">
        <v>43</v>
      </c>
      <c r="B777" t="s">
        <v>232</v>
      </c>
      <c r="C777">
        <v>2012</v>
      </c>
      <c r="D777" t="s">
        <v>1086</v>
      </c>
      <c r="E777" t="s">
        <v>130</v>
      </c>
      <c r="F777" t="s">
        <v>40</v>
      </c>
      <c r="G777" t="s">
        <v>1090</v>
      </c>
      <c r="H777" t="s">
        <v>259</v>
      </c>
      <c r="I777" t="s">
        <v>26</v>
      </c>
      <c r="J777">
        <v>93552</v>
      </c>
      <c r="K777">
        <v>34.650540999999997</v>
      </c>
      <c r="L777">
        <v>-118.052548</v>
      </c>
      <c r="M777" t="s">
        <v>1100</v>
      </c>
      <c r="N777">
        <v>20</v>
      </c>
      <c r="O777" t="s">
        <v>36</v>
      </c>
      <c r="P777">
        <v>1.5</v>
      </c>
      <c r="Q777">
        <v>4.5999999999999996</v>
      </c>
    </row>
    <row r="778" spans="1:20" hidden="1" x14ac:dyDescent="0.25">
      <c r="A778" t="s">
        <v>43</v>
      </c>
      <c r="B778" t="s">
        <v>232</v>
      </c>
      <c r="C778">
        <v>2012</v>
      </c>
      <c r="D778" t="s">
        <v>1086</v>
      </c>
      <c r="E778" t="s">
        <v>130</v>
      </c>
      <c r="F778" t="s">
        <v>40</v>
      </c>
      <c r="G778" t="s">
        <v>1090</v>
      </c>
      <c r="H778" t="s">
        <v>259</v>
      </c>
      <c r="I778" t="s">
        <v>26</v>
      </c>
      <c r="J778">
        <v>93552</v>
      </c>
      <c r="K778">
        <v>34.647502000000003</v>
      </c>
      <c r="L778">
        <v>-118.060126</v>
      </c>
      <c r="M778" t="s">
        <v>1099</v>
      </c>
      <c r="N778">
        <v>20</v>
      </c>
      <c r="O778" t="s">
        <v>36</v>
      </c>
      <c r="P778">
        <v>1.5</v>
      </c>
      <c r="Q778">
        <v>4.5999999999999996</v>
      </c>
    </row>
    <row r="779" spans="1:20" hidden="1" x14ac:dyDescent="0.25">
      <c r="A779" t="s">
        <v>43</v>
      </c>
      <c r="B779" t="s">
        <v>232</v>
      </c>
      <c r="C779">
        <v>2012</v>
      </c>
      <c r="D779" t="s">
        <v>1086</v>
      </c>
      <c r="E779" t="s">
        <v>130</v>
      </c>
      <c r="F779" t="s">
        <v>40</v>
      </c>
      <c r="G779" t="s">
        <v>1090</v>
      </c>
      <c r="H779" t="s">
        <v>259</v>
      </c>
      <c r="I779" t="s">
        <v>26</v>
      </c>
      <c r="J779">
        <v>93552</v>
      </c>
      <c r="K779">
        <v>34.647502000000003</v>
      </c>
      <c r="L779">
        <v>-118.060126</v>
      </c>
      <c r="M779" t="s">
        <v>1098</v>
      </c>
      <c r="N779">
        <v>20</v>
      </c>
      <c r="O779" t="s">
        <v>36</v>
      </c>
      <c r="P779">
        <v>1.5</v>
      </c>
      <c r="Q779">
        <v>4.5999999999999996</v>
      </c>
    </row>
    <row r="780" spans="1:20" hidden="1" x14ac:dyDescent="0.25">
      <c r="A780" t="s">
        <v>43</v>
      </c>
      <c r="B780" t="s">
        <v>232</v>
      </c>
      <c r="C780">
        <v>2012</v>
      </c>
      <c r="D780" t="s">
        <v>1086</v>
      </c>
      <c r="E780" t="s">
        <v>130</v>
      </c>
      <c r="F780" t="s">
        <v>40</v>
      </c>
      <c r="G780" t="s">
        <v>1090</v>
      </c>
      <c r="H780" t="s">
        <v>259</v>
      </c>
      <c r="I780" t="s">
        <v>26</v>
      </c>
      <c r="J780">
        <v>93552</v>
      </c>
      <c r="K780">
        <v>34.647502000000003</v>
      </c>
      <c r="L780">
        <v>-118.060126</v>
      </c>
      <c r="M780" t="s">
        <v>1097</v>
      </c>
      <c r="N780">
        <v>20</v>
      </c>
      <c r="O780" t="s">
        <v>36</v>
      </c>
      <c r="P780">
        <v>1</v>
      </c>
      <c r="Q780">
        <v>3.07</v>
      </c>
    </row>
    <row r="781" spans="1:20" hidden="1" x14ac:dyDescent="0.25">
      <c r="A781" t="s">
        <v>43</v>
      </c>
      <c r="B781" t="s">
        <v>232</v>
      </c>
      <c r="C781">
        <v>2012</v>
      </c>
      <c r="D781" t="s">
        <v>1086</v>
      </c>
      <c r="E781" t="s">
        <v>130</v>
      </c>
      <c r="F781" t="s">
        <v>40</v>
      </c>
      <c r="G781" t="s">
        <v>546</v>
      </c>
      <c r="H781" t="s">
        <v>259</v>
      </c>
      <c r="I781" t="s">
        <v>26</v>
      </c>
      <c r="J781">
        <v>93536</v>
      </c>
      <c r="K781">
        <v>34.708621999999998</v>
      </c>
      <c r="L781">
        <v>-118.272402</v>
      </c>
      <c r="M781" t="s">
        <v>1096</v>
      </c>
      <c r="N781">
        <v>20</v>
      </c>
      <c r="O781" t="s">
        <v>36</v>
      </c>
      <c r="P781">
        <v>1.5</v>
      </c>
      <c r="Q781">
        <v>4.5999999999999996</v>
      </c>
    </row>
    <row r="782" spans="1:20" hidden="1" x14ac:dyDescent="0.25">
      <c r="A782" t="s">
        <v>43</v>
      </c>
      <c r="B782" t="s">
        <v>232</v>
      </c>
      <c r="C782">
        <v>2012</v>
      </c>
      <c r="D782" t="s">
        <v>1086</v>
      </c>
      <c r="E782" t="s">
        <v>130</v>
      </c>
      <c r="F782" t="s">
        <v>40</v>
      </c>
      <c r="G782" t="s">
        <v>546</v>
      </c>
      <c r="H782" t="s">
        <v>259</v>
      </c>
      <c r="I782" t="s">
        <v>26</v>
      </c>
      <c r="J782">
        <v>93535</v>
      </c>
      <c r="K782">
        <v>34.696831000000003</v>
      </c>
      <c r="L782">
        <v>-118.062518</v>
      </c>
      <c r="M782" t="s">
        <v>1095</v>
      </c>
      <c r="N782">
        <v>20</v>
      </c>
      <c r="O782" t="s">
        <v>36</v>
      </c>
      <c r="P782">
        <v>1.5</v>
      </c>
      <c r="Q782">
        <v>4.5999999999999996</v>
      </c>
    </row>
    <row r="783" spans="1:20" hidden="1" x14ac:dyDescent="0.25">
      <c r="A783" t="s">
        <v>43</v>
      </c>
      <c r="B783" t="s">
        <v>232</v>
      </c>
      <c r="C783">
        <v>2012</v>
      </c>
      <c r="D783" t="s">
        <v>1086</v>
      </c>
      <c r="E783" t="s">
        <v>130</v>
      </c>
      <c r="F783" t="s">
        <v>40</v>
      </c>
      <c r="G783" t="s">
        <v>1094</v>
      </c>
      <c r="H783" t="s">
        <v>133</v>
      </c>
      <c r="I783" t="s">
        <v>26</v>
      </c>
      <c r="J783">
        <v>92307</v>
      </c>
      <c r="K783">
        <v>34.508938000000001</v>
      </c>
      <c r="L783">
        <v>-117.15471700000001</v>
      </c>
      <c r="M783" t="s">
        <v>1093</v>
      </c>
      <c r="N783">
        <v>20</v>
      </c>
      <c r="O783" t="s">
        <v>36</v>
      </c>
      <c r="P783">
        <v>1</v>
      </c>
      <c r="Q783">
        <v>3.07</v>
      </c>
    </row>
    <row r="784" spans="1:20" hidden="1" x14ac:dyDescent="0.25">
      <c r="A784" t="s">
        <v>43</v>
      </c>
      <c r="B784" t="s">
        <v>232</v>
      </c>
      <c r="C784">
        <v>2012</v>
      </c>
      <c r="D784" t="s">
        <v>1086</v>
      </c>
      <c r="E784" t="s">
        <v>130</v>
      </c>
      <c r="F784" t="s">
        <v>40</v>
      </c>
      <c r="G784" t="s">
        <v>1090</v>
      </c>
      <c r="H784" t="s">
        <v>259</v>
      </c>
      <c r="I784" t="s">
        <v>26</v>
      </c>
      <c r="J784">
        <v>93551</v>
      </c>
      <c r="K784">
        <v>34.644083999999999</v>
      </c>
      <c r="L784">
        <v>-118.164888</v>
      </c>
      <c r="M784" t="s">
        <v>1092</v>
      </c>
      <c r="N784">
        <v>20</v>
      </c>
      <c r="O784" t="s">
        <v>36</v>
      </c>
      <c r="P784">
        <v>1.5</v>
      </c>
      <c r="Q784">
        <v>4.5999999999999996</v>
      </c>
    </row>
    <row r="785" spans="1:20" hidden="1" x14ac:dyDescent="0.25">
      <c r="A785" t="s">
        <v>43</v>
      </c>
      <c r="B785" t="s">
        <v>232</v>
      </c>
      <c r="C785">
        <v>2012</v>
      </c>
      <c r="D785" t="s">
        <v>1086</v>
      </c>
      <c r="E785" t="s">
        <v>130</v>
      </c>
      <c r="F785" t="s">
        <v>40</v>
      </c>
      <c r="G785" t="s">
        <v>1090</v>
      </c>
      <c r="H785" t="s">
        <v>259</v>
      </c>
      <c r="I785" t="s">
        <v>26</v>
      </c>
      <c r="J785">
        <v>93551</v>
      </c>
      <c r="K785">
        <v>34.644083999999999</v>
      </c>
      <c r="L785">
        <v>-118.164888</v>
      </c>
      <c r="M785" t="s">
        <v>1091</v>
      </c>
      <c r="N785">
        <v>20</v>
      </c>
      <c r="O785" t="s">
        <v>36</v>
      </c>
      <c r="P785">
        <v>1.5</v>
      </c>
      <c r="Q785">
        <v>4.5999999999999996</v>
      </c>
    </row>
    <row r="786" spans="1:20" hidden="1" x14ac:dyDescent="0.25">
      <c r="A786" t="s">
        <v>43</v>
      </c>
      <c r="B786" t="s">
        <v>232</v>
      </c>
      <c r="C786">
        <v>2012</v>
      </c>
      <c r="D786" t="s">
        <v>1086</v>
      </c>
      <c r="E786" t="s">
        <v>130</v>
      </c>
      <c r="F786" t="s">
        <v>40</v>
      </c>
      <c r="G786" t="s">
        <v>1090</v>
      </c>
      <c r="H786" t="s">
        <v>259</v>
      </c>
      <c r="I786" t="s">
        <v>26</v>
      </c>
      <c r="J786">
        <v>93551</v>
      </c>
      <c r="K786">
        <v>34.644083999999999</v>
      </c>
      <c r="L786">
        <v>-118.164888</v>
      </c>
      <c r="M786" t="s">
        <v>1089</v>
      </c>
      <c r="N786">
        <v>20</v>
      </c>
      <c r="O786" t="s">
        <v>36</v>
      </c>
      <c r="P786">
        <v>1</v>
      </c>
      <c r="Q786">
        <v>3.07</v>
      </c>
    </row>
    <row r="787" spans="1:20" hidden="1" x14ac:dyDescent="0.25">
      <c r="A787" t="s">
        <v>43</v>
      </c>
      <c r="B787" t="s">
        <v>232</v>
      </c>
      <c r="C787">
        <v>2012</v>
      </c>
      <c r="D787" t="s">
        <v>1086</v>
      </c>
      <c r="E787" t="s">
        <v>130</v>
      </c>
      <c r="F787" t="s">
        <v>40</v>
      </c>
      <c r="G787" t="s">
        <v>546</v>
      </c>
      <c r="H787" t="s">
        <v>259</v>
      </c>
      <c r="I787" t="s">
        <v>26</v>
      </c>
      <c r="J787">
        <v>93535</v>
      </c>
      <c r="K787">
        <v>34.6686677</v>
      </c>
      <c r="L787">
        <v>-118.060778</v>
      </c>
      <c r="M787" t="s">
        <v>1088</v>
      </c>
      <c r="N787">
        <v>20</v>
      </c>
      <c r="O787" t="s">
        <v>36</v>
      </c>
      <c r="P787">
        <v>1.5</v>
      </c>
      <c r="Q787">
        <v>4.5999999999999996</v>
      </c>
    </row>
    <row r="788" spans="1:20" hidden="1" x14ac:dyDescent="0.25">
      <c r="A788" t="s">
        <v>43</v>
      </c>
      <c r="B788" t="s">
        <v>232</v>
      </c>
      <c r="C788">
        <v>2012</v>
      </c>
      <c r="D788" t="s">
        <v>1086</v>
      </c>
      <c r="E788" t="s">
        <v>130</v>
      </c>
      <c r="F788" t="s">
        <v>40</v>
      </c>
      <c r="G788" t="s">
        <v>1085</v>
      </c>
      <c r="H788" t="s">
        <v>133</v>
      </c>
      <c r="I788" t="s">
        <v>26</v>
      </c>
      <c r="J788">
        <v>92301</v>
      </c>
      <c r="K788">
        <v>34.601554</v>
      </c>
      <c r="L788">
        <v>-117.642398</v>
      </c>
      <c r="M788" t="s">
        <v>1087</v>
      </c>
      <c r="N788">
        <v>20</v>
      </c>
      <c r="O788" t="s">
        <v>36</v>
      </c>
      <c r="P788">
        <v>1.5</v>
      </c>
      <c r="Q788">
        <v>4.5999999999999996</v>
      </c>
    </row>
    <row r="789" spans="1:20" hidden="1" x14ac:dyDescent="0.25">
      <c r="A789" t="s">
        <v>43</v>
      </c>
      <c r="B789" t="s">
        <v>232</v>
      </c>
      <c r="C789">
        <v>2012</v>
      </c>
      <c r="D789" t="s">
        <v>1086</v>
      </c>
      <c r="E789" t="s">
        <v>130</v>
      </c>
      <c r="F789" t="s">
        <v>40</v>
      </c>
      <c r="G789" t="s">
        <v>1085</v>
      </c>
      <c r="H789" t="s">
        <v>133</v>
      </c>
      <c r="I789" t="s">
        <v>26</v>
      </c>
      <c r="J789">
        <v>92301</v>
      </c>
      <c r="K789">
        <v>34.601554</v>
      </c>
      <c r="L789">
        <v>-117.642398</v>
      </c>
      <c r="M789" t="s">
        <v>1084</v>
      </c>
      <c r="N789">
        <v>20</v>
      </c>
      <c r="O789" t="s">
        <v>36</v>
      </c>
      <c r="P789">
        <v>0.5</v>
      </c>
      <c r="Q789">
        <v>1.53</v>
      </c>
    </row>
    <row r="790" spans="1:20" hidden="1" x14ac:dyDescent="0.25">
      <c r="A790" t="s">
        <v>43</v>
      </c>
      <c r="B790" t="s">
        <v>540</v>
      </c>
      <c r="C790">
        <v>2012</v>
      </c>
      <c r="D790" t="s">
        <v>1083</v>
      </c>
      <c r="E790" t="s">
        <v>90</v>
      </c>
      <c r="F790" t="s">
        <v>40</v>
      </c>
      <c r="G790" t="s">
        <v>1082</v>
      </c>
      <c r="H790" t="s">
        <v>133</v>
      </c>
      <c r="I790" t="s">
        <v>26</v>
      </c>
      <c r="J790">
        <v>92345</v>
      </c>
      <c r="K790">
        <v>34.434600000000003</v>
      </c>
      <c r="L790">
        <v>-117.37820000000001</v>
      </c>
      <c r="M790" t="s">
        <v>1067</v>
      </c>
      <c r="N790">
        <v>20</v>
      </c>
      <c r="O790" t="s">
        <v>36</v>
      </c>
      <c r="P790">
        <v>1.5</v>
      </c>
      <c r="Q790">
        <v>3.3</v>
      </c>
      <c r="S790" s="18">
        <v>41213</v>
      </c>
      <c r="T790" s="18">
        <v>41309</v>
      </c>
    </row>
    <row r="791" spans="1:20" hidden="1" x14ac:dyDescent="0.25">
      <c r="A791" t="s">
        <v>43</v>
      </c>
      <c r="B791" t="s">
        <v>540</v>
      </c>
      <c r="C791">
        <v>2012</v>
      </c>
      <c r="D791" t="s">
        <v>1081</v>
      </c>
      <c r="E791" t="s">
        <v>90</v>
      </c>
      <c r="F791" t="s">
        <v>40</v>
      </c>
      <c r="G791" t="s">
        <v>1000</v>
      </c>
      <c r="H791" t="s">
        <v>133</v>
      </c>
      <c r="I791" t="s">
        <v>26</v>
      </c>
      <c r="J791">
        <v>91761</v>
      </c>
      <c r="K791">
        <v>34.043900000000001</v>
      </c>
      <c r="L791">
        <v>-117.5307</v>
      </c>
      <c r="M791" t="s">
        <v>1079</v>
      </c>
      <c r="N791">
        <v>20</v>
      </c>
      <c r="O791" t="s">
        <v>36</v>
      </c>
      <c r="P791">
        <v>1.3</v>
      </c>
      <c r="Q791">
        <v>2.06</v>
      </c>
      <c r="S791" s="18">
        <v>41213</v>
      </c>
      <c r="T791" s="18">
        <v>41309</v>
      </c>
    </row>
    <row r="792" spans="1:20" hidden="1" x14ac:dyDescent="0.25">
      <c r="A792" t="s">
        <v>43</v>
      </c>
      <c r="B792" t="s">
        <v>540</v>
      </c>
      <c r="C792">
        <v>2012</v>
      </c>
      <c r="D792" t="s">
        <v>1080</v>
      </c>
      <c r="E792" t="s">
        <v>90</v>
      </c>
      <c r="F792" t="s">
        <v>40</v>
      </c>
      <c r="G792" t="s">
        <v>1000</v>
      </c>
      <c r="H792" t="s">
        <v>133</v>
      </c>
      <c r="I792" t="s">
        <v>26</v>
      </c>
      <c r="J792">
        <v>91761</v>
      </c>
      <c r="K792">
        <v>34.0503</v>
      </c>
      <c r="L792">
        <v>-117.5911</v>
      </c>
      <c r="M792" t="s">
        <v>1079</v>
      </c>
      <c r="N792">
        <v>20</v>
      </c>
      <c r="O792" t="s">
        <v>36</v>
      </c>
      <c r="P792">
        <v>2</v>
      </c>
      <c r="Q792">
        <v>3.13</v>
      </c>
      <c r="S792" s="18">
        <v>41213</v>
      </c>
      <c r="T792" s="18">
        <v>41309</v>
      </c>
    </row>
    <row r="793" spans="1:20" hidden="1" x14ac:dyDescent="0.25">
      <c r="A793" t="s">
        <v>43</v>
      </c>
      <c r="B793" t="s">
        <v>232</v>
      </c>
      <c r="C793">
        <v>2012</v>
      </c>
      <c r="D793" t="s">
        <v>1078</v>
      </c>
      <c r="E793" t="s">
        <v>130</v>
      </c>
      <c r="F793" t="s">
        <v>40</v>
      </c>
      <c r="G793" t="s">
        <v>1068</v>
      </c>
      <c r="H793" t="s">
        <v>133</v>
      </c>
      <c r="I793" t="s">
        <v>26</v>
      </c>
      <c r="J793">
        <v>92371</v>
      </c>
      <c r="K793">
        <v>34.4739</v>
      </c>
      <c r="L793">
        <v>-117.5626</v>
      </c>
      <c r="M793" t="s">
        <v>1067</v>
      </c>
      <c r="N793">
        <v>20</v>
      </c>
      <c r="O793" t="s">
        <v>36</v>
      </c>
      <c r="P793">
        <v>1.5</v>
      </c>
      <c r="Q793">
        <v>4.0599999999999996</v>
      </c>
      <c r="S793" s="18">
        <v>41359</v>
      </c>
      <c r="T793" s="18">
        <v>41452</v>
      </c>
    </row>
    <row r="794" spans="1:20" hidden="1" x14ac:dyDescent="0.25">
      <c r="A794" t="s">
        <v>43</v>
      </c>
      <c r="B794" t="s">
        <v>232</v>
      </c>
      <c r="C794">
        <v>2012</v>
      </c>
      <c r="D794" t="s">
        <v>1077</v>
      </c>
      <c r="E794" t="s">
        <v>130</v>
      </c>
      <c r="F794" t="s">
        <v>40</v>
      </c>
      <c r="G794" t="s">
        <v>1068</v>
      </c>
      <c r="H794" t="s">
        <v>133</v>
      </c>
      <c r="I794" t="s">
        <v>26</v>
      </c>
      <c r="J794">
        <v>92371</v>
      </c>
      <c r="K794">
        <v>34.471499999999999</v>
      </c>
      <c r="L794">
        <v>-117.5622</v>
      </c>
      <c r="M794" t="s">
        <v>1067</v>
      </c>
      <c r="N794">
        <v>20</v>
      </c>
      <c r="O794" t="s">
        <v>36</v>
      </c>
      <c r="P794">
        <v>1</v>
      </c>
      <c r="Q794">
        <v>2.74</v>
      </c>
      <c r="S794" s="18">
        <v>41359</v>
      </c>
      <c r="T794" s="18">
        <v>41452</v>
      </c>
    </row>
    <row r="795" spans="1:20" hidden="1" x14ac:dyDescent="0.25">
      <c r="A795" t="s">
        <v>43</v>
      </c>
      <c r="B795" t="s">
        <v>232</v>
      </c>
      <c r="C795">
        <v>2013</v>
      </c>
      <c r="D795" t="s">
        <v>1076</v>
      </c>
      <c r="E795" t="s">
        <v>130</v>
      </c>
      <c r="F795" t="s">
        <v>40</v>
      </c>
      <c r="G795" t="s">
        <v>1068</v>
      </c>
      <c r="H795" t="s">
        <v>133</v>
      </c>
      <c r="I795" t="s">
        <v>26</v>
      </c>
      <c r="J795">
        <v>92371</v>
      </c>
      <c r="K795">
        <v>34.4176</v>
      </c>
      <c r="L795">
        <v>-117.46980000000001</v>
      </c>
      <c r="M795" t="s">
        <v>1067</v>
      </c>
      <c r="N795">
        <v>20</v>
      </c>
      <c r="O795" t="s">
        <v>36</v>
      </c>
      <c r="P795">
        <v>1.5</v>
      </c>
      <c r="Q795">
        <v>4.1399999999999997</v>
      </c>
      <c r="S795" s="18">
        <v>41359</v>
      </c>
      <c r="T795" s="18">
        <v>41452</v>
      </c>
    </row>
    <row r="796" spans="1:20" hidden="1" x14ac:dyDescent="0.25">
      <c r="A796" t="s">
        <v>43</v>
      </c>
      <c r="B796" t="s">
        <v>232</v>
      </c>
      <c r="C796">
        <v>2013</v>
      </c>
      <c r="D796" t="s">
        <v>1075</v>
      </c>
      <c r="E796" t="s">
        <v>130</v>
      </c>
      <c r="F796" t="s">
        <v>40</v>
      </c>
      <c r="G796" t="s">
        <v>1068</v>
      </c>
      <c r="H796" t="s">
        <v>133</v>
      </c>
      <c r="I796" t="s">
        <v>26</v>
      </c>
      <c r="J796">
        <v>92371</v>
      </c>
      <c r="K796">
        <v>34.415300000000002</v>
      </c>
      <c r="L796">
        <v>-117.47</v>
      </c>
      <c r="M796" t="s">
        <v>1067</v>
      </c>
      <c r="N796">
        <v>20</v>
      </c>
      <c r="O796" t="s">
        <v>36</v>
      </c>
      <c r="P796">
        <v>1.5</v>
      </c>
      <c r="Q796">
        <v>4.1399999999999997</v>
      </c>
      <c r="S796" s="18">
        <v>41359</v>
      </c>
      <c r="T796" s="18">
        <v>41452</v>
      </c>
    </row>
    <row r="797" spans="1:20" hidden="1" x14ac:dyDescent="0.25">
      <c r="A797" t="s">
        <v>43</v>
      </c>
      <c r="B797" t="s">
        <v>232</v>
      </c>
      <c r="C797">
        <v>2012</v>
      </c>
      <c r="D797" t="s">
        <v>1072</v>
      </c>
      <c r="E797" t="s">
        <v>130</v>
      </c>
      <c r="F797" t="s">
        <v>40</v>
      </c>
      <c r="G797" t="s">
        <v>1071</v>
      </c>
      <c r="H797" t="s">
        <v>133</v>
      </c>
      <c r="I797" t="s">
        <v>26</v>
      </c>
      <c r="J797">
        <v>92342</v>
      </c>
      <c r="K797">
        <v>34.764955999999998</v>
      </c>
      <c r="L797">
        <v>-117.323435</v>
      </c>
      <c r="M797" t="s">
        <v>1074</v>
      </c>
      <c r="N797">
        <v>20</v>
      </c>
      <c r="O797" t="s">
        <v>36</v>
      </c>
      <c r="P797">
        <v>1.5</v>
      </c>
      <c r="Q797">
        <v>4.5999999999999996</v>
      </c>
      <c r="S797" s="18">
        <v>41359</v>
      </c>
      <c r="T797" s="18">
        <v>41452</v>
      </c>
    </row>
    <row r="798" spans="1:20" hidden="1" x14ac:dyDescent="0.25">
      <c r="A798" t="s">
        <v>43</v>
      </c>
      <c r="B798" t="s">
        <v>232</v>
      </c>
      <c r="C798">
        <v>2012</v>
      </c>
      <c r="D798" t="s">
        <v>1072</v>
      </c>
      <c r="E798" t="s">
        <v>130</v>
      </c>
      <c r="F798" t="s">
        <v>40</v>
      </c>
      <c r="G798" t="s">
        <v>1071</v>
      </c>
      <c r="H798" t="s">
        <v>133</v>
      </c>
      <c r="I798" t="s">
        <v>26</v>
      </c>
      <c r="J798">
        <v>92342</v>
      </c>
      <c r="K798">
        <v>34.765743999999998</v>
      </c>
      <c r="L798">
        <v>-117.323881</v>
      </c>
      <c r="M798" t="s">
        <v>1073</v>
      </c>
      <c r="N798">
        <v>20</v>
      </c>
      <c r="O798" t="s">
        <v>36</v>
      </c>
      <c r="P798">
        <v>1.5</v>
      </c>
      <c r="Q798">
        <v>4.5999999999999996</v>
      </c>
      <c r="S798" s="18">
        <v>41359</v>
      </c>
      <c r="T798" s="18">
        <v>41452</v>
      </c>
    </row>
    <row r="799" spans="1:20" hidden="1" x14ac:dyDescent="0.25">
      <c r="A799" t="s">
        <v>43</v>
      </c>
      <c r="B799" t="s">
        <v>232</v>
      </c>
      <c r="C799">
        <v>2012</v>
      </c>
      <c r="D799" t="s">
        <v>1072</v>
      </c>
      <c r="E799" t="s">
        <v>130</v>
      </c>
      <c r="F799" t="s">
        <v>40</v>
      </c>
      <c r="G799" t="s">
        <v>1071</v>
      </c>
      <c r="H799" t="s">
        <v>133</v>
      </c>
      <c r="I799" t="s">
        <v>26</v>
      </c>
      <c r="J799">
        <v>92342</v>
      </c>
      <c r="K799">
        <v>34.768436000000001</v>
      </c>
      <c r="L799">
        <v>-117.32366399999999</v>
      </c>
      <c r="M799" t="s">
        <v>1070</v>
      </c>
      <c r="N799">
        <v>20</v>
      </c>
      <c r="O799" t="s">
        <v>36</v>
      </c>
      <c r="P799">
        <v>1.5</v>
      </c>
      <c r="Q799">
        <v>4.5999999999999996</v>
      </c>
      <c r="S799" s="18">
        <v>41359</v>
      </c>
      <c r="T799" s="18">
        <v>41452</v>
      </c>
    </row>
    <row r="800" spans="1:20" hidden="1" x14ac:dyDescent="0.25">
      <c r="A800" t="s">
        <v>43</v>
      </c>
      <c r="B800" t="s">
        <v>232</v>
      </c>
      <c r="C800">
        <v>2013</v>
      </c>
      <c r="D800" t="s">
        <v>1069</v>
      </c>
      <c r="E800" t="s">
        <v>130</v>
      </c>
      <c r="F800" t="s">
        <v>40</v>
      </c>
      <c r="G800" t="s">
        <v>1068</v>
      </c>
      <c r="H800" t="s">
        <v>133</v>
      </c>
      <c r="I800" t="s">
        <v>26</v>
      </c>
      <c r="J800">
        <v>92371</v>
      </c>
      <c r="K800">
        <v>34.4131</v>
      </c>
      <c r="L800">
        <v>-117.4708</v>
      </c>
      <c r="M800" t="s">
        <v>1067</v>
      </c>
      <c r="N800">
        <v>20</v>
      </c>
      <c r="O800" t="s">
        <v>36</v>
      </c>
      <c r="P800">
        <v>1.5</v>
      </c>
      <c r="Q800">
        <v>4.1399999999999997</v>
      </c>
      <c r="S800" s="18">
        <v>41359</v>
      </c>
      <c r="T800" s="18">
        <v>41452</v>
      </c>
    </row>
    <row r="801" spans="1:20" hidden="1" x14ac:dyDescent="0.25">
      <c r="A801" t="s">
        <v>43</v>
      </c>
      <c r="B801" t="s">
        <v>263</v>
      </c>
      <c r="C801">
        <v>2014</v>
      </c>
      <c r="D801" t="s">
        <v>1066</v>
      </c>
      <c r="E801" t="s">
        <v>130</v>
      </c>
      <c r="F801" t="s">
        <v>40</v>
      </c>
      <c r="G801" t="s">
        <v>1000</v>
      </c>
      <c r="H801" t="s">
        <v>133</v>
      </c>
      <c r="I801" t="s">
        <v>26</v>
      </c>
      <c r="J801">
        <v>91761</v>
      </c>
      <c r="K801">
        <v>34.038699999999999</v>
      </c>
      <c r="L801">
        <v>-117.5659</v>
      </c>
      <c r="M801" t="s">
        <v>1066</v>
      </c>
      <c r="N801">
        <v>20</v>
      </c>
      <c r="O801" t="s">
        <v>36</v>
      </c>
      <c r="P801">
        <v>3</v>
      </c>
      <c r="Q801">
        <v>6</v>
      </c>
    </row>
    <row r="802" spans="1:20" hidden="1" x14ac:dyDescent="0.25">
      <c r="A802" t="s">
        <v>43</v>
      </c>
      <c r="B802" t="s">
        <v>540</v>
      </c>
      <c r="C802">
        <v>2013</v>
      </c>
      <c r="D802" t="s">
        <v>1065</v>
      </c>
      <c r="E802" t="s">
        <v>90</v>
      </c>
      <c r="F802" t="s">
        <v>40</v>
      </c>
      <c r="G802" t="s">
        <v>906</v>
      </c>
      <c r="H802" t="s">
        <v>133</v>
      </c>
      <c r="I802" t="s">
        <v>26</v>
      </c>
      <c r="J802">
        <v>91730</v>
      </c>
      <c r="K802">
        <v>34.0976</v>
      </c>
      <c r="L802">
        <v>-117.5445</v>
      </c>
      <c r="M802" t="s">
        <v>1065</v>
      </c>
      <c r="N802">
        <v>20</v>
      </c>
      <c r="O802" t="s">
        <v>36</v>
      </c>
      <c r="P802">
        <v>1</v>
      </c>
      <c r="Q802">
        <v>1.93</v>
      </c>
      <c r="S802" s="18">
        <v>41716</v>
      </c>
      <c r="T802" s="18">
        <v>41771</v>
      </c>
    </row>
    <row r="803" spans="1:20" hidden="1" x14ac:dyDescent="0.25">
      <c r="A803" t="s">
        <v>43</v>
      </c>
      <c r="B803" t="s">
        <v>540</v>
      </c>
      <c r="C803">
        <v>2013</v>
      </c>
      <c r="D803" t="s">
        <v>1064</v>
      </c>
      <c r="E803" t="s">
        <v>90</v>
      </c>
      <c r="F803" t="s">
        <v>40</v>
      </c>
      <c r="G803" t="s">
        <v>1000</v>
      </c>
      <c r="H803" t="s">
        <v>133</v>
      </c>
      <c r="I803" t="s">
        <v>26</v>
      </c>
      <c r="J803">
        <v>91761</v>
      </c>
      <c r="K803">
        <v>34.035299999999999</v>
      </c>
      <c r="L803">
        <v>-117.5341</v>
      </c>
      <c r="M803" t="s">
        <v>1061</v>
      </c>
      <c r="N803">
        <v>20</v>
      </c>
      <c r="O803" t="s">
        <v>36</v>
      </c>
      <c r="P803">
        <v>1</v>
      </c>
      <c r="Q803">
        <v>2.09</v>
      </c>
      <c r="S803" s="18">
        <v>41716</v>
      </c>
      <c r="T803" s="18">
        <v>41771</v>
      </c>
    </row>
    <row r="804" spans="1:20" hidden="1" x14ac:dyDescent="0.25">
      <c r="A804" t="s">
        <v>43</v>
      </c>
      <c r="B804" t="s">
        <v>540</v>
      </c>
      <c r="C804">
        <v>2013</v>
      </c>
      <c r="D804" t="s">
        <v>1063</v>
      </c>
      <c r="E804" t="s">
        <v>90</v>
      </c>
      <c r="F804" t="s">
        <v>40</v>
      </c>
      <c r="G804" t="s">
        <v>1062</v>
      </c>
      <c r="H804" t="s">
        <v>259</v>
      </c>
      <c r="I804" t="s">
        <v>26</v>
      </c>
      <c r="J804">
        <v>90660</v>
      </c>
      <c r="K804">
        <v>33.982100000000003</v>
      </c>
      <c r="L804">
        <v>-118.1035</v>
      </c>
      <c r="M804" t="s">
        <v>1061</v>
      </c>
      <c r="N804">
        <v>20</v>
      </c>
      <c r="O804" t="s">
        <v>36</v>
      </c>
      <c r="P804">
        <v>0.9</v>
      </c>
      <c r="Q804">
        <v>1.82</v>
      </c>
      <c r="S804" s="18">
        <v>41716</v>
      </c>
      <c r="T804" s="18">
        <v>41771</v>
      </c>
    </row>
    <row r="805" spans="1:20" hidden="1" x14ac:dyDescent="0.25">
      <c r="A805" t="s">
        <v>43</v>
      </c>
      <c r="B805" t="s">
        <v>197</v>
      </c>
      <c r="C805">
        <v>2003</v>
      </c>
      <c r="D805" t="s">
        <v>1060</v>
      </c>
      <c r="E805" t="s">
        <v>30</v>
      </c>
      <c r="F805" t="s">
        <v>40</v>
      </c>
      <c r="G805" t="s">
        <v>149</v>
      </c>
      <c r="H805" t="s">
        <v>12</v>
      </c>
      <c r="I805" t="s">
        <v>26</v>
      </c>
      <c r="J805">
        <v>93501</v>
      </c>
      <c r="K805">
        <v>35.03</v>
      </c>
      <c r="L805">
        <v>-118.22</v>
      </c>
      <c r="M805" t="s">
        <v>1060</v>
      </c>
      <c r="N805">
        <v>20</v>
      </c>
      <c r="O805" t="s">
        <v>24</v>
      </c>
      <c r="P805">
        <v>120</v>
      </c>
      <c r="Q805">
        <v>370.02</v>
      </c>
      <c r="S805" s="18">
        <v>40254</v>
      </c>
      <c r="T805" s="18">
        <v>40353</v>
      </c>
    </row>
    <row r="806" spans="1:20" hidden="1" x14ac:dyDescent="0.25">
      <c r="A806" t="s">
        <v>43</v>
      </c>
      <c r="B806" t="s">
        <v>197</v>
      </c>
      <c r="C806">
        <v>2005</v>
      </c>
      <c r="D806" t="s">
        <v>1059</v>
      </c>
      <c r="E806" t="s">
        <v>30</v>
      </c>
      <c r="F806" t="s">
        <v>40</v>
      </c>
      <c r="G806" t="s">
        <v>81</v>
      </c>
      <c r="H806" t="s">
        <v>12</v>
      </c>
      <c r="I806" t="s">
        <v>26</v>
      </c>
      <c r="J806">
        <v>93501</v>
      </c>
      <c r="K806">
        <v>35.023812999999997</v>
      </c>
      <c r="L806">
        <v>-118.236881</v>
      </c>
      <c r="M806" t="s">
        <v>1058</v>
      </c>
      <c r="N806">
        <v>24</v>
      </c>
      <c r="O806" t="s">
        <v>24</v>
      </c>
      <c r="P806">
        <v>150</v>
      </c>
      <c r="Q806">
        <v>473.04</v>
      </c>
      <c r="S806" s="18">
        <v>39269</v>
      </c>
      <c r="T806" s="18">
        <v>39583</v>
      </c>
    </row>
    <row r="807" spans="1:20" hidden="1" x14ac:dyDescent="0.25">
      <c r="A807" t="s">
        <v>43</v>
      </c>
      <c r="B807" t="s">
        <v>206</v>
      </c>
      <c r="C807">
        <v>2014</v>
      </c>
      <c r="D807" t="s">
        <v>408</v>
      </c>
      <c r="E807" t="s">
        <v>30</v>
      </c>
      <c r="F807" t="s">
        <v>40</v>
      </c>
      <c r="G807" t="s">
        <v>81</v>
      </c>
      <c r="H807" t="s">
        <v>12</v>
      </c>
      <c r="I807" t="s">
        <v>26</v>
      </c>
      <c r="J807">
        <v>93501</v>
      </c>
      <c r="K807">
        <v>35.077047649999997</v>
      </c>
      <c r="L807">
        <v>-118.3251327</v>
      </c>
      <c r="M807" t="s">
        <v>408</v>
      </c>
      <c r="N807">
        <v>10</v>
      </c>
      <c r="O807" t="s">
        <v>36</v>
      </c>
      <c r="P807">
        <v>3</v>
      </c>
      <c r="Q807">
        <v>10.51</v>
      </c>
      <c r="R807" t="s">
        <v>785</v>
      </c>
      <c r="S807" s="18">
        <v>41949</v>
      </c>
      <c r="T807" s="18">
        <v>42025</v>
      </c>
    </row>
    <row r="808" spans="1:20" hidden="1" x14ac:dyDescent="0.25">
      <c r="A808" t="s">
        <v>43</v>
      </c>
      <c r="B808" t="s">
        <v>263</v>
      </c>
      <c r="C808">
        <v>2017</v>
      </c>
      <c r="D808" t="s">
        <v>1057</v>
      </c>
      <c r="E808" t="s">
        <v>1013</v>
      </c>
      <c r="F808" t="s">
        <v>40</v>
      </c>
      <c r="G808" t="s">
        <v>1056</v>
      </c>
      <c r="H808" t="s">
        <v>181</v>
      </c>
      <c r="I808" t="s">
        <v>26</v>
      </c>
      <c r="J808">
        <v>93291</v>
      </c>
      <c r="K808">
        <v>36.388311999999999</v>
      </c>
      <c r="L808">
        <v>-119.394531</v>
      </c>
      <c r="M808" t="s">
        <v>1055</v>
      </c>
      <c r="N808">
        <v>20</v>
      </c>
      <c r="O808" t="s">
        <v>36</v>
      </c>
      <c r="P808">
        <v>1.5</v>
      </c>
      <c r="Q808">
        <v>11.39</v>
      </c>
    </row>
    <row r="809" spans="1:20" hidden="1" x14ac:dyDescent="0.25">
      <c r="A809" t="s">
        <v>43</v>
      </c>
      <c r="B809" t="s">
        <v>32</v>
      </c>
      <c r="C809">
        <v>1985</v>
      </c>
      <c r="D809" t="s">
        <v>1054</v>
      </c>
      <c r="E809" t="s">
        <v>143</v>
      </c>
      <c r="F809" t="s">
        <v>40</v>
      </c>
      <c r="G809" t="s">
        <v>909</v>
      </c>
      <c r="H809" t="s">
        <v>236</v>
      </c>
      <c r="I809" t="s">
        <v>26</v>
      </c>
      <c r="J809">
        <v>93546</v>
      </c>
      <c r="K809">
        <v>37.6462</v>
      </c>
      <c r="L809">
        <v>-118.91277599999999</v>
      </c>
      <c r="M809" t="s">
        <v>1053</v>
      </c>
      <c r="N809">
        <v>30</v>
      </c>
      <c r="O809" t="s">
        <v>24</v>
      </c>
      <c r="P809">
        <v>10.5</v>
      </c>
      <c r="Q809">
        <v>82.88</v>
      </c>
    </row>
    <row r="810" spans="1:20" hidden="1" x14ac:dyDescent="0.25">
      <c r="A810" t="s">
        <v>43</v>
      </c>
      <c r="B810" t="s">
        <v>32</v>
      </c>
      <c r="C810">
        <v>1994</v>
      </c>
      <c r="D810" t="s">
        <v>1052</v>
      </c>
      <c r="E810" t="s">
        <v>143</v>
      </c>
      <c r="F810" t="s">
        <v>40</v>
      </c>
      <c r="G810" t="s">
        <v>379</v>
      </c>
      <c r="H810" t="s">
        <v>305</v>
      </c>
      <c r="I810" t="s">
        <v>26</v>
      </c>
      <c r="J810">
        <v>92233</v>
      </c>
      <c r="K810">
        <v>33.157600000000002</v>
      </c>
      <c r="L810">
        <v>-115.64037999999999</v>
      </c>
      <c r="M810" t="s">
        <v>140</v>
      </c>
      <c r="N810">
        <v>30</v>
      </c>
      <c r="O810" t="s">
        <v>24</v>
      </c>
      <c r="P810">
        <v>36</v>
      </c>
      <c r="Q810">
        <v>309.08</v>
      </c>
    </row>
    <row r="811" spans="1:20" hidden="1" x14ac:dyDescent="0.25">
      <c r="A811" t="s">
        <v>43</v>
      </c>
      <c r="B811" t="s">
        <v>197</v>
      </c>
      <c r="C811">
        <v>2006</v>
      </c>
      <c r="D811" t="s">
        <v>1050</v>
      </c>
      <c r="E811" t="s">
        <v>143</v>
      </c>
      <c r="F811" t="s">
        <v>40</v>
      </c>
      <c r="G811" t="s">
        <v>1051</v>
      </c>
      <c r="H811" t="s">
        <v>305</v>
      </c>
      <c r="I811" t="s">
        <v>26</v>
      </c>
      <c r="J811">
        <v>92227</v>
      </c>
      <c r="K811">
        <v>33.0032</v>
      </c>
      <c r="L811">
        <v>-115.54407399999999</v>
      </c>
      <c r="M811" t="s">
        <v>1050</v>
      </c>
      <c r="N811">
        <v>20</v>
      </c>
      <c r="O811" t="s">
        <v>24</v>
      </c>
      <c r="P811">
        <v>33.177999999999997</v>
      </c>
      <c r="Q811">
        <v>276.11</v>
      </c>
      <c r="S811" s="18">
        <v>39276</v>
      </c>
      <c r="T811" s="18">
        <v>39520</v>
      </c>
    </row>
    <row r="812" spans="1:20" hidden="1" x14ac:dyDescent="0.25">
      <c r="A812" t="s">
        <v>43</v>
      </c>
      <c r="B812" t="s">
        <v>32</v>
      </c>
      <c r="C812">
        <v>1985</v>
      </c>
      <c r="D812" t="s">
        <v>1049</v>
      </c>
      <c r="E812" t="s">
        <v>47</v>
      </c>
      <c r="F812" t="s">
        <v>40</v>
      </c>
      <c r="G812" t="s">
        <v>1048</v>
      </c>
      <c r="H812" t="s">
        <v>374</v>
      </c>
      <c r="I812" t="s">
        <v>26</v>
      </c>
      <c r="J812">
        <v>92706</v>
      </c>
      <c r="K812">
        <v>33.768599999999999</v>
      </c>
      <c r="L812">
        <v>-117.884379</v>
      </c>
      <c r="M812" t="s">
        <v>1047</v>
      </c>
      <c r="N812">
        <v>999</v>
      </c>
      <c r="O812" t="s">
        <v>24</v>
      </c>
      <c r="P812">
        <v>0.19500000000000001</v>
      </c>
      <c r="Q812">
        <v>0.02</v>
      </c>
    </row>
    <row r="813" spans="1:20" hidden="1" x14ac:dyDescent="0.25">
      <c r="A813" t="s">
        <v>43</v>
      </c>
      <c r="B813" t="s">
        <v>232</v>
      </c>
      <c r="C813">
        <v>2012</v>
      </c>
      <c r="D813" t="s">
        <v>1046</v>
      </c>
      <c r="E813" t="s">
        <v>47</v>
      </c>
      <c r="F813" t="s">
        <v>40</v>
      </c>
      <c r="G813" t="s">
        <v>46</v>
      </c>
      <c r="H813" t="s">
        <v>234</v>
      </c>
      <c r="I813" t="s">
        <v>26</v>
      </c>
      <c r="J813">
        <v>91360</v>
      </c>
      <c r="K813">
        <v>34.2455</v>
      </c>
      <c r="L813">
        <v>-118.831211</v>
      </c>
      <c r="M813" t="s">
        <v>1038</v>
      </c>
      <c r="N813">
        <v>20</v>
      </c>
      <c r="O813" t="s">
        <v>36</v>
      </c>
      <c r="P813">
        <v>0.71699999999999997</v>
      </c>
      <c r="Q813">
        <v>0.43</v>
      </c>
    </row>
    <row r="814" spans="1:20" hidden="1" x14ac:dyDescent="0.25">
      <c r="A814" t="s">
        <v>43</v>
      </c>
      <c r="B814" t="s">
        <v>263</v>
      </c>
      <c r="C814">
        <v>2014</v>
      </c>
      <c r="D814" t="s">
        <v>1045</v>
      </c>
      <c r="E814" t="s">
        <v>47</v>
      </c>
      <c r="F814" t="s">
        <v>40</v>
      </c>
      <c r="G814" t="s">
        <v>60</v>
      </c>
      <c r="H814" t="s">
        <v>88</v>
      </c>
      <c r="I814" t="s">
        <v>26</v>
      </c>
      <c r="J814">
        <v>92263</v>
      </c>
      <c r="K814">
        <v>33.934699999999999</v>
      </c>
      <c r="L814">
        <v>-116.64058199999999</v>
      </c>
      <c r="M814" t="s">
        <v>1043</v>
      </c>
      <c r="N814">
        <v>20</v>
      </c>
      <c r="O814" t="s">
        <v>36</v>
      </c>
      <c r="P814">
        <v>1</v>
      </c>
      <c r="Q814">
        <v>7.4</v>
      </c>
    </row>
    <row r="815" spans="1:20" hidden="1" x14ac:dyDescent="0.25">
      <c r="A815" t="s">
        <v>43</v>
      </c>
      <c r="B815" t="s">
        <v>263</v>
      </c>
      <c r="C815">
        <v>2016</v>
      </c>
      <c r="D815" t="s">
        <v>1044</v>
      </c>
      <c r="E815" t="s">
        <v>47</v>
      </c>
      <c r="F815" t="s">
        <v>40</v>
      </c>
      <c r="G815" t="s">
        <v>60</v>
      </c>
      <c r="H815" t="s">
        <v>88</v>
      </c>
      <c r="I815" t="s">
        <v>26</v>
      </c>
      <c r="J815">
        <v>92263</v>
      </c>
      <c r="K815">
        <v>33.898879999999998</v>
      </c>
      <c r="L815">
        <v>-116.683742</v>
      </c>
      <c r="M815" t="s">
        <v>1043</v>
      </c>
      <c r="N815">
        <v>20</v>
      </c>
      <c r="O815" t="s">
        <v>36</v>
      </c>
      <c r="P815">
        <v>0.26600000000000001</v>
      </c>
      <c r="Q815">
        <v>2.29</v>
      </c>
    </row>
    <row r="816" spans="1:20" hidden="1" x14ac:dyDescent="0.25">
      <c r="A816" t="s">
        <v>43</v>
      </c>
      <c r="B816" t="s">
        <v>263</v>
      </c>
      <c r="C816">
        <v>2013</v>
      </c>
      <c r="D816" t="s">
        <v>1042</v>
      </c>
      <c r="E816" t="s">
        <v>47</v>
      </c>
      <c r="F816" t="s">
        <v>40</v>
      </c>
      <c r="G816" t="s">
        <v>155</v>
      </c>
      <c r="H816" t="s">
        <v>234</v>
      </c>
      <c r="I816" t="s">
        <v>26</v>
      </c>
      <c r="J816">
        <v>93010</v>
      </c>
      <c r="K816">
        <v>34.225445809999997</v>
      </c>
      <c r="L816">
        <v>-119.0858906</v>
      </c>
      <c r="M816" t="s">
        <v>1038</v>
      </c>
      <c r="N816">
        <v>20</v>
      </c>
      <c r="O816" t="s">
        <v>36</v>
      </c>
      <c r="P816">
        <v>1</v>
      </c>
      <c r="Q816">
        <v>2.25</v>
      </c>
    </row>
    <row r="817" spans="1:20" hidden="1" x14ac:dyDescent="0.25">
      <c r="A817" t="s">
        <v>43</v>
      </c>
      <c r="B817" t="s">
        <v>232</v>
      </c>
      <c r="C817">
        <v>2013</v>
      </c>
      <c r="D817" t="s">
        <v>1041</v>
      </c>
      <c r="E817" t="s">
        <v>47</v>
      </c>
      <c r="F817" t="s">
        <v>40</v>
      </c>
      <c r="G817" t="s">
        <v>1040</v>
      </c>
      <c r="H817" t="s">
        <v>259</v>
      </c>
      <c r="I817" t="s">
        <v>26</v>
      </c>
      <c r="J817">
        <v>91311</v>
      </c>
      <c r="K817">
        <v>34.262090000000001</v>
      </c>
      <c r="L817">
        <v>-118.62389</v>
      </c>
      <c r="M817" t="s">
        <v>1038</v>
      </c>
      <c r="N817">
        <v>20</v>
      </c>
      <c r="O817" t="s">
        <v>36</v>
      </c>
      <c r="P817">
        <v>1.25</v>
      </c>
      <c r="Q817">
        <v>6</v>
      </c>
    </row>
    <row r="818" spans="1:20" hidden="1" x14ac:dyDescent="0.25">
      <c r="A818" t="s">
        <v>43</v>
      </c>
      <c r="B818" t="s">
        <v>263</v>
      </c>
      <c r="C818">
        <v>2016</v>
      </c>
      <c r="D818" t="s">
        <v>1039</v>
      </c>
      <c r="E818" t="s">
        <v>47</v>
      </c>
      <c r="F818" t="s">
        <v>40</v>
      </c>
      <c r="G818" t="s">
        <v>99</v>
      </c>
      <c r="H818" t="s">
        <v>259</v>
      </c>
      <c r="I818" t="s">
        <v>26</v>
      </c>
      <c r="J818">
        <v>91789</v>
      </c>
      <c r="K818">
        <v>34.040664</v>
      </c>
      <c r="L818">
        <v>-117.82853</v>
      </c>
      <c r="M818" t="s">
        <v>1039</v>
      </c>
      <c r="N818">
        <v>20</v>
      </c>
      <c r="O818" t="s">
        <v>36</v>
      </c>
      <c r="P818">
        <v>0.125</v>
      </c>
      <c r="Q818">
        <v>0.65</v>
      </c>
    </row>
    <row r="819" spans="1:20" hidden="1" x14ac:dyDescent="0.25">
      <c r="A819" t="s">
        <v>43</v>
      </c>
      <c r="B819" t="s">
        <v>263</v>
      </c>
      <c r="C819">
        <v>2015</v>
      </c>
      <c r="D819" t="s">
        <v>48</v>
      </c>
      <c r="E819" t="s">
        <v>47</v>
      </c>
      <c r="F819" t="s">
        <v>40</v>
      </c>
      <c r="G819" t="s">
        <v>155</v>
      </c>
      <c r="H819" t="s">
        <v>234</v>
      </c>
      <c r="I819" t="s">
        <v>26</v>
      </c>
      <c r="J819">
        <v>93012</v>
      </c>
      <c r="K819">
        <v>34.241396000000002</v>
      </c>
      <c r="L819">
        <v>-118.886448</v>
      </c>
      <c r="M819" t="s">
        <v>1038</v>
      </c>
      <c r="N819">
        <v>20</v>
      </c>
      <c r="O819" t="s">
        <v>36</v>
      </c>
      <c r="P819">
        <v>0.25</v>
      </c>
      <c r="Q819">
        <v>0.75</v>
      </c>
    </row>
    <row r="820" spans="1:20" hidden="1" x14ac:dyDescent="0.25">
      <c r="A820" t="s">
        <v>43</v>
      </c>
      <c r="B820" t="s">
        <v>197</v>
      </c>
      <c r="C820">
        <v>2008</v>
      </c>
      <c r="D820" t="s">
        <v>1037</v>
      </c>
      <c r="E820" t="s">
        <v>105</v>
      </c>
      <c r="F820" t="s">
        <v>40</v>
      </c>
      <c r="G820" t="s">
        <v>1034</v>
      </c>
      <c r="H820" t="s">
        <v>133</v>
      </c>
      <c r="I820" t="s">
        <v>26</v>
      </c>
      <c r="J820">
        <v>92371</v>
      </c>
      <c r="K820">
        <v>34.4131</v>
      </c>
      <c r="L820">
        <v>-117.4708</v>
      </c>
      <c r="M820" t="s">
        <v>1036</v>
      </c>
      <c r="N820">
        <v>20</v>
      </c>
      <c r="O820" t="s">
        <v>24</v>
      </c>
      <c r="P820">
        <v>117</v>
      </c>
      <c r="Q820">
        <v>286</v>
      </c>
      <c r="S820" s="18">
        <v>39909</v>
      </c>
      <c r="T820" s="18">
        <v>40402</v>
      </c>
    </row>
    <row r="821" spans="1:20" hidden="1" x14ac:dyDescent="0.25">
      <c r="A821" t="s">
        <v>43</v>
      </c>
      <c r="B821" t="s">
        <v>197</v>
      </c>
      <c r="C821">
        <v>2008</v>
      </c>
      <c r="D821" t="s">
        <v>1035</v>
      </c>
      <c r="E821" t="s">
        <v>130</v>
      </c>
      <c r="F821" t="s">
        <v>40</v>
      </c>
      <c r="G821" t="s">
        <v>1034</v>
      </c>
      <c r="H821" t="s">
        <v>133</v>
      </c>
      <c r="I821" t="s">
        <v>26</v>
      </c>
      <c r="J821">
        <v>92364</v>
      </c>
      <c r="K821">
        <v>35.340000000000003</v>
      </c>
      <c r="L821">
        <v>-115.26</v>
      </c>
      <c r="M821" t="s">
        <v>1033</v>
      </c>
      <c r="N821">
        <v>20</v>
      </c>
      <c r="O821" t="s">
        <v>24</v>
      </c>
      <c r="P821">
        <v>300</v>
      </c>
      <c r="Q821">
        <v>673</v>
      </c>
      <c r="S821" s="18">
        <v>40102</v>
      </c>
      <c r="T821" s="18">
        <v>40423</v>
      </c>
    </row>
    <row r="822" spans="1:20" x14ac:dyDescent="0.25">
      <c r="A822" t="s">
        <v>43</v>
      </c>
      <c r="B822" t="s">
        <v>206</v>
      </c>
      <c r="C822">
        <v>2015</v>
      </c>
      <c r="D822" t="s">
        <v>1032</v>
      </c>
      <c r="E822" t="s">
        <v>130</v>
      </c>
      <c r="F822" t="s">
        <v>40</v>
      </c>
      <c r="G822" t="s">
        <v>347</v>
      </c>
      <c r="H822" t="s">
        <v>12</v>
      </c>
      <c r="I822" t="s">
        <v>26</v>
      </c>
      <c r="J822">
        <v>93560</v>
      </c>
      <c r="K822">
        <v>34.832786110000001</v>
      </c>
      <c r="L822">
        <v>-118.5636111</v>
      </c>
      <c r="M822" t="s">
        <v>1031</v>
      </c>
      <c r="N822">
        <v>20</v>
      </c>
      <c r="O822" t="s">
        <v>36</v>
      </c>
      <c r="P822">
        <v>20</v>
      </c>
      <c r="Q822">
        <v>59.816000000000003</v>
      </c>
      <c r="R822" t="s">
        <v>377</v>
      </c>
      <c r="S822" s="18">
        <v>42402</v>
      </c>
      <c r="T822" s="18">
        <v>42484</v>
      </c>
    </row>
    <row r="823" spans="1:20" hidden="1" x14ac:dyDescent="0.25">
      <c r="A823" t="s">
        <v>43</v>
      </c>
      <c r="B823" t="s">
        <v>161</v>
      </c>
      <c r="C823">
        <v>2016</v>
      </c>
      <c r="D823" t="s">
        <v>1030</v>
      </c>
      <c r="E823" t="s">
        <v>130</v>
      </c>
      <c r="F823" t="s">
        <v>40</v>
      </c>
      <c r="G823" t="s">
        <v>542</v>
      </c>
      <c r="H823" t="s">
        <v>533</v>
      </c>
      <c r="I823" t="s">
        <v>26</v>
      </c>
      <c r="J823">
        <v>93425</v>
      </c>
      <c r="K823">
        <v>36.241100000000003</v>
      </c>
      <c r="L823">
        <v>-119.8986</v>
      </c>
      <c r="M823" t="s">
        <v>1030</v>
      </c>
      <c r="N823">
        <v>15</v>
      </c>
      <c r="O823" t="s">
        <v>36</v>
      </c>
      <c r="P823">
        <v>128</v>
      </c>
      <c r="Q823">
        <v>348</v>
      </c>
      <c r="T823" s="18">
        <v>42754</v>
      </c>
    </row>
    <row r="824" spans="1:20" x14ac:dyDescent="0.25">
      <c r="A824" t="s">
        <v>43</v>
      </c>
      <c r="B824" t="s">
        <v>197</v>
      </c>
      <c r="C824">
        <v>2009</v>
      </c>
      <c r="D824" t="s">
        <v>1029</v>
      </c>
      <c r="E824" t="s">
        <v>130</v>
      </c>
      <c r="F824" t="s">
        <v>40</v>
      </c>
      <c r="G824" t="s">
        <v>1028</v>
      </c>
      <c r="H824" t="s">
        <v>12</v>
      </c>
      <c r="I824" t="s">
        <v>26</v>
      </c>
      <c r="J824">
        <v>93203</v>
      </c>
      <c r="K824">
        <v>35.111499999999999</v>
      </c>
      <c r="L824">
        <v>-118.9432</v>
      </c>
      <c r="M824" t="s">
        <v>1029</v>
      </c>
      <c r="N824">
        <v>20</v>
      </c>
      <c r="O824" t="s">
        <v>36</v>
      </c>
      <c r="P824">
        <v>20</v>
      </c>
      <c r="Q824">
        <v>53.5</v>
      </c>
      <c r="S824" s="18">
        <v>40623</v>
      </c>
      <c r="T824" s="18">
        <v>41053</v>
      </c>
    </row>
    <row r="825" spans="1:20" x14ac:dyDescent="0.25">
      <c r="A825" t="s">
        <v>43</v>
      </c>
      <c r="B825" t="s">
        <v>206</v>
      </c>
      <c r="C825">
        <v>2012</v>
      </c>
      <c r="D825" t="s">
        <v>1027</v>
      </c>
      <c r="E825" t="s">
        <v>130</v>
      </c>
      <c r="F825" t="s">
        <v>40</v>
      </c>
      <c r="G825" t="s">
        <v>1028</v>
      </c>
      <c r="H825" t="s">
        <v>12</v>
      </c>
      <c r="I825" t="s">
        <v>26</v>
      </c>
      <c r="J825">
        <v>93203</v>
      </c>
      <c r="K825">
        <v>35.148699999999998</v>
      </c>
      <c r="L825">
        <v>-118.8905</v>
      </c>
      <c r="M825" t="s">
        <v>1027</v>
      </c>
      <c r="N825">
        <v>20</v>
      </c>
      <c r="O825" t="s">
        <v>36</v>
      </c>
      <c r="P825">
        <v>8</v>
      </c>
      <c r="Q825">
        <v>21.65</v>
      </c>
      <c r="R825" t="s">
        <v>370</v>
      </c>
      <c r="S825" s="18">
        <v>41183</v>
      </c>
      <c r="T825" s="18">
        <v>41217</v>
      </c>
    </row>
    <row r="826" spans="1:20" hidden="1" x14ac:dyDescent="0.25">
      <c r="A826" t="s">
        <v>43</v>
      </c>
      <c r="B826" t="s">
        <v>206</v>
      </c>
      <c r="C826">
        <v>2012</v>
      </c>
      <c r="D826" t="s">
        <v>1026</v>
      </c>
      <c r="E826" t="s">
        <v>130</v>
      </c>
      <c r="F826" t="s">
        <v>40</v>
      </c>
      <c r="G826" t="s">
        <v>711</v>
      </c>
      <c r="H826" t="s">
        <v>153</v>
      </c>
      <c r="I826" t="s">
        <v>26</v>
      </c>
      <c r="J826">
        <v>93635</v>
      </c>
      <c r="K826">
        <v>36.9148</v>
      </c>
      <c r="L826">
        <v>-120.8198</v>
      </c>
      <c r="M826" t="s">
        <v>1026</v>
      </c>
      <c r="N826">
        <v>20</v>
      </c>
      <c r="O826" t="s">
        <v>36</v>
      </c>
      <c r="P826">
        <v>20</v>
      </c>
      <c r="Q826">
        <v>50.25</v>
      </c>
      <c r="R826" t="s">
        <v>370</v>
      </c>
      <c r="S826" s="18">
        <v>41183</v>
      </c>
      <c r="T826" s="18">
        <v>41217</v>
      </c>
    </row>
    <row r="827" spans="1:20" hidden="1" x14ac:dyDescent="0.25">
      <c r="A827" t="s">
        <v>43</v>
      </c>
      <c r="B827" t="s">
        <v>540</v>
      </c>
      <c r="C827">
        <v>2012</v>
      </c>
      <c r="D827" t="s">
        <v>1024</v>
      </c>
      <c r="E827" t="s">
        <v>90</v>
      </c>
      <c r="F827" t="s">
        <v>40</v>
      </c>
      <c r="G827" t="s">
        <v>1025</v>
      </c>
      <c r="H827" t="s">
        <v>88</v>
      </c>
      <c r="I827" t="s">
        <v>26</v>
      </c>
      <c r="J827">
        <v>92882</v>
      </c>
      <c r="K827">
        <v>33.891100000000002</v>
      </c>
      <c r="L827">
        <v>-117.58880000000001</v>
      </c>
      <c r="M827" t="s">
        <v>1024</v>
      </c>
      <c r="N827">
        <v>20</v>
      </c>
      <c r="O827" t="s">
        <v>36</v>
      </c>
      <c r="P827">
        <v>0.999</v>
      </c>
      <c r="Q827">
        <v>1.95</v>
      </c>
      <c r="S827" s="18">
        <v>41213</v>
      </c>
      <c r="T827" s="18">
        <v>41309</v>
      </c>
    </row>
    <row r="828" spans="1:20" hidden="1" x14ac:dyDescent="0.25">
      <c r="A828" t="s">
        <v>43</v>
      </c>
      <c r="B828" t="s">
        <v>540</v>
      </c>
      <c r="C828">
        <v>2013</v>
      </c>
      <c r="D828" t="s">
        <v>1022</v>
      </c>
      <c r="E828" t="s">
        <v>130</v>
      </c>
      <c r="F828" t="s">
        <v>40</v>
      </c>
      <c r="G828" t="s">
        <v>1023</v>
      </c>
      <c r="H828" t="s">
        <v>146</v>
      </c>
      <c r="I828" t="s">
        <v>26</v>
      </c>
      <c r="J828">
        <v>93608</v>
      </c>
      <c r="K828">
        <v>36.576942080000002</v>
      </c>
      <c r="L828">
        <v>-120.3942254</v>
      </c>
      <c r="M828" t="s">
        <v>1022</v>
      </c>
      <c r="N828">
        <v>15</v>
      </c>
      <c r="O828" t="s">
        <v>36</v>
      </c>
      <c r="P828">
        <v>205.29599999999999</v>
      </c>
      <c r="Q828">
        <v>573.91600000000005</v>
      </c>
      <c r="S828" s="18">
        <v>41940</v>
      </c>
      <c r="T828" s="18">
        <v>42076</v>
      </c>
    </row>
    <row r="829" spans="1:20" x14ac:dyDescent="0.25">
      <c r="A829" t="s">
        <v>43</v>
      </c>
      <c r="B829" t="s">
        <v>206</v>
      </c>
      <c r="C829">
        <v>2014</v>
      </c>
      <c r="D829" t="s">
        <v>1021</v>
      </c>
      <c r="E829" t="s">
        <v>90</v>
      </c>
      <c r="F829" t="s">
        <v>40</v>
      </c>
      <c r="G829" t="s">
        <v>347</v>
      </c>
      <c r="H829" t="s">
        <v>12</v>
      </c>
      <c r="I829" t="s">
        <v>26</v>
      </c>
      <c r="J829">
        <v>93560</v>
      </c>
      <c r="K829">
        <v>34.821452999999998</v>
      </c>
      <c r="L829">
        <v>-118.497406</v>
      </c>
      <c r="M829" t="s">
        <v>1020</v>
      </c>
      <c r="N829">
        <v>20</v>
      </c>
      <c r="O829" t="s">
        <v>36</v>
      </c>
      <c r="P829">
        <v>20</v>
      </c>
      <c r="Q829">
        <v>61.71</v>
      </c>
      <c r="R829" t="s">
        <v>785</v>
      </c>
      <c r="S829" s="18">
        <v>41949</v>
      </c>
      <c r="T829" s="18">
        <v>42025</v>
      </c>
    </row>
    <row r="830" spans="1:20" x14ac:dyDescent="0.25">
      <c r="A830" t="s">
        <v>43</v>
      </c>
      <c r="B830" t="s">
        <v>197</v>
      </c>
      <c r="C830">
        <v>2015</v>
      </c>
      <c r="D830" t="s">
        <v>1019</v>
      </c>
      <c r="E830" t="s">
        <v>130</v>
      </c>
      <c r="F830" t="s">
        <v>40</v>
      </c>
      <c r="G830" t="s">
        <v>347</v>
      </c>
      <c r="H830" t="s">
        <v>12</v>
      </c>
      <c r="I830" t="s">
        <v>26</v>
      </c>
      <c r="J830">
        <v>93560</v>
      </c>
      <c r="K830">
        <v>34.825266999999997</v>
      </c>
      <c r="L830">
        <v>-118.52498900000001</v>
      </c>
      <c r="M830" t="s">
        <v>1018</v>
      </c>
      <c r="N830">
        <v>15</v>
      </c>
      <c r="O830" t="s">
        <v>36</v>
      </c>
      <c r="P830">
        <v>186.96</v>
      </c>
      <c r="Q830">
        <v>574.15</v>
      </c>
    </row>
    <row r="831" spans="1:20" hidden="1" x14ac:dyDescent="0.25">
      <c r="A831" t="s">
        <v>43</v>
      </c>
      <c r="B831" t="s">
        <v>42</v>
      </c>
      <c r="C831">
        <v>2021</v>
      </c>
      <c r="D831" t="s">
        <v>1016</v>
      </c>
      <c r="E831" t="s">
        <v>1013</v>
      </c>
      <c r="F831" t="s">
        <v>40</v>
      </c>
      <c r="G831" t="s">
        <v>1017</v>
      </c>
      <c r="H831" t="s">
        <v>259</v>
      </c>
      <c r="I831" t="s">
        <v>26</v>
      </c>
      <c r="J831">
        <v>90813</v>
      </c>
      <c r="K831">
        <v>33.781006938437002</v>
      </c>
      <c r="L831">
        <v>-118.222084990141</v>
      </c>
      <c r="M831" t="s">
        <v>1016</v>
      </c>
      <c r="N831">
        <v>20</v>
      </c>
      <c r="O831" t="s">
        <v>36</v>
      </c>
      <c r="P831">
        <v>2.2999999999999998</v>
      </c>
      <c r="Q831">
        <v>13.0214</v>
      </c>
    </row>
    <row r="832" spans="1:20" hidden="1" x14ac:dyDescent="0.25">
      <c r="A832" t="s">
        <v>43</v>
      </c>
      <c r="B832" t="s">
        <v>923</v>
      </c>
      <c r="C832">
        <v>2018</v>
      </c>
      <c r="D832" t="s">
        <v>1015</v>
      </c>
      <c r="E832" t="s">
        <v>1013</v>
      </c>
      <c r="F832" t="s">
        <v>40</v>
      </c>
      <c r="G832" t="s">
        <v>181</v>
      </c>
      <c r="H832" t="s">
        <v>181</v>
      </c>
      <c r="I832" t="s">
        <v>26</v>
      </c>
      <c r="J832">
        <v>93274</v>
      </c>
      <c r="K832">
        <v>36.183000465424001</v>
      </c>
      <c r="L832">
        <v>-119.373718648402</v>
      </c>
      <c r="M832" t="s">
        <v>1014</v>
      </c>
      <c r="N832">
        <v>20</v>
      </c>
      <c r="O832" t="s">
        <v>36</v>
      </c>
      <c r="P832">
        <v>2.8</v>
      </c>
      <c r="Q832">
        <v>21</v>
      </c>
    </row>
    <row r="833" spans="1:20" hidden="1" x14ac:dyDescent="0.25">
      <c r="A833" t="s">
        <v>43</v>
      </c>
      <c r="B833" t="s">
        <v>923</v>
      </c>
      <c r="C833">
        <v>2019</v>
      </c>
      <c r="D833" t="s">
        <v>1011</v>
      </c>
      <c r="E833" t="s">
        <v>1013</v>
      </c>
      <c r="F833" t="s">
        <v>40</v>
      </c>
      <c r="G833" t="s">
        <v>1012</v>
      </c>
      <c r="H833" t="s">
        <v>270</v>
      </c>
      <c r="I833" t="s">
        <v>26</v>
      </c>
      <c r="J833">
        <v>93117</v>
      </c>
      <c r="K833">
        <v>34.4821735120318</v>
      </c>
      <c r="L833">
        <v>-120.12334952192001</v>
      </c>
      <c r="M833" t="s">
        <v>1011</v>
      </c>
      <c r="N833">
        <v>20</v>
      </c>
      <c r="O833" t="s">
        <v>36</v>
      </c>
      <c r="P833">
        <v>1.99</v>
      </c>
      <c r="Q833">
        <v>18</v>
      </c>
    </row>
    <row r="834" spans="1:20" hidden="1" x14ac:dyDescent="0.25">
      <c r="A834" t="s">
        <v>43</v>
      </c>
      <c r="B834" t="s">
        <v>197</v>
      </c>
      <c r="C834">
        <v>2006</v>
      </c>
      <c r="D834" t="s">
        <v>1010</v>
      </c>
      <c r="E834" t="s">
        <v>143</v>
      </c>
      <c r="F834" t="s">
        <v>40</v>
      </c>
      <c r="G834" t="s">
        <v>1009</v>
      </c>
      <c r="H834" t="s">
        <v>1008</v>
      </c>
      <c r="I834" t="s">
        <v>294</v>
      </c>
      <c r="J834">
        <v>89407</v>
      </c>
      <c r="K834">
        <v>39.965600000000002</v>
      </c>
      <c r="L834">
        <v>-117.855931</v>
      </c>
      <c r="M834" t="s">
        <v>1007</v>
      </c>
      <c r="N834">
        <v>20</v>
      </c>
      <c r="O834" t="s">
        <v>24</v>
      </c>
      <c r="P834">
        <v>53</v>
      </c>
      <c r="Q834">
        <v>417.85</v>
      </c>
      <c r="S834" s="18">
        <v>39276</v>
      </c>
      <c r="T834" s="18">
        <v>39520</v>
      </c>
    </row>
    <row r="835" spans="1:20" hidden="1" x14ac:dyDescent="0.25">
      <c r="A835" t="s">
        <v>43</v>
      </c>
      <c r="B835" t="s">
        <v>263</v>
      </c>
      <c r="C835">
        <v>2013</v>
      </c>
      <c r="D835" t="s">
        <v>1006</v>
      </c>
      <c r="E835" t="s">
        <v>47</v>
      </c>
      <c r="F835" t="s">
        <v>40</v>
      </c>
      <c r="G835" t="s">
        <v>1005</v>
      </c>
      <c r="H835" t="s">
        <v>259</v>
      </c>
      <c r="I835" t="s">
        <v>26</v>
      </c>
      <c r="J835">
        <v>90275</v>
      </c>
      <c r="K835">
        <v>33.760209089999996</v>
      </c>
      <c r="L835">
        <v>-118.378094</v>
      </c>
      <c r="M835" t="s">
        <v>1004</v>
      </c>
      <c r="N835">
        <v>20</v>
      </c>
      <c r="O835" t="s">
        <v>36</v>
      </c>
      <c r="P835">
        <v>0.32500000000000001</v>
      </c>
      <c r="Q835">
        <v>0.42</v>
      </c>
    </row>
    <row r="836" spans="1:20" hidden="1" x14ac:dyDescent="0.25">
      <c r="A836" t="s">
        <v>43</v>
      </c>
      <c r="B836" t="s">
        <v>263</v>
      </c>
      <c r="C836">
        <v>2013</v>
      </c>
      <c r="D836" t="s">
        <v>1003</v>
      </c>
      <c r="E836" t="s">
        <v>130</v>
      </c>
      <c r="F836" t="s">
        <v>40</v>
      </c>
      <c r="G836" t="s">
        <v>546</v>
      </c>
      <c r="H836" t="s">
        <v>259</v>
      </c>
      <c r="I836" t="s">
        <v>26</v>
      </c>
      <c r="J836">
        <v>93535</v>
      </c>
      <c r="K836">
        <v>34.662599999999998</v>
      </c>
      <c r="L836">
        <v>-118.084468</v>
      </c>
      <c r="M836" t="s">
        <v>1003</v>
      </c>
      <c r="N836">
        <v>20</v>
      </c>
      <c r="O836" t="s">
        <v>36</v>
      </c>
      <c r="P836">
        <v>1.5</v>
      </c>
      <c r="Q836">
        <v>4.7300000000000004</v>
      </c>
    </row>
    <row r="837" spans="1:20" hidden="1" x14ac:dyDescent="0.25">
      <c r="A837" t="s">
        <v>43</v>
      </c>
      <c r="B837" t="s">
        <v>540</v>
      </c>
      <c r="C837">
        <v>2013</v>
      </c>
      <c r="D837" t="s">
        <v>1002</v>
      </c>
      <c r="E837" t="s">
        <v>90</v>
      </c>
      <c r="F837" t="s">
        <v>40</v>
      </c>
      <c r="G837" t="s">
        <v>88</v>
      </c>
      <c r="H837" t="s">
        <v>88</v>
      </c>
      <c r="I837" t="s">
        <v>26</v>
      </c>
      <c r="J837">
        <v>92518</v>
      </c>
      <c r="K837">
        <v>33.896338999999998</v>
      </c>
      <c r="L837">
        <v>-117.284136</v>
      </c>
      <c r="M837" t="s">
        <v>998</v>
      </c>
      <c r="N837">
        <v>20</v>
      </c>
      <c r="O837" t="s">
        <v>36</v>
      </c>
      <c r="P837">
        <v>1.49</v>
      </c>
      <c r="Q837">
        <v>3.05</v>
      </c>
      <c r="S837" s="18">
        <v>41716</v>
      </c>
      <c r="T837" s="18">
        <v>41771</v>
      </c>
    </row>
    <row r="838" spans="1:20" hidden="1" x14ac:dyDescent="0.25">
      <c r="A838" t="s">
        <v>43</v>
      </c>
      <c r="B838" t="s">
        <v>540</v>
      </c>
      <c r="C838">
        <v>2013</v>
      </c>
      <c r="D838" t="s">
        <v>1001</v>
      </c>
      <c r="E838" t="s">
        <v>90</v>
      </c>
      <c r="F838" t="s">
        <v>40</v>
      </c>
      <c r="G838" t="s">
        <v>1000</v>
      </c>
      <c r="H838" t="s">
        <v>133</v>
      </c>
      <c r="I838" t="s">
        <v>26</v>
      </c>
      <c r="J838">
        <v>92824</v>
      </c>
      <c r="K838">
        <v>34.039453000000002</v>
      </c>
      <c r="L838">
        <v>-117.604308</v>
      </c>
      <c r="M838" t="s">
        <v>998</v>
      </c>
      <c r="N838">
        <v>20</v>
      </c>
      <c r="O838" t="s">
        <v>36</v>
      </c>
      <c r="P838">
        <v>1.49</v>
      </c>
      <c r="Q838">
        <v>2.99</v>
      </c>
      <c r="S838" s="18">
        <v>41716</v>
      </c>
      <c r="T838" s="18">
        <v>41771</v>
      </c>
    </row>
    <row r="839" spans="1:20" hidden="1" x14ac:dyDescent="0.25">
      <c r="A839" t="s">
        <v>43</v>
      </c>
      <c r="B839" t="s">
        <v>540</v>
      </c>
      <c r="C839">
        <v>2013</v>
      </c>
      <c r="D839" t="s">
        <v>999</v>
      </c>
      <c r="E839" t="s">
        <v>90</v>
      </c>
      <c r="F839" t="s">
        <v>40</v>
      </c>
      <c r="G839" t="s">
        <v>906</v>
      </c>
      <c r="H839" t="s">
        <v>133</v>
      </c>
      <c r="I839" t="s">
        <v>26</v>
      </c>
      <c r="J839">
        <v>91730</v>
      </c>
      <c r="K839">
        <v>34.100290000000001</v>
      </c>
      <c r="L839">
        <v>-117.55235</v>
      </c>
      <c r="M839" t="s">
        <v>998</v>
      </c>
      <c r="N839">
        <v>20</v>
      </c>
      <c r="O839" t="s">
        <v>36</v>
      </c>
      <c r="P839">
        <v>1.75</v>
      </c>
      <c r="Q839">
        <v>3.44</v>
      </c>
      <c r="S839" s="18">
        <v>41716</v>
      </c>
      <c r="T839" s="18">
        <v>41771</v>
      </c>
    </row>
    <row r="840" spans="1:20" hidden="1" x14ac:dyDescent="0.25">
      <c r="A840" t="s">
        <v>43</v>
      </c>
      <c r="B840" t="s">
        <v>206</v>
      </c>
      <c r="C840">
        <v>2014</v>
      </c>
      <c r="D840" t="s">
        <v>997</v>
      </c>
      <c r="E840" t="s">
        <v>130</v>
      </c>
      <c r="F840" t="s">
        <v>40</v>
      </c>
      <c r="G840" t="s">
        <v>546</v>
      </c>
      <c r="H840" t="s">
        <v>259</v>
      </c>
      <c r="I840" t="s">
        <v>26</v>
      </c>
      <c r="J840">
        <v>93536</v>
      </c>
      <c r="K840">
        <v>34.716700000000003</v>
      </c>
      <c r="L840">
        <v>-118.279945</v>
      </c>
      <c r="M840" t="s">
        <v>997</v>
      </c>
      <c r="N840">
        <v>20</v>
      </c>
      <c r="O840" t="s">
        <v>36</v>
      </c>
      <c r="P840">
        <v>20</v>
      </c>
      <c r="Q840">
        <v>47.62</v>
      </c>
      <c r="R840" t="s">
        <v>785</v>
      </c>
      <c r="S840" s="18">
        <v>41949</v>
      </c>
      <c r="T840" s="18">
        <v>42025</v>
      </c>
    </row>
    <row r="841" spans="1:20" x14ac:dyDescent="0.25">
      <c r="A841" t="s">
        <v>43</v>
      </c>
      <c r="B841" t="s">
        <v>197</v>
      </c>
      <c r="C841">
        <v>2015</v>
      </c>
      <c r="D841" t="s">
        <v>996</v>
      </c>
      <c r="E841" t="s">
        <v>130</v>
      </c>
      <c r="F841" t="s">
        <v>40</v>
      </c>
      <c r="G841" t="s">
        <v>347</v>
      </c>
      <c r="H841" t="s">
        <v>12</v>
      </c>
      <c r="I841" t="s">
        <v>26</v>
      </c>
      <c r="J841">
        <v>93560</v>
      </c>
      <c r="K841">
        <v>34.840000000000003</v>
      </c>
      <c r="L841">
        <v>-118.325</v>
      </c>
      <c r="M841" t="s">
        <v>995</v>
      </c>
      <c r="N841">
        <v>15</v>
      </c>
      <c r="O841" t="s">
        <v>36</v>
      </c>
      <c r="P841">
        <v>108</v>
      </c>
      <c r="Q841">
        <v>330</v>
      </c>
      <c r="S841" s="18">
        <v>42361</v>
      </c>
      <c r="T841" s="18">
        <v>42385</v>
      </c>
    </row>
    <row r="842" spans="1:20" hidden="1" x14ac:dyDescent="0.25">
      <c r="A842" t="s">
        <v>43</v>
      </c>
      <c r="B842" t="s">
        <v>197</v>
      </c>
      <c r="C842">
        <v>2003</v>
      </c>
      <c r="D842" t="s">
        <v>994</v>
      </c>
      <c r="E842" t="s">
        <v>30</v>
      </c>
      <c r="F842" t="s">
        <v>40</v>
      </c>
      <c r="G842" t="s">
        <v>60</v>
      </c>
      <c r="H842" t="s">
        <v>88</v>
      </c>
      <c r="I842" t="s">
        <v>26</v>
      </c>
      <c r="J842">
        <v>92258</v>
      </c>
      <c r="K842">
        <v>33.911099999999998</v>
      </c>
      <c r="L842">
        <v>-116.5628</v>
      </c>
      <c r="M842" t="s">
        <v>993</v>
      </c>
      <c r="N842">
        <v>20</v>
      </c>
      <c r="O842" t="s">
        <v>24</v>
      </c>
      <c r="P842">
        <v>45</v>
      </c>
      <c r="Q842">
        <v>137.97</v>
      </c>
      <c r="S842" s="18">
        <v>38960</v>
      </c>
      <c r="T842" s="18">
        <v>39093</v>
      </c>
    </row>
    <row r="843" spans="1:20" hidden="1" x14ac:dyDescent="0.25">
      <c r="A843" t="s">
        <v>43</v>
      </c>
      <c r="B843" t="s">
        <v>206</v>
      </c>
      <c r="C843">
        <v>2014</v>
      </c>
      <c r="D843" t="s">
        <v>992</v>
      </c>
      <c r="E843" t="s">
        <v>30</v>
      </c>
      <c r="F843" t="s">
        <v>40</v>
      </c>
      <c r="G843" t="s">
        <v>60</v>
      </c>
      <c r="H843" t="s">
        <v>88</v>
      </c>
      <c r="I843" t="s">
        <v>26</v>
      </c>
      <c r="J843">
        <v>92262</v>
      </c>
      <c r="K843">
        <v>35.095799999999997</v>
      </c>
      <c r="L843">
        <v>-118.32083299999999</v>
      </c>
      <c r="M843" t="s">
        <v>79</v>
      </c>
      <c r="N843">
        <v>15</v>
      </c>
      <c r="O843" t="s">
        <v>36</v>
      </c>
      <c r="P843">
        <v>9.8000000000000007</v>
      </c>
      <c r="Q843">
        <v>28.33</v>
      </c>
      <c r="R843" t="s">
        <v>785</v>
      </c>
      <c r="S843" s="18">
        <v>41949</v>
      </c>
      <c r="T843" s="18">
        <v>42025</v>
      </c>
    </row>
    <row r="844" spans="1:20" hidden="1" x14ac:dyDescent="0.25">
      <c r="A844" t="s">
        <v>43</v>
      </c>
      <c r="B844" t="s">
        <v>197</v>
      </c>
      <c r="C844">
        <v>2015</v>
      </c>
      <c r="D844" t="s">
        <v>991</v>
      </c>
      <c r="E844" t="s">
        <v>30</v>
      </c>
      <c r="F844" t="s">
        <v>40</v>
      </c>
      <c r="G844" t="s">
        <v>990</v>
      </c>
      <c r="H844" t="s">
        <v>989</v>
      </c>
      <c r="I844" t="s">
        <v>988</v>
      </c>
      <c r="J844">
        <v>87009</v>
      </c>
      <c r="K844">
        <v>34.595509999999997</v>
      </c>
      <c r="L844">
        <v>-105.706</v>
      </c>
      <c r="M844" t="s">
        <v>987</v>
      </c>
      <c r="N844">
        <v>20</v>
      </c>
      <c r="O844" t="s">
        <v>36</v>
      </c>
      <c r="P844">
        <v>298</v>
      </c>
      <c r="Q844">
        <v>1245.1989599999999</v>
      </c>
      <c r="S844" s="18">
        <v>42409</v>
      </c>
      <c r="T844" s="18">
        <v>42516</v>
      </c>
    </row>
    <row r="845" spans="1:20" hidden="1" x14ac:dyDescent="0.25">
      <c r="A845" t="s">
        <v>43</v>
      </c>
      <c r="B845" t="s">
        <v>197</v>
      </c>
      <c r="C845">
        <v>2014</v>
      </c>
      <c r="D845" t="s">
        <v>986</v>
      </c>
      <c r="E845" t="s">
        <v>30</v>
      </c>
      <c r="F845" t="s">
        <v>40</v>
      </c>
      <c r="G845" t="s">
        <v>129</v>
      </c>
      <c r="H845" t="s">
        <v>129</v>
      </c>
      <c r="I845" t="s">
        <v>26</v>
      </c>
      <c r="J845">
        <v>91905</v>
      </c>
      <c r="K845">
        <v>32.773000000000003</v>
      </c>
      <c r="L845">
        <v>-116.29</v>
      </c>
      <c r="M845" t="s">
        <v>986</v>
      </c>
      <c r="N845">
        <v>15</v>
      </c>
      <c r="O845" t="s">
        <v>36</v>
      </c>
      <c r="P845">
        <v>132</v>
      </c>
      <c r="Q845">
        <v>380.892</v>
      </c>
      <c r="T845" s="18">
        <v>42481</v>
      </c>
    </row>
    <row r="846" spans="1:20" hidden="1" x14ac:dyDescent="0.25">
      <c r="A846" t="s">
        <v>43</v>
      </c>
      <c r="B846" t="s">
        <v>197</v>
      </c>
      <c r="C846">
        <v>2015</v>
      </c>
      <c r="D846" t="s">
        <v>985</v>
      </c>
      <c r="E846" t="s">
        <v>30</v>
      </c>
      <c r="F846" t="s">
        <v>40</v>
      </c>
      <c r="G846" t="s">
        <v>81</v>
      </c>
      <c r="H846" t="s">
        <v>12</v>
      </c>
      <c r="I846" t="s">
        <v>26</v>
      </c>
      <c r="J846">
        <v>93561</v>
      </c>
      <c r="K846">
        <v>35.052838999999999</v>
      </c>
      <c r="L846">
        <v>-118.310547</v>
      </c>
      <c r="M846" t="s">
        <v>79</v>
      </c>
      <c r="N846">
        <v>15</v>
      </c>
      <c r="O846" t="s">
        <v>36</v>
      </c>
      <c r="P846">
        <v>132</v>
      </c>
      <c r="Q846">
        <v>439.40159999999997</v>
      </c>
      <c r="T846" s="18">
        <v>42481</v>
      </c>
    </row>
    <row r="847" spans="1:20" hidden="1" x14ac:dyDescent="0.25">
      <c r="A847" t="s">
        <v>43</v>
      </c>
      <c r="B847" t="s">
        <v>206</v>
      </c>
      <c r="C847">
        <v>2014</v>
      </c>
      <c r="D847" t="s">
        <v>984</v>
      </c>
      <c r="E847" t="s">
        <v>30</v>
      </c>
      <c r="F847" t="s">
        <v>40</v>
      </c>
      <c r="G847" t="s">
        <v>81</v>
      </c>
      <c r="H847" t="s">
        <v>12</v>
      </c>
      <c r="I847" t="s">
        <v>26</v>
      </c>
      <c r="J847">
        <v>93501</v>
      </c>
      <c r="K847">
        <v>35.075000000000003</v>
      </c>
      <c r="L847">
        <v>-118.33333</v>
      </c>
      <c r="M847" t="s">
        <v>79</v>
      </c>
      <c r="N847">
        <v>15</v>
      </c>
      <c r="O847" t="s">
        <v>36</v>
      </c>
      <c r="P847">
        <v>11.9</v>
      </c>
      <c r="Q847">
        <v>35.44</v>
      </c>
      <c r="R847" t="s">
        <v>785</v>
      </c>
      <c r="S847" s="18">
        <v>41949</v>
      </c>
      <c r="T847" s="18">
        <v>42025</v>
      </c>
    </row>
    <row r="848" spans="1:20" hidden="1" x14ac:dyDescent="0.25">
      <c r="A848" t="s">
        <v>33</v>
      </c>
      <c r="B848" t="s">
        <v>923</v>
      </c>
      <c r="C848">
        <v>2016</v>
      </c>
      <c r="D848" t="s">
        <v>983</v>
      </c>
      <c r="E848" t="s">
        <v>948</v>
      </c>
      <c r="F848" t="s">
        <v>40</v>
      </c>
      <c r="G848" t="s">
        <v>70</v>
      </c>
      <c r="H848" t="s">
        <v>69</v>
      </c>
      <c r="I848" t="s">
        <v>26</v>
      </c>
      <c r="J848">
        <v>95134</v>
      </c>
      <c r="K848">
        <v>37.433645599999998</v>
      </c>
      <c r="L848">
        <v>-121.9512198</v>
      </c>
      <c r="M848" t="s">
        <v>982</v>
      </c>
      <c r="N848">
        <v>10</v>
      </c>
      <c r="O848" t="s">
        <v>36</v>
      </c>
      <c r="P848">
        <v>1.6</v>
      </c>
      <c r="Q848">
        <v>6.0940000000000003</v>
      </c>
    </row>
    <row r="849" spans="1:20" hidden="1" x14ac:dyDescent="0.25">
      <c r="A849" t="s">
        <v>33</v>
      </c>
      <c r="B849" t="s">
        <v>923</v>
      </c>
      <c r="C849">
        <v>2017</v>
      </c>
      <c r="D849" t="s">
        <v>981</v>
      </c>
      <c r="E849" t="s">
        <v>948</v>
      </c>
      <c r="F849" t="s">
        <v>40</v>
      </c>
      <c r="G849" t="s">
        <v>229</v>
      </c>
      <c r="H849" t="s">
        <v>229</v>
      </c>
      <c r="I849" t="s">
        <v>26</v>
      </c>
      <c r="J849">
        <v>93401</v>
      </c>
      <c r="K849">
        <v>35.240306070000003</v>
      </c>
      <c r="L849">
        <v>-120.6511624</v>
      </c>
      <c r="M849" t="s">
        <v>980</v>
      </c>
      <c r="N849">
        <v>20</v>
      </c>
      <c r="O849" t="s">
        <v>36</v>
      </c>
      <c r="P849">
        <v>0.85299999999999998</v>
      </c>
      <c r="Q849">
        <v>3.544</v>
      </c>
    </row>
    <row r="850" spans="1:20" hidden="1" x14ac:dyDescent="0.25">
      <c r="A850" t="s">
        <v>33</v>
      </c>
      <c r="B850" t="s">
        <v>923</v>
      </c>
      <c r="C850">
        <v>2017</v>
      </c>
      <c r="D850" t="s">
        <v>978</v>
      </c>
      <c r="E850" t="s">
        <v>948</v>
      </c>
      <c r="F850" t="s">
        <v>40</v>
      </c>
      <c r="G850" t="s">
        <v>979</v>
      </c>
      <c r="H850" t="s">
        <v>12</v>
      </c>
      <c r="I850" t="s">
        <v>26</v>
      </c>
      <c r="J850">
        <v>93906</v>
      </c>
      <c r="K850">
        <v>35.476995741271899</v>
      </c>
      <c r="L850">
        <v>-119.43413177566499</v>
      </c>
      <c r="M850" t="s">
        <v>978</v>
      </c>
      <c r="N850">
        <v>20</v>
      </c>
      <c r="O850" t="s">
        <v>36</v>
      </c>
      <c r="P850">
        <v>1</v>
      </c>
      <c r="Q850">
        <v>5.7</v>
      </c>
    </row>
    <row r="851" spans="1:20" hidden="1" x14ac:dyDescent="0.25">
      <c r="A851" t="s">
        <v>33</v>
      </c>
      <c r="B851" t="s">
        <v>923</v>
      </c>
      <c r="C851">
        <v>2017</v>
      </c>
      <c r="D851" t="s">
        <v>977</v>
      </c>
      <c r="E851" t="s">
        <v>948</v>
      </c>
      <c r="F851" t="s">
        <v>40</v>
      </c>
      <c r="G851" t="s">
        <v>173</v>
      </c>
      <c r="H851" t="s">
        <v>12</v>
      </c>
      <c r="I851" t="s">
        <v>26</v>
      </c>
      <c r="J851">
        <v>93311</v>
      </c>
      <c r="K851">
        <v>35.214388409428999</v>
      </c>
      <c r="L851">
        <v>-119.203054105131</v>
      </c>
      <c r="M851" t="s">
        <v>977</v>
      </c>
      <c r="N851">
        <v>20</v>
      </c>
      <c r="O851" t="s">
        <v>36</v>
      </c>
      <c r="P851">
        <v>1</v>
      </c>
      <c r="Q851">
        <v>5.0999999999999996</v>
      </c>
    </row>
    <row r="852" spans="1:20" hidden="1" x14ac:dyDescent="0.25">
      <c r="A852" t="s">
        <v>33</v>
      </c>
      <c r="B852" t="s">
        <v>923</v>
      </c>
      <c r="C852">
        <v>2017</v>
      </c>
      <c r="D852" t="s">
        <v>976</v>
      </c>
      <c r="E852" t="s">
        <v>948</v>
      </c>
      <c r="F852" t="s">
        <v>40</v>
      </c>
      <c r="G852" t="s">
        <v>173</v>
      </c>
      <c r="H852" t="s">
        <v>12</v>
      </c>
      <c r="I852" t="s">
        <v>26</v>
      </c>
      <c r="J852">
        <v>93311</v>
      </c>
      <c r="K852">
        <v>35.173330363180298</v>
      </c>
      <c r="L852">
        <v>-119.11554278961199</v>
      </c>
      <c r="M852" t="s">
        <v>976</v>
      </c>
      <c r="N852">
        <v>20</v>
      </c>
      <c r="O852" t="s">
        <v>36</v>
      </c>
      <c r="P852">
        <v>1</v>
      </c>
      <c r="Q852">
        <v>5.7</v>
      </c>
    </row>
    <row r="853" spans="1:20" hidden="1" x14ac:dyDescent="0.25">
      <c r="A853" t="s">
        <v>33</v>
      </c>
      <c r="B853" t="s">
        <v>923</v>
      </c>
      <c r="C853">
        <v>2018</v>
      </c>
      <c r="D853" t="s">
        <v>975</v>
      </c>
      <c r="E853" t="s">
        <v>948</v>
      </c>
      <c r="F853" t="s">
        <v>40</v>
      </c>
      <c r="G853" t="s">
        <v>973</v>
      </c>
      <c r="H853" t="s">
        <v>533</v>
      </c>
      <c r="I853" t="s">
        <v>26</v>
      </c>
      <c r="J853">
        <v>93230</v>
      </c>
      <c r="K853">
        <v>36.182243279983403</v>
      </c>
      <c r="L853">
        <v>-119.678238554041</v>
      </c>
      <c r="M853" t="s">
        <v>972</v>
      </c>
      <c r="N853">
        <v>20</v>
      </c>
      <c r="O853" t="s">
        <v>36</v>
      </c>
      <c r="P853">
        <v>1.028</v>
      </c>
      <c r="Q853">
        <v>5.8</v>
      </c>
    </row>
    <row r="854" spans="1:20" hidden="1" x14ac:dyDescent="0.25">
      <c r="A854" t="s">
        <v>33</v>
      </c>
      <c r="B854" t="s">
        <v>923</v>
      </c>
      <c r="C854">
        <v>2018</v>
      </c>
      <c r="D854" t="s">
        <v>974</v>
      </c>
      <c r="E854" t="s">
        <v>948</v>
      </c>
      <c r="F854" t="s">
        <v>40</v>
      </c>
      <c r="G854" t="s">
        <v>973</v>
      </c>
      <c r="H854" t="s">
        <v>533</v>
      </c>
      <c r="I854" t="s">
        <v>26</v>
      </c>
      <c r="J854">
        <v>93230</v>
      </c>
      <c r="K854">
        <v>36.182273588956797</v>
      </c>
      <c r="L854">
        <v>-119.678073598186</v>
      </c>
      <c r="M854" t="s">
        <v>972</v>
      </c>
      <c r="N854">
        <v>20</v>
      </c>
      <c r="O854" t="s">
        <v>36</v>
      </c>
      <c r="P854">
        <v>1.028</v>
      </c>
      <c r="Q854">
        <v>5.8</v>
      </c>
    </row>
    <row r="855" spans="1:20" hidden="1" x14ac:dyDescent="0.25">
      <c r="A855" t="s">
        <v>33</v>
      </c>
      <c r="B855" t="s">
        <v>923</v>
      </c>
      <c r="C855">
        <v>2018</v>
      </c>
      <c r="D855" t="s">
        <v>971</v>
      </c>
      <c r="E855" t="s">
        <v>948</v>
      </c>
      <c r="F855" t="s">
        <v>40</v>
      </c>
      <c r="G855" t="s">
        <v>178</v>
      </c>
      <c r="H855" t="s">
        <v>178</v>
      </c>
      <c r="I855" t="s">
        <v>26</v>
      </c>
      <c r="J855">
        <v>93637</v>
      </c>
      <c r="K855">
        <v>36.933919534171999</v>
      </c>
      <c r="L855">
        <v>-120.388897496742</v>
      </c>
      <c r="M855" t="s">
        <v>970</v>
      </c>
      <c r="N855">
        <v>20</v>
      </c>
      <c r="O855" t="s">
        <v>36</v>
      </c>
      <c r="P855">
        <v>0.8</v>
      </c>
    </row>
    <row r="856" spans="1:20" hidden="1" x14ac:dyDescent="0.25">
      <c r="A856" t="s">
        <v>33</v>
      </c>
      <c r="B856" t="s">
        <v>923</v>
      </c>
      <c r="C856">
        <v>2018</v>
      </c>
      <c r="D856" t="s">
        <v>969</v>
      </c>
      <c r="E856" t="s">
        <v>948</v>
      </c>
      <c r="F856" t="s">
        <v>40</v>
      </c>
      <c r="G856" t="s">
        <v>709</v>
      </c>
      <c r="H856" t="s">
        <v>178</v>
      </c>
      <c r="I856" t="s">
        <v>26</v>
      </c>
      <c r="J856">
        <v>93610</v>
      </c>
      <c r="K856">
        <v>37.010985390000002</v>
      </c>
      <c r="L856">
        <v>-120.3720938</v>
      </c>
      <c r="M856" t="s">
        <v>968</v>
      </c>
      <c r="N856">
        <v>15</v>
      </c>
      <c r="O856" t="s">
        <v>36</v>
      </c>
      <c r="P856">
        <v>2</v>
      </c>
      <c r="Q856">
        <v>13.699</v>
      </c>
    </row>
    <row r="857" spans="1:20" hidden="1" x14ac:dyDescent="0.25">
      <c r="A857" t="s">
        <v>33</v>
      </c>
      <c r="B857" t="s">
        <v>923</v>
      </c>
      <c r="C857">
        <v>2019</v>
      </c>
      <c r="D857" t="s">
        <v>967</v>
      </c>
      <c r="E857" t="s">
        <v>41</v>
      </c>
      <c r="F857" t="s">
        <v>40</v>
      </c>
      <c r="G857" t="s">
        <v>966</v>
      </c>
      <c r="H857" t="s">
        <v>925</v>
      </c>
      <c r="I857" t="s">
        <v>26</v>
      </c>
      <c r="J857">
        <v>95987</v>
      </c>
      <c r="K857">
        <v>39.145780438695503</v>
      </c>
      <c r="L857">
        <v>-122.118583927446</v>
      </c>
      <c r="M857" t="s">
        <v>965</v>
      </c>
      <c r="N857">
        <v>20</v>
      </c>
      <c r="O857" t="s">
        <v>36</v>
      </c>
      <c r="P857">
        <v>3</v>
      </c>
      <c r="Q857">
        <v>19.7</v>
      </c>
    </row>
    <row r="858" spans="1:20" hidden="1" x14ac:dyDescent="0.25">
      <c r="A858" t="s">
        <v>33</v>
      </c>
      <c r="B858" t="s">
        <v>923</v>
      </c>
      <c r="C858">
        <v>2020</v>
      </c>
      <c r="D858" t="s">
        <v>962</v>
      </c>
      <c r="E858" t="s">
        <v>41</v>
      </c>
      <c r="F858" t="s">
        <v>40</v>
      </c>
      <c r="G858" t="s">
        <v>964</v>
      </c>
      <c r="H858" t="s">
        <v>963</v>
      </c>
      <c r="I858" t="s">
        <v>26</v>
      </c>
      <c r="J858">
        <v>96020</v>
      </c>
      <c r="K858">
        <v>40.302372314039602</v>
      </c>
      <c r="L858">
        <v>-121.243669770314</v>
      </c>
      <c r="M858" t="s">
        <v>962</v>
      </c>
      <c r="N858">
        <v>20</v>
      </c>
      <c r="O858" t="s">
        <v>36</v>
      </c>
      <c r="P858">
        <v>3</v>
      </c>
      <c r="Q858">
        <v>21</v>
      </c>
    </row>
    <row r="859" spans="1:20" hidden="1" x14ac:dyDescent="0.25">
      <c r="A859" t="s">
        <v>33</v>
      </c>
      <c r="B859" t="s">
        <v>923</v>
      </c>
      <c r="C859">
        <v>2020</v>
      </c>
      <c r="D859" t="s">
        <v>961</v>
      </c>
      <c r="E859" t="s">
        <v>41</v>
      </c>
      <c r="F859" t="s">
        <v>204</v>
      </c>
      <c r="G859" t="s">
        <v>146</v>
      </c>
      <c r="H859" t="s">
        <v>146</v>
      </c>
      <c r="I859" t="s">
        <v>26</v>
      </c>
      <c r="J859">
        <v>93725</v>
      </c>
      <c r="K859">
        <v>36.690096500000003</v>
      </c>
      <c r="L859">
        <v>-119.7509026</v>
      </c>
      <c r="M859" t="s">
        <v>960</v>
      </c>
      <c r="N859">
        <v>20</v>
      </c>
      <c r="O859" t="s">
        <v>36</v>
      </c>
      <c r="P859">
        <v>3</v>
      </c>
      <c r="Q859">
        <v>23.652000000000001</v>
      </c>
    </row>
    <row r="860" spans="1:20" hidden="1" x14ac:dyDescent="0.25">
      <c r="A860" t="s">
        <v>33</v>
      </c>
      <c r="B860" t="s">
        <v>923</v>
      </c>
      <c r="C860">
        <v>2021</v>
      </c>
      <c r="D860" t="s">
        <v>959</v>
      </c>
      <c r="E860" t="s">
        <v>41</v>
      </c>
      <c r="F860" t="s">
        <v>204</v>
      </c>
      <c r="G860" t="s">
        <v>28</v>
      </c>
      <c r="H860" t="s">
        <v>35</v>
      </c>
      <c r="I860" t="s">
        <v>26</v>
      </c>
      <c r="J860">
        <v>95304</v>
      </c>
      <c r="K860">
        <v>37.771579845600201</v>
      </c>
      <c r="L860">
        <v>-121.425064777919</v>
      </c>
      <c r="M860" t="s">
        <v>958</v>
      </c>
      <c r="N860">
        <v>20</v>
      </c>
      <c r="O860" t="s">
        <v>36</v>
      </c>
      <c r="P860">
        <v>3</v>
      </c>
      <c r="Q860">
        <v>24.178000000000001</v>
      </c>
    </row>
    <row r="861" spans="1:20" hidden="1" x14ac:dyDescent="0.25">
      <c r="A861" t="s">
        <v>33</v>
      </c>
      <c r="B861" t="s">
        <v>923</v>
      </c>
      <c r="C861">
        <v>2023</v>
      </c>
      <c r="D861" t="s">
        <v>957</v>
      </c>
      <c r="E861" t="s">
        <v>948</v>
      </c>
      <c r="F861" t="s">
        <v>204</v>
      </c>
      <c r="G861" t="s">
        <v>956</v>
      </c>
      <c r="H861" t="s">
        <v>146</v>
      </c>
      <c r="I861" t="s">
        <v>26</v>
      </c>
      <c r="J861">
        <v>93656</v>
      </c>
      <c r="K861">
        <v>36.474315773131899</v>
      </c>
      <c r="L861">
        <v>-119.919910439581</v>
      </c>
      <c r="M861" t="s">
        <v>955</v>
      </c>
      <c r="N861">
        <v>20</v>
      </c>
      <c r="O861" t="s">
        <v>36</v>
      </c>
      <c r="P861">
        <v>0.55000000000000004</v>
      </c>
      <c r="Q861">
        <v>4.3361999999999998</v>
      </c>
    </row>
    <row r="862" spans="1:20" hidden="1" x14ac:dyDescent="0.25">
      <c r="A862" t="s">
        <v>33</v>
      </c>
      <c r="B862" t="s">
        <v>232</v>
      </c>
      <c r="C862">
        <v>2011</v>
      </c>
      <c r="D862" t="s">
        <v>954</v>
      </c>
      <c r="E862" t="s">
        <v>71</v>
      </c>
      <c r="F862" t="s">
        <v>40</v>
      </c>
      <c r="G862" t="s">
        <v>229</v>
      </c>
      <c r="H862" t="s">
        <v>229</v>
      </c>
      <c r="I862" t="s">
        <v>26</v>
      </c>
      <c r="J862">
        <v>93401</v>
      </c>
      <c r="K862">
        <v>35.199824999999997</v>
      </c>
      <c r="L862">
        <v>-120.607381</v>
      </c>
      <c r="M862" t="s">
        <v>953</v>
      </c>
      <c r="N862">
        <v>20</v>
      </c>
      <c r="O862" t="s">
        <v>36</v>
      </c>
      <c r="P862">
        <v>1.5</v>
      </c>
      <c r="Q862">
        <v>11.2</v>
      </c>
    </row>
    <row r="863" spans="1:20" hidden="1" x14ac:dyDescent="0.25">
      <c r="A863" t="s">
        <v>33</v>
      </c>
      <c r="B863" t="s">
        <v>232</v>
      </c>
      <c r="C863">
        <v>2008</v>
      </c>
      <c r="D863" t="s">
        <v>952</v>
      </c>
      <c r="E863" t="s">
        <v>71</v>
      </c>
      <c r="F863" t="s">
        <v>40</v>
      </c>
      <c r="G863" t="s">
        <v>951</v>
      </c>
      <c r="H863" t="s">
        <v>270</v>
      </c>
      <c r="I863" t="s">
        <v>26</v>
      </c>
      <c r="J863">
        <v>93454</v>
      </c>
      <c r="K863">
        <v>34.9482</v>
      </c>
      <c r="L863">
        <v>-120.38</v>
      </c>
      <c r="M863" t="s">
        <v>950</v>
      </c>
      <c r="N863">
        <v>15</v>
      </c>
      <c r="O863" t="s">
        <v>24</v>
      </c>
      <c r="P863">
        <v>1.42</v>
      </c>
      <c r="Q863">
        <v>12.439</v>
      </c>
    </row>
    <row r="864" spans="1:20" hidden="1" x14ac:dyDescent="0.25">
      <c r="A864" t="s">
        <v>33</v>
      </c>
      <c r="B864" t="s">
        <v>201</v>
      </c>
      <c r="C864">
        <v>2011</v>
      </c>
      <c r="D864" t="s">
        <v>949</v>
      </c>
      <c r="E864" t="s">
        <v>948</v>
      </c>
      <c r="F864" t="s">
        <v>40</v>
      </c>
      <c r="G864" t="s">
        <v>173</v>
      </c>
      <c r="H864" t="s">
        <v>12</v>
      </c>
      <c r="I864" t="s">
        <v>26</v>
      </c>
      <c r="J864">
        <v>93311</v>
      </c>
      <c r="K864">
        <v>35.169600000000003</v>
      </c>
      <c r="L864">
        <v>-119.1056</v>
      </c>
      <c r="M864" t="s">
        <v>947</v>
      </c>
      <c r="N864">
        <v>15</v>
      </c>
      <c r="O864" t="s">
        <v>36</v>
      </c>
      <c r="P864">
        <v>1.84</v>
      </c>
      <c r="Q864">
        <v>12.95</v>
      </c>
      <c r="S864" s="18">
        <v>41319</v>
      </c>
      <c r="T864" s="18">
        <v>41452</v>
      </c>
    </row>
    <row r="865" spans="1:20" hidden="1" x14ac:dyDescent="0.25">
      <c r="A865" t="s">
        <v>33</v>
      </c>
      <c r="B865" t="s">
        <v>201</v>
      </c>
      <c r="C865">
        <v>2009</v>
      </c>
      <c r="D865" t="s">
        <v>946</v>
      </c>
      <c r="E865" t="s">
        <v>71</v>
      </c>
      <c r="F865" t="s">
        <v>40</v>
      </c>
      <c r="G865" t="s">
        <v>945</v>
      </c>
      <c r="H865" t="s">
        <v>94</v>
      </c>
      <c r="I865" t="s">
        <v>26</v>
      </c>
      <c r="J865">
        <v>94585</v>
      </c>
      <c r="K865">
        <v>38.215000000000003</v>
      </c>
      <c r="L865">
        <v>-121.9845</v>
      </c>
      <c r="M865" t="s">
        <v>944</v>
      </c>
      <c r="N865">
        <v>25</v>
      </c>
      <c r="O865" t="s">
        <v>24</v>
      </c>
      <c r="P865">
        <v>6.7839999999999998</v>
      </c>
      <c r="Q865">
        <v>47.545000000000002</v>
      </c>
      <c r="S865" s="18">
        <v>40234</v>
      </c>
      <c r="T865" s="18">
        <v>40777</v>
      </c>
    </row>
    <row r="866" spans="1:20" hidden="1" x14ac:dyDescent="0.25">
      <c r="A866" t="s">
        <v>33</v>
      </c>
      <c r="B866" t="s">
        <v>201</v>
      </c>
      <c r="C866">
        <v>2009</v>
      </c>
      <c r="D866" t="s">
        <v>943</v>
      </c>
      <c r="E866" t="s">
        <v>71</v>
      </c>
      <c r="F866" t="s">
        <v>40</v>
      </c>
      <c r="G866" t="s">
        <v>942</v>
      </c>
      <c r="H866" t="s">
        <v>259</v>
      </c>
      <c r="I866" t="s">
        <v>26</v>
      </c>
      <c r="J866">
        <v>91354</v>
      </c>
      <c r="K866">
        <v>34.335000000000001</v>
      </c>
      <c r="L866">
        <v>-118.51900000000001</v>
      </c>
      <c r="M866" t="s">
        <v>941</v>
      </c>
      <c r="N866">
        <v>20</v>
      </c>
      <c r="O866" t="s">
        <v>24</v>
      </c>
      <c r="P866">
        <v>18.96</v>
      </c>
      <c r="Q866">
        <v>132.87</v>
      </c>
      <c r="S866" s="18">
        <v>40234</v>
      </c>
      <c r="T866" s="18">
        <v>40777</v>
      </c>
    </row>
    <row r="867" spans="1:20" hidden="1" x14ac:dyDescent="0.25">
      <c r="A867" t="s">
        <v>33</v>
      </c>
      <c r="B867" t="s">
        <v>923</v>
      </c>
      <c r="C867">
        <v>2018</v>
      </c>
      <c r="D867" t="s">
        <v>940</v>
      </c>
      <c r="E867" t="s">
        <v>41</v>
      </c>
      <c r="F867" t="s">
        <v>204</v>
      </c>
      <c r="G867" t="s">
        <v>939</v>
      </c>
      <c r="H867" t="s">
        <v>178</v>
      </c>
      <c r="I867" t="s">
        <v>26</v>
      </c>
      <c r="J867">
        <v>93643</v>
      </c>
      <c r="K867">
        <v>37.234256790000003</v>
      </c>
      <c r="L867">
        <v>-119.4951612</v>
      </c>
      <c r="M867" t="s">
        <v>938</v>
      </c>
      <c r="N867">
        <v>20</v>
      </c>
      <c r="O867" t="s">
        <v>36</v>
      </c>
      <c r="P867">
        <v>2</v>
      </c>
      <c r="Q867">
        <v>12.5</v>
      </c>
    </row>
    <row r="868" spans="1:20" hidden="1" x14ac:dyDescent="0.25">
      <c r="A868" t="s">
        <v>33</v>
      </c>
      <c r="B868" t="s">
        <v>923</v>
      </c>
      <c r="C868">
        <v>2018</v>
      </c>
      <c r="D868" t="s">
        <v>937</v>
      </c>
      <c r="E868" t="s">
        <v>41</v>
      </c>
      <c r="F868" t="s">
        <v>204</v>
      </c>
      <c r="G868" t="s">
        <v>163</v>
      </c>
      <c r="H868" t="s">
        <v>74</v>
      </c>
      <c r="I868" t="s">
        <v>26</v>
      </c>
      <c r="J868">
        <v>96013</v>
      </c>
      <c r="K868">
        <v>40.993262999999999</v>
      </c>
      <c r="L868">
        <v>-121.623025</v>
      </c>
      <c r="M868" t="s">
        <v>937</v>
      </c>
      <c r="N868">
        <v>20</v>
      </c>
      <c r="O868" t="s">
        <v>36</v>
      </c>
      <c r="P868">
        <v>2.88</v>
      </c>
      <c r="Q868">
        <v>19.7</v>
      </c>
    </row>
    <row r="869" spans="1:20" hidden="1" x14ac:dyDescent="0.25">
      <c r="A869" t="s">
        <v>33</v>
      </c>
      <c r="B869" t="s">
        <v>42</v>
      </c>
      <c r="C869">
        <v>2016</v>
      </c>
      <c r="D869" t="s">
        <v>936</v>
      </c>
      <c r="E869" t="s">
        <v>41</v>
      </c>
      <c r="F869" t="s">
        <v>40</v>
      </c>
      <c r="G869" t="s">
        <v>163</v>
      </c>
      <c r="H869" t="s">
        <v>74</v>
      </c>
      <c r="I869" t="s">
        <v>26</v>
      </c>
      <c r="J869">
        <v>96013</v>
      </c>
      <c r="K869">
        <v>40.878999999999998</v>
      </c>
      <c r="L869">
        <v>-121.727</v>
      </c>
      <c r="M869" t="s">
        <v>935</v>
      </c>
      <c r="N869">
        <v>5</v>
      </c>
      <c r="O869" t="s">
        <v>36</v>
      </c>
      <c r="P869">
        <v>29</v>
      </c>
      <c r="Q869">
        <v>217.45</v>
      </c>
      <c r="S869" s="18">
        <v>43991</v>
      </c>
      <c r="T869" s="18">
        <v>44020</v>
      </c>
    </row>
    <row r="870" spans="1:20" hidden="1" x14ac:dyDescent="0.25">
      <c r="A870" t="s">
        <v>33</v>
      </c>
      <c r="B870" t="s">
        <v>42</v>
      </c>
      <c r="C870">
        <v>2016</v>
      </c>
      <c r="D870" t="s">
        <v>934</v>
      </c>
      <c r="E870" t="s">
        <v>41</v>
      </c>
      <c r="F870" t="s">
        <v>40</v>
      </c>
      <c r="G870" t="s">
        <v>443</v>
      </c>
      <c r="H870" t="s">
        <v>74</v>
      </c>
      <c r="I870" t="s">
        <v>26</v>
      </c>
      <c r="J870">
        <v>96007</v>
      </c>
      <c r="K870">
        <v>40.428199999999997</v>
      </c>
      <c r="L870">
        <v>-122.2754</v>
      </c>
      <c r="M870" t="s">
        <v>933</v>
      </c>
      <c r="N870">
        <v>5</v>
      </c>
      <c r="O870" t="s">
        <v>36</v>
      </c>
      <c r="P870">
        <v>34</v>
      </c>
      <c r="Q870">
        <v>238.27199999999999</v>
      </c>
      <c r="S870" s="18">
        <v>44092</v>
      </c>
      <c r="T870" s="18">
        <v>44273</v>
      </c>
    </row>
    <row r="871" spans="1:20" hidden="1" x14ac:dyDescent="0.25">
      <c r="A871" t="s">
        <v>33</v>
      </c>
      <c r="B871" t="s">
        <v>42</v>
      </c>
      <c r="C871">
        <v>2020</v>
      </c>
      <c r="D871" t="s">
        <v>932</v>
      </c>
      <c r="E871" t="s">
        <v>41</v>
      </c>
      <c r="F871" t="s">
        <v>40</v>
      </c>
      <c r="G871" t="s">
        <v>931</v>
      </c>
      <c r="H871" t="s">
        <v>518</v>
      </c>
      <c r="I871" t="s">
        <v>26</v>
      </c>
      <c r="J871">
        <v>95776</v>
      </c>
      <c r="K871">
        <v>38.679000000000002</v>
      </c>
      <c r="L871">
        <v>-121.773</v>
      </c>
      <c r="M871" t="s">
        <v>930</v>
      </c>
      <c r="N871">
        <v>5</v>
      </c>
      <c r="O871" t="s">
        <v>36</v>
      </c>
      <c r="P871">
        <v>25</v>
      </c>
      <c r="Q871">
        <v>168.19200000000001</v>
      </c>
      <c r="S871" s="18">
        <v>44131</v>
      </c>
      <c r="T871" s="18">
        <v>44301</v>
      </c>
    </row>
    <row r="872" spans="1:20" hidden="1" x14ac:dyDescent="0.25">
      <c r="A872" t="s">
        <v>33</v>
      </c>
      <c r="B872" t="s">
        <v>923</v>
      </c>
      <c r="C872">
        <v>2021</v>
      </c>
      <c r="D872" t="s">
        <v>929</v>
      </c>
      <c r="E872" t="s">
        <v>41</v>
      </c>
      <c r="F872" t="s">
        <v>204</v>
      </c>
      <c r="G872" t="s">
        <v>861</v>
      </c>
      <c r="H872" t="s">
        <v>860</v>
      </c>
      <c r="I872" t="s">
        <v>26</v>
      </c>
      <c r="J872">
        <v>95935</v>
      </c>
      <c r="K872">
        <v>39.365121748675897</v>
      </c>
      <c r="L872">
        <v>-121.165886981885</v>
      </c>
      <c r="M872" t="s">
        <v>928</v>
      </c>
      <c r="N872">
        <v>20</v>
      </c>
      <c r="O872" t="s">
        <v>36</v>
      </c>
      <c r="P872">
        <v>3</v>
      </c>
      <c r="Q872">
        <v>20.5</v>
      </c>
    </row>
    <row r="873" spans="1:20" hidden="1" x14ac:dyDescent="0.25">
      <c r="A873" t="s">
        <v>33</v>
      </c>
      <c r="B873" t="s">
        <v>923</v>
      </c>
      <c r="C873">
        <v>2021</v>
      </c>
      <c r="D873" t="s">
        <v>927</v>
      </c>
      <c r="E873" t="s">
        <v>41</v>
      </c>
      <c r="F873" t="s">
        <v>204</v>
      </c>
      <c r="G873" t="s">
        <v>926</v>
      </c>
      <c r="H873" t="s">
        <v>925</v>
      </c>
      <c r="I873" t="s">
        <v>26</v>
      </c>
      <c r="J873">
        <v>95912</v>
      </c>
      <c r="K873">
        <v>38.958739528536697</v>
      </c>
      <c r="L873">
        <v>-122.01752484285301</v>
      </c>
      <c r="M873" t="s">
        <v>924</v>
      </c>
      <c r="N873">
        <v>20</v>
      </c>
      <c r="O873" t="s">
        <v>36</v>
      </c>
      <c r="P873">
        <v>3</v>
      </c>
      <c r="Q873">
        <v>24.932500000000001</v>
      </c>
    </row>
    <row r="874" spans="1:20" hidden="1" x14ac:dyDescent="0.25">
      <c r="A874" t="s">
        <v>33</v>
      </c>
      <c r="B874" t="s">
        <v>923</v>
      </c>
      <c r="C874">
        <v>2023</v>
      </c>
      <c r="D874" t="s">
        <v>922</v>
      </c>
      <c r="E874" t="s">
        <v>41</v>
      </c>
      <c r="F874" t="s">
        <v>204</v>
      </c>
      <c r="G874" t="s">
        <v>921</v>
      </c>
      <c r="H874" t="s">
        <v>848</v>
      </c>
      <c r="I874" t="s">
        <v>26</v>
      </c>
      <c r="J874">
        <v>95257</v>
      </c>
      <c r="K874">
        <v>38.377407648540299</v>
      </c>
      <c r="L874">
        <v>-120.51217839607401</v>
      </c>
      <c r="M874" t="s">
        <v>920</v>
      </c>
      <c r="N874">
        <v>20</v>
      </c>
      <c r="O874" t="s">
        <v>36</v>
      </c>
      <c r="P874">
        <v>3</v>
      </c>
      <c r="Q874">
        <v>21.593</v>
      </c>
    </row>
    <row r="875" spans="1:20" hidden="1" x14ac:dyDescent="0.25">
      <c r="A875" t="s">
        <v>33</v>
      </c>
      <c r="B875" t="s">
        <v>197</v>
      </c>
      <c r="C875">
        <v>2007</v>
      </c>
      <c r="D875" t="s">
        <v>919</v>
      </c>
      <c r="E875" t="s">
        <v>41</v>
      </c>
      <c r="F875" t="s">
        <v>40</v>
      </c>
      <c r="G875" t="s">
        <v>173</v>
      </c>
      <c r="H875" t="s">
        <v>12</v>
      </c>
      <c r="I875" t="s">
        <v>26</v>
      </c>
      <c r="J875">
        <v>93308</v>
      </c>
      <c r="K875">
        <v>35.576390000000004</v>
      </c>
      <c r="L875">
        <v>-119.00620000000001</v>
      </c>
      <c r="M875" t="s">
        <v>918</v>
      </c>
      <c r="N875">
        <v>15</v>
      </c>
      <c r="O875" t="s">
        <v>24</v>
      </c>
      <c r="P875">
        <v>44</v>
      </c>
      <c r="Q875">
        <v>328</v>
      </c>
      <c r="S875" s="18">
        <v>40077</v>
      </c>
      <c r="T875" s="18">
        <v>40214</v>
      </c>
    </row>
    <row r="876" spans="1:20" hidden="1" x14ac:dyDescent="0.25">
      <c r="A876" t="s">
        <v>33</v>
      </c>
      <c r="B876" t="s">
        <v>201</v>
      </c>
      <c r="C876">
        <v>2008</v>
      </c>
      <c r="D876" t="s">
        <v>917</v>
      </c>
      <c r="E876" t="s">
        <v>41</v>
      </c>
      <c r="F876" t="s">
        <v>40</v>
      </c>
      <c r="G876" t="s">
        <v>916</v>
      </c>
      <c r="H876" t="s">
        <v>35</v>
      </c>
      <c r="I876" t="s">
        <v>26</v>
      </c>
      <c r="J876">
        <v>95203</v>
      </c>
      <c r="K876">
        <v>37.933300000000003</v>
      </c>
      <c r="L876">
        <v>-121.3167</v>
      </c>
      <c r="M876" t="s">
        <v>915</v>
      </c>
      <c r="N876">
        <v>25</v>
      </c>
      <c r="O876" t="s">
        <v>24</v>
      </c>
      <c r="P876">
        <v>44.5</v>
      </c>
      <c r="Q876">
        <v>311.59699999999998</v>
      </c>
      <c r="S876" s="18">
        <v>40163</v>
      </c>
      <c r="T876" s="18">
        <v>40332</v>
      </c>
    </row>
    <row r="877" spans="1:20" hidden="1" x14ac:dyDescent="0.25">
      <c r="A877" t="s">
        <v>33</v>
      </c>
      <c r="B877" t="s">
        <v>232</v>
      </c>
      <c r="C877">
        <v>2009</v>
      </c>
      <c r="D877" t="s">
        <v>914</v>
      </c>
      <c r="E877" t="s">
        <v>41</v>
      </c>
      <c r="F877" t="s">
        <v>40</v>
      </c>
      <c r="G877" t="s">
        <v>153</v>
      </c>
      <c r="H877" t="s">
        <v>153</v>
      </c>
      <c r="I877" t="s">
        <v>26</v>
      </c>
      <c r="J877">
        <v>95348</v>
      </c>
      <c r="K877">
        <v>37.334899999999998</v>
      </c>
      <c r="L877">
        <v>-120.52800000000001</v>
      </c>
      <c r="M877" t="s">
        <v>913</v>
      </c>
      <c r="N877">
        <v>15</v>
      </c>
      <c r="O877" t="s">
        <v>24</v>
      </c>
      <c r="P877">
        <v>0.75</v>
      </c>
      <c r="Q877">
        <v>5.585</v>
      </c>
    </row>
    <row r="878" spans="1:20" hidden="1" x14ac:dyDescent="0.25">
      <c r="A878" t="s">
        <v>33</v>
      </c>
      <c r="B878" t="s">
        <v>206</v>
      </c>
      <c r="C878">
        <v>2012</v>
      </c>
      <c r="D878" t="s">
        <v>912</v>
      </c>
      <c r="E878" t="s">
        <v>143</v>
      </c>
      <c r="F878" t="s">
        <v>40</v>
      </c>
      <c r="G878" t="s">
        <v>909</v>
      </c>
      <c r="H878" t="s">
        <v>236</v>
      </c>
      <c r="I878" t="s">
        <v>26</v>
      </c>
      <c r="J878">
        <v>93546</v>
      </c>
      <c r="K878">
        <v>37.645000000000003</v>
      </c>
      <c r="L878">
        <v>-118.914</v>
      </c>
      <c r="M878" t="s">
        <v>911</v>
      </c>
      <c r="N878">
        <v>20</v>
      </c>
      <c r="O878" t="s">
        <v>36</v>
      </c>
      <c r="P878">
        <v>7.5</v>
      </c>
      <c r="Q878">
        <v>52.82</v>
      </c>
      <c r="R878" t="s">
        <v>370</v>
      </c>
      <c r="S878" s="18">
        <v>41180</v>
      </c>
      <c r="T878" s="18">
        <v>41222</v>
      </c>
    </row>
    <row r="879" spans="1:20" hidden="1" x14ac:dyDescent="0.25">
      <c r="A879" t="s">
        <v>33</v>
      </c>
      <c r="B879" t="s">
        <v>206</v>
      </c>
      <c r="C879">
        <v>2011</v>
      </c>
      <c r="D879" t="s">
        <v>910</v>
      </c>
      <c r="E879" t="s">
        <v>143</v>
      </c>
      <c r="F879" t="s">
        <v>40</v>
      </c>
      <c r="G879" t="s">
        <v>909</v>
      </c>
      <c r="H879" t="s">
        <v>236</v>
      </c>
      <c r="I879" t="s">
        <v>26</v>
      </c>
      <c r="J879">
        <v>93546</v>
      </c>
      <c r="K879">
        <v>37.645400000000002</v>
      </c>
      <c r="L879">
        <v>-118.90900000000001</v>
      </c>
      <c r="M879" t="s">
        <v>908</v>
      </c>
      <c r="N879">
        <v>20</v>
      </c>
      <c r="O879" t="s">
        <v>36</v>
      </c>
      <c r="P879">
        <v>14</v>
      </c>
      <c r="Q879">
        <v>98.51</v>
      </c>
      <c r="R879" t="s">
        <v>544</v>
      </c>
      <c r="S879" s="18">
        <v>40998</v>
      </c>
      <c r="T879" s="18">
        <v>41031</v>
      </c>
    </row>
    <row r="880" spans="1:20" hidden="1" x14ac:dyDescent="0.25">
      <c r="A880" t="s">
        <v>33</v>
      </c>
      <c r="B880" t="s">
        <v>197</v>
      </c>
      <c r="C880">
        <v>1994</v>
      </c>
      <c r="D880" t="s">
        <v>907</v>
      </c>
      <c r="E880" t="s">
        <v>47</v>
      </c>
      <c r="F880" t="s">
        <v>40</v>
      </c>
      <c r="G880" t="s">
        <v>906</v>
      </c>
      <c r="H880" t="s">
        <v>133</v>
      </c>
      <c r="I880" t="s">
        <v>26</v>
      </c>
      <c r="J880">
        <v>91739</v>
      </c>
      <c r="K880">
        <v>34.09151</v>
      </c>
      <c r="L880">
        <v>-117.52384000000001</v>
      </c>
      <c r="M880" t="s">
        <v>905</v>
      </c>
      <c r="N880">
        <v>999</v>
      </c>
      <c r="O880" t="s">
        <v>24</v>
      </c>
      <c r="P880">
        <v>24</v>
      </c>
      <c r="Q880">
        <v>37</v>
      </c>
    </row>
    <row r="881" spans="1:20" hidden="1" x14ac:dyDescent="0.25">
      <c r="A881" t="s">
        <v>33</v>
      </c>
      <c r="B881" t="s">
        <v>206</v>
      </c>
      <c r="C881">
        <v>2013</v>
      </c>
      <c r="D881" t="s">
        <v>904</v>
      </c>
      <c r="E881" t="s">
        <v>47</v>
      </c>
      <c r="F881" t="s">
        <v>40</v>
      </c>
      <c r="G881" t="s">
        <v>187</v>
      </c>
      <c r="H881" t="s">
        <v>265</v>
      </c>
      <c r="I881" t="s">
        <v>26</v>
      </c>
      <c r="J881">
        <v>95595</v>
      </c>
      <c r="K881">
        <v>40.17</v>
      </c>
      <c r="L881">
        <v>-123.643</v>
      </c>
      <c r="M881" t="s">
        <v>903</v>
      </c>
      <c r="N881">
        <v>20</v>
      </c>
      <c r="O881" t="s">
        <v>36</v>
      </c>
      <c r="P881">
        <v>5.5</v>
      </c>
      <c r="Q881">
        <v>13.26</v>
      </c>
      <c r="R881" t="s">
        <v>484</v>
      </c>
      <c r="S881" s="18">
        <v>41593</v>
      </c>
      <c r="T881" s="18">
        <v>41667</v>
      </c>
    </row>
    <row r="882" spans="1:20" hidden="1" x14ac:dyDescent="0.25">
      <c r="A882" t="s">
        <v>33</v>
      </c>
      <c r="B882" t="s">
        <v>263</v>
      </c>
      <c r="C882">
        <v>2013</v>
      </c>
      <c r="D882" t="s">
        <v>902</v>
      </c>
      <c r="E882" t="s">
        <v>47</v>
      </c>
      <c r="F882" t="s">
        <v>40</v>
      </c>
      <c r="G882" t="s">
        <v>852</v>
      </c>
      <c r="H882" t="s">
        <v>274</v>
      </c>
      <c r="I882" t="s">
        <v>26</v>
      </c>
      <c r="J882">
        <v>96059</v>
      </c>
      <c r="K882">
        <v>40.435498983412103</v>
      </c>
      <c r="L882">
        <v>-121.734545911368</v>
      </c>
      <c r="M882" t="s">
        <v>901</v>
      </c>
      <c r="N882">
        <v>10</v>
      </c>
      <c r="O882" t="s">
        <v>36</v>
      </c>
      <c r="P882">
        <v>0.65</v>
      </c>
      <c r="Q882">
        <v>3.5</v>
      </c>
    </row>
    <row r="883" spans="1:20" hidden="1" x14ac:dyDescent="0.25">
      <c r="A883" t="s">
        <v>33</v>
      </c>
      <c r="B883" t="s">
        <v>263</v>
      </c>
      <c r="C883">
        <v>2013</v>
      </c>
      <c r="D883" t="s">
        <v>900</v>
      </c>
      <c r="E883" t="s">
        <v>47</v>
      </c>
      <c r="F883" t="s">
        <v>40</v>
      </c>
      <c r="G883" t="s">
        <v>899</v>
      </c>
      <c r="H883" t="s">
        <v>50</v>
      </c>
      <c r="I883" t="s">
        <v>26</v>
      </c>
      <c r="J883">
        <v>95527</v>
      </c>
      <c r="K883">
        <v>40.7894959829191</v>
      </c>
      <c r="L883">
        <v>-123.44121464690799</v>
      </c>
      <c r="M883" t="s">
        <v>898</v>
      </c>
      <c r="N883">
        <v>15</v>
      </c>
      <c r="O883" t="s">
        <v>36</v>
      </c>
      <c r="P883">
        <v>0.3</v>
      </c>
      <c r="Q883">
        <v>1.1000000000000001</v>
      </c>
    </row>
    <row r="884" spans="1:20" hidden="1" x14ac:dyDescent="0.25">
      <c r="A884" t="s">
        <v>33</v>
      </c>
      <c r="B884" t="s">
        <v>263</v>
      </c>
      <c r="C884">
        <v>2013</v>
      </c>
      <c r="D884" t="s">
        <v>897</v>
      </c>
      <c r="E884" t="s">
        <v>47</v>
      </c>
      <c r="F884" t="s">
        <v>40</v>
      </c>
      <c r="G884" t="s">
        <v>896</v>
      </c>
      <c r="H884" t="s">
        <v>74</v>
      </c>
      <c r="I884" t="s">
        <v>26</v>
      </c>
      <c r="J884">
        <v>96069</v>
      </c>
      <c r="K884">
        <v>40.703036603164797</v>
      </c>
      <c r="L884">
        <v>-121.933279394929</v>
      </c>
      <c r="M884" t="s">
        <v>895</v>
      </c>
      <c r="N884">
        <v>15</v>
      </c>
      <c r="O884" t="s">
        <v>36</v>
      </c>
      <c r="P884">
        <v>0.2</v>
      </c>
      <c r="Q884">
        <v>0.8</v>
      </c>
    </row>
    <row r="885" spans="1:20" hidden="1" x14ac:dyDescent="0.25">
      <c r="A885" t="s">
        <v>33</v>
      </c>
      <c r="B885" t="s">
        <v>263</v>
      </c>
      <c r="C885">
        <v>2013</v>
      </c>
      <c r="D885" t="s">
        <v>894</v>
      </c>
      <c r="E885" t="s">
        <v>47</v>
      </c>
      <c r="F885" t="s">
        <v>40</v>
      </c>
      <c r="G885" t="s">
        <v>832</v>
      </c>
      <c r="H885" t="s">
        <v>831</v>
      </c>
      <c r="I885" t="s">
        <v>26</v>
      </c>
      <c r="J885">
        <v>95469</v>
      </c>
      <c r="K885">
        <v>39.358691343094399</v>
      </c>
      <c r="L885">
        <v>-123.12913846396199</v>
      </c>
      <c r="M885" t="s">
        <v>893</v>
      </c>
      <c r="N885">
        <v>20</v>
      </c>
      <c r="O885" t="s">
        <v>36</v>
      </c>
      <c r="P885">
        <v>0.35599999999999998</v>
      </c>
      <c r="Q885">
        <v>1.446</v>
      </c>
    </row>
    <row r="886" spans="1:20" hidden="1" x14ac:dyDescent="0.25">
      <c r="A886" t="s">
        <v>33</v>
      </c>
      <c r="B886" t="s">
        <v>263</v>
      </c>
      <c r="C886">
        <v>2013</v>
      </c>
      <c r="D886" t="s">
        <v>892</v>
      </c>
      <c r="E886" t="s">
        <v>47</v>
      </c>
      <c r="F886" t="s">
        <v>40</v>
      </c>
      <c r="G886" t="s">
        <v>56</v>
      </c>
      <c r="H886" t="s">
        <v>55</v>
      </c>
      <c r="I886" t="s">
        <v>26</v>
      </c>
      <c r="J886">
        <v>95526</v>
      </c>
      <c r="K886">
        <v>40.526449308968601</v>
      </c>
      <c r="L886">
        <v>-123.72556610631</v>
      </c>
      <c r="M886" t="s">
        <v>891</v>
      </c>
      <c r="N886">
        <v>20</v>
      </c>
      <c r="O886" t="s">
        <v>36</v>
      </c>
      <c r="P886">
        <v>1.4950000000000001</v>
      </c>
      <c r="Q886">
        <v>4.25</v>
      </c>
    </row>
    <row r="887" spans="1:20" hidden="1" x14ac:dyDescent="0.25">
      <c r="A887" t="s">
        <v>33</v>
      </c>
      <c r="B887" t="s">
        <v>263</v>
      </c>
      <c r="C887">
        <v>2013</v>
      </c>
      <c r="D887" t="s">
        <v>889</v>
      </c>
      <c r="E887" t="s">
        <v>47</v>
      </c>
      <c r="F887" t="s">
        <v>40</v>
      </c>
      <c r="G887" t="s">
        <v>890</v>
      </c>
      <c r="H887" t="s">
        <v>74</v>
      </c>
      <c r="I887" t="s">
        <v>26</v>
      </c>
      <c r="J887">
        <v>96084</v>
      </c>
      <c r="K887">
        <v>40.7840742152788</v>
      </c>
      <c r="L887">
        <v>-121.897867141467</v>
      </c>
      <c r="M887" t="s">
        <v>889</v>
      </c>
      <c r="N887">
        <v>10</v>
      </c>
      <c r="O887" t="s">
        <v>36</v>
      </c>
      <c r="P887">
        <v>0.97499999999999998</v>
      </c>
      <c r="Q887">
        <v>3.88</v>
      </c>
    </row>
    <row r="888" spans="1:20" hidden="1" x14ac:dyDescent="0.25">
      <c r="A888" t="s">
        <v>33</v>
      </c>
      <c r="B888" t="s">
        <v>263</v>
      </c>
      <c r="C888">
        <v>2013</v>
      </c>
      <c r="D888" t="s">
        <v>888</v>
      </c>
      <c r="E888" t="s">
        <v>47</v>
      </c>
      <c r="F888" t="s">
        <v>40</v>
      </c>
      <c r="G888" t="s">
        <v>118</v>
      </c>
      <c r="H888" t="s">
        <v>117</v>
      </c>
      <c r="I888" t="s">
        <v>26</v>
      </c>
      <c r="J888">
        <v>96125</v>
      </c>
      <c r="K888">
        <v>39.6082071173674</v>
      </c>
      <c r="L888">
        <v>-120.608562878469</v>
      </c>
      <c r="M888" t="s">
        <v>119</v>
      </c>
      <c r="N888">
        <v>20</v>
      </c>
      <c r="O888" t="s">
        <v>36</v>
      </c>
      <c r="P888">
        <v>0.52</v>
      </c>
      <c r="Q888">
        <v>2.29</v>
      </c>
    </row>
    <row r="889" spans="1:20" hidden="1" x14ac:dyDescent="0.25">
      <c r="A889" t="s">
        <v>33</v>
      </c>
      <c r="B889" t="s">
        <v>263</v>
      </c>
      <c r="C889">
        <v>2014</v>
      </c>
      <c r="D889" t="s">
        <v>887</v>
      </c>
      <c r="E889" t="s">
        <v>47</v>
      </c>
      <c r="F889" t="s">
        <v>40</v>
      </c>
      <c r="G889" t="s">
        <v>886</v>
      </c>
      <c r="H889" t="s">
        <v>55</v>
      </c>
      <c r="I889" t="s">
        <v>26</v>
      </c>
      <c r="J889">
        <v>95526</v>
      </c>
      <c r="K889">
        <v>40.484650960000003</v>
      </c>
      <c r="L889">
        <v>-123.587999</v>
      </c>
      <c r="M889" t="s">
        <v>54</v>
      </c>
      <c r="N889">
        <v>20</v>
      </c>
      <c r="O889" t="s">
        <v>36</v>
      </c>
      <c r="P889">
        <v>0.995</v>
      </c>
      <c r="Q889">
        <v>2.4500000000000002</v>
      </c>
    </row>
    <row r="890" spans="1:20" hidden="1" x14ac:dyDescent="0.25">
      <c r="A890" t="s">
        <v>33</v>
      </c>
      <c r="B890" t="s">
        <v>263</v>
      </c>
      <c r="C890">
        <v>2014</v>
      </c>
      <c r="D890" t="s">
        <v>885</v>
      </c>
      <c r="E890" t="s">
        <v>47</v>
      </c>
      <c r="F890" t="s">
        <v>40</v>
      </c>
      <c r="G890" t="s">
        <v>709</v>
      </c>
      <c r="H890" t="s">
        <v>178</v>
      </c>
      <c r="I890" t="s">
        <v>26</v>
      </c>
      <c r="J890">
        <v>93610</v>
      </c>
      <c r="K890">
        <v>37.072277232659097</v>
      </c>
      <c r="L890">
        <v>-119.949239288139</v>
      </c>
      <c r="M890" t="s">
        <v>881</v>
      </c>
      <c r="N890">
        <v>15</v>
      </c>
      <c r="O890" t="s">
        <v>36</v>
      </c>
      <c r="P890">
        <v>0.56299999999999994</v>
      </c>
      <c r="Q890">
        <v>2.379848</v>
      </c>
    </row>
    <row r="891" spans="1:20" hidden="1" x14ac:dyDescent="0.25">
      <c r="A891" t="s">
        <v>33</v>
      </c>
      <c r="B891" t="s">
        <v>263</v>
      </c>
      <c r="C891">
        <v>2014</v>
      </c>
      <c r="D891" t="s">
        <v>884</v>
      </c>
      <c r="E891" t="s">
        <v>47</v>
      </c>
      <c r="F891" t="s">
        <v>40</v>
      </c>
      <c r="G891" t="s">
        <v>178</v>
      </c>
      <c r="H891" t="s">
        <v>178</v>
      </c>
      <c r="I891" t="s">
        <v>26</v>
      </c>
      <c r="J891">
        <v>93638</v>
      </c>
      <c r="K891">
        <v>37.0568329196362</v>
      </c>
      <c r="L891">
        <v>-119.89971498088801</v>
      </c>
      <c r="M891" t="s">
        <v>881</v>
      </c>
      <c r="N891">
        <v>15</v>
      </c>
      <c r="O891" t="s">
        <v>36</v>
      </c>
      <c r="P891">
        <v>1.835</v>
      </c>
      <c r="Q891">
        <v>7.0077870000000004</v>
      </c>
    </row>
    <row r="892" spans="1:20" hidden="1" x14ac:dyDescent="0.25">
      <c r="A892" t="s">
        <v>33</v>
      </c>
      <c r="B892" t="s">
        <v>263</v>
      </c>
      <c r="C892">
        <v>2014</v>
      </c>
      <c r="D892" t="s">
        <v>883</v>
      </c>
      <c r="E892" t="s">
        <v>47</v>
      </c>
      <c r="F892" t="s">
        <v>40</v>
      </c>
      <c r="G892" t="s">
        <v>709</v>
      </c>
      <c r="H892" t="s">
        <v>178</v>
      </c>
      <c r="I892" t="s">
        <v>26</v>
      </c>
      <c r="J892">
        <v>93610</v>
      </c>
      <c r="K892">
        <v>37.158061477694098</v>
      </c>
      <c r="L892">
        <v>-120.121644978094</v>
      </c>
      <c r="M892" t="s">
        <v>881</v>
      </c>
      <c r="N892">
        <v>15</v>
      </c>
      <c r="O892" t="s">
        <v>36</v>
      </c>
      <c r="P892">
        <v>0.91600000000000004</v>
      </c>
      <c r="Q892">
        <v>2.8777699999999999</v>
      </c>
    </row>
    <row r="893" spans="1:20" hidden="1" x14ac:dyDescent="0.25">
      <c r="A893" t="s">
        <v>33</v>
      </c>
      <c r="B893" t="s">
        <v>263</v>
      </c>
      <c r="C893">
        <v>2014</v>
      </c>
      <c r="D893" t="s">
        <v>882</v>
      </c>
      <c r="E893" t="s">
        <v>47</v>
      </c>
      <c r="F893" t="s">
        <v>40</v>
      </c>
      <c r="G893" t="s">
        <v>709</v>
      </c>
      <c r="H893" t="s">
        <v>178</v>
      </c>
      <c r="I893" t="s">
        <v>26</v>
      </c>
      <c r="J893">
        <v>93610</v>
      </c>
      <c r="K893">
        <v>37.0753545900074</v>
      </c>
      <c r="L893">
        <v>-119.98937586383801</v>
      </c>
      <c r="M893" t="s">
        <v>881</v>
      </c>
      <c r="N893">
        <v>15</v>
      </c>
      <c r="O893" t="s">
        <v>36</v>
      </c>
      <c r="P893">
        <v>0.42399999999999999</v>
      </c>
      <c r="Q893">
        <v>1.0049920000000001</v>
      </c>
    </row>
    <row r="894" spans="1:20" hidden="1" x14ac:dyDescent="0.25">
      <c r="A894" t="s">
        <v>33</v>
      </c>
      <c r="B894" t="s">
        <v>232</v>
      </c>
      <c r="C894">
        <v>2012</v>
      </c>
      <c r="D894" t="s">
        <v>880</v>
      </c>
      <c r="E894" t="s">
        <v>47</v>
      </c>
      <c r="F894" t="s">
        <v>40</v>
      </c>
      <c r="G894" t="s">
        <v>879</v>
      </c>
      <c r="H894" t="s">
        <v>848</v>
      </c>
      <c r="I894" t="s">
        <v>26</v>
      </c>
      <c r="J894">
        <v>95246</v>
      </c>
      <c r="K894">
        <v>38.337297</v>
      </c>
      <c r="L894">
        <v>-120.613124</v>
      </c>
      <c r="M894" t="s">
        <v>875</v>
      </c>
      <c r="N894">
        <v>20</v>
      </c>
      <c r="O894" t="s">
        <v>36</v>
      </c>
      <c r="P894">
        <v>0.09</v>
      </c>
      <c r="Q894">
        <v>0.4</v>
      </c>
    </row>
    <row r="895" spans="1:20" hidden="1" x14ac:dyDescent="0.25">
      <c r="A895" t="s">
        <v>33</v>
      </c>
      <c r="B895" t="s">
        <v>232</v>
      </c>
      <c r="C895">
        <v>2012</v>
      </c>
      <c r="D895" t="s">
        <v>878</v>
      </c>
      <c r="E895" t="s">
        <v>47</v>
      </c>
      <c r="F895" t="s">
        <v>40</v>
      </c>
      <c r="G895" t="s">
        <v>876</v>
      </c>
      <c r="H895" t="s">
        <v>848</v>
      </c>
      <c r="I895" t="s">
        <v>26</v>
      </c>
      <c r="J895">
        <v>95245</v>
      </c>
      <c r="K895">
        <v>38.311557999999998</v>
      </c>
      <c r="L895">
        <v>-120.661597</v>
      </c>
      <c r="M895" t="s">
        <v>875</v>
      </c>
      <c r="N895">
        <v>20</v>
      </c>
      <c r="O895" t="s">
        <v>36</v>
      </c>
      <c r="P895">
        <v>0.09</v>
      </c>
      <c r="Q895">
        <v>0.4</v>
      </c>
    </row>
    <row r="896" spans="1:20" hidden="1" x14ac:dyDescent="0.25">
      <c r="A896" t="s">
        <v>33</v>
      </c>
      <c r="B896" t="s">
        <v>232</v>
      </c>
      <c r="C896">
        <v>2012</v>
      </c>
      <c r="D896" t="s">
        <v>877</v>
      </c>
      <c r="E896" t="s">
        <v>47</v>
      </c>
      <c r="F896" t="s">
        <v>40</v>
      </c>
      <c r="G896" t="s">
        <v>876</v>
      </c>
      <c r="H896" t="s">
        <v>848</v>
      </c>
      <c r="I896" t="s">
        <v>26</v>
      </c>
      <c r="J896">
        <v>95245</v>
      </c>
      <c r="K896">
        <v>38.257745</v>
      </c>
      <c r="L896">
        <v>-120.716658</v>
      </c>
      <c r="M896" t="s">
        <v>875</v>
      </c>
      <c r="N896">
        <v>20</v>
      </c>
      <c r="O896" t="s">
        <v>36</v>
      </c>
      <c r="P896">
        <v>0.09</v>
      </c>
      <c r="Q896">
        <v>0.4</v>
      </c>
    </row>
    <row r="897" spans="1:20" hidden="1" x14ac:dyDescent="0.25">
      <c r="A897" t="s">
        <v>33</v>
      </c>
      <c r="B897" t="s">
        <v>201</v>
      </c>
      <c r="C897">
        <v>1981</v>
      </c>
      <c r="D897" t="s">
        <v>198</v>
      </c>
      <c r="E897" t="s">
        <v>47</v>
      </c>
      <c r="F897" t="s">
        <v>40</v>
      </c>
      <c r="G897" t="s">
        <v>120</v>
      </c>
      <c r="H897" t="s">
        <v>120</v>
      </c>
      <c r="I897" t="s">
        <v>26</v>
      </c>
      <c r="J897">
        <v>94558</v>
      </c>
      <c r="K897">
        <v>38.512250999999999</v>
      </c>
      <c r="L897">
        <v>-122.10397</v>
      </c>
      <c r="M897" t="s">
        <v>198</v>
      </c>
      <c r="N897">
        <v>50</v>
      </c>
      <c r="O897" t="s">
        <v>24</v>
      </c>
      <c r="P897">
        <v>11.9</v>
      </c>
      <c r="Q897">
        <v>32.82</v>
      </c>
    </row>
    <row r="898" spans="1:20" hidden="1" x14ac:dyDescent="0.25">
      <c r="A898" t="s">
        <v>33</v>
      </c>
      <c r="B898" t="s">
        <v>263</v>
      </c>
      <c r="C898">
        <v>2015</v>
      </c>
      <c r="D898" t="s">
        <v>874</v>
      </c>
      <c r="E898" t="s">
        <v>47</v>
      </c>
      <c r="F898" t="s">
        <v>40</v>
      </c>
      <c r="G898" t="s">
        <v>163</v>
      </c>
      <c r="H898" t="s">
        <v>74</v>
      </c>
      <c r="I898" t="s">
        <v>26</v>
      </c>
      <c r="J898">
        <v>96013</v>
      </c>
      <c r="K898">
        <v>40.922074659000003</v>
      </c>
      <c r="L898">
        <v>-121.724463096031</v>
      </c>
      <c r="M898" t="s">
        <v>873</v>
      </c>
      <c r="N898">
        <v>20</v>
      </c>
      <c r="O898" t="s">
        <v>36</v>
      </c>
      <c r="P898">
        <v>0.28000000000000003</v>
      </c>
      <c r="Q898">
        <v>0.79471199999999997</v>
      </c>
    </row>
    <row r="899" spans="1:20" hidden="1" x14ac:dyDescent="0.25">
      <c r="A899" t="s">
        <v>33</v>
      </c>
      <c r="B899" t="s">
        <v>263</v>
      </c>
      <c r="C899">
        <v>2015</v>
      </c>
      <c r="D899" t="s">
        <v>872</v>
      </c>
      <c r="E899" t="s">
        <v>47</v>
      </c>
      <c r="F899" t="s">
        <v>40</v>
      </c>
      <c r="G899" t="s">
        <v>871</v>
      </c>
      <c r="H899" t="s">
        <v>649</v>
      </c>
      <c r="I899" t="s">
        <v>26</v>
      </c>
      <c r="J899">
        <v>95965</v>
      </c>
      <c r="K899">
        <v>39.826380346000001</v>
      </c>
      <c r="L899">
        <v>-121.421806906032</v>
      </c>
      <c r="M899" t="s">
        <v>870</v>
      </c>
      <c r="N899">
        <v>20</v>
      </c>
      <c r="O899" t="s">
        <v>36</v>
      </c>
      <c r="P899">
        <v>0.995</v>
      </c>
      <c r="Q899">
        <v>3.42</v>
      </c>
    </row>
    <row r="900" spans="1:20" hidden="1" x14ac:dyDescent="0.25">
      <c r="A900" t="s">
        <v>33</v>
      </c>
      <c r="B900" t="s">
        <v>263</v>
      </c>
      <c r="C900">
        <v>2016</v>
      </c>
      <c r="D900" t="s">
        <v>869</v>
      </c>
      <c r="E900" t="s">
        <v>47</v>
      </c>
      <c r="F900" t="s">
        <v>40</v>
      </c>
      <c r="G900" t="s">
        <v>51</v>
      </c>
      <c r="H900" t="s">
        <v>50</v>
      </c>
      <c r="I900" t="s">
        <v>26</v>
      </c>
      <c r="J900">
        <v>95526</v>
      </c>
      <c r="K900">
        <v>40.369791148069801</v>
      </c>
      <c r="L900">
        <v>-123.434572275025</v>
      </c>
      <c r="M900" t="s">
        <v>868</v>
      </c>
      <c r="N900">
        <v>20</v>
      </c>
      <c r="O900" t="s">
        <v>36</v>
      </c>
      <c r="P900">
        <v>1.35</v>
      </c>
      <c r="Q900">
        <v>6.2</v>
      </c>
    </row>
    <row r="901" spans="1:20" hidden="1" x14ac:dyDescent="0.25">
      <c r="A901" t="s">
        <v>33</v>
      </c>
      <c r="B901" t="s">
        <v>263</v>
      </c>
      <c r="C901">
        <v>2017</v>
      </c>
      <c r="D901" t="s">
        <v>83</v>
      </c>
      <c r="E901" t="s">
        <v>47</v>
      </c>
      <c r="F901" t="s">
        <v>40</v>
      </c>
      <c r="G901" t="s">
        <v>84</v>
      </c>
      <c r="H901" t="s">
        <v>74</v>
      </c>
      <c r="I901" t="s">
        <v>26</v>
      </c>
      <c r="J901">
        <v>95678</v>
      </c>
      <c r="K901">
        <v>40.410509775433603</v>
      </c>
      <c r="L901">
        <v>-122.87701025730701</v>
      </c>
      <c r="M901" t="s">
        <v>867</v>
      </c>
      <c r="N901">
        <v>10</v>
      </c>
      <c r="O901" t="s">
        <v>36</v>
      </c>
      <c r="P901">
        <v>0.33500000000000002</v>
      </c>
      <c r="Q901">
        <v>0.5</v>
      </c>
    </row>
    <row r="902" spans="1:20" hidden="1" x14ac:dyDescent="0.25">
      <c r="A902" t="s">
        <v>33</v>
      </c>
      <c r="B902" t="s">
        <v>263</v>
      </c>
      <c r="C902">
        <v>2017</v>
      </c>
      <c r="D902" t="s">
        <v>866</v>
      </c>
      <c r="E902" t="s">
        <v>47</v>
      </c>
      <c r="F902" t="s">
        <v>40</v>
      </c>
      <c r="G902" t="s">
        <v>865</v>
      </c>
      <c r="H902" t="s">
        <v>74</v>
      </c>
      <c r="I902" t="s">
        <v>26</v>
      </c>
      <c r="J902">
        <v>96011</v>
      </c>
      <c r="K902">
        <v>41.028913000000003</v>
      </c>
      <c r="L902">
        <v>-121.89237</v>
      </c>
      <c r="M902" t="s">
        <v>864</v>
      </c>
      <c r="N902">
        <v>20</v>
      </c>
      <c r="O902" t="s">
        <v>36</v>
      </c>
      <c r="P902">
        <v>1.1000000000000001</v>
      </c>
      <c r="Q902">
        <v>4.7</v>
      </c>
    </row>
    <row r="903" spans="1:20" hidden="1" x14ac:dyDescent="0.25">
      <c r="A903" t="s">
        <v>33</v>
      </c>
      <c r="B903" t="s">
        <v>263</v>
      </c>
      <c r="C903">
        <v>2017</v>
      </c>
      <c r="D903" t="s">
        <v>863</v>
      </c>
      <c r="E903" t="s">
        <v>47</v>
      </c>
      <c r="F903" t="s">
        <v>40</v>
      </c>
      <c r="G903" t="s">
        <v>165</v>
      </c>
      <c r="H903" t="s">
        <v>74</v>
      </c>
      <c r="I903" t="s">
        <v>26</v>
      </c>
      <c r="J903">
        <v>96065</v>
      </c>
      <c r="K903">
        <v>40.944578454237003</v>
      </c>
      <c r="L903">
        <v>-121.991317082346</v>
      </c>
      <c r="M903" t="s">
        <v>162</v>
      </c>
      <c r="N903">
        <v>20</v>
      </c>
      <c r="O903" t="s">
        <v>36</v>
      </c>
      <c r="P903">
        <v>0.6</v>
      </c>
      <c r="Q903">
        <v>2.2000000000000002</v>
      </c>
    </row>
    <row r="904" spans="1:20" hidden="1" x14ac:dyDescent="0.25">
      <c r="A904" t="s">
        <v>33</v>
      </c>
      <c r="B904" t="s">
        <v>263</v>
      </c>
      <c r="C904">
        <v>2016</v>
      </c>
      <c r="D904" t="s">
        <v>862</v>
      </c>
      <c r="E904" t="s">
        <v>47</v>
      </c>
      <c r="F904" t="s">
        <v>40</v>
      </c>
      <c r="G904" t="s">
        <v>861</v>
      </c>
      <c r="H904" t="s">
        <v>860</v>
      </c>
      <c r="I904" t="s">
        <v>26</v>
      </c>
      <c r="J904">
        <v>95935</v>
      </c>
      <c r="K904">
        <v>39.391836699999999</v>
      </c>
      <c r="L904">
        <v>-121.14132600000001</v>
      </c>
      <c r="M904" t="s">
        <v>859</v>
      </c>
      <c r="N904">
        <v>15</v>
      </c>
      <c r="O904" t="s">
        <v>36</v>
      </c>
      <c r="P904">
        <v>0.15</v>
      </c>
      <c r="Q904">
        <v>1.1826000000000001</v>
      </c>
    </row>
    <row r="905" spans="1:20" hidden="1" x14ac:dyDescent="0.25">
      <c r="A905" t="s">
        <v>33</v>
      </c>
      <c r="B905" t="s">
        <v>263</v>
      </c>
      <c r="C905">
        <v>2017</v>
      </c>
      <c r="D905" t="s">
        <v>858</v>
      </c>
      <c r="E905" t="s">
        <v>47</v>
      </c>
      <c r="F905" t="s">
        <v>40</v>
      </c>
      <c r="G905" t="s">
        <v>857</v>
      </c>
      <c r="H905" t="s">
        <v>74</v>
      </c>
      <c r="I905" t="s">
        <v>26</v>
      </c>
      <c r="J905">
        <v>96088</v>
      </c>
      <c r="K905">
        <v>40.4934730846497</v>
      </c>
      <c r="L905">
        <v>-121.847632410594</v>
      </c>
      <c r="M905" t="s">
        <v>856</v>
      </c>
      <c r="N905">
        <v>20</v>
      </c>
      <c r="O905" t="s">
        <v>36</v>
      </c>
      <c r="P905">
        <v>0.13</v>
      </c>
      <c r="Q905">
        <v>0.9</v>
      </c>
    </row>
    <row r="906" spans="1:20" hidden="1" x14ac:dyDescent="0.25">
      <c r="A906" t="s">
        <v>33</v>
      </c>
      <c r="B906" t="s">
        <v>263</v>
      </c>
      <c r="C906">
        <v>2017</v>
      </c>
      <c r="D906" t="s">
        <v>855</v>
      </c>
      <c r="E906" t="s">
        <v>47</v>
      </c>
      <c r="F906" t="s">
        <v>40</v>
      </c>
      <c r="G906" t="s">
        <v>854</v>
      </c>
      <c r="H906" t="s">
        <v>848</v>
      </c>
      <c r="I906" t="s">
        <v>26</v>
      </c>
      <c r="J906">
        <v>95222</v>
      </c>
      <c r="K906">
        <v>38.071946869054798</v>
      </c>
      <c r="L906">
        <v>-120.539416361937</v>
      </c>
      <c r="M906" t="s">
        <v>847</v>
      </c>
      <c r="N906">
        <v>20</v>
      </c>
      <c r="O906" t="s">
        <v>36</v>
      </c>
      <c r="P906">
        <v>1</v>
      </c>
      <c r="Q906">
        <v>6.2050000000000001</v>
      </c>
    </row>
    <row r="907" spans="1:20" hidden="1" x14ac:dyDescent="0.25">
      <c r="A907" t="s">
        <v>33</v>
      </c>
      <c r="B907" t="s">
        <v>263</v>
      </c>
      <c r="C907">
        <v>2021</v>
      </c>
      <c r="D907" t="s">
        <v>853</v>
      </c>
      <c r="E907" t="s">
        <v>47</v>
      </c>
      <c r="F907" t="s">
        <v>40</v>
      </c>
      <c r="G907" t="s">
        <v>852</v>
      </c>
      <c r="H907" t="s">
        <v>74</v>
      </c>
      <c r="I907" t="s">
        <v>26</v>
      </c>
      <c r="J907">
        <v>96059</v>
      </c>
      <c r="K907">
        <v>40.457964755912798</v>
      </c>
      <c r="L907">
        <v>-121.842641802838</v>
      </c>
      <c r="M907" t="s">
        <v>851</v>
      </c>
      <c r="N907">
        <v>20</v>
      </c>
      <c r="O907" t="s">
        <v>36</v>
      </c>
      <c r="P907">
        <v>1.1499999999999999</v>
      </c>
      <c r="Q907">
        <v>2.31</v>
      </c>
    </row>
    <row r="908" spans="1:20" hidden="1" x14ac:dyDescent="0.25">
      <c r="A908" t="s">
        <v>33</v>
      </c>
      <c r="B908" t="s">
        <v>263</v>
      </c>
      <c r="C908">
        <v>2021</v>
      </c>
      <c r="D908" t="s">
        <v>850</v>
      </c>
      <c r="E908" t="s">
        <v>47</v>
      </c>
      <c r="F908" t="s">
        <v>40</v>
      </c>
      <c r="G908" t="s">
        <v>849</v>
      </c>
      <c r="H908" t="s">
        <v>848</v>
      </c>
      <c r="I908" t="s">
        <v>26</v>
      </c>
      <c r="J908">
        <v>95247</v>
      </c>
      <c r="K908">
        <v>38.147119420700101</v>
      </c>
      <c r="L908">
        <v>-120.446420723873</v>
      </c>
      <c r="M908" t="s">
        <v>847</v>
      </c>
      <c r="N908">
        <v>20</v>
      </c>
      <c r="O908" t="s">
        <v>36</v>
      </c>
      <c r="P908">
        <v>3</v>
      </c>
      <c r="Q908">
        <v>13</v>
      </c>
    </row>
    <row r="909" spans="1:20" hidden="1" x14ac:dyDescent="0.25">
      <c r="A909" t="s">
        <v>33</v>
      </c>
      <c r="B909" t="s">
        <v>232</v>
      </c>
      <c r="C909">
        <v>2012</v>
      </c>
      <c r="D909" t="s">
        <v>844</v>
      </c>
      <c r="E909" t="s">
        <v>47</v>
      </c>
      <c r="F909" t="s">
        <v>40</v>
      </c>
      <c r="G909" t="s">
        <v>846</v>
      </c>
      <c r="H909" t="s">
        <v>845</v>
      </c>
      <c r="I909" t="s">
        <v>26</v>
      </c>
      <c r="J909">
        <v>95640</v>
      </c>
      <c r="K909">
        <v>38.302384000000004</v>
      </c>
      <c r="L909">
        <v>-120.89777100000001</v>
      </c>
      <c r="M909" t="s">
        <v>844</v>
      </c>
      <c r="N909">
        <v>20</v>
      </c>
      <c r="O909" t="s">
        <v>36</v>
      </c>
      <c r="P909">
        <v>0.45500000000000002</v>
      </c>
      <c r="Q909">
        <v>2.2999999999999998</v>
      </c>
    </row>
    <row r="910" spans="1:20" hidden="1" x14ac:dyDescent="0.25">
      <c r="A910" t="s">
        <v>33</v>
      </c>
      <c r="B910" t="s">
        <v>232</v>
      </c>
      <c r="C910">
        <v>2011</v>
      </c>
      <c r="D910" t="s">
        <v>843</v>
      </c>
      <c r="E910" t="s">
        <v>47</v>
      </c>
      <c r="F910" t="s">
        <v>40</v>
      </c>
      <c r="G910" t="s">
        <v>842</v>
      </c>
      <c r="H910" t="s">
        <v>69</v>
      </c>
      <c r="I910" t="s">
        <v>26</v>
      </c>
      <c r="J910">
        <v>95070</v>
      </c>
      <c r="K910">
        <v>37.282899999999998</v>
      </c>
      <c r="L910">
        <v>-122.019105</v>
      </c>
      <c r="M910" t="s">
        <v>841</v>
      </c>
      <c r="N910">
        <v>20</v>
      </c>
      <c r="O910" t="s">
        <v>36</v>
      </c>
      <c r="P910">
        <v>0.112</v>
      </c>
      <c r="Q910">
        <v>0.6</v>
      </c>
    </row>
    <row r="911" spans="1:20" hidden="1" x14ac:dyDescent="0.25">
      <c r="A911" t="s">
        <v>33</v>
      </c>
      <c r="B911" t="s">
        <v>201</v>
      </c>
      <c r="C911">
        <v>2009</v>
      </c>
      <c r="D911" t="s">
        <v>840</v>
      </c>
      <c r="E911" t="s">
        <v>47</v>
      </c>
      <c r="F911" t="s">
        <v>40</v>
      </c>
      <c r="G911" t="s">
        <v>187</v>
      </c>
      <c r="H911" t="s">
        <v>50</v>
      </c>
      <c r="I911" t="s">
        <v>26</v>
      </c>
      <c r="J911">
        <v>95511</v>
      </c>
      <c r="K911">
        <v>40.171484999999997</v>
      </c>
      <c r="L911">
        <v>-123.443279</v>
      </c>
      <c r="M911" t="s">
        <v>839</v>
      </c>
      <c r="N911">
        <v>20</v>
      </c>
      <c r="O911" t="s">
        <v>24</v>
      </c>
      <c r="P911">
        <v>1.625</v>
      </c>
      <c r="Q911">
        <v>8</v>
      </c>
      <c r="S911" s="18">
        <v>40522</v>
      </c>
      <c r="T911" s="18">
        <v>40812</v>
      </c>
    </row>
    <row r="912" spans="1:20" hidden="1" x14ac:dyDescent="0.25">
      <c r="A912" t="s">
        <v>33</v>
      </c>
      <c r="B912" t="s">
        <v>201</v>
      </c>
      <c r="C912">
        <v>2008</v>
      </c>
      <c r="D912" t="s">
        <v>838</v>
      </c>
      <c r="E912" t="s">
        <v>47</v>
      </c>
      <c r="F912" t="s">
        <v>40</v>
      </c>
      <c r="G912" t="s">
        <v>837</v>
      </c>
      <c r="H912" t="s">
        <v>50</v>
      </c>
      <c r="I912" t="s">
        <v>26</v>
      </c>
      <c r="J912">
        <v>96046</v>
      </c>
      <c r="K912">
        <v>40.646799999999999</v>
      </c>
      <c r="L912">
        <v>-123.498</v>
      </c>
      <c r="M912" t="s">
        <v>836</v>
      </c>
      <c r="N912">
        <v>20</v>
      </c>
      <c r="O912" t="s">
        <v>24</v>
      </c>
      <c r="P912">
        <v>4.8</v>
      </c>
      <c r="Q912">
        <v>8</v>
      </c>
      <c r="S912" s="18">
        <v>40158</v>
      </c>
      <c r="T912" s="18">
        <v>40280</v>
      </c>
    </row>
    <row r="913" spans="1:20" hidden="1" x14ac:dyDescent="0.25">
      <c r="A913" t="s">
        <v>33</v>
      </c>
      <c r="B913" t="s">
        <v>232</v>
      </c>
      <c r="C913">
        <v>2010</v>
      </c>
      <c r="D913" t="s">
        <v>835</v>
      </c>
      <c r="E913" t="s">
        <v>47</v>
      </c>
      <c r="F913" t="s">
        <v>40</v>
      </c>
      <c r="G913" t="s">
        <v>248</v>
      </c>
      <c r="H913" t="s">
        <v>74</v>
      </c>
      <c r="I913" t="s">
        <v>26</v>
      </c>
      <c r="J913">
        <v>96096</v>
      </c>
      <c r="K913">
        <v>40.628799999999998</v>
      </c>
      <c r="L913">
        <v>-121.91500000000001</v>
      </c>
      <c r="M913" t="s">
        <v>834</v>
      </c>
      <c r="N913">
        <v>20</v>
      </c>
      <c r="O913" t="s">
        <v>24</v>
      </c>
      <c r="P913">
        <v>0.52</v>
      </c>
      <c r="Q913">
        <v>2.5960000000000001</v>
      </c>
    </row>
    <row r="914" spans="1:20" hidden="1" x14ac:dyDescent="0.25">
      <c r="A914" t="s">
        <v>33</v>
      </c>
      <c r="B914" t="s">
        <v>232</v>
      </c>
      <c r="C914">
        <v>2010</v>
      </c>
      <c r="D914" t="s">
        <v>833</v>
      </c>
      <c r="E914" t="s">
        <v>47</v>
      </c>
      <c r="F914" t="s">
        <v>40</v>
      </c>
      <c r="G914" t="s">
        <v>832</v>
      </c>
      <c r="H914" t="s">
        <v>831</v>
      </c>
      <c r="I914" t="s">
        <v>26</v>
      </c>
      <c r="J914">
        <v>95469</v>
      </c>
      <c r="K914">
        <v>39.3523</v>
      </c>
      <c r="L914">
        <v>-123.122</v>
      </c>
      <c r="M914" t="s">
        <v>830</v>
      </c>
      <c r="N914">
        <v>15</v>
      </c>
      <c r="O914" t="s">
        <v>24</v>
      </c>
      <c r="P914">
        <v>0.33</v>
      </c>
      <c r="Q914">
        <v>0.1</v>
      </c>
    </row>
    <row r="915" spans="1:20" hidden="1" x14ac:dyDescent="0.25">
      <c r="A915" t="s">
        <v>33</v>
      </c>
      <c r="B915" t="s">
        <v>232</v>
      </c>
      <c r="C915">
        <v>2009</v>
      </c>
      <c r="D915" t="s">
        <v>829</v>
      </c>
      <c r="E915" t="s">
        <v>47</v>
      </c>
      <c r="F915" t="s">
        <v>40</v>
      </c>
      <c r="G915" t="s">
        <v>826</v>
      </c>
      <c r="H915" t="s">
        <v>208</v>
      </c>
      <c r="I915" t="s">
        <v>26</v>
      </c>
      <c r="J915">
        <v>95945</v>
      </c>
      <c r="K915">
        <v>39.012099999999997</v>
      </c>
      <c r="L915">
        <v>-121.05800000000001</v>
      </c>
      <c r="M915" t="s">
        <v>828</v>
      </c>
      <c r="N915">
        <v>15</v>
      </c>
      <c r="O915" t="s">
        <v>24</v>
      </c>
      <c r="P915">
        <v>0.5</v>
      </c>
      <c r="Q915">
        <v>1.3160000000000001</v>
      </c>
    </row>
    <row r="916" spans="1:20" hidden="1" x14ac:dyDescent="0.25">
      <c r="A916" t="s">
        <v>33</v>
      </c>
      <c r="B916" t="s">
        <v>232</v>
      </c>
      <c r="C916">
        <v>2009</v>
      </c>
      <c r="D916" t="s">
        <v>827</v>
      </c>
      <c r="E916" t="s">
        <v>47</v>
      </c>
      <c r="F916" t="s">
        <v>40</v>
      </c>
      <c r="G916" t="s">
        <v>826</v>
      </c>
      <c r="H916" t="s">
        <v>208</v>
      </c>
      <c r="I916" t="s">
        <v>26</v>
      </c>
      <c r="J916">
        <v>95949</v>
      </c>
      <c r="K916">
        <v>39.052799999999998</v>
      </c>
      <c r="L916">
        <v>-121.146</v>
      </c>
      <c r="M916" t="s">
        <v>825</v>
      </c>
      <c r="N916">
        <v>20</v>
      </c>
      <c r="O916" t="s">
        <v>24</v>
      </c>
      <c r="P916">
        <v>3.7499999999999999E-2</v>
      </c>
      <c r="Q916">
        <v>0.16600000000000001</v>
      </c>
    </row>
    <row r="917" spans="1:20" hidden="1" x14ac:dyDescent="0.25">
      <c r="A917" t="s">
        <v>33</v>
      </c>
      <c r="B917" t="s">
        <v>232</v>
      </c>
      <c r="C917">
        <v>2008</v>
      </c>
      <c r="D917" t="s">
        <v>824</v>
      </c>
      <c r="E917" t="s">
        <v>47</v>
      </c>
      <c r="F917" t="s">
        <v>40</v>
      </c>
      <c r="G917" t="s">
        <v>822</v>
      </c>
      <c r="H917" t="s">
        <v>113</v>
      </c>
      <c r="I917" t="s">
        <v>26</v>
      </c>
      <c r="J917">
        <v>95634</v>
      </c>
      <c r="K917">
        <v>38.924700000000001</v>
      </c>
      <c r="L917">
        <v>-120.812</v>
      </c>
      <c r="M917" t="s">
        <v>821</v>
      </c>
      <c r="N917">
        <v>20</v>
      </c>
      <c r="O917" t="s">
        <v>36</v>
      </c>
      <c r="P917">
        <v>0.4</v>
      </c>
      <c r="Q917">
        <v>1.9970000000000001</v>
      </c>
    </row>
    <row r="918" spans="1:20" hidden="1" x14ac:dyDescent="0.25">
      <c r="A918" t="s">
        <v>33</v>
      </c>
      <c r="B918" t="s">
        <v>232</v>
      </c>
      <c r="C918">
        <v>2008</v>
      </c>
      <c r="D918" t="s">
        <v>823</v>
      </c>
      <c r="E918" t="s">
        <v>47</v>
      </c>
      <c r="F918" t="s">
        <v>40</v>
      </c>
      <c r="G918" t="s">
        <v>822</v>
      </c>
      <c r="H918" t="s">
        <v>113</v>
      </c>
      <c r="I918" t="s">
        <v>26</v>
      </c>
      <c r="J918">
        <v>95634</v>
      </c>
      <c r="K918">
        <v>38.943800000000003</v>
      </c>
      <c r="L918">
        <v>-120.72199999999999</v>
      </c>
      <c r="M918" t="s">
        <v>821</v>
      </c>
      <c r="N918">
        <v>20</v>
      </c>
      <c r="O918" t="s">
        <v>24</v>
      </c>
      <c r="P918">
        <v>0.6</v>
      </c>
      <c r="Q918">
        <v>2.996</v>
      </c>
    </row>
    <row r="919" spans="1:20" hidden="1" x14ac:dyDescent="0.25">
      <c r="A919" t="s">
        <v>33</v>
      </c>
      <c r="B919" t="s">
        <v>232</v>
      </c>
      <c r="C919">
        <v>2013</v>
      </c>
      <c r="D919" t="s">
        <v>820</v>
      </c>
      <c r="E919" t="s">
        <v>47</v>
      </c>
      <c r="F919" t="s">
        <v>40</v>
      </c>
      <c r="G919" t="s">
        <v>137</v>
      </c>
      <c r="H919" t="s">
        <v>136</v>
      </c>
      <c r="I919" t="s">
        <v>26</v>
      </c>
      <c r="J919">
        <v>95648</v>
      </c>
      <c r="K919">
        <v>38.850813000000002</v>
      </c>
      <c r="L919">
        <v>-121.231758</v>
      </c>
      <c r="M919" t="s">
        <v>819</v>
      </c>
      <c r="N919">
        <v>20</v>
      </c>
      <c r="O919" t="s">
        <v>36</v>
      </c>
      <c r="P919">
        <v>0.32</v>
      </c>
      <c r="Q919">
        <v>1.62</v>
      </c>
    </row>
    <row r="920" spans="1:20" hidden="1" x14ac:dyDescent="0.25">
      <c r="A920" t="s">
        <v>33</v>
      </c>
      <c r="B920" t="s">
        <v>232</v>
      </c>
      <c r="C920">
        <v>2013</v>
      </c>
      <c r="D920" t="s">
        <v>818</v>
      </c>
      <c r="E920" t="s">
        <v>130</v>
      </c>
      <c r="F920" t="s">
        <v>40</v>
      </c>
      <c r="G920" t="s">
        <v>817</v>
      </c>
      <c r="H920" t="s">
        <v>181</v>
      </c>
      <c r="I920" t="s">
        <v>26</v>
      </c>
      <c r="J920">
        <v>93647</v>
      </c>
      <c r="K920">
        <v>36.555895</v>
      </c>
      <c r="L920">
        <v>-119.24864700000001</v>
      </c>
      <c r="M920" t="s">
        <v>816</v>
      </c>
      <c r="N920">
        <v>20</v>
      </c>
      <c r="O920" t="s">
        <v>36</v>
      </c>
      <c r="P920">
        <v>0.999</v>
      </c>
      <c r="Q920">
        <v>1.3986000000000001</v>
      </c>
    </row>
    <row r="921" spans="1:20" hidden="1" x14ac:dyDescent="0.25">
      <c r="A921" t="s">
        <v>33</v>
      </c>
      <c r="B921" t="s">
        <v>232</v>
      </c>
      <c r="C921">
        <v>2013</v>
      </c>
      <c r="D921" t="s">
        <v>815</v>
      </c>
      <c r="E921" t="s">
        <v>130</v>
      </c>
      <c r="F921" t="s">
        <v>40</v>
      </c>
      <c r="G921" t="s">
        <v>542</v>
      </c>
      <c r="H921" t="s">
        <v>533</v>
      </c>
      <c r="I921" t="s">
        <v>26</v>
      </c>
      <c r="J921">
        <v>93245</v>
      </c>
      <c r="K921">
        <v>36.257626000000002</v>
      </c>
      <c r="L921">
        <v>-119.79893800000001</v>
      </c>
      <c r="M921" t="s">
        <v>814</v>
      </c>
      <c r="N921">
        <v>20</v>
      </c>
      <c r="O921" t="s">
        <v>36</v>
      </c>
      <c r="P921">
        <v>1.5</v>
      </c>
      <c r="Q921">
        <v>2.1</v>
      </c>
    </row>
    <row r="922" spans="1:20" hidden="1" x14ac:dyDescent="0.25">
      <c r="A922" t="s">
        <v>33</v>
      </c>
      <c r="B922" t="s">
        <v>232</v>
      </c>
      <c r="C922">
        <v>2013</v>
      </c>
      <c r="D922" t="s">
        <v>813</v>
      </c>
      <c r="E922" t="s">
        <v>130</v>
      </c>
      <c r="F922" t="s">
        <v>40</v>
      </c>
      <c r="G922" t="s">
        <v>812</v>
      </c>
      <c r="H922" t="s">
        <v>649</v>
      </c>
      <c r="I922" t="s">
        <v>26</v>
      </c>
      <c r="J922">
        <v>95917</v>
      </c>
      <c r="K922">
        <v>39.450229</v>
      </c>
      <c r="L922">
        <v>-121.65715</v>
      </c>
      <c r="M922" t="s">
        <v>273</v>
      </c>
      <c r="N922">
        <v>20</v>
      </c>
      <c r="O922" t="s">
        <v>36</v>
      </c>
      <c r="P922">
        <v>0.25</v>
      </c>
      <c r="Q922">
        <v>0.35</v>
      </c>
    </row>
    <row r="923" spans="1:20" hidden="1" x14ac:dyDescent="0.25">
      <c r="A923" t="s">
        <v>33</v>
      </c>
      <c r="B923" t="s">
        <v>232</v>
      </c>
      <c r="C923">
        <v>2013</v>
      </c>
      <c r="D923" t="s">
        <v>811</v>
      </c>
      <c r="E923" t="s">
        <v>130</v>
      </c>
      <c r="F923" t="s">
        <v>40</v>
      </c>
      <c r="G923" t="s">
        <v>275</v>
      </c>
      <c r="H923" t="s">
        <v>274</v>
      </c>
      <c r="I923" t="s">
        <v>26</v>
      </c>
      <c r="J923">
        <v>96021</v>
      </c>
      <c r="K923">
        <v>39.934551999999996</v>
      </c>
      <c r="L923">
        <v>-122.20827199999999</v>
      </c>
      <c r="M923" t="s">
        <v>273</v>
      </c>
      <c r="N923">
        <v>20</v>
      </c>
      <c r="O923" t="s">
        <v>36</v>
      </c>
      <c r="P923">
        <v>0.5</v>
      </c>
      <c r="Q923">
        <v>0.7</v>
      </c>
    </row>
    <row r="924" spans="1:20" x14ac:dyDescent="0.25">
      <c r="A924" t="s">
        <v>33</v>
      </c>
      <c r="B924" t="s">
        <v>232</v>
      </c>
      <c r="C924">
        <v>2013</v>
      </c>
      <c r="D924" t="s">
        <v>810</v>
      </c>
      <c r="E924" t="s">
        <v>130</v>
      </c>
      <c r="F924" t="s">
        <v>40</v>
      </c>
      <c r="G924" t="s">
        <v>173</v>
      </c>
      <c r="H924" t="s">
        <v>12</v>
      </c>
      <c r="I924" t="s">
        <v>26</v>
      </c>
      <c r="J924">
        <v>93307</v>
      </c>
      <c r="K924">
        <v>35.313848</v>
      </c>
      <c r="L924">
        <v>-118.985427</v>
      </c>
      <c r="M924" t="s">
        <v>809</v>
      </c>
      <c r="N924">
        <v>20</v>
      </c>
      <c r="O924" t="s">
        <v>36</v>
      </c>
      <c r="P924">
        <v>1.4</v>
      </c>
      <c r="Q924">
        <v>1.96</v>
      </c>
    </row>
    <row r="925" spans="1:20" x14ac:dyDescent="0.25">
      <c r="A925" t="s">
        <v>33</v>
      </c>
      <c r="B925" t="s">
        <v>206</v>
      </c>
      <c r="C925">
        <v>2013</v>
      </c>
      <c r="D925" t="s">
        <v>808</v>
      </c>
      <c r="E925" t="s">
        <v>130</v>
      </c>
      <c r="F925" t="s">
        <v>40</v>
      </c>
      <c r="G925" t="s">
        <v>173</v>
      </c>
      <c r="H925" t="s">
        <v>12</v>
      </c>
      <c r="I925" t="s">
        <v>26</v>
      </c>
      <c r="J925">
        <v>93307</v>
      </c>
      <c r="K925">
        <v>35.296500000000002</v>
      </c>
      <c r="L925">
        <v>-118.843</v>
      </c>
      <c r="M925" t="s">
        <v>807</v>
      </c>
      <c r="N925">
        <v>20</v>
      </c>
      <c r="O925" t="s">
        <v>36</v>
      </c>
      <c r="P925">
        <v>15</v>
      </c>
      <c r="Q925">
        <v>32.92</v>
      </c>
      <c r="R925" t="s">
        <v>484</v>
      </c>
      <c r="S925" s="18">
        <v>41593</v>
      </c>
      <c r="T925" s="18">
        <v>41667</v>
      </c>
    </row>
    <row r="926" spans="1:20" hidden="1" x14ac:dyDescent="0.25">
      <c r="A926" t="s">
        <v>33</v>
      </c>
      <c r="B926" t="s">
        <v>263</v>
      </c>
      <c r="C926">
        <v>2013</v>
      </c>
      <c r="D926" t="s">
        <v>806</v>
      </c>
      <c r="E926" t="s">
        <v>130</v>
      </c>
      <c r="F926" t="s">
        <v>40</v>
      </c>
      <c r="G926" t="s">
        <v>805</v>
      </c>
      <c r="H926" t="s">
        <v>518</v>
      </c>
      <c r="I926" t="s">
        <v>26</v>
      </c>
      <c r="J926">
        <v>95694</v>
      </c>
      <c r="K926">
        <v>38.521985536619098</v>
      </c>
      <c r="L926">
        <v>-121.994922770431</v>
      </c>
      <c r="M926" t="s">
        <v>804</v>
      </c>
      <c r="N926">
        <v>20</v>
      </c>
      <c r="O926" t="s">
        <v>36</v>
      </c>
      <c r="P926">
        <v>2</v>
      </c>
      <c r="Q926">
        <v>4.3230000000000004</v>
      </c>
    </row>
    <row r="927" spans="1:20" hidden="1" x14ac:dyDescent="0.25">
      <c r="A927" t="s">
        <v>33</v>
      </c>
      <c r="B927" t="s">
        <v>263</v>
      </c>
      <c r="C927">
        <v>2013</v>
      </c>
      <c r="D927" t="s">
        <v>803</v>
      </c>
      <c r="E927" t="s">
        <v>130</v>
      </c>
      <c r="F927" t="s">
        <v>40</v>
      </c>
      <c r="G927" t="s">
        <v>802</v>
      </c>
      <c r="H927" t="s">
        <v>153</v>
      </c>
      <c r="I927" t="s">
        <v>26</v>
      </c>
      <c r="J927">
        <v>93620</v>
      </c>
      <c r="K927">
        <v>37.057292870439802</v>
      </c>
      <c r="L927">
        <v>-120.649120788855</v>
      </c>
      <c r="M927" t="s">
        <v>801</v>
      </c>
      <c r="N927">
        <v>20</v>
      </c>
      <c r="O927" t="s">
        <v>36</v>
      </c>
      <c r="P927">
        <v>1.5</v>
      </c>
      <c r="Q927">
        <v>2.6920000000000002</v>
      </c>
    </row>
    <row r="928" spans="1:20" hidden="1" x14ac:dyDescent="0.25">
      <c r="A928" t="s">
        <v>33</v>
      </c>
      <c r="B928" t="s">
        <v>263</v>
      </c>
      <c r="C928">
        <v>2014</v>
      </c>
      <c r="D928" t="s">
        <v>800</v>
      </c>
      <c r="E928" t="s">
        <v>130</v>
      </c>
      <c r="F928" t="s">
        <v>40</v>
      </c>
      <c r="G928" t="s">
        <v>799</v>
      </c>
      <c r="H928" t="s">
        <v>798</v>
      </c>
      <c r="I928" t="s">
        <v>26</v>
      </c>
      <c r="J928">
        <v>95963</v>
      </c>
      <c r="K928">
        <v>39.698963980000002</v>
      </c>
      <c r="L928">
        <v>-122.1762138</v>
      </c>
      <c r="M928" t="s">
        <v>797</v>
      </c>
      <c r="N928">
        <v>20</v>
      </c>
      <c r="O928" t="s">
        <v>36</v>
      </c>
      <c r="P928">
        <v>1.5</v>
      </c>
      <c r="Q928">
        <v>3.407</v>
      </c>
    </row>
    <row r="929" spans="1:20" hidden="1" x14ac:dyDescent="0.25">
      <c r="A929" t="s">
        <v>33</v>
      </c>
      <c r="B929" t="s">
        <v>206</v>
      </c>
      <c r="C929">
        <v>2014</v>
      </c>
      <c r="D929" t="s">
        <v>796</v>
      </c>
      <c r="E929" t="s">
        <v>130</v>
      </c>
      <c r="F929" t="s">
        <v>40</v>
      </c>
      <c r="G929" t="s">
        <v>546</v>
      </c>
      <c r="H929" t="s">
        <v>259</v>
      </c>
      <c r="I929" t="s">
        <v>26</v>
      </c>
      <c r="J929">
        <v>93536</v>
      </c>
      <c r="K929">
        <v>34.287222</v>
      </c>
      <c r="L929">
        <v>-118.71</v>
      </c>
      <c r="M929" t="s">
        <v>795</v>
      </c>
      <c r="N929">
        <v>20</v>
      </c>
      <c r="O929" t="s">
        <v>36</v>
      </c>
      <c r="P929">
        <v>11.4</v>
      </c>
      <c r="Q929">
        <v>29.7</v>
      </c>
      <c r="R929" t="s">
        <v>785</v>
      </c>
      <c r="S929" s="18">
        <v>41964</v>
      </c>
      <c r="T929" s="18">
        <v>41994</v>
      </c>
    </row>
    <row r="930" spans="1:20" hidden="1" x14ac:dyDescent="0.25">
      <c r="A930" t="s">
        <v>33</v>
      </c>
      <c r="B930" t="s">
        <v>206</v>
      </c>
      <c r="C930">
        <v>2014</v>
      </c>
      <c r="D930" t="s">
        <v>794</v>
      </c>
      <c r="E930" t="s">
        <v>130</v>
      </c>
      <c r="F930" t="s">
        <v>40</v>
      </c>
      <c r="G930" t="s">
        <v>781</v>
      </c>
      <c r="H930" t="s">
        <v>146</v>
      </c>
      <c r="I930" t="s">
        <v>26</v>
      </c>
      <c r="J930">
        <v>93620</v>
      </c>
      <c r="K930">
        <v>36.875174999999999</v>
      </c>
      <c r="L930">
        <v>-120.65172800000001</v>
      </c>
      <c r="M930" t="s">
        <v>788</v>
      </c>
      <c r="N930">
        <v>20</v>
      </c>
      <c r="O930" t="s">
        <v>36</v>
      </c>
      <c r="P930">
        <v>10</v>
      </c>
      <c r="Q930">
        <v>25.91</v>
      </c>
      <c r="R930" t="s">
        <v>785</v>
      </c>
      <c r="S930" s="18">
        <v>41964</v>
      </c>
      <c r="T930" s="18">
        <v>41994</v>
      </c>
    </row>
    <row r="931" spans="1:20" hidden="1" x14ac:dyDescent="0.25">
      <c r="A931" t="s">
        <v>33</v>
      </c>
      <c r="B931" t="s">
        <v>206</v>
      </c>
      <c r="C931">
        <v>2014</v>
      </c>
      <c r="D931" t="s">
        <v>793</v>
      </c>
      <c r="E931" t="s">
        <v>130</v>
      </c>
      <c r="F931" t="s">
        <v>40</v>
      </c>
      <c r="G931" t="s">
        <v>792</v>
      </c>
      <c r="H931" t="s">
        <v>133</v>
      </c>
      <c r="I931" t="s">
        <v>26</v>
      </c>
      <c r="J931">
        <v>92327</v>
      </c>
      <c r="K931">
        <v>34.867367000000002</v>
      </c>
      <c r="L931">
        <v>-116.82531400000001</v>
      </c>
      <c r="M931" t="s">
        <v>791</v>
      </c>
      <c r="N931">
        <v>20</v>
      </c>
      <c r="O931" t="s">
        <v>36</v>
      </c>
      <c r="P931">
        <v>20</v>
      </c>
      <c r="Q931">
        <v>51.36</v>
      </c>
      <c r="R931" t="s">
        <v>785</v>
      </c>
      <c r="S931" s="18">
        <v>41964</v>
      </c>
      <c r="T931" s="18">
        <v>41994</v>
      </c>
    </row>
    <row r="932" spans="1:20" hidden="1" x14ac:dyDescent="0.25">
      <c r="A932" t="s">
        <v>33</v>
      </c>
      <c r="B932" t="s">
        <v>206</v>
      </c>
      <c r="C932">
        <v>2014</v>
      </c>
      <c r="D932" t="s">
        <v>790</v>
      </c>
      <c r="E932" t="s">
        <v>130</v>
      </c>
      <c r="F932" t="s">
        <v>40</v>
      </c>
      <c r="G932" t="s">
        <v>603</v>
      </c>
      <c r="H932" t="s">
        <v>533</v>
      </c>
      <c r="I932" t="s">
        <v>26</v>
      </c>
      <c r="J932">
        <v>93204</v>
      </c>
      <c r="K932">
        <v>35.996391000000003</v>
      </c>
      <c r="L932">
        <v>-120.140562</v>
      </c>
      <c r="M932" t="s">
        <v>786</v>
      </c>
      <c r="N932">
        <v>20</v>
      </c>
      <c r="O932" t="s">
        <v>36</v>
      </c>
      <c r="P932">
        <v>7.9</v>
      </c>
      <c r="Q932">
        <v>19.71</v>
      </c>
      <c r="R932" t="s">
        <v>785</v>
      </c>
      <c r="S932" s="18">
        <v>41964</v>
      </c>
      <c r="T932" s="18">
        <v>41994</v>
      </c>
    </row>
    <row r="933" spans="1:20" hidden="1" x14ac:dyDescent="0.25">
      <c r="A933" t="s">
        <v>33</v>
      </c>
      <c r="B933" t="s">
        <v>206</v>
      </c>
      <c r="C933">
        <v>2014</v>
      </c>
      <c r="D933" t="s">
        <v>789</v>
      </c>
      <c r="E933" t="s">
        <v>130</v>
      </c>
      <c r="F933" t="s">
        <v>40</v>
      </c>
      <c r="G933" t="s">
        <v>781</v>
      </c>
      <c r="H933" t="s">
        <v>146</v>
      </c>
      <c r="I933" t="s">
        <v>26</v>
      </c>
      <c r="J933">
        <v>93620</v>
      </c>
      <c r="K933">
        <v>36.875174999999999</v>
      </c>
      <c r="L933">
        <v>-120.65172800000001</v>
      </c>
      <c r="M933" t="s">
        <v>788</v>
      </c>
      <c r="N933">
        <v>20</v>
      </c>
      <c r="O933" t="s">
        <v>36</v>
      </c>
      <c r="P933">
        <v>10</v>
      </c>
      <c r="Q933">
        <v>25.91</v>
      </c>
      <c r="R933" t="s">
        <v>785</v>
      </c>
      <c r="S933" s="18">
        <v>41964</v>
      </c>
      <c r="T933" s="18">
        <v>41994</v>
      </c>
    </row>
    <row r="934" spans="1:20" hidden="1" x14ac:dyDescent="0.25">
      <c r="A934" t="s">
        <v>33</v>
      </c>
      <c r="B934" t="s">
        <v>206</v>
      </c>
      <c r="C934">
        <v>2014</v>
      </c>
      <c r="D934" t="s">
        <v>787</v>
      </c>
      <c r="E934" t="s">
        <v>130</v>
      </c>
      <c r="F934" t="s">
        <v>40</v>
      </c>
      <c r="G934" t="s">
        <v>603</v>
      </c>
      <c r="H934" t="s">
        <v>533</v>
      </c>
      <c r="I934" t="s">
        <v>26</v>
      </c>
      <c r="J934">
        <v>93204</v>
      </c>
      <c r="K934">
        <v>35.996391000000003</v>
      </c>
      <c r="L934">
        <v>-120.140562</v>
      </c>
      <c r="M934" t="s">
        <v>786</v>
      </c>
      <c r="N934">
        <v>20</v>
      </c>
      <c r="O934" t="s">
        <v>36</v>
      </c>
      <c r="P934">
        <v>7.9</v>
      </c>
      <c r="Q934">
        <v>19.71</v>
      </c>
      <c r="R934" t="s">
        <v>785</v>
      </c>
      <c r="S934" s="18">
        <v>41964</v>
      </c>
      <c r="T934" s="18">
        <v>41994</v>
      </c>
    </row>
    <row r="935" spans="1:20" hidden="1" x14ac:dyDescent="0.25">
      <c r="A935" t="s">
        <v>33</v>
      </c>
      <c r="B935" t="s">
        <v>540</v>
      </c>
      <c r="C935">
        <v>2014</v>
      </c>
      <c r="D935" t="s">
        <v>784</v>
      </c>
      <c r="E935" t="s">
        <v>130</v>
      </c>
      <c r="F935" t="s">
        <v>40</v>
      </c>
      <c r="G935" t="s">
        <v>534</v>
      </c>
      <c r="H935" t="s">
        <v>533</v>
      </c>
      <c r="I935" t="s">
        <v>26</v>
      </c>
      <c r="J935">
        <v>93230</v>
      </c>
      <c r="K935">
        <v>36.150419999999997</v>
      </c>
      <c r="L935">
        <v>-119.588542</v>
      </c>
      <c r="M935" t="s">
        <v>783</v>
      </c>
      <c r="N935">
        <v>20</v>
      </c>
      <c r="O935" t="s">
        <v>36</v>
      </c>
      <c r="P935">
        <v>20</v>
      </c>
      <c r="Q935">
        <v>49.23</v>
      </c>
      <c r="S935" s="18">
        <v>42114</v>
      </c>
      <c r="T935" s="18">
        <v>42144</v>
      </c>
    </row>
    <row r="936" spans="1:20" hidden="1" x14ac:dyDescent="0.25">
      <c r="A936" t="s">
        <v>33</v>
      </c>
      <c r="B936" t="s">
        <v>540</v>
      </c>
      <c r="C936">
        <v>2014</v>
      </c>
      <c r="D936" t="s">
        <v>782</v>
      </c>
      <c r="E936" t="s">
        <v>130</v>
      </c>
      <c r="F936" t="s">
        <v>40</v>
      </c>
      <c r="G936" t="s">
        <v>781</v>
      </c>
      <c r="H936" t="s">
        <v>146</v>
      </c>
      <c r="I936" t="s">
        <v>26</v>
      </c>
      <c r="J936">
        <v>93294</v>
      </c>
      <c r="K936">
        <v>36.378999999999998</v>
      </c>
      <c r="L936">
        <v>-120.13800000000001</v>
      </c>
      <c r="M936" t="s">
        <v>780</v>
      </c>
      <c r="N936">
        <v>20</v>
      </c>
      <c r="O936" t="s">
        <v>36</v>
      </c>
      <c r="P936">
        <v>20</v>
      </c>
      <c r="Q936">
        <v>55.25</v>
      </c>
      <c r="S936" s="18">
        <v>42114</v>
      </c>
      <c r="T936" s="18">
        <v>42144</v>
      </c>
    </row>
    <row r="937" spans="1:20" hidden="1" x14ac:dyDescent="0.25">
      <c r="A937" t="s">
        <v>33</v>
      </c>
      <c r="B937" t="s">
        <v>540</v>
      </c>
      <c r="C937">
        <v>2014</v>
      </c>
      <c r="D937" t="s">
        <v>779</v>
      </c>
      <c r="E937" t="s">
        <v>130</v>
      </c>
      <c r="F937" t="s">
        <v>40</v>
      </c>
      <c r="G937" t="s">
        <v>778</v>
      </c>
      <c r="H937" t="s">
        <v>146</v>
      </c>
      <c r="I937" t="s">
        <v>26</v>
      </c>
      <c r="J937">
        <v>93608</v>
      </c>
      <c r="K937">
        <v>36.549953000000002</v>
      </c>
      <c r="L937">
        <v>-120.348415</v>
      </c>
      <c r="M937" t="s">
        <v>777</v>
      </c>
      <c r="N937">
        <v>20</v>
      </c>
      <c r="O937" t="s">
        <v>36</v>
      </c>
      <c r="P937">
        <v>9</v>
      </c>
      <c r="Q937">
        <v>23.28</v>
      </c>
      <c r="S937" s="18">
        <v>42114</v>
      </c>
      <c r="T937" s="18">
        <v>42144</v>
      </c>
    </row>
    <row r="938" spans="1:20" x14ac:dyDescent="0.25">
      <c r="A938" t="s">
        <v>33</v>
      </c>
      <c r="B938" t="s">
        <v>197</v>
      </c>
      <c r="C938">
        <v>2015</v>
      </c>
      <c r="D938" t="s">
        <v>776</v>
      </c>
      <c r="E938" t="s">
        <v>130</v>
      </c>
      <c r="F938" t="s">
        <v>40</v>
      </c>
      <c r="G938" t="s">
        <v>173</v>
      </c>
      <c r="H938" t="s">
        <v>12</v>
      </c>
      <c r="I938" t="s">
        <v>26</v>
      </c>
      <c r="J938">
        <v>93304</v>
      </c>
      <c r="K938">
        <v>35.325899999999997</v>
      </c>
      <c r="L938">
        <v>-118.9782</v>
      </c>
      <c r="M938" t="s">
        <v>775</v>
      </c>
      <c r="N938">
        <v>20</v>
      </c>
      <c r="O938" t="s">
        <v>36</v>
      </c>
      <c r="P938">
        <v>5.25</v>
      </c>
      <c r="Q938">
        <v>12.938000000000001</v>
      </c>
      <c r="S938" s="18">
        <v>42391</v>
      </c>
      <c r="T938" s="18">
        <v>42421</v>
      </c>
    </row>
    <row r="939" spans="1:20" hidden="1" x14ac:dyDescent="0.25">
      <c r="A939" t="s">
        <v>33</v>
      </c>
      <c r="B939" t="s">
        <v>540</v>
      </c>
      <c r="C939">
        <v>2015</v>
      </c>
      <c r="D939" t="s">
        <v>774</v>
      </c>
      <c r="E939" t="s">
        <v>130</v>
      </c>
      <c r="F939" t="s">
        <v>40</v>
      </c>
      <c r="G939" t="s">
        <v>546</v>
      </c>
      <c r="H939" t="s">
        <v>259</v>
      </c>
      <c r="I939" t="s">
        <v>26</v>
      </c>
      <c r="J939">
        <v>93536</v>
      </c>
      <c r="K939">
        <v>34.666699999999999</v>
      </c>
      <c r="L939">
        <v>-118.2993</v>
      </c>
      <c r="M939" t="s">
        <v>773</v>
      </c>
      <c r="N939">
        <v>20</v>
      </c>
      <c r="O939" t="s">
        <v>36</v>
      </c>
      <c r="P939">
        <v>20</v>
      </c>
      <c r="Q939">
        <v>57.017800000000001</v>
      </c>
      <c r="S939" s="18">
        <v>42391</v>
      </c>
      <c r="T939" s="18">
        <v>42421</v>
      </c>
    </row>
    <row r="940" spans="1:20" hidden="1" x14ac:dyDescent="0.25">
      <c r="A940" t="s">
        <v>33</v>
      </c>
      <c r="B940" t="s">
        <v>540</v>
      </c>
      <c r="C940">
        <v>2015</v>
      </c>
      <c r="D940" t="s">
        <v>772</v>
      </c>
      <c r="E940" t="s">
        <v>130</v>
      </c>
      <c r="F940" t="s">
        <v>40</v>
      </c>
      <c r="G940" t="s">
        <v>546</v>
      </c>
      <c r="H940" t="s">
        <v>259</v>
      </c>
      <c r="I940" t="s">
        <v>26</v>
      </c>
      <c r="J940">
        <v>93536</v>
      </c>
      <c r="K940">
        <v>34.659300000000002</v>
      </c>
      <c r="L940">
        <v>-118.3044</v>
      </c>
      <c r="M940" t="s">
        <v>771</v>
      </c>
      <c r="N940">
        <v>20</v>
      </c>
      <c r="O940" t="s">
        <v>36</v>
      </c>
      <c r="P940">
        <v>20</v>
      </c>
      <c r="Q940">
        <v>57.017800000000001</v>
      </c>
      <c r="S940" s="18">
        <v>42391</v>
      </c>
      <c r="T940" s="18">
        <v>42421</v>
      </c>
    </row>
    <row r="941" spans="1:20" hidden="1" x14ac:dyDescent="0.25">
      <c r="A941" t="s">
        <v>33</v>
      </c>
      <c r="B941" t="s">
        <v>540</v>
      </c>
      <c r="C941">
        <v>2015</v>
      </c>
      <c r="D941" t="s">
        <v>770</v>
      </c>
      <c r="E941" t="s">
        <v>130</v>
      </c>
      <c r="F941" t="s">
        <v>40</v>
      </c>
      <c r="G941" t="s">
        <v>546</v>
      </c>
      <c r="H941" t="s">
        <v>259</v>
      </c>
      <c r="I941" t="s">
        <v>26</v>
      </c>
      <c r="J941">
        <v>93536</v>
      </c>
      <c r="K941">
        <v>34.673699999999997</v>
      </c>
      <c r="L941">
        <v>-118.3203</v>
      </c>
      <c r="M941" t="s">
        <v>769</v>
      </c>
      <c r="N941">
        <v>20</v>
      </c>
      <c r="O941" t="s">
        <v>36</v>
      </c>
      <c r="P941">
        <v>20</v>
      </c>
      <c r="Q941">
        <v>57.017800000000001</v>
      </c>
      <c r="S941" s="18">
        <v>42391</v>
      </c>
      <c r="T941" s="18">
        <v>42421</v>
      </c>
    </row>
    <row r="942" spans="1:20" hidden="1" x14ac:dyDescent="0.25">
      <c r="A942" t="s">
        <v>33</v>
      </c>
      <c r="B942" t="s">
        <v>197</v>
      </c>
      <c r="C942">
        <v>2015</v>
      </c>
      <c r="D942" t="s">
        <v>768</v>
      </c>
      <c r="E942" t="s">
        <v>130</v>
      </c>
      <c r="F942" t="s">
        <v>40</v>
      </c>
      <c r="G942" t="s">
        <v>35</v>
      </c>
      <c r="H942" t="s">
        <v>146</v>
      </c>
      <c r="I942" t="s">
        <v>26</v>
      </c>
      <c r="J942">
        <v>93660</v>
      </c>
      <c r="K942">
        <v>36.5261</v>
      </c>
      <c r="L942">
        <v>-120.1473</v>
      </c>
      <c r="M942" t="s">
        <v>767</v>
      </c>
      <c r="N942">
        <v>20</v>
      </c>
      <c r="O942" t="s">
        <v>36</v>
      </c>
      <c r="P942">
        <v>1.5</v>
      </c>
      <c r="Q942">
        <v>3.7229999999999999</v>
      </c>
      <c r="S942" s="18">
        <v>42391</v>
      </c>
      <c r="T942" s="18">
        <v>42421</v>
      </c>
    </row>
    <row r="943" spans="1:20" hidden="1" x14ac:dyDescent="0.25">
      <c r="A943" t="s">
        <v>33</v>
      </c>
      <c r="B943" t="s">
        <v>206</v>
      </c>
      <c r="C943">
        <v>2015</v>
      </c>
      <c r="D943" t="s">
        <v>766</v>
      </c>
      <c r="E943" t="s">
        <v>130</v>
      </c>
      <c r="F943" t="s">
        <v>40</v>
      </c>
      <c r="G943" t="s">
        <v>35</v>
      </c>
      <c r="H943" t="s">
        <v>146</v>
      </c>
      <c r="I943" t="s">
        <v>26</v>
      </c>
      <c r="J943">
        <v>93660</v>
      </c>
      <c r="K943">
        <v>36.5261</v>
      </c>
      <c r="L943">
        <v>-120.1473</v>
      </c>
      <c r="M943" t="s">
        <v>765</v>
      </c>
      <c r="N943">
        <v>20</v>
      </c>
      <c r="O943" t="s">
        <v>36</v>
      </c>
      <c r="P943">
        <v>19.239999999999998</v>
      </c>
      <c r="Q943">
        <v>49.781999999999996</v>
      </c>
      <c r="R943" t="s">
        <v>377</v>
      </c>
      <c r="S943" s="18">
        <v>42391</v>
      </c>
      <c r="T943" s="18">
        <v>42421</v>
      </c>
    </row>
    <row r="944" spans="1:20" x14ac:dyDescent="0.25">
      <c r="A944" t="s">
        <v>33</v>
      </c>
      <c r="B944" t="s">
        <v>197</v>
      </c>
      <c r="C944">
        <v>2015</v>
      </c>
      <c r="D944" t="s">
        <v>764</v>
      </c>
      <c r="E944" t="s">
        <v>130</v>
      </c>
      <c r="F944" t="s">
        <v>40</v>
      </c>
      <c r="G944" t="s">
        <v>173</v>
      </c>
      <c r="H944" t="s">
        <v>12</v>
      </c>
      <c r="I944" t="s">
        <v>26</v>
      </c>
      <c r="J944">
        <v>93307</v>
      </c>
      <c r="K944">
        <v>35.329799999999999</v>
      </c>
      <c r="L944">
        <v>-118.99299999999999</v>
      </c>
      <c r="M944" t="s">
        <v>763</v>
      </c>
      <c r="N944">
        <v>20</v>
      </c>
      <c r="O944" t="s">
        <v>36</v>
      </c>
      <c r="P944">
        <v>1</v>
      </c>
      <c r="Q944">
        <v>2.33</v>
      </c>
      <c r="S944" s="18">
        <v>42391</v>
      </c>
      <c r="T944" s="18">
        <v>42421</v>
      </c>
    </row>
    <row r="945" spans="1:20" x14ac:dyDescent="0.25">
      <c r="A945" t="s">
        <v>33</v>
      </c>
      <c r="B945" t="s">
        <v>197</v>
      </c>
      <c r="C945">
        <v>2015</v>
      </c>
      <c r="D945" t="s">
        <v>762</v>
      </c>
      <c r="E945" t="s">
        <v>130</v>
      </c>
      <c r="F945" t="s">
        <v>40</v>
      </c>
      <c r="G945" t="s">
        <v>761</v>
      </c>
      <c r="H945" t="s">
        <v>12</v>
      </c>
      <c r="I945" t="s">
        <v>26</v>
      </c>
      <c r="J945">
        <v>93250</v>
      </c>
      <c r="K945">
        <v>35.7592</v>
      </c>
      <c r="L945">
        <v>-119.34820000000001</v>
      </c>
      <c r="M945" t="s">
        <v>760</v>
      </c>
      <c r="N945">
        <v>20</v>
      </c>
      <c r="O945" t="s">
        <v>36</v>
      </c>
      <c r="P945">
        <v>1</v>
      </c>
      <c r="Q945">
        <v>2.6206</v>
      </c>
      <c r="S945" s="18">
        <v>42391</v>
      </c>
      <c r="T945" s="18">
        <v>42421</v>
      </c>
    </row>
    <row r="946" spans="1:20" hidden="1" x14ac:dyDescent="0.25">
      <c r="A946" t="s">
        <v>33</v>
      </c>
      <c r="B946" t="s">
        <v>197</v>
      </c>
      <c r="C946">
        <v>2015</v>
      </c>
      <c r="D946" t="s">
        <v>759</v>
      </c>
      <c r="E946" t="s">
        <v>130</v>
      </c>
      <c r="F946" t="s">
        <v>40</v>
      </c>
      <c r="G946" t="s">
        <v>700</v>
      </c>
      <c r="H946" t="s">
        <v>35</v>
      </c>
      <c r="I946" t="s">
        <v>26</v>
      </c>
      <c r="J946">
        <v>95336</v>
      </c>
      <c r="K946">
        <v>37.840400000000002</v>
      </c>
      <c r="L946">
        <v>-121.21680000000001</v>
      </c>
      <c r="M946" t="s">
        <v>758</v>
      </c>
      <c r="N946">
        <v>20</v>
      </c>
      <c r="O946" t="s">
        <v>36</v>
      </c>
      <c r="P946">
        <v>1</v>
      </c>
      <c r="Q946">
        <v>1.9761</v>
      </c>
      <c r="S946" s="18">
        <v>42391</v>
      </c>
      <c r="T946" s="18">
        <v>42421</v>
      </c>
    </row>
    <row r="947" spans="1:20" hidden="1" x14ac:dyDescent="0.25">
      <c r="A947" t="s">
        <v>33</v>
      </c>
      <c r="B947" t="s">
        <v>197</v>
      </c>
      <c r="C947">
        <v>2015</v>
      </c>
      <c r="D947" t="s">
        <v>757</v>
      </c>
      <c r="E947" t="s">
        <v>130</v>
      </c>
      <c r="F947" t="s">
        <v>40</v>
      </c>
      <c r="G947" t="s">
        <v>711</v>
      </c>
      <c r="H947" t="s">
        <v>153</v>
      </c>
      <c r="I947" t="s">
        <v>26</v>
      </c>
      <c r="J947">
        <v>93635</v>
      </c>
      <c r="K947">
        <v>36.989400000000003</v>
      </c>
      <c r="L947">
        <v>-120.878</v>
      </c>
      <c r="M947" t="s">
        <v>756</v>
      </c>
      <c r="N947">
        <v>20</v>
      </c>
      <c r="O947" t="s">
        <v>36</v>
      </c>
      <c r="P947">
        <v>3</v>
      </c>
      <c r="Q947">
        <v>6.2329999999999997</v>
      </c>
      <c r="S947" s="18">
        <v>42391</v>
      </c>
      <c r="T947" s="18">
        <v>42421</v>
      </c>
    </row>
    <row r="948" spans="1:20" hidden="1" x14ac:dyDescent="0.25">
      <c r="A948" t="s">
        <v>33</v>
      </c>
      <c r="B948" t="s">
        <v>197</v>
      </c>
      <c r="C948">
        <v>2015</v>
      </c>
      <c r="D948" t="s">
        <v>755</v>
      </c>
      <c r="E948" t="s">
        <v>130</v>
      </c>
      <c r="F948" t="s">
        <v>40</v>
      </c>
      <c r="G948" t="s">
        <v>754</v>
      </c>
      <c r="H948" t="s">
        <v>146</v>
      </c>
      <c r="I948" t="s">
        <v>26</v>
      </c>
      <c r="J948">
        <v>93608</v>
      </c>
      <c r="K948">
        <v>36.573</v>
      </c>
      <c r="L948">
        <v>-120.408</v>
      </c>
      <c r="M948" t="s">
        <v>753</v>
      </c>
      <c r="N948">
        <v>17</v>
      </c>
      <c r="O948" t="s">
        <v>36</v>
      </c>
      <c r="P948">
        <v>20</v>
      </c>
      <c r="Q948">
        <v>55.951000000000001</v>
      </c>
      <c r="S948" s="18">
        <v>42391</v>
      </c>
      <c r="T948" s="18">
        <v>42421</v>
      </c>
    </row>
    <row r="949" spans="1:20" hidden="1" x14ac:dyDescent="0.25">
      <c r="A949" t="s">
        <v>33</v>
      </c>
      <c r="B949" t="s">
        <v>540</v>
      </c>
      <c r="C949">
        <v>2015</v>
      </c>
      <c r="D949" t="s">
        <v>752</v>
      </c>
      <c r="E949" t="s">
        <v>130</v>
      </c>
      <c r="F949" t="s">
        <v>40</v>
      </c>
      <c r="G949" t="s">
        <v>542</v>
      </c>
      <c r="H949" t="s">
        <v>533</v>
      </c>
      <c r="I949" t="s">
        <v>26</v>
      </c>
      <c r="J949">
        <v>93245</v>
      </c>
      <c r="K949">
        <v>36.234299999999998</v>
      </c>
      <c r="L949">
        <v>-119.81319999999999</v>
      </c>
      <c r="M949" t="s">
        <v>751</v>
      </c>
      <c r="N949">
        <v>17</v>
      </c>
      <c r="O949" t="s">
        <v>36</v>
      </c>
      <c r="P949">
        <v>13.5</v>
      </c>
      <c r="Q949">
        <v>34.459000000000003</v>
      </c>
      <c r="S949" s="18">
        <v>42391</v>
      </c>
      <c r="T949" s="18">
        <v>42421</v>
      </c>
    </row>
    <row r="950" spans="1:20" x14ac:dyDescent="0.25">
      <c r="A950" t="s">
        <v>33</v>
      </c>
      <c r="B950" t="s">
        <v>197</v>
      </c>
      <c r="C950">
        <v>2016</v>
      </c>
      <c r="D950" t="s">
        <v>750</v>
      </c>
      <c r="E950" t="s">
        <v>130</v>
      </c>
      <c r="F950" t="s">
        <v>40</v>
      </c>
      <c r="G950" t="s">
        <v>173</v>
      </c>
      <c r="H950" t="s">
        <v>12</v>
      </c>
      <c r="I950" t="s">
        <v>26</v>
      </c>
      <c r="J950">
        <v>93307</v>
      </c>
      <c r="K950">
        <v>35.314100000000003</v>
      </c>
      <c r="L950">
        <v>-118.81189999999999</v>
      </c>
      <c r="M950" t="s">
        <v>750</v>
      </c>
      <c r="N950">
        <v>20</v>
      </c>
      <c r="O950" t="s">
        <v>36</v>
      </c>
      <c r="P950">
        <v>20</v>
      </c>
      <c r="Q950">
        <v>52.097700000000003</v>
      </c>
      <c r="S950" s="18">
        <v>42391</v>
      </c>
      <c r="T950" s="18">
        <v>42421</v>
      </c>
    </row>
    <row r="951" spans="1:20" hidden="1" x14ac:dyDescent="0.25">
      <c r="A951" t="s">
        <v>33</v>
      </c>
      <c r="B951" t="s">
        <v>263</v>
      </c>
      <c r="C951">
        <v>2016</v>
      </c>
      <c r="D951" t="s">
        <v>749</v>
      </c>
      <c r="E951" t="s">
        <v>130</v>
      </c>
      <c r="F951" t="s">
        <v>40</v>
      </c>
      <c r="G951" t="s">
        <v>709</v>
      </c>
      <c r="H951" t="s">
        <v>178</v>
      </c>
      <c r="I951" t="s">
        <v>26</v>
      </c>
      <c r="J951">
        <v>93610</v>
      </c>
      <c r="K951">
        <v>37.054219099704298</v>
      </c>
      <c r="L951">
        <v>-120.166832494152</v>
      </c>
      <c r="M951" t="s">
        <v>748</v>
      </c>
      <c r="N951">
        <v>20</v>
      </c>
      <c r="O951" t="s">
        <v>36</v>
      </c>
      <c r="P951">
        <v>1.5</v>
      </c>
      <c r="Q951">
        <v>3.9293</v>
      </c>
    </row>
    <row r="952" spans="1:20" x14ac:dyDescent="0.25">
      <c r="A952" t="s">
        <v>33</v>
      </c>
      <c r="B952" t="s">
        <v>263</v>
      </c>
      <c r="C952">
        <v>2017</v>
      </c>
      <c r="D952" t="s">
        <v>747</v>
      </c>
      <c r="E952" t="s">
        <v>130</v>
      </c>
      <c r="F952" t="s">
        <v>40</v>
      </c>
      <c r="G952" t="s">
        <v>498</v>
      </c>
      <c r="H952" t="s">
        <v>12</v>
      </c>
      <c r="I952" t="s">
        <v>26</v>
      </c>
      <c r="J952">
        <v>93268</v>
      </c>
      <c r="K952">
        <v>35.2149450129846</v>
      </c>
      <c r="L952">
        <v>-119.395202194023</v>
      </c>
      <c r="M952" t="s">
        <v>746</v>
      </c>
      <c r="N952">
        <v>20</v>
      </c>
      <c r="O952" t="s">
        <v>36</v>
      </c>
      <c r="P952">
        <v>3</v>
      </c>
      <c r="Q952">
        <v>7.49</v>
      </c>
    </row>
    <row r="953" spans="1:20" x14ac:dyDescent="0.25">
      <c r="A953" t="s">
        <v>33</v>
      </c>
      <c r="B953" t="s">
        <v>206</v>
      </c>
      <c r="C953">
        <v>2016</v>
      </c>
      <c r="D953" t="s">
        <v>745</v>
      </c>
      <c r="E953" t="s">
        <v>130</v>
      </c>
      <c r="F953" t="s">
        <v>40</v>
      </c>
      <c r="G953" t="s">
        <v>347</v>
      </c>
      <c r="H953" t="s">
        <v>12</v>
      </c>
      <c r="I953" t="s">
        <v>26</v>
      </c>
      <c r="J953">
        <v>93560</v>
      </c>
      <c r="K953">
        <v>34.832999999999998</v>
      </c>
      <c r="L953">
        <v>-118.54600000000001</v>
      </c>
      <c r="M953" t="s">
        <v>742</v>
      </c>
      <c r="N953">
        <v>15</v>
      </c>
      <c r="O953" t="s">
        <v>36</v>
      </c>
      <c r="P953">
        <v>20</v>
      </c>
      <c r="Q953">
        <v>60.4559</v>
      </c>
      <c r="R953" t="s">
        <v>393</v>
      </c>
      <c r="S953" s="18">
        <v>43006</v>
      </c>
      <c r="T953" s="18">
        <v>43060</v>
      </c>
    </row>
    <row r="954" spans="1:20" x14ac:dyDescent="0.25">
      <c r="A954" t="s">
        <v>33</v>
      </c>
      <c r="B954" t="s">
        <v>206</v>
      </c>
      <c r="C954">
        <v>2016</v>
      </c>
      <c r="D954" t="s">
        <v>744</v>
      </c>
      <c r="E954" t="s">
        <v>130</v>
      </c>
      <c r="F954" t="s">
        <v>40</v>
      </c>
      <c r="G954" t="s">
        <v>347</v>
      </c>
      <c r="H954" t="s">
        <v>12</v>
      </c>
      <c r="I954" t="s">
        <v>26</v>
      </c>
      <c r="J954">
        <v>93560</v>
      </c>
      <c r="K954">
        <v>34.832999999999998</v>
      </c>
      <c r="L954">
        <v>-118.54600000000001</v>
      </c>
      <c r="M954" t="s">
        <v>742</v>
      </c>
      <c r="N954">
        <v>15</v>
      </c>
      <c r="O954" t="s">
        <v>36</v>
      </c>
      <c r="P954">
        <v>20</v>
      </c>
      <c r="Q954">
        <v>60.4559</v>
      </c>
      <c r="R954" t="s">
        <v>393</v>
      </c>
      <c r="S954" s="18">
        <v>43006</v>
      </c>
      <c r="T954" s="18">
        <v>43060</v>
      </c>
    </row>
    <row r="955" spans="1:20" x14ac:dyDescent="0.25">
      <c r="A955" t="s">
        <v>33</v>
      </c>
      <c r="B955" t="s">
        <v>206</v>
      </c>
      <c r="C955">
        <v>2016</v>
      </c>
      <c r="D955" t="s">
        <v>743</v>
      </c>
      <c r="E955" t="s">
        <v>130</v>
      </c>
      <c r="F955" t="s">
        <v>40</v>
      </c>
      <c r="G955" t="s">
        <v>347</v>
      </c>
      <c r="H955" t="s">
        <v>12</v>
      </c>
      <c r="I955" t="s">
        <v>26</v>
      </c>
      <c r="J955">
        <v>93560</v>
      </c>
      <c r="K955">
        <v>34.832999999999998</v>
      </c>
      <c r="L955">
        <v>-118.54600000000001</v>
      </c>
      <c r="M955" t="s">
        <v>742</v>
      </c>
      <c r="N955">
        <v>15</v>
      </c>
      <c r="O955" t="s">
        <v>36</v>
      </c>
      <c r="P955">
        <v>20</v>
      </c>
      <c r="Q955">
        <v>60.4559</v>
      </c>
      <c r="R955" t="s">
        <v>393</v>
      </c>
      <c r="S955" s="18">
        <v>43006</v>
      </c>
      <c r="T955" s="18">
        <v>43060</v>
      </c>
    </row>
    <row r="956" spans="1:20" hidden="1" x14ac:dyDescent="0.25">
      <c r="A956" t="s">
        <v>33</v>
      </c>
      <c r="B956" t="s">
        <v>197</v>
      </c>
      <c r="C956">
        <v>2020</v>
      </c>
      <c r="D956" t="s">
        <v>741</v>
      </c>
      <c r="E956" t="s">
        <v>130</v>
      </c>
      <c r="F956" t="s">
        <v>204</v>
      </c>
      <c r="G956" t="s">
        <v>498</v>
      </c>
      <c r="H956" t="s">
        <v>12</v>
      </c>
      <c r="I956" t="s">
        <v>26</v>
      </c>
      <c r="J956">
        <v>93268</v>
      </c>
      <c r="K956" s="19" t="s">
        <v>740</v>
      </c>
      <c r="L956">
        <v>-119.447257040998</v>
      </c>
      <c r="M956" t="s">
        <v>739</v>
      </c>
      <c r="N956">
        <v>20</v>
      </c>
      <c r="O956" t="s">
        <v>36</v>
      </c>
      <c r="P956">
        <v>2.25</v>
      </c>
      <c r="Q956">
        <v>6.0830500000000001</v>
      </c>
      <c r="S956" s="18">
        <v>44144</v>
      </c>
      <c r="T956" s="18">
        <v>44174</v>
      </c>
    </row>
    <row r="957" spans="1:20" hidden="1" x14ac:dyDescent="0.25">
      <c r="A957" t="s">
        <v>33</v>
      </c>
      <c r="B957" t="s">
        <v>197</v>
      </c>
      <c r="C957">
        <v>2020</v>
      </c>
      <c r="D957" t="s">
        <v>738</v>
      </c>
      <c r="E957" t="s">
        <v>130</v>
      </c>
      <c r="F957" t="s">
        <v>204</v>
      </c>
      <c r="G957" t="s">
        <v>173</v>
      </c>
      <c r="H957" t="s">
        <v>12</v>
      </c>
      <c r="I957" t="s">
        <v>26</v>
      </c>
      <c r="J957">
        <v>93307</v>
      </c>
      <c r="K957" s="19" t="s">
        <v>737</v>
      </c>
      <c r="L957">
        <v>-118.87852469759299</v>
      </c>
      <c r="M957" t="s">
        <v>736</v>
      </c>
      <c r="N957">
        <v>20</v>
      </c>
      <c r="O957" t="s">
        <v>36</v>
      </c>
      <c r="P957">
        <v>2</v>
      </c>
      <c r="Q957">
        <v>4.9211</v>
      </c>
      <c r="S957" s="18">
        <v>44144</v>
      </c>
      <c r="T957" s="18">
        <v>44174</v>
      </c>
    </row>
    <row r="958" spans="1:20" hidden="1" x14ac:dyDescent="0.25">
      <c r="A958" t="s">
        <v>33</v>
      </c>
      <c r="B958" t="s">
        <v>197</v>
      </c>
      <c r="C958">
        <v>2020</v>
      </c>
      <c r="D958" t="s">
        <v>735</v>
      </c>
      <c r="E958" t="s">
        <v>130</v>
      </c>
      <c r="F958" t="s">
        <v>204</v>
      </c>
      <c r="G958" t="s">
        <v>636</v>
      </c>
      <c r="H958" t="s">
        <v>146</v>
      </c>
      <c r="I958" t="s">
        <v>26</v>
      </c>
      <c r="J958">
        <v>93654</v>
      </c>
      <c r="K958" s="19" t="s">
        <v>734</v>
      </c>
      <c r="L958">
        <v>-119.379003274013</v>
      </c>
      <c r="M958" t="s">
        <v>733</v>
      </c>
      <c r="N958">
        <v>20</v>
      </c>
      <c r="O958" t="s">
        <v>36</v>
      </c>
      <c r="P958">
        <v>1.75</v>
      </c>
      <c r="Q958">
        <v>4.34985</v>
      </c>
      <c r="S958" s="18">
        <v>44144</v>
      </c>
      <c r="T958" s="18">
        <v>44174</v>
      </c>
    </row>
    <row r="959" spans="1:20" hidden="1" x14ac:dyDescent="0.25">
      <c r="A959" t="s">
        <v>33</v>
      </c>
      <c r="B959" t="s">
        <v>197</v>
      </c>
      <c r="C959">
        <v>2020</v>
      </c>
      <c r="D959" t="s">
        <v>732</v>
      </c>
      <c r="E959" t="s">
        <v>130</v>
      </c>
      <c r="F959" t="s">
        <v>204</v>
      </c>
      <c r="G959" t="s">
        <v>527</v>
      </c>
      <c r="H959" t="s">
        <v>12</v>
      </c>
      <c r="I959" t="s">
        <v>26</v>
      </c>
      <c r="J959">
        <v>93263</v>
      </c>
      <c r="K959" s="19" t="s">
        <v>731</v>
      </c>
      <c r="L959">
        <v>-119.30674131822001</v>
      </c>
      <c r="M959" t="s">
        <v>730</v>
      </c>
      <c r="N959">
        <v>20</v>
      </c>
      <c r="O959" t="s">
        <v>36</v>
      </c>
      <c r="P959">
        <v>2.25</v>
      </c>
      <c r="Q959">
        <v>6.0486000000000004</v>
      </c>
      <c r="S959" s="18">
        <v>44144</v>
      </c>
      <c r="T959" s="18">
        <v>44174</v>
      </c>
    </row>
    <row r="960" spans="1:20" hidden="1" x14ac:dyDescent="0.25">
      <c r="A960" t="s">
        <v>33</v>
      </c>
      <c r="B960" t="s">
        <v>197</v>
      </c>
      <c r="C960">
        <v>2020</v>
      </c>
      <c r="D960" t="s">
        <v>729</v>
      </c>
      <c r="E960" t="s">
        <v>130</v>
      </c>
      <c r="F960" t="s">
        <v>204</v>
      </c>
      <c r="G960" t="s">
        <v>173</v>
      </c>
      <c r="H960" t="s">
        <v>12</v>
      </c>
      <c r="I960" t="s">
        <v>26</v>
      </c>
      <c r="J960">
        <v>93707</v>
      </c>
      <c r="K960">
        <v>35.220786135239301</v>
      </c>
      <c r="L960">
        <v>-118.918153432282</v>
      </c>
      <c r="M960" t="s">
        <v>728</v>
      </c>
      <c r="N960">
        <v>20</v>
      </c>
      <c r="O960" t="s">
        <v>36</v>
      </c>
      <c r="P960">
        <v>2.4</v>
      </c>
      <c r="Q960">
        <v>6.0548000000000002</v>
      </c>
      <c r="S960" s="18">
        <v>44144</v>
      </c>
      <c r="T960" s="18">
        <v>44174</v>
      </c>
    </row>
    <row r="961" spans="1:20" hidden="1" x14ac:dyDescent="0.25">
      <c r="A961" t="s">
        <v>33</v>
      </c>
      <c r="B961" t="s">
        <v>197</v>
      </c>
      <c r="C961">
        <v>2021</v>
      </c>
      <c r="D961" t="s">
        <v>727</v>
      </c>
      <c r="E961" t="s">
        <v>130</v>
      </c>
      <c r="F961" t="s">
        <v>204</v>
      </c>
      <c r="G961" t="s">
        <v>146</v>
      </c>
      <c r="H961" t="s">
        <v>146</v>
      </c>
      <c r="I961" t="s">
        <v>26</v>
      </c>
      <c r="J961">
        <v>93706</v>
      </c>
      <c r="K961">
        <v>36.695515999999998</v>
      </c>
      <c r="L961">
        <v>-119.88509000000001</v>
      </c>
      <c r="M961" t="s">
        <v>726</v>
      </c>
      <c r="N961">
        <v>20</v>
      </c>
      <c r="O961" t="s">
        <v>36</v>
      </c>
      <c r="P961">
        <v>10</v>
      </c>
      <c r="Q961">
        <v>28.221</v>
      </c>
      <c r="S961" s="18">
        <v>44365</v>
      </c>
      <c r="T961" s="18">
        <v>44395</v>
      </c>
    </row>
    <row r="962" spans="1:20" hidden="1" x14ac:dyDescent="0.25">
      <c r="A962" t="s">
        <v>33</v>
      </c>
      <c r="B962" t="s">
        <v>197</v>
      </c>
      <c r="C962">
        <v>2021</v>
      </c>
      <c r="D962" t="s">
        <v>725</v>
      </c>
      <c r="E962" t="s">
        <v>130</v>
      </c>
      <c r="F962" t="s">
        <v>204</v>
      </c>
      <c r="G962" t="s">
        <v>534</v>
      </c>
      <c r="H962" t="s">
        <v>533</v>
      </c>
      <c r="I962" t="s">
        <v>26</v>
      </c>
      <c r="J962">
        <v>93212</v>
      </c>
      <c r="K962">
        <v>35.988737</v>
      </c>
      <c r="L962">
        <v>-119.478116</v>
      </c>
      <c r="M962" t="s">
        <v>725</v>
      </c>
      <c r="N962">
        <v>20</v>
      </c>
      <c r="O962" t="s">
        <v>36</v>
      </c>
      <c r="P962">
        <v>3</v>
      </c>
      <c r="Q962">
        <v>8.4260000000000002</v>
      </c>
      <c r="S962" s="18">
        <v>44365</v>
      </c>
      <c r="T962" s="18">
        <v>44395</v>
      </c>
    </row>
    <row r="963" spans="1:20" hidden="1" x14ac:dyDescent="0.25">
      <c r="A963" t="s">
        <v>33</v>
      </c>
      <c r="B963" t="s">
        <v>197</v>
      </c>
      <c r="C963">
        <v>2021</v>
      </c>
      <c r="D963" t="s">
        <v>724</v>
      </c>
      <c r="E963" t="s">
        <v>130</v>
      </c>
      <c r="F963" t="s">
        <v>204</v>
      </c>
      <c r="G963" t="s">
        <v>719</v>
      </c>
      <c r="H963" t="s">
        <v>12</v>
      </c>
      <c r="I963" t="s">
        <v>26</v>
      </c>
      <c r="J963">
        <v>93280</v>
      </c>
      <c r="K963">
        <v>35.607666999999999</v>
      </c>
      <c r="L963">
        <v>-119.328703</v>
      </c>
      <c r="M963" t="s">
        <v>723</v>
      </c>
      <c r="N963">
        <v>20</v>
      </c>
      <c r="O963" t="s">
        <v>36</v>
      </c>
      <c r="P963">
        <v>4.66</v>
      </c>
      <c r="Q963">
        <v>12.889393650000001</v>
      </c>
      <c r="S963" s="18">
        <v>44365</v>
      </c>
      <c r="T963" s="18">
        <v>44395</v>
      </c>
    </row>
    <row r="964" spans="1:20" hidden="1" x14ac:dyDescent="0.25">
      <c r="A964" t="s">
        <v>33</v>
      </c>
      <c r="B964" t="s">
        <v>197</v>
      </c>
      <c r="C964">
        <v>2021</v>
      </c>
      <c r="D964" t="s">
        <v>722</v>
      </c>
      <c r="E964" t="s">
        <v>130</v>
      </c>
      <c r="F964" t="s">
        <v>204</v>
      </c>
      <c r="G964" t="s">
        <v>203</v>
      </c>
      <c r="H964" t="s">
        <v>12</v>
      </c>
      <c r="I964" t="s">
        <v>26</v>
      </c>
      <c r="J964">
        <v>93249</v>
      </c>
      <c r="K964">
        <v>35.708317000000001</v>
      </c>
      <c r="L964">
        <v>-119.890919</v>
      </c>
      <c r="M964" t="s">
        <v>721</v>
      </c>
      <c r="N964">
        <v>20</v>
      </c>
      <c r="O964" t="s">
        <v>36</v>
      </c>
      <c r="P964">
        <v>4.79</v>
      </c>
      <c r="Q964">
        <v>13.959966054000001</v>
      </c>
      <c r="S964" s="18">
        <v>44365</v>
      </c>
      <c r="T964" s="18">
        <v>44395</v>
      </c>
    </row>
    <row r="965" spans="1:20" hidden="1" x14ac:dyDescent="0.25">
      <c r="A965" t="s">
        <v>33</v>
      </c>
      <c r="B965" t="s">
        <v>197</v>
      </c>
      <c r="C965">
        <v>2021</v>
      </c>
      <c r="D965" t="s">
        <v>720</v>
      </c>
      <c r="E965" t="s">
        <v>130</v>
      </c>
      <c r="F965" t="s">
        <v>204</v>
      </c>
      <c r="G965" t="s">
        <v>719</v>
      </c>
      <c r="H965" t="s">
        <v>12</v>
      </c>
      <c r="I965" t="s">
        <v>26</v>
      </c>
      <c r="J965">
        <v>93280</v>
      </c>
      <c r="K965">
        <v>35.605220000000003</v>
      </c>
      <c r="L965">
        <v>-119.32855600000001</v>
      </c>
      <c r="M965" t="s">
        <v>718</v>
      </c>
      <c r="N965">
        <v>20</v>
      </c>
      <c r="O965" t="s">
        <v>36</v>
      </c>
      <c r="P965">
        <v>4.66</v>
      </c>
      <c r="Q965">
        <v>12.889393650000001</v>
      </c>
      <c r="S965" s="18">
        <v>44365</v>
      </c>
      <c r="T965" s="18">
        <v>44395</v>
      </c>
    </row>
    <row r="966" spans="1:20" hidden="1" x14ac:dyDescent="0.25">
      <c r="A966" t="s">
        <v>33</v>
      </c>
      <c r="B966" t="s">
        <v>197</v>
      </c>
      <c r="C966">
        <v>2021</v>
      </c>
      <c r="D966" t="s">
        <v>717</v>
      </c>
      <c r="E966" t="s">
        <v>130</v>
      </c>
      <c r="F966" t="s">
        <v>204</v>
      </c>
      <c r="G966" t="s">
        <v>716</v>
      </c>
      <c r="H966" t="s">
        <v>533</v>
      </c>
      <c r="I966" t="s">
        <v>26</v>
      </c>
      <c r="J966">
        <v>93239</v>
      </c>
      <c r="K966">
        <v>35.560099999999998</v>
      </c>
      <c r="L966">
        <v>-199.5128</v>
      </c>
      <c r="M966" t="s">
        <v>715</v>
      </c>
      <c r="N966">
        <v>20</v>
      </c>
      <c r="O966" t="s">
        <v>36</v>
      </c>
      <c r="P966">
        <v>3</v>
      </c>
      <c r="Q966">
        <v>7.8104500000000003</v>
      </c>
      <c r="S966" s="18">
        <v>44614</v>
      </c>
      <c r="T966" s="18">
        <v>44656</v>
      </c>
    </row>
    <row r="967" spans="1:20" hidden="1" x14ac:dyDescent="0.25">
      <c r="A967" t="s">
        <v>33</v>
      </c>
      <c r="B967" t="s">
        <v>197</v>
      </c>
      <c r="C967">
        <v>2021</v>
      </c>
      <c r="D967" t="s">
        <v>713</v>
      </c>
      <c r="E967" t="s">
        <v>130</v>
      </c>
      <c r="F967" t="s">
        <v>204</v>
      </c>
      <c r="G967" t="s">
        <v>714</v>
      </c>
      <c r="H967" t="s">
        <v>153</v>
      </c>
      <c r="I967" t="s">
        <v>26</v>
      </c>
      <c r="J967">
        <v>95317</v>
      </c>
      <c r="K967">
        <v>37.124918000000001</v>
      </c>
      <c r="L967">
        <v>-120.457374</v>
      </c>
      <c r="M967" t="s">
        <v>713</v>
      </c>
      <c r="N967">
        <v>20</v>
      </c>
      <c r="O967" t="s">
        <v>36</v>
      </c>
      <c r="P967">
        <v>3</v>
      </c>
      <c r="Q967">
        <v>8.5711499999999994</v>
      </c>
      <c r="S967" s="18">
        <v>44614</v>
      </c>
      <c r="T967" s="18">
        <v>44656</v>
      </c>
    </row>
    <row r="968" spans="1:20" hidden="1" x14ac:dyDescent="0.25">
      <c r="A968" t="s">
        <v>33</v>
      </c>
      <c r="B968" t="s">
        <v>197</v>
      </c>
      <c r="C968">
        <v>2021</v>
      </c>
      <c r="D968" t="s">
        <v>712</v>
      </c>
      <c r="E968" t="s">
        <v>130</v>
      </c>
      <c r="F968" t="s">
        <v>204</v>
      </c>
      <c r="G968" t="s">
        <v>542</v>
      </c>
      <c r="H968" t="s">
        <v>533</v>
      </c>
      <c r="I968" t="s">
        <v>26</v>
      </c>
      <c r="J968">
        <v>93245</v>
      </c>
      <c r="K968">
        <v>36.24924</v>
      </c>
      <c r="L968">
        <v>-119.88508899999999</v>
      </c>
      <c r="M968" t="s">
        <v>712</v>
      </c>
      <c r="N968">
        <v>20</v>
      </c>
      <c r="O968" t="s">
        <v>36</v>
      </c>
      <c r="P968">
        <v>3</v>
      </c>
      <c r="Q968">
        <v>7.9051999999999998</v>
      </c>
      <c r="S968" s="18">
        <v>44614</v>
      </c>
      <c r="T968" s="18">
        <v>44656</v>
      </c>
    </row>
    <row r="969" spans="1:20" hidden="1" x14ac:dyDescent="0.25">
      <c r="A969" t="s">
        <v>33</v>
      </c>
      <c r="B969" t="s">
        <v>197</v>
      </c>
      <c r="C969">
        <v>2022</v>
      </c>
      <c r="D969" t="s">
        <v>710</v>
      </c>
      <c r="E969" t="s">
        <v>130</v>
      </c>
      <c r="F969" t="s">
        <v>204</v>
      </c>
      <c r="G969" t="s">
        <v>711</v>
      </c>
      <c r="H969" t="s">
        <v>153</v>
      </c>
      <c r="I969" t="s">
        <v>26</v>
      </c>
      <c r="J969">
        <v>93635</v>
      </c>
      <c r="K969">
        <v>37.000250000000001</v>
      </c>
      <c r="L969">
        <v>-120.93004000000001</v>
      </c>
      <c r="M969" t="s">
        <v>710</v>
      </c>
      <c r="N969">
        <v>20</v>
      </c>
      <c r="O969" t="s">
        <v>36</v>
      </c>
      <c r="P969">
        <v>5</v>
      </c>
      <c r="Q969">
        <v>13.47</v>
      </c>
      <c r="S969" s="18">
        <v>44895</v>
      </c>
      <c r="T969" s="18">
        <v>44925</v>
      </c>
    </row>
    <row r="970" spans="1:20" hidden="1" x14ac:dyDescent="0.25">
      <c r="A970" t="s">
        <v>33</v>
      </c>
      <c r="B970" t="s">
        <v>197</v>
      </c>
      <c r="C970">
        <v>2022</v>
      </c>
      <c r="D970" t="s">
        <v>708</v>
      </c>
      <c r="E970" t="s">
        <v>130</v>
      </c>
      <c r="F970" t="s">
        <v>204</v>
      </c>
      <c r="G970" t="s">
        <v>709</v>
      </c>
      <c r="H970" t="s">
        <v>178</v>
      </c>
      <c r="I970" t="s">
        <v>26</v>
      </c>
      <c r="J970">
        <v>93610</v>
      </c>
      <c r="K970">
        <v>37.124627779999997</v>
      </c>
      <c r="L970">
        <v>-120.17677777999999</v>
      </c>
      <c r="M970" t="s">
        <v>708</v>
      </c>
      <c r="N970">
        <v>20</v>
      </c>
      <c r="O970" t="s">
        <v>36</v>
      </c>
      <c r="P970">
        <v>5</v>
      </c>
      <c r="Q970">
        <v>13.64</v>
      </c>
      <c r="S970" s="18">
        <v>44895</v>
      </c>
      <c r="T970" s="18">
        <v>44925</v>
      </c>
    </row>
    <row r="971" spans="1:20" hidden="1" x14ac:dyDescent="0.25">
      <c r="A971" t="s">
        <v>33</v>
      </c>
      <c r="B971" t="s">
        <v>197</v>
      </c>
      <c r="C971">
        <v>2022</v>
      </c>
      <c r="D971" t="s">
        <v>708</v>
      </c>
      <c r="E971" t="s">
        <v>130</v>
      </c>
      <c r="F971" t="s">
        <v>204</v>
      </c>
      <c r="G971" t="s">
        <v>709</v>
      </c>
      <c r="H971" t="s">
        <v>178</v>
      </c>
      <c r="I971" t="s">
        <v>26</v>
      </c>
      <c r="J971">
        <v>93610</v>
      </c>
      <c r="K971">
        <v>37.124627779999997</v>
      </c>
      <c r="L971">
        <v>-120.17677777999999</v>
      </c>
      <c r="M971" t="s">
        <v>708</v>
      </c>
      <c r="N971">
        <v>20</v>
      </c>
      <c r="O971" t="s">
        <v>36</v>
      </c>
      <c r="P971">
        <v>2.56</v>
      </c>
      <c r="Q971">
        <v>7.04</v>
      </c>
      <c r="S971" s="18">
        <v>44895</v>
      </c>
      <c r="T971" s="18">
        <v>44925</v>
      </c>
    </row>
    <row r="972" spans="1:20" hidden="1" x14ac:dyDescent="0.25">
      <c r="A972" t="s">
        <v>33</v>
      </c>
      <c r="B972" t="s">
        <v>197</v>
      </c>
      <c r="C972">
        <v>2022</v>
      </c>
      <c r="D972" t="s">
        <v>706</v>
      </c>
      <c r="E972" t="s">
        <v>130</v>
      </c>
      <c r="F972" t="s">
        <v>204</v>
      </c>
      <c r="G972" t="s">
        <v>707</v>
      </c>
      <c r="H972" t="s">
        <v>146</v>
      </c>
      <c r="I972" t="s">
        <v>26</v>
      </c>
      <c r="J972">
        <v>93622</v>
      </c>
      <c r="K972">
        <v>36.892778</v>
      </c>
      <c r="L972">
        <v>-120.65603900000001</v>
      </c>
      <c r="M972" t="s">
        <v>706</v>
      </c>
      <c r="N972">
        <v>20</v>
      </c>
      <c r="O972" t="s">
        <v>36</v>
      </c>
      <c r="P972">
        <v>5</v>
      </c>
      <c r="Q972">
        <v>14.03</v>
      </c>
      <c r="S972" s="18">
        <v>44895</v>
      </c>
      <c r="T972" s="18">
        <v>44925</v>
      </c>
    </row>
    <row r="973" spans="1:20" hidden="1" x14ac:dyDescent="0.25">
      <c r="A973" t="s">
        <v>33</v>
      </c>
      <c r="B973" t="s">
        <v>263</v>
      </c>
      <c r="C973">
        <v>2023</v>
      </c>
      <c r="D973" t="s">
        <v>705</v>
      </c>
      <c r="E973" t="s">
        <v>130</v>
      </c>
      <c r="F973" t="s">
        <v>204</v>
      </c>
      <c r="G973" t="s">
        <v>480</v>
      </c>
      <c r="H973" t="s">
        <v>94</v>
      </c>
      <c r="I973" t="s">
        <v>26</v>
      </c>
      <c r="J973">
        <v>94571</v>
      </c>
      <c r="K973">
        <v>38.164799562668499</v>
      </c>
      <c r="L973">
        <v>-121.683212522655</v>
      </c>
      <c r="M973" t="s">
        <v>704</v>
      </c>
      <c r="N973">
        <v>20</v>
      </c>
      <c r="O973" t="s">
        <v>36</v>
      </c>
      <c r="P973">
        <v>2.73</v>
      </c>
      <c r="Q973">
        <v>6.0724499999999999</v>
      </c>
    </row>
    <row r="974" spans="1:20" hidden="1" x14ac:dyDescent="0.25">
      <c r="A974" t="s">
        <v>33</v>
      </c>
      <c r="B974" t="s">
        <v>263</v>
      </c>
      <c r="C974">
        <v>2023</v>
      </c>
      <c r="D974" t="s">
        <v>703</v>
      </c>
      <c r="E974" t="s">
        <v>130</v>
      </c>
      <c r="F974" t="s">
        <v>204</v>
      </c>
      <c r="G974" t="s">
        <v>530</v>
      </c>
      <c r="H974" t="s">
        <v>466</v>
      </c>
      <c r="I974" t="s">
        <v>26</v>
      </c>
      <c r="J974">
        <v>94565</v>
      </c>
      <c r="K974">
        <v>38.011551873665702</v>
      </c>
      <c r="L974">
        <v>-121.844777494981</v>
      </c>
      <c r="M974" t="s">
        <v>702</v>
      </c>
      <c r="N974">
        <v>10</v>
      </c>
      <c r="O974" t="s">
        <v>36</v>
      </c>
      <c r="P974">
        <v>2.9</v>
      </c>
      <c r="Q974">
        <v>5.8681859999999997</v>
      </c>
    </row>
    <row r="975" spans="1:20" hidden="1" x14ac:dyDescent="0.25">
      <c r="A975" t="s">
        <v>33</v>
      </c>
      <c r="B975" t="s">
        <v>263</v>
      </c>
      <c r="C975">
        <v>2023</v>
      </c>
      <c r="D975" t="s">
        <v>701</v>
      </c>
      <c r="E975" t="s">
        <v>130</v>
      </c>
      <c r="F975" t="s">
        <v>204</v>
      </c>
      <c r="G975" t="s">
        <v>700</v>
      </c>
      <c r="H975" t="s">
        <v>35</v>
      </c>
      <c r="I975" t="s">
        <v>26</v>
      </c>
      <c r="J975">
        <v>95337</v>
      </c>
      <c r="K975">
        <v>37.776729173862698</v>
      </c>
      <c r="L975">
        <v>-121.18719408622999</v>
      </c>
      <c r="M975" t="s">
        <v>699</v>
      </c>
      <c r="N975">
        <v>20</v>
      </c>
      <c r="O975" t="s">
        <v>36</v>
      </c>
      <c r="P975">
        <v>2.6</v>
      </c>
      <c r="Q975">
        <v>5.3930340000000001</v>
      </c>
    </row>
    <row r="976" spans="1:20" hidden="1" x14ac:dyDescent="0.25">
      <c r="A976" t="s">
        <v>33</v>
      </c>
      <c r="B976" t="s">
        <v>197</v>
      </c>
      <c r="C976">
        <v>2023</v>
      </c>
      <c r="D976" t="s">
        <v>698</v>
      </c>
      <c r="E976" t="s">
        <v>130</v>
      </c>
      <c r="F976" t="s">
        <v>204</v>
      </c>
      <c r="G976" t="s">
        <v>498</v>
      </c>
      <c r="H976" t="s">
        <v>12</v>
      </c>
      <c r="I976" t="s">
        <v>26</v>
      </c>
      <c r="J976">
        <v>93268</v>
      </c>
      <c r="K976">
        <v>35.119999999999997</v>
      </c>
      <c r="L976">
        <v>-119.28</v>
      </c>
      <c r="M976" t="s">
        <v>697</v>
      </c>
      <c r="N976">
        <v>15</v>
      </c>
      <c r="O976" t="s">
        <v>36</v>
      </c>
      <c r="P976">
        <v>150</v>
      </c>
      <c r="Q976">
        <v>546.89</v>
      </c>
    </row>
    <row r="977" spans="1:20" hidden="1" x14ac:dyDescent="0.25">
      <c r="A977" t="s">
        <v>33</v>
      </c>
      <c r="B977" t="s">
        <v>232</v>
      </c>
      <c r="C977">
        <v>2011</v>
      </c>
      <c r="D977" t="s">
        <v>696</v>
      </c>
      <c r="E977" t="s">
        <v>130</v>
      </c>
      <c r="F977" t="s">
        <v>40</v>
      </c>
      <c r="G977" t="s">
        <v>39</v>
      </c>
      <c r="H977" t="s">
        <v>38</v>
      </c>
      <c r="I977" t="s">
        <v>26</v>
      </c>
      <c r="J977">
        <v>95327</v>
      </c>
      <c r="K977">
        <v>37.888713000000003</v>
      </c>
      <c r="L977">
        <v>-120.542035</v>
      </c>
      <c r="M977" t="s">
        <v>695</v>
      </c>
      <c r="N977">
        <v>20</v>
      </c>
      <c r="O977" t="s">
        <v>36</v>
      </c>
      <c r="P977">
        <v>1.5</v>
      </c>
      <c r="Q977">
        <v>2.0979999999999999</v>
      </c>
    </row>
    <row r="978" spans="1:20" hidden="1" x14ac:dyDescent="0.25">
      <c r="A978" t="s">
        <v>33</v>
      </c>
      <c r="B978" t="s">
        <v>232</v>
      </c>
      <c r="C978">
        <v>2011</v>
      </c>
      <c r="D978" t="s">
        <v>694</v>
      </c>
      <c r="E978" t="s">
        <v>130</v>
      </c>
      <c r="F978" t="s">
        <v>40</v>
      </c>
      <c r="G978" t="s">
        <v>608</v>
      </c>
      <c r="H978" t="s">
        <v>35</v>
      </c>
      <c r="I978" t="s">
        <v>26</v>
      </c>
      <c r="J978">
        <v>95240</v>
      </c>
      <c r="K978">
        <v>38.137352</v>
      </c>
      <c r="L978">
        <v>-121.15071500000001</v>
      </c>
      <c r="M978" t="s">
        <v>693</v>
      </c>
      <c r="N978">
        <v>20</v>
      </c>
      <c r="O978" t="s">
        <v>36</v>
      </c>
      <c r="P978">
        <v>1.5</v>
      </c>
      <c r="Q978">
        <v>2.1</v>
      </c>
    </row>
    <row r="979" spans="1:20" x14ac:dyDescent="0.25">
      <c r="A979" t="s">
        <v>33</v>
      </c>
      <c r="B979" t="s">
        <v>540</v>
      </c>
      <c r="C979">
        <v>2011</v>
      </c>
      <c r="D979" t="s">
        <v>692</v>
      </c>
      <c r="E979" t="s">
        <v>130</v>
      </c>
      <c r="F979" t="s">
        <v>40</v>
      </c>
      <c r="G979" t="s">
        <v>691</v>
      </c>
      <c r="H979" t="s">
        <v>12</v>
      </c>
      <c r="I979" t="s">
        <v>26</v>
      </c>
      <c r="J979">
        <v>93203</v>
      </c>
      <c r="K979">
        <v>35.147089000000001</v>
      </c>
      <c r="L979">
        <v>-118.88803299999999</v>
      </c>
      <c r="M979" t="s">
        <v>690</v>
      </c>
      <c r="N979">
        <v>20</v>
      </c>
      <c r="O979" t="s">
        <v>36</v>
      </c>
      <c r="P979">
        <v>12</v>
      </c>
      <c r="Q979">
        <v>28</v>
      </c>
      <c r="S979" s="18">
        <v>40744</v>
      </c>
      <c r="T979" s="18">
        <v>40774</v>
      </c>
    </row>
    <row r="980" spans="1:20" hidden="1" x14ac:dyDescent="0.25">
      <c r="A980" t="s">
        <v>33</v>
      </c>
      <c r="B980" t="s">
        <v>232</v>
      </c>
      <c r="C980">
        <v>2011</v>
      </c>
      <c r="D980" t="s">
        <v>689</v>
      </c>
      <c r="E980" t="s">
        <v>130</v>
      </c>
      <c r="F980" t="s">
        <v>40</v>
      </c>
      <c r="G980" t="s">
        <v>687</v>
      </c>
      <c r="H980" t="s">
        <v>74</v>
      </c>
      <c r="I980" t="s">
        <v>26</v>
      </c>
      <c r="J980">
        <v>96028</v>
      </c>
      <c r="K980">
        <v>41.029318000000004</v>
      </c>
      <c r="L980">
        <v>-121.420872</v>
      </c>
      <c r="M980" t="s">
        <v>686</v>
      </c>
      <c r="N980">
        <v>20</v>
      </c>
      <c r="O980" t="s">
        <v>36</v>
      </c>
      <c r="P980">
        <v>1.5</v>
      </c>
      <c r="Q980">
        <v>2.1</v>
      </c>
    </row>
    <row r="981" spans="1:20" hidden="1" x14ac:dyDescent="0.25">
      <c r="A981" t="s">
        <v>33</v>
      </c>
      <c r="B981" t="s">
        <v>232</v>
      </c>
      <c r="C981">
        <v>2011</v>
      </c>
      <c r="D981" t="s">
        <v>688</v>
      </c>
      <c r="E981" t="s">
        <v>130</v>
      </c>
      <c r="F981" t="s">
        <v>40</v>
      </c>
      <c r="G981" t="s">
        <v>687</v>
      </c>
      <c r="H981" t="s">
        <v>74</v>
      </c>
      <c r="I981" t="s">
        <v>26</v>
      </c>
      <c r="J981">
        <v>96028</v>
      </c>
      <c r="K981">
        <v>41.031481999999997</v>
      </c>
      <c r="L981">
        <v>-121.424002</v>
      </c>
      <c r="M981" t="s">
        <v>686</v>
      </c>
      <c r="N981">
        <v>20</v>
      </c>
      <c r="O981" t="s">
        <v>36</v>
      </c>
      <c r="P981">
        <v>1.5</v>
      </c>
      <c r="Q981">
        <v>2.1</v>
      </c>
    </row>
    <row r="982" spans="1:20" hidden="1" x14ac:dyDescent="0.25">
      <c r="A982" t="s">
        <v>33</v>
      </c>
      <c r="B982" t="s">
        <v>232</v>
      </c>
      <c r="C982">
        <v>2011</v>
      </c>
      <c r="D982" t="s">
        <v>685</v>
      </c>
      <c r="E982" t="s">
        <v>130</v>
      </c>
      <c r="F982" t="s">
        <v>40</v>
      </c>
      <c r="G982" t="s">
        <v>682</v>
      </c>
      <c r="H982" t="s">
        <v>181</v>
      </c>
      <c r="I982" t="s">
        <v>26</v>
      </c>
      <c r="J982">
        <v>93631</v>
      </c>
      <c r="K982">
        <v>36.505392999999998</v>
      </c>
      <c r="L982">
        <v>-119.54384899999999</v>
      </c>
      <c r="M982" t="s">
        <v>681</v>
      </c>
      <c r="N982">
        <v>20</v>
      </c>
      <c r="O982" t="s">
        <v>36</v>
      </c>
      <c r="P982">
        <v>1.5</v>
      </c>
      <c r="Q982">
        <v>2.1</v>
      </c>
    </row>
    <row r="983" spans="1:20" hidden="1" x14ac:dyDescent="0.25">
      <c r="A983" t="s">
        <v>33</v>
      </c>
      <c r="B983" t="s">
        <v>232</v>
      </c>
      <c r="C983">
        <v>2011</v>
      </c>
      <c r="D983" t="s">
        <v>684</v>
      </c>
      <c r="E983" t="s">
        <v>130</v>
      </c>
      <c r="F983" t="s">
        <v>40</v>
      </c>
      <c r="G983" t="s">
        <v>682</v>
      </c>
      <c r="H983" t="s">
        <v>181</v>
      </c>
      <c r="I983" t="s">
        <v>26</v>
      </c>
      <c r="J983">
        <v>93631</v>
      </c>
      <c r="K983">
        <v>36.505392999999998</v>
      </c>
      <c r="L983">
        <v>-119.54384899999999</v>
      </c>
      <c r="M983" t="s">
        <v>681</v>
      </c>
      <c r="N983">
        <v>20</v>
      </c>
      <c r="O983" t="s">
        <v>36</v>
      </c>
      <c r="P983">
        <v>1.5</v>
      </c>
      <c r="Q983">
        <v>2.1</v>
      </c>
    </row>
    <row r="984" spans="1:20" hidden="1" x14ac:dyDescent="0.25">
      <c r="A984" t="s">
        <v>33</v>
      </c>
      <c r="B984" t="s">
        <v>232</v>
      </c>
      <c r="C984">
        <v>2011</v>
      </c>
      <c r="D984" t="s">
        <v>683</v>
      </c>
      <c r="E984" t="s">
        <v>130</v>
      </c>
      <c r="F984" t="s">
        <v>40</v>
      </c>
      <c r="G984" t="s">
        <v>682</v>
      </c>
      <c r="H984" t="s">
        <v>181</v>
      </c>
      <c r="I984" t="s">
        <v>26</v>
      </c>
      <c r="J984">
        <v>93631</v>
      </c>
      <c r="K984">
        <v>36.505392999999998</v>
      </c>
      <c r="L984">
        <v>-119.54384899999999</v>
      </c>
      <c r="M984" t="s">
        <v>681</v>
      </c>
      <c r="N984">
        <v>20</v>
      </c>
      <c r="O984" t="s">
        <v>36</v>
      </c>
      <c r="P984">
        <v>0.75</v>
      </c>
      <c r="Q984">
        <v>1.1000000000000001</v>
      </c>
    </row>
    <row r="985" spans="1:20" hidden="1" x14ac:dyDescent="0.25">
      <c r="A985" t="s">
        <v>33</v>
      </c>
      <c r="B985" t="s">
        <v>232</v>
      </c>
      <c r="C985">
        <v>2011</v>
      </c>
      <c r="D985" t="s">
        <v>680</v>
      </c>
      <c r="E985" t="s">
        <v>130</v>
      </c>
      <c r="F985" t="s">
        <v>40</v>
      </c>
      <c r="G985" t="s">
        <v>146</v>
      </c>
      <c r="H985" t="s">
        <v>146</v>
      </c>
      <c r="I985" t="s">
        <v>26</v>
      </c>
      <c r="J985">
        <v>93706</v>
      </c>
      <c r="K985">
        <v>36.677799999999998</v>
      </c>
      <c r="L985">
        <v>-119.79982</v>
      </c>
      <c r="M985" t="s">
        <v>679</v>
      </c>
      <c r="N985">
        <v>20</v>
      </c>
      <c r="O985" t="s">
        <v>36</v>
      </c>
      <c r="P985">
        <v>1.5</v>
      </c>
      <c r="Q985">
        <v>2.1</v>
      </c>
    </row>
    <row r="986" spans="1:20" hidden="1" x14ac:dyDescent="0.25">
      <c r="A986" t="s">
        <v>33</v>
      </c>
      <c r="B986" t="s">
        <v>201</v>
      </c>
      <c r="C986">
        <v>2009</v>
      </c>
      <c r="D986" t="s">
        <v>678</v>
      </c>
      <c r="E986" t="s">
        <v>130</v>
      </c>
      <c r="F986" t="s">
        <v>40</v>
      </c>
      <c r="G986" t="s">
        <v>677</v>
      </c>
      <c r="H986" t="s">
        <v>382</v>
      </c>
      <c r="I986" t="s">
        <v>438</v>
      </c>
      <c r="J986">
        <v>85354</v>
      </c>
      <c r="K986">
        <v>33.334000000000003</v>
      </c>
      <c r="L986">
        <v>-112.919</v>
      </c>
      <c r="M986" t="s">
        <v>676</v>
      </c>
      <c r="N986">
        <v>20</v>
      </c>
      <c r="O986" t="s">
        <v>36</v>
      </c>
      <c r="P986">
        <v>150</v>
      </c>
      <c r="Q986">
        <v>305</v>
      </c>
      <c r="S986" s="18">
        <v>40463</v>
      </c>
      <c r="T986" s="18">
        <v>40647</v>
      </c>
    </row>
    <row r="987" spans="1:20" hidden="1" x14ac:dyDescent="0.25">
      <c r="A987" t="s">
        <v>33</v>
      </c>
      <c r="B987" t="s">
        <v>232</v>
      </c>
      <c r="C987">
        <v>2011</v>
      </c>
      <c r="D987" t="s">
        <v>675</v>
      </c>
      <c r="E987" t="s">
        <v>130</v>
      </c>
      <c r="F987" t="s">
        <v>40</v>
      </c>
      <c r="G987" t="s">
        <v>674</v>
      </c>
      <c r="H987" t="s">
        <v>466</v>
      </c>
      <c r="I987" t="s">
        <v>26</v>
      </c>
      <c r="J987">
        <v>94561</v>
      </c>
      <c r="K987">
        <v>38.000574999999998</v>
      </c>
      <c r="L987">
        <v>-121.750713</v>
      </c>
      <c r="M987" t="s">
        <v>673</v>
      </c>
      <c r="N987">
        <v>20</v>
      </c>
      <c r="O987" t="s">
        <v>36</v>
      </c>
      <c r="P987">
        <v>1.5</v>
      </c>
      <c r="Q987">
        <v>2.1</v>
      </c>
    </row>
    <row r="988" spans="1:20" hidden="1" x14ac:dyDescent="0.25">
      <c r="A988" t="s">
        <v>33</v>
      </c>
      <c r="B988" t="s">
        <v>232</v>
      </c>
      <c r="C988">
        <v>2011</v>
      </c>
      <c r="D988" t="s">
        <v>672</v>
      </c>
      <c r="E988" t="s">
        <v>130</v>
      </c>
      <c r="F988" t="s">
        <v>40</v>
      </c>
      <c r="G988" t="s">
        <v>639</v>
      </c>
      <c r="H988" t="s">
        <v>274</v>
      </c>
      <c r="I988" t="s">
        <v>26</v>
      </c>
      <c r="J988">
        <v>96080</v>
      </c>
      <c r="K988">
        <v>40.119926</v>
      </c>
      <c r="L988">
        <v>-122.223849</v>
      </c>
      <c r="M988" t="s">
        <v>671</v>
      </c>
      <c r="N988">
        <v>20</v>
      </c>
      <c r="O988" t="s">
        <v>36</v>
      </c>
      <c r="P988">
        <v>0.25</v>
      </c>
      <c r="Q988">
        <v>0.4</v>
      </c>
    </row>
    <row r="989" spans="1:20" hidden="1" x14ac:dyDescent="0.25">
      <c r="A989" t="s">
        <v>33</v>
      </c>
      <c r="B989" t="s">
        <v>232</v>
      </c>
      <c r="C989">
        <v>2011</v>
      </c>
      <c r="D989" t="s">
        <v>670</v>
      </c>
      <c r="E989" t="s">
        <v>130</v>
      </c>
      <c r="F989" t="s">
        <v>40</v>
      </c>
      <c r="G989" t="s">
        <v>650</v>
      </c>
      <c r="H989" t="s">
        <v>649</v>
      </c>
      <c r="I989" t="s">
        <v>26</v>
      </c>
      <c r="J989">
        <v>95965</v>
      </c>
      <c r="K989">
        <v>39.388576</v>
      </c>
      <c r="L989">
        <v>-121.565625</v>
      </c>
      <c r="M989" t="s">
        <v>669</v>
      </c>
      <c r="N989">
        <v>20</v>
      </c>
      <c r="O989" t="s">
        <v>36</v>
      </c>
      <c r="P989">
        <v>0.999</v>
      </c>
      <c r="Q989">
        <v>1.4</v>
      </c>
    </row>
    <row r="990" spans="1:20" hidden="1" x14ac:dyDescent="0.25">
      <c r="A990" t="s">
        <v>33</v>
      </c>
      <c r="B990" t="s">
        <v>232</v>
      </c>
      <c r="C990">
        <v>2011</v>
      </c>
      <c r="D990" t="s">
        <v>668</v>
      </c>
      <c r="E990" t="s">
        <v>130</v>
      </c>
      <c r="F990" t="s">
        <v>40</v>
      </c>
      <c r="G990" t="s">
        <v>667</v>
      </c>
      <c r="H990" t="s">
        <v>146</v>
      </c>
      <c r="I990" t="s">
        <v>26</v>
      </c>
      <c r="J990">
        <v>93616</v>
      </c>
      <c r="K990">
        <v>36.653604999999999</v>
      </c>
      <c r="L990">
        <v>-119.57331499999999</v>
      </c>
      <c r="M990" t="s">
        <v>666</v>
      </c>
      <c r="N990">
        <v>20</v>
      </c>
      <c r="O990" t="s">
        <v>36</v>
      </c>
      <c r="P990">
        <v>0.999</v>
      </c>
      <c r="Q990">
        <v>1.4</v>
      </c>
    </row>
    <row r="991" spans="1:20" hidden="1" x14ac:dyDescent="0.25">
      <c r="A991" t="s">
        <v>33</v>
      </c>
      <c r="B991" t="s">
        <v>232</v>
      </c>
      <c r="C991">
        <v>2011</v>
      </c>
      <c r="D991" t="s">
        <v>665</v>
      </c>
      <c r="E991" t="s">
        <v>130</v>
      </c>
      <c r="F991" t="s">
        <v>40</v>
      </c>
      <c r="G991" t="s">
        <v>650</v>
      </c>
      <c r="H991" t="s">
        <v>649</v>
      </c>
      <c r="I991" t="s">
        <v>26</v>
      </c>
      <c r="J991">
        <v>95966</v>
      </c>
      <c r="K991">
        <v>39.497104999999998</v>
      </c>
      <c r="L991">
        <v>-121.45249</v>
      </c>
      <c r="M991" t="s">
        <v>664</v>
      </c>
      <c r="N991">
        <v>20</v>
      </c>
      <c r="O991" t="s">
        <v>36</v>
      </c>
      <c r="P991">
        <v>0.999</v>
      </c>
      <c r="Q991">
        <v>1.4</v>
      </c>
    </row>
    <row r="992" spans="1:20" hidden="1" x14ac:dyDescent="0.25">
      <c r="A992" t="s">
        <v>33</v>
      </c>
      <c r="B992" t="s">
        <v>232</v>
      </c>
      <c r="C992">
        <v>2011</v>
      </c>
      <c r="D992" t="s">
        <v>663</v>
      </c>
      <c r="E992" t="s">
        <v>130</v>
      </c>
      <c r="F992" t="s">
        <v>40</v>
      </c>
      <c r="G992" t="s">
        <v>443</v>
      </c>
      <c r="H992" t="s">
        <v>74</v>
      </c>
      <c r="I992" t="s">
        <v>26</v>
      </c>
      <c r="J992">
        <v>96007</v>
      </c>
      <c r="K992">
        <v>40.465313000000002</v>
      </c>
      <c r="L992">
        <v>-122.477113</v>
      </c>
      <c r="M992" t="s">
        <v>662</v>
      </c>
      <c r="N992">
        <v>20</v>
      </c>
      <c r="O992" t="s">
        <v>36</v>
      </c>
      <c r="P992">
        <v>0.999</v>
      </c>
      <c r="Q992">
        <v>1.4</v>
      </c>
    </row>
    <row r="993" spans="1:20" hidden="1" x14ac:dyDescent="0.25">
      <c r="A993" t="s">
        <v>33</v>
      </c>
      <c r="B993" t="s">
        <v>232</v>
      </c>
      <c r="C993">
        <v>2011</v>
      </c>
      <c r="D993" t="s">
        <v>661</v>
      </c>
      <c r="E993" t="s">
        <v>130</v>
      </c>
      <c r="F993" t="s">
        <v>40</v>
      </c>
      <c r="G993" t="s">
        <v>660</v>
      </c>
      <c r="H993" t="s">
        <v>642</v>
      </c>
      <c r="I993" t="s">
        <v>26</v>
      </c>
      <c r="J993">
        <v>95953</v>
      </c>
      <c r="K993">
        <v>39.291811000000003</v>
      </c>
      <c r="L993">
        <v>-121.66991400000001</v>
      </c>
      <c r="M993" t="s">
        <v>659</v>
      </c>
      <c r="N993">
        <v>20</v>
      </c>
      <c r="O993" t="s">
        <v>36</v>
      </c>
      <c r="P993">
        <v>1.25</v>
      </c>
      <c r="Q993">
        <v>1.8</v>
      </c>
    </row>
    <row r="994" spans="1:20" hidden="1" x14ac:dyDescent="0.25">
      <c r="A994" t="s">
        <v>33</v>
      </c>
      <c r="B994" t="s">
        <v>232</v>
      </c>
      <c r="C994">
        <v>2011</v>
      </c>
      <c r="D994" t="s">
        <v>658</v>
      </c>
      <c r="E994" t="s">
        <v>130</v>
      </c>
      <c r="F994" t="s">
        <v>40</v>
      </c>
      <c r="G994" t="s">
        <v>153</v>
      </c>
      <c r="H994" t="s">
        <v>153</v>
      </c>
      <c r="I994" t="s">
        <v>26</v>
      </c>
      <c r="J994">
        <v>95340</v>
      </c>
      <c r="K994">
        <v>37.351844</v>
      </c>
      <c r="L994">
        <v>-120.507355</v>
      </c>
      <c r="M994" t="s">
        <v>657</v>
      </c>
      <c r="N994">
        <v>20</v>
      </c>
      <c r="O994" t="s">
        <v>36</v>
      </c>
      <c r="P994">
        <v>1.5</v>
      </c>
      <c r="Q994">
        <v>2.1</v>
      </c>
    </row>
    <row r="995" spans="1:20" hidden="1" x14ac:dyDescent="0.25">
      <c r="A995" t="s">
        <v>33</v>
      </c>
      <c r="B995" t="s">
        <v>232</v>
      </c>
      <c r="C995">
        <v>2011</v>
      </c>
      <c r="D995" t="s">
        <v>656</v>
      </c>
      <c r="E995" t="s">
        <v>130</v>
      </c>
      <c r="F995" t="s">
        <v>40</v>
      </c>
      <c r="G995" t="s">
        <v>600</v>
      </c>
      <c r="H995" t="s">
        <v>229</v>
      </c>
      <c r="I995" t="s">
        <v>26</v>
      </c>
      <c r="J995">
        <v>93465</v>
      </c>
      <c r="K995">
        <v>35.549393999999999</v>
      </c>
      <c r="L995">
        <v>-120.798739</v>
      </c>
      <c r="M995" t="s">
        <v>655</v>
      </c>
      <c r="N995">
        <v>20</v>
      </c>
      <c r="O995" t="s">
        <v>36</v>
      </c>
      <c r="P995">
        <v>0.75</v>
      </c>
      <c r="Q995">
        <v>1.1000000000000001</v>
      </c>
    </row>
    <row r="996" spans="1:20" hidden="1" x14ac:dyDescent="0.25">
      <c r="A996" t="s">
        <v>33</v>
      </c>
      <c r="B996" t="s">
        <v>232</v>
      </c>
      <c r="C996">
        <v>2011</v>
      </c>
      <c r="D996" t="s">
        <v>654</v>
      </c>
      <c r="E996" t="s">
        <v>130</v>
      </c>
      <c r="F996" t="s">
        <v>40</v>
      </c>
      <c r="G996" t="s">
        <v>653</v>
      </c>
      <c r="H996" t="s">
        <v>229</v>
      </c>
      <c r="I996" t="s">
        <v>26</v>
      </c>
      <c r="J996">
        <v>93446</v>
      </c>
      <c r="K996">
        <v>35.647092999999998</v>
      </c>
      <c r="L996">
        <v>-120.712993</v>
      </c>
      <c r="M996" t="s">
        <v>652</v>
      </c>
      <c r="N996">
        <v>20</v>
      </c>
      <c r="O996" t="s">
        <v>36</v>
      </c>
      <c r="P996">
        <v>0.999</v>
      </c>
      <c r="Q996">
        <v>1.4</v>
      </c>
    </row>
    <row r="997" spans="1:20" hidden="1" x14ac:dyDescent="0.25">
      <c r="A997" t="s">
        <v>33</v>
      </c>
      <c r="B997" t="s">
        <v>232</v>
      </c>
      <c r="C997">
        <v>2011</v>
      </c>
      <c r="D997" t="s">
        <v>651</v>
      </c>
      <c r="E997" t="s">
        <v>130</v>
      </c>
      <c r="F997" t="s">
        <v>40</v>
      </c>
      <c r="G997" t="s">
        <v>650</v>
      </c>
      <c r="H997" t="s">
        <v>649</v>
      </c>
      <c r="I997" t="s">
        <v>26</v>
      </c>
      <c r="J997">
        <v>95966</v>
      </c>
      <c r="K997">
        <v>39.343584</v>
      </c>
      <c r="L997">
        <v>-121.534031</v>
      </c>
      <c r="M997" t="s">
        <v>648</v>
      </c>
      <c r="N997">
        <v>20</v>
      </c>
      <c r="O997" t="s">
        <v>36</v>
      </c>
      <c r="P997">
        <v>0.999</v>
      </c>
      <c r="Q997">
        <v>1.4</v>
      </c>
    </row>
    <row r="998" spans="1:20" hidden="1" x14ac:dyDescent="0.25">
      <c r="A998" t="s">
        <v>33</v>
      </c>
      <c r="B998" t="s">
        <v>232</v>
      </c>
      <c r="C998">
        <v>2011</v>
      </c>
      <c r="D998" t="s">
        <v>647</v>
      </c>
      <c r="E998" t="s">
        <v>130</v>
      </c>
      <c r="F998" t="s">
        <v>40</v>
      </c>
      <c r="G998" t="s">
        <v>646</v>
      </c>
      <c r="H998" t="s">
        <v>274</v>
      </c>
      <c r="I998" t="s">
        <v>26</v>
      </c>
      <c r="J998">
        <v>96035</v>
      </c>
      <c r="K998">
        <v>40.069023000000001</v>
      </c>
      <c r="L998">
        <v>-122.188754</v>
      </c>
      <c r="M998" t="s">
        <v>645</v>
      </c>
      <c r="N998">
        <v>20</v>
      </c>
      <c r="O998" t="s">
        <v>36</v>
      </c>
      <c r="P998">
        <v>0.25</v>
      </c>
      <c r="Q998">
        <v>0.35</v>
      </c>
    </row>
    <row r="999" spans="1:20" hidden="1" x14ac:dyDescent="0.25">
      <c r="A999" t="s">
        <v>33</v>
      </c>
      <c r="B999" t="s">
        <v>232</v>
      </c>
      <c r="C999">
        <v>2011</v>
      </c>
      <c r="D999" t="s">
        <v>644</v>
      </c>
      <c r="E999" t="s">
        <v>130</v>
      </c>
      <c r="F999" t="s">
        <v>40</v>
      </c>
      <c r="G999" t="s">
        <v>643</v>
      </c>
      <c r="H999" t="s">
        <v>642</v>
      </c>
      <c r="I999" t="s">
        <v>26</v>
      </c>
      <c r="J999">
        <v>95901</v>
      </c>
      <c r="K999">
        <v>39.093384</v>
      </c>
      <c r="L999">
        <v>-121.497952</v>
      </c>
      <c r="M999" t="s">
        <v>641</v>
      </c>
      <c r="N999">
        <v>20</v>
      </c>
      <c r="O999" t="s">
        <v>36</v>
      </c>
      <c r="P999">
        <v>0.25</v>
      </c>
      <c r="Q999">
        <v>0.35</v>
      </c>
    </row>
    <row r="1000" spans="1:20" hidden="1" x14ac:dyDescent="0.25">
      <c r="A1000" t="s">
        <v>33</v>
      </c>
      <c r="B1000" t="s">
        <v>232</v>
      </c>
      <c r="C1000">
        <v>2011</v>
      </c>
      <c r="D1000" t="s">
        <v>640</v>
      </c>
      <c r="E1000" t="s">
        <v>130</v>
      </c>
      <c r="F1000" t="s">
        <v>40</v>
      </c>
      <c r="G1000" t="s">
        <v>639</v>
      </c>
      <c r="H1000" t="s">
        <v>274</v>
      </c>
      <c r="I1000" t="s">
        <v>26</v>
      </c>
      <c r="J1000">
        <v>96080</v>
      </c>
      <c r="K1000">
        <v>40.182080999999997</v>
      </c>
      <c r="L1000">
        <v>-122.33319899999999</v>
      </c>
      <c r="M1000" t="s">
        <v>638</v>
      </c>
      <c r="N1000">
        <v>20</v>
      </c>
      <c r="O1000" t="s">
        <v>36</v>
      </c>
      <c r="P1000">
        <v>0.75</v>
      </c>
      <c r="Q1000">
        <v>1.1000000000000001</v>
      </c>
    </row>
    <row r="1001" spans="1:20" hidden="1" x14ac:dyDescent="0.25">
      <c r="A1001" t="s">
        <v>33</v>
      </c>
      <c r="B1001" t="s">
        <v>232</v>
      </c>
      <c r="C1001">
        <v>2011</v>
      </c>
      <c r="D1001" t="s">
        <v>637</v>
      </c>
      <c r="E1001" t="s">
        <v>130</v>
      </c>
      <c r="F1001" t="s">
        <v>40</v>
      </c>
      <c r="G1001" t="s">
        <v>636</v>
      </c>
      <c r="H1001" t="s">
        <v>146</v>
      </c>
      <c r="I1001" t="s">
        <v>26</v>
      </c>
      <c r="J1001">
        <v>93654</v>
      </c>
      <c r="K1001">
        <v>36.671099300000002</v>
      </c>
      <c r="L1001">
        <v>-119.4131379</v>
      </c>
      <c r="M1001" t="s">
        <v>635</v>
      </c>
      <c r="N1001">
        <v>20</v>
      </c>
      <c r="O1001" t="s">
        <v>36</v>
      </c>
      <c r="P1001">
        <v>1.25</v>
      </c>
      <c r="Q1001">
        <v>1.8</v>
      </c>
    </row>
    <row r="1002" spans="1:20" hidden="1" x14ac:dyDescent="0.25">
      <c r="A1002" t="s">
        <v>33</v>
      </c>
      <c r="B1002" t="s">
        <v>540</v>
      </c>
      <c r="C1002">
        <v>2011</v>
      </c>
      <c r="D1002" t="s">
        <v>634</v>
      </c>
      <c r="E1002" t="s">
        <v>130</v>
      </c>
      <c r="F1002" t="s">
        <v>40</v>
      </c>
      <c r="G1002" t="s">
        <v>542</v>
      </c>
      <c r="H1002" t="s">
        <v>533</v>
      </c>
      <c r="I1002" t="s">
        <v>26</v>
      </c>
      <c r="J1002">
        <v>93245</v>
      </c>
      <c r="K1002">
        <v>36.218375999999999</v>
      </c>
      <c r="L1002">
        <v>-119.829162</v>
      </c>
      <c r="M1002" t="s">
        <v>633</v>
      </c>
      <c r="N1002">
        <v>20</v>
      </c>
      <c r="O1002" t="s">
        <v>36</v>
      </c>
      <c r="P1002">
        <v>20</v>
      </c>
      <c r="Q1002">
        <v>48.222999999999999</v>
      </c>
      <c r="S1002" s="18">
        <v>40744</v>
      </c>
      <c r="T1002" s="18">
        <v>40774</v>
      </c>
    </row>
    <row r="1003" spans="1:20" hidden="1" x14ac:dyDescent="0.25">
      <c r="A1003" t="s">
        <v>33</v>
      </c>
      <c r="B1003" t="s">
        <v>232</v>
      </c>
      <c r="C1003">
        <v>2011</v>
      </c>
      <c r="D1003" t="s">
        <v>632</v>
      </c>
      <c r="E1003" t="s">
        <v>130</v>
      </c>
      <c r="F1003" t="s">
        <v>40</v>
      </c>
      <c r="G1003" t="s">
        <v>515</v>
      </c>
      <c r="H1003" t="s">
        <v>514</v>
      </c>
      <c r="I1003" t="s">
        <v>26</v>
      </c>
      <c r="J1003">
        <v>95023</v>
      </c>
      <c r="K1003">
        <v>36.828026000000001</v>
      </c>
      <c r="L1003">
        <v>-121.401349</v>
      </c>
      <c r="M1003" t="s">
        <v>631</v>
      </c>
      <c r="N1003">
        <v>20</v>
      </c>
      <c r="O1003" t="s">
        <v>36</v>
      </c>
      <c r="P1003">
        <v>1.5</v>
      </c>
      <c r="Q1003">
        <v>2.1</v>
      </c>
    </row>
    <row r="1004" spans="1:20" hidden="1" x14ac:dyDescent="0.25">
      <c r="A1004" t="s">
        <v>33</v>
      </c>
      <c r="B1004" t="s">
        <v>540</v>
      </c>
      <c r="C1004">
        <v>2011</v>
      </c>
      <c r="D1004" t="s">
        <v>630</v>
      </c>
      <c r="E1004" t="s">
        <v>130</v>
      </c>
      <c r="F1004" t="s">
        <v>40</v>
      </c>
      <c r="G1004" t="s">
        <v>629</v>
      </c>
      <c r="H1004" t="s">
        <v>146</v>
      </c>
      <c r="I1004" t="s">
        <v>26</v>
      </c>
      <c r="J1004">
        <v>93234</v>
      </c>
      <c r="K1004">
        <v>36.1417</v>
      </c>
      <c r="L1004">
        <v>-120.08880000000001</v>
      </c>
      <c r="M1004" t="s">
        <v>628</v>
      </c>
      <c r="N1004">
        <v>20</v>
      </c>
      <c r="O1004" t="s">
        <v>36</v>
      </c>
      <c r="P1004">
        <v>18</v>
      </c>
      <c r="Q1004">
        <v>36</v>
      </c>
      <c r="S1004" s="18">
        <v>40744</v>
      </c>
      <c r="T1004" s="18">
        <v>40774</v>
      </c>
    </row>
    <row r="1005" spans="1:20" hidden="1" x14ac:dyDescent="0.25">
      <c r="A1005" t="s">
        <v>33</v>
      </c>
      <c r="B1005" t="s">
        <v>201</v>
      </c>
      <c r="C1005">
        <v>2008</v>
      </c>
      <c r="D1005" t="s">
        <v>627</v>
      </c>
      <c r="E1005" t="s">
        <v>130</v>
      </c>
      <c r="F1005" t="s">
        <v>40</v>
      </c>
      <c r="G1005" t="s">
        <v>563</v>
      </c>
      <c r="H1005" t="s">
        <v>181</v>
      </c>
      <c r="I1005" t="s">
        <v>26</v>
      </c>
      <c r="J1005">
        <v>93201</v>
      </c>
      <c r="K1005">
        <v>35.898600000000002</v>
      </c>
      <c r="L1005">
        <v>-119.4453</v>
      </c>
      <c r="M1005" t="s">
        <v>626</v>
      </c>
      <c r="N1005">
        <v>25</v>
      </c>
      <c r="O1005" t="s">
        <v>24</v>
      </c>
      <c r="P1005">
        <v>20</v>
      </c>
      <c r="Q1005">
        <v>33</v>
      </c>
      <c r="S1005" s="18">
        <v>40219</v>
      </c>
      <c r="T1005" s="18">
        <v>40501</v>
      </c>
    </row>
    <row r="1006" spans="1:20" hidden="1" x14ac:dyDescent="0.25">
      <c r="A1006" t="s">
        <v>33</v>
      </c>
      <c r="B1006" t="s">
        <v>197</v>
      </c>
      <c r="C1006">
        <v>2008</v>
      </c>
      <c r="D1006" t="s">
        <v>625</v>
      </c>
      <c r="E1006" t="s">
        <v>130</v>
      </c>
      <c r="F1006" t="s">
        <v>40</v>
      </c>
      <c r="G1006" t="s">
        <v>563</v>
      </c>
      <c r="H1006" t="s">
        <v>181</v>
      </c>
      <c r="I1006" t="s">
        <v>26</v>
      </c>
      <c r="J1006">
        <v>93201</v>
      </c>
      <c r="K1006">
        <v>35.898600000000002</v>
      </c>
      <c r="L1006">
        <v>-119.44499999999999</v>
      </c>
      <c r="M1006" t="s">
        <v>624</v>
      </c>
      <c r="N1006">
        <v>25</v>
      </c>
      <c r="O1006" t="s">
        <v>24</v>
      </c>
      <c r="P1006">
        <v>50</v>
      </c>
      <c r="Q1006">
        <v>113</v>
      </c>
      <c r="S1006" s="18">
        <v>40219</v>
      </c>
      <c r="T1006" s="18">
        <v>40501</v>
      </c>
    </row>
    <row r="1007" spans="1:20" hidden="1" x14ac:dyDescent="0.25">
      <c r="A1007" t="s">
        <v>33</v>
      </c>
      <c r="B1007" t="s">
        <v>197</v>
      </c>
      <c r="C1007">
        <v>2007</v>
      </c>
      <c r="D1007" t="s">
        <v>623</v>
      </c>
      <c r="E1007" t="s">
        <v>130</v>
      </c>
      <c r="F1007" t="s">
        <v>40</v>
      </c>
      <c r="G1007" t="s">
        <v>546</v>
      </c>
      <c r="H1007" t="s">
        <v>259</v>
      </c>
      <c r="I1007" t="s">
        <v>26</v>
      </c>
      <c r="J1007">
        <v>93536</v>
      </c>
      <c r="K1007">
        <v>34.797800000000002</v>
      </c>
      <c r="L1007">
        <v>-118.5151</v>
      </c>
      <c r="M1007" t="s">
        <v>622</v>
      </c>
      <c r="N1007">
        <v>20</v>
      </c>
      <c r="O1007" t="s">
        <v>24</v>
      </c>
      <c r="P1007">
        <v>66</v>
      </c>
      <c r="Q1007">
        <v>140</v>
      </c>
      <c r="S1007" s="18">
        <v>40309</v>
      </c>
      <c r="T1007" s="18">
        <v>40423</v>
      </c>
    </row>
    <row r="1008" spans="1:20" hidden="1" x14ac:dyDescent="0.25">
      <c r="A1008" t="s">
        <v>33</v>
      </c>
      <c r="B1008" t="s">
        <v>197</v>
      </c>
      <c r="C1008">
        <v>2008</v>
      </c>
      <c r="D1008" t="s">
        <v>621</v>
      </c>
      <c r="E1008" t="s">
        <v>130</v>
      </c>
      <c r="F1008" t="s">
        <v>40</v>
      </c>
      <c r="G1008" t="s">
        <v>546</v>
      </c>
      <c r="H1008" t="s">
        <v>259</v>
      </c>
      <c r="I1008" t="s">
        <v>26</v>
      </c>
      <c r="J1008">
        <v>93536</v>
      </c>
      <c r="K1008">
        <v>34.774999999999999</v>
      </c>
      <c r="L1008">
        <v>-118.425</v>
      </c>
      <c r="M1008" t="s">
        <v>620</v>
      </c>
      <c r="N1008">
        <v>25</v>
      </c>
      <c r="O1008" t="s">
        <v>24</v>
      </c>
      <c r="P1008">
        <v>241.5</v>
      </c>
      <c r="Q1008">
        <v>620.87599999999998</v>
      </c>
      <c r="S1008" s="18">
        <v>39968</v>
      </c>
      <c r="T1008" s="18">
        <v>40253</v>
      </c>
    </row>
    <row r="1009" spans="1:20" hidden="1" x14ac:dyDescent="0.25">
      <c r="A1009" t="s">
        <v>33</v>
      </c>
      <c r="B1009" t="s">
        <v>201</v>
      </c>
      <c r="C1009">
        <v>2008</v>
      </c>
      <c r="D1009" t="s">
        <v>619</v>
      </c>
      <c r="E1009" t="s">
        <v>130</v>
      </c>
      <c r="F1009" t="s">
        <v>40</v>
      </c>
      <c r="G1009" t="s">
        <v>563</v>
      </c>
      <c r="H1009" t="s">
        <v>181</v>
      </c>
      <c r="I1009" t="s">
        <v>26</v>
      </c>
      <c r="J1009">
        <v>93201</v>
      </c>
      <c r="K1009">
        <v>35.816670000000002</v>
      </c>
      <c r="L1009">
        <v>-119.4556</v>
      </c>
      <c r="M1009" t="s">
        <v>618</v>
      </c>
      <c r="N1009">
        <v>25</v>
      </c>
      <c r="O1009" t="s">
        <v>24</v>
      </c>
      <c r="P1009">
        <v>20</v>
      </c>
      <c r="Q1009">
        <v>33</v>
      </c>
      <c r="S1009" s="18">
        <v>40219</v>
      </c>
      <c r="T1009" s="18">
        <v>40501</v>
      </c>
    </row>
    <row r="1010" spans="1:20" hidden="1" x14ac:dyDescent="0.25">
      <c r="A1010" t="s">
        <v>33</v>
      </c>
      <c r="B1010" t="s">
        <v>201</v>
      </c>
      <c r="C1010">
        <v>2009</v>
      </c>
      <c r="D1010" t="s">
        <v>617</v>
      </c>
      <c r="E1010" t="s">
        <v>130</v>
      </c>
      <c r="F1010" t="s">
        <v>40</v>
      </c>
      <c r="G1010" t="s">
        <v>603</v>
      </c>
      <c r="H1010" t="s">
        <v>533</v>
      </c>
      <c r="I1010" t="s">
        <v>26</v>
      </c>
      <c r="J1010">
        <v>93204</v>
      </c>
      <c r="K1010">
        <v>36.004199999999997</v>
      </c>
      <c r="L1010">
        <v>-120.1289</v>
      </c>
      <c r="M1010" t="s">
        <v>616</v>
      </c>
      <c r="N1010">
        <v>20</v>
      </c>
      <c r="O1010" t="s">
        <v>24</v>
      </c>
      <c r="P1010">
        <v>6</v>
      </c>
      <c r="Q1010">
        <v>10</v>
      </c>
      <c r="S1010" s="18">
        <v>40210</v>
      </c>
      <c r="T1010" s="18">
        <v>40402</v>
      </c>
    </row>
    <row r="1011" spans="1:20" hidden="1" x14ac:dyDescent="0.25">
      <c r="A1011" t="s">
        <v>33</v>
      </c>
      <c r="B1011" t="s">
        <v>197</v>
      </c>
      <c r="C1011">
        <v>2008</v>
      </c>
      <c r="D1011" t="s">
        <v>615</v>
      </c>
      <c r="E1011" t="s">
        <v>130</v>
      </c>
      <c r="F1011" t="s">
        <v>40</v>
      </c>
      <c r="G1011" t="s">
        <v>579</v>
      </c>
      <c r="H1011" t="s">
        <v>578</v>
      </c>
      <c r="I1011" t="s">
        <v>294</v>
      </c>
      <c r="J1011">
        <v>89005</v>
      </c>
      <c r="K1011">
        <v>35.779899999999998</v>
      </c>
      <c r="L1011">
        <v>-114.995</v>
      </c>
      <c r="M1011" t="s">
        <v>595</v>
      </c>
      <c r="N1011">
        <v>20</v>
      </c>
      <c r="O1011" t="s">
        <v>24</v>
      </c>
      <c r="P1011">
        <v>48</v>
      </c>
      <c r="Q1011">
        <v>100</v>
      </c>
      <c r="S1011" s="18">
        <v>40021</v>
      </c>
      <c r="T1011" s="18">
        <v>40168</v>
      </c>
    </row>
    <row r="1012" spans="1:20" hidden="1" x14ac:dyDescent="0.25">
      <c r="A1012" t="s">
        <v>33</v>
      </c>
      <c r="B1012" t="s">
        <v>201</v>
      </c>
      <c r="C1012">
        <v>2008</v>
      </c>
      <c r="D1012" t="s">
        <v>534</v>
      </c>
      <c r="E1012" t="s">
        <v>130</v>
      </c>
      <c r="F1012" t="s">
        <v>40</v>
      </c>
      <c r="G1012" t="s">
        <v>534</v>
      </c>
      <c r="H1012" t="s">
        <v>533</v>
      </c>
      <c r="I1012" t="s">
        <v>26</v>
      </c>
      <c r="J1012">
        <v>93212</v>
      </c>
      <c r="K1012">
        <v>36.739440000000002</v>
      </c>
      <c r="L1012">
        <v>-119.57640000000001</v>
      </c>
      <c r="M1012" t="s">
        <v>614</v>
      </c>
      <c r="N1012">
        <v>25</v>
      </c>
      <c r="O1012" t="s">
        <v>24</v>
      </c>
      <c r="P1012">
        <v>20</v>
      </c>
      <c r="Q1012">
        <v>33</v>
      </c>
      <c r="S1012" s="18">
        <v>40219</v>
      </c>
      <c r="T1012" s="18">
        <v>40501</v>
      </c>
    </row>
    <row r="1013" spans="1:20" hidden="1" x14ac:dyDescent="0.25">
      <c r="A1013" t="s">
        <v>33</v>
      </c>
      <c r="B1013" t="s">
        <v>197</v>
      </c>
      <c r="C1013">
        <v>2008</v>
      </c>
      <c r="D1013" t="s">
        <v>613</v>
      </c>
      <c r="E1013" t="s">
        <v>130</v>
      </c>
      <c r="F1013" t="s">
        <v>40</v>
      </c>
      <c r="G1013" t="s">
        <v>612</v>
      </c>
      <c r="H1013" t="s">
        <v>88</v>
      </c>
      <c r="I1013" t="s">
        <v>26</v>
      </c>
      <c r="J1013">
        <v>92239</v>
      </c>
      <c r="K1013">
        <v>33.811500000000002</v>
      </c>
      <c r="L1013">
        <v>-115.39879999999999</v>
      </c>
      <c r="M1013" t="s">
        <v>611</v>
      </c>
      <c r="N1013">
        <v>25</v>
      </c>
      <c r="O1013" t="s">
        <v>24</v>
      </c>
      <c r="P1013">
        <v>300</v>
      </c>
      <c r="Q1013">
        <v>619</v>
      </c>
      <c r="S1013" s="18">
        <v>40245</v>
      </c>
      <c r="T1013" s="18">
        <v>40444</v>
      </c>
    </row>
    <row r="1014" spans="1:20" hidden="1" x14ac:dyDescent="0.25">
      <c r="A1014" t="s">
        <v>33</v>
      </c>
      <c r="B1014" t="s">
        <v>197</v>
      </c>
      <c r="C1014">
        <v>2008</v>
      </c>
      <c r="D1014" t="s">
        <v>610</v>
      </c>
      <c r="E1014" t="s">
        <v>130</v>
      </c>
      <c r="F1014" t="s">
        <v>40</v>
      </c>
      <c r="G1014" t="s">
        <v>593</v>
      </c>
      <c r="H1014" t="s">
        <v>229</v>
      </c>
      <c r="I1014" t="s">
        <v>26</v>
      </c>
      <c r="J1014">
        <v>93453</v>
      </c>
      <c r="K1014">
        <v>35.351399999999998</v>
      </c>
      <c r="L1014">
        <v>-119.951944</v>
      </c>
      <c r="M1014" t="s">
        <v>592</v>
      </c>
      <c r="N1014">
        <v>25</v>
      </c>
      <c r="O1014" t="s">
        <v>24</v>
      </c>
      <c r="P1014">
        <v>40</v>
      </c>
      <c r="Q1014">
        <v>112</v>
      </c>
      <c r="S1014" s="18">
        <v>40297</v>
      </c>
      <c r="T1014" s="18">
        <v>39897</v>
      </c>
    </row>
    <row r="1015" spans="1:20" hidden="1" x14ac:dyDescent="0.25">
      <c r="A1015" t="s">
        <v>33</v>
      </c>
      <c r="B1015" t="s">
        <v>232</v>
      </c>
      <c r="C1015">
        <v>2011</v>
      </c>
      <c r="D1015" t="s">
        <v>609</v>
      </c>
      <c r="E1015" t="s">
        <v>130</v>
      </c>
      <c r="F1015" t="s">
        <v>40</v>
      </c>
      <c r="G1015" t="s">
        <v>608</v>
      </c>
      <c r="H1015" t="s">
        <v>35</v>
      </c>
      <c r="I1015" t="s">
        <v>26</v>
      </c>
      <c r="J1015">
        <v>95240</v>
      </c>
      <c r="K1015">
        <v>38.120883999999997</v>
      </c>
      <c r="L1015">
        <v>-121.13328300000001</v>
      </c>
      <c r="M1015" t="s">
        <v>607</v>
      </c>
      <c r="N1015">
        <v>20</v>
      </c>
      <c r="O1015" t="s">
        <v>36</v>
      </c>
      <c r="P1015">
        <v>1</v>
      </c>
      <c r="Q1015">
        <v>1.4</v>
      </c>
    </row>
    <row r="1016" spans="1:20" hidden="1" x14ac:dyDescent="0.25">
      <c r="A1016" t="s">
        <v>33</v>
      </c>
      <c r="B1016" t="s">
        <v>201</v>
      </c>
      <c r="C1016">
        <v>2009</v>
      </c>
      <c r="D1016" t="s">
        <v>606</v>
      </c>
      <c r="E1016" t="s">
        <v>130</v>
      </c>
      <c r="F1016" t="s">
        <v>40</v>
      </c>
      <c r="G1016" t="s">
        <v>603</v>
      </c>
      <c r="H1016" t="s">
        <v>533</v>
      </c>
      <c r="I1016" t="s">
        <v>26</v>
      </c>
      <c r="J1016">
        <v>93204</v>
      </c>
      <c r="K1016">
        <v>36.004199999999997</v>
      </c>
      <c r="L1016">
        <v>-120.1289</v>
      </c>
      <c r="M1016" t="s">
        <v>605</v>
      </c>
      <c r="N1016">
        <v>20</v>
      </c>
      <c r="O1016" t="s">
        <v>24</v>
      </c>
      <c r="P1016">
        <v>19</v>
      </c>
      <c r="Q1016">
        <v>30</v>
      </c>
      <c r="S1016" s="18">
        <v>40210</v>
      </c>
      <c r="T1016" s="18">
        <v>40402</v>
      </c>
    </row>
    <row r="1017" spans="1:20" hidden="1" x14ac:dyDescent="0.25">
      <c r="A1017" t="s">
        <v>33</v>
      </c>
      <c r="B1017" t="s">
        <v>201</v>
      </c>
      <c r="C1017">
        <v>2009</v>
      </c>
      <c r="D1017" t="s">
        <v>604</v>
      </c>
      <c r="E1017" t="s">
        <v>130</v>
      </c>
      <c r="F1017" t="s">
        <v>40</v>
      </c>
      <c r="G1017" t="s">
        <v>603</v>
      </c>
      <c r="H1017" t="s">
        <v>533</v>
      </c>
      <c r="I1017" t="s">
        <v>26</v>
      </c>
      <c r="J1017">
        <v>93204</v>
      </c>
      <c r="K1017">
        <v>36.004199999999997</v>
      </c>
      <c r="L1017">
        <v>-120.1289</v>
      </c>
      <c r="M1017" t="s">
        <v>602</v>
      </c>
      <c r="N1017">
        <v>20</v>
      </c>
      <c r="O1017" t="s">
        <v>24</v>
      </c>
      <c r="P1017">
        <v>20</v>
      </c>
      <c r="Q1017">
        <v>32</v>
      </c>
      <c r="S1017" s="18">
        <v>40210</v>
      </c>
      <c r="T1017" s="18">
        <v>40402</v>
      </c>
    </row>
    <row r="1018" spans="1:20" hidden="1" x14ac:dyDescent="0.25">
      <c r="A1018" t="s">
        <v>33</v>
      </c>
      <c r="B1018" t="s">
        <v>232</v>
      </c>
      <c r="C1018">
        <v>2011</v>
      </c>
      <c r="D1018" t="s">
        <v>601</v>
      </c>
      <c r="E1018" t="s">
        <v>130</v>
      </c>
      <c r="F1018" t="s">
        <v>40</v>
      </c>
      <c r="G1018" t="s">
        <v>600</v>
      </c>
      <c r="H1018" t="s">
        <v>229</v>
      </c>
      <c r="I1018" t="s">
        <v>26</v>
      </c>
      <c r="J1018">
        <v>93465</v>
      </c>
      <c r="K1018">
        <v>35.557158000000001</v>
      </c>
      <c r="L1018">
        <v>-120.68159900000001</v>
      </c>
      <c r="M1018" t="s">
        <v>599</v>
      </c>
      <c r="N1018">
        <v>20</v>
      </c>
      <c r="O1018" t="s">
        <v>36</v>
      </c>
      <c r="P1018">
        <v>1.5</v>
      </c>
      <c r="Q1018">
        <v>2.1</v>
      </c>
    </row>
    <row r="1019" spans="1:20" hidden="1" x14ac:dyDescent="0.25">
      <c r="A1019" t="s">
        <v>33</v>
      </c>
      <c r="B1019" t="s">
        <v>201</v>
      </c>
      <c r="C1019">
        <v>2008</v>
      </c>
      <c r="D1019" t="s">
        <v>598</v>
      </c>
      <c r="E1019" t="s">
        <v>130</v>
      </c>
      <c r="F1019" t="s">
        <v>40</v>
      </c>
      <c r="G1019" t="s">
        <v>563</v>
      </c>
      <c r="H1019" t="s">
        <v>181</v>
      </c>
      <c r="I1019" t="s">
        <v>26</v>
      </c>
      <c r="J1019">
        <v>93201</v>
      </c>
      <c r="K1019">
        <v>35.878900000000002</v>
      </c>
      <c r="L1019">
        <v>-119.4556</v>
      </c>
      <c r="M1019" t="s">
        <v>597</v>
      </c>
      <c r="N1019">
        <v>25</v>
      </c>
      <c r="O1019" t="s">
        <v>24</v>
      </c>
      <c r="P1019">
        <v>20</v>
      </c>
      <c r="Q1019">
        <v>33</v>
      </c>
      <c r="S1019" s="18">
        <v>40219</v>
      </c>
      <c r="T1019" s="18">
        <v>40501</v>
      </c>
    </row>
    <row r="1020" spans="1:20" hidden="1" x14ac:dyDescent="0.25">
      <c r="A1020" t="s">
        <v>33</v>
      </c>
      <c r="B1020" t="s">
        <v>197</v>
      </c>
      <c r="C1020">
        <v>2008</v>
      </c>
      <c r="D1020" t="s">
        <v>596</v>
      </c>
      <c r="E1020" t="s">
        <v>130</v>
      </c>
      <c r="F1020" t="s">
        <v>40</v>
      </c>
      <c r="G1020" t="s">
        <v>579</v>
      </c>
      <c r="H1020" t="s">
        <v>578</v>
      </c>
      <c r="I1020" t="s">
        <v>294</v>
      </c>
      <c r="J1020">
        <v>83005</v>
      </c>
      <c r="K1020">
        <v>35.787999999999997</v>
      </c>
      <c r="L1020">
        <v>-114.99850000000001</v>
      </c>
      <c r="M1020" t="s">
        <v>595</v>
      </c>
      <c r="N1020">
        <v>20</v>
      </c>
      <c r="O1020" t="s">
        <v>24</v>
      </c>
      <c r="P1020">
        <v>10</v>
      </c>
      <c r="Q1020">
        <v>23</v>
      </c>
      <c r="S1020" s="18">
        <v>39804</v>
      </c>
      <c r="T1020" s="18">
        <v>39959</v>
      </c>
    </row>
    <row r="1021" spans="1:20" hidden="1" x14ac:dyDescent="0.25">
      <c r="A1021" t="s">
        <v>33</v>
      </c>
      <c r="B1021" t="s">
        <v>197</v>
      </c>
      <c r="C1021">
        <v>2007</v>
      </c>
      <c r="D1021" t="s">
        <v>594</v>
      </c>
      <c r="E1021" t="s">
        <v>130</v>
      </c>
      <c r="F1021" t="s">
        <v>40</v>
      </c>
      <c r="G1021" t="s">
        <v>593</v>
      </c>
      <c r="H1021" t="s">
        <v>229</v>
      </c>
      <c r="I1021" t="s">
        <v>26</v>
      </c>
      <c r="J1021">
        <v>93453</v>
      </c>
      <c r="K1021">
        <v>35.351399999999998</v>
      </c>
      <c r="L1021">
        <v>-119.951944</v>
      </c>
      <c r="M1021" t="s">
        <v>592</v>
      </c>
      <c r="N1021">
        <v>26</v>
      </c>
      <c r="O1021" t="s">
        <v>24</v>
      </c>
      <c r="P1021">
        <v>210</v>
      </c>
      <c r="Q1021">
        <v>550</v>
      </c>
      <c r="S1021" s="18">
        <v>39674</v>
      </c>
      <c r="T1021" s="18">
        <v>39867</v>
      </c>
    </row>
    <row r="1022" spans="1:20" hidden="1" x14ac:dyDescent="0.25">
      <c r="A1022" t="s">
        <v>33</v>
      </c>
      <c r="B1022" t="s">
        <v>197</v>
      </c>
      <c r="C1022">
        <v>2007</v>
      </c>
      <c r="D1022" t="s">
        <v>591</v>
      </c>
      <c r="E1022" t="s">
        <v>130</v>
      </c>
      <c r="F1022" t="s">
        <v>40</v>
      </c>
      <c r="G1022" t="s">
        <v>590</v>
      </c>
      <c r="H1022" t="s">
        <v>229</v>
      </c>
      <c r="I1022" t="s">
        <v>26</v>
      </c>
      <c r="J1022">
        <v>93453</v>
      </c>
      <c r="K1022">
        <v>35.3795</v>
      </c>
      <c r="L1022">
        <v>-120.05</v>
      </c>
      <c r="M1022" t="s">
        <v>589</v>
      </c>
      <c r="N1022">
        <v>25</v>
      </c>
      <c r="O1022" t="s">
        <v>24</v>
      </c>
      <c r="P1022">
        <v>550</v>
      </c>
      <c r="Q1022">
        <v>1066</v>
      </c>
      <c r="S1022" s="18">
        <v>39674</v>
      </c>
      <c r="T1022" s="18">
        <v>39846</v>
      </c>
    </row>
    <row r="1023" spans="1:20" hidden="1" x14ac:dyDescent="0.25">
      <c r="A1023" t="s">
        <v>33</v>
      </c>
      <c r="B1023" t="s">
        <v>197</v>
      </c>
      <c r="C1023">
        <v>2008</v>
      </c>
      <c r="D1023" t="s">
        <v>588</v>
      </c>
      <c r="E1023" t="s">
        <v>130</v>
      </c>
      <c r="F1023" t="s">
        <v>40</v>
      </c>
      <c r="G1023" t="s">
        <v>587</v>
      </c>
      <c r="H1023" t="s">
        <v>586</v>
      </c>
      <c r="I1023" t="s">
        <v>438</v>
      </c>
      <c r="J1023">
        <v>85347</v>
      </c>
      <c r="K1023">
        <v>32.973300000000002</v>
      </c>
      <c r="L1023">
        <v>-113.4986</v>
      </c>
      <c r="M1023" t="s">
        <v>585</v>
      </c>
      <c r="N1023">
        <v>25</v>
      </c>
      <c r="O1023" t="s">
        <v>24</v>
      </c>
      <c r="P1023">
        <v>290</v>
      </c>
      <c r="Q1023">
        <v>688.529</v>
      </c>
      <c r="S1023" s="18">
        <v>40101</v>
      </c>
      <c r="T1023" s="18">
        <v>40336</v>
      </c>
    </row>
    <row r="1024" spans="1:20" hidden="1" x14ac:dyDescent="0.25">
      <c r="A1024" t="s">
        <v>33</v>
      </c>
      <c r="B1024" t="s">
        <v>232</v>
      </c>
      <c r="C1024">
        <v>2011</v>
      </c>
      <c r="D1024" t="s">
        <v>584</v>
      </c>
      <c r="E1024" t="s">
        <v>130</v>
      </c>
      <c r="F1024" t="s">
        <v>40</v>
      </c>
      <c r="G1024" t="s">
        <v>583</v>
      </c>
      <c r="H1024" t="s">
        <v>582</v>
      </c>
      <c r="I1024" t="s">
        <v>26</v>
      </c>
      <c r="J1024">
        <v>95425</v>
      </c>
      <c r="K1024">
        <v>38.772722999999999</v>
      </c>
      <c r="L1024">
        <v>-123.018208</v>
      </c>
      <c r="M1024" t="s">
        <v>581</v>
      </c>
      <c r="N1024">
        <v>20</v>
      </c>
      <c r="O1024" t="s">
        <v>36</v>
      </c>
      <c r="P1024">
        <v>1.5</v>
      </c>
      <c r="Q1024">
        <v>2.1</v>
      </c>
    </row>
    <row r="1025" spans="1:20" hidden="1" x14ac:dyDescent="0.25">
      <c r="A1025" t="s">
        <v>33</v>
      </c>
      <c r="B1025" t="s">
        <v>201</v>
      </c>
      <c r="C1025">
        <v>2009</v>
      </c>
      <c r="D1025" t="s">
        <v>580</v>
      </c>
      <c r="E1025" t="s">
        <v>130</v>
      </c>
      <c r="F1025" t="s">
        <v>40</v>
      </c>
      <c r="G1025" t="s">
        <v>579</v>
      </c>
      <c r="H1025" t="s">
        <v>578</v>
      </c>
      <c r="I1025" t="s">
        <v>294</v>
      </c>
      <c r="J1025">
        <v>89006</v>
      </c>
      <c r="K1025">
        <v>35.792000000000002</v>
      </c>
      <c r="L1025">
        <v>-114.967</v>
      </c>
      <c r="M1025" t="s">
        <v>577</v>
      </c>
      <c r="N1025">
        <v>25</v>
      </c>
      <c r="O1025" t="s">
        <v>36</v>
      </c>
      <c r="P1025">
        <v>150</v>
      </c>
      <c r="Q1025">
        <v>303</v>
      </c>
      <c r="S1025" s="18">
        <v>40759</v>
      </c>
      <c r="T1025" s="18">
        <v>40897</v>
      </c>
    </row>
    <row r="1026" spans="1:20" hidden="1" x14ac:dyDescent="0.25">
      <c r="A1026" t="s">
        <v>33</v>
      </c>
      <c r="B1026" t="s">
        <v>197</v>
      </c>
      <c r="C1026">
        <v>2011</v>
      </c>
      <c r="D1026" t="s">
        <v>576</v>
      </c>
      <c r="E1026" t="s">
        <v>130</v>
      </c>
      <c r="F1026" t="s">
        <v>40</v>
      </c>
      <c r="G1026" t="s">
        <v>575</v>
      </c>
      <c r="H1026" t="s">
        <v>270</v>
      </c>
      <c r="I1026" t="s">
        <v>26</v>
      </c>
      <c r="J1026">
        <v>93252</v>
      </c>
      <c r="K1026">
        <v>34.901389000000002</v>
      </c>
      <c r="L1026">
        <v>-119.59529999999999</v>
      </c>
      <c r="M1026" t="s">
        <v>574</v>
      </c>
      <c r="N1026">
        <v>25</v>
      </c>
      <c r="O1026" t="s">
        <v>36</v>
      </c>
      <c r="P1026">
        <v>40</v>
      </c>
      <c r="Q1026">
        <v>104</v>
      </c>
      <c r="S1026" s="18">
        <v>41162</v>
      </c>
      <c r="T1026" s="18">
        <v>41675</v>
      </c>
    </row>
    <row r="1027" spans="1:20" hidden="1" x14ac:dyDescent="0.25">
      <c r="A1027" t="s">
        <v>33</v>
      </c>
      <c r="B1027" t="s">
        <v>197</v>
      </c>
      <c r="C1027">
        <v>2011</v>
      </c>
      <c r="D1027" t="s">
        <v>573</v>
      </c>
      <c r="E1027" t="s">
        <v>130</v>
      </c>
      <c r="F1027" t="s">
        <v>40</v>
      </c>
      <c r="G1027" t="s">
        <v>542</v>
      </c>
      <c r="H1027" t="s">
        <v>533</v>
      </c>
      <c r="I1027" t="s">
        <v>26</v>
      </c>
      <c r="J1027">
        <v>93245</v>
      </c>
      <c r="K1027">
        <v>36.222000000000001</v>
      </c>
      <c r="L1027">
        <v>-119.806</v>
      </c>
      <c r="M1027" t="s">
        <v>572</v>
      </c>
      <c r="N1027">
        <v>20</v>
      </c>
      <c r="O1027" t="s">
        <v>36</v>
      </c>
      <c r="P1027">
        <v>100</v>
      </c>
      <c r="Q1027">
        <v>244.41</v>
      </c>
      <c r="S1027" s="18">
        <v>41158</v>
      </c>
      <c r="T1027" s="18">
        <v>41368</v>
      </c>
    </row>
    <row r="1028" spans="1:20" hidden="1" x14ac:dyDescent="0.25">
      <c r="A1028" t="s">
        <v>33</v>
      </c>
      <c r="B1028" t="s">
        <v>197</v>
      </c>
      <c r="C1028">
        <v>2011</v>
      </c>
      <c r="D1028" t="s">
        <v>571</v>
      </c>
      <c r="E1028" t="s">
        <v>130</v>
      </c>
      <c r="F1028" t="s">
        <v>40</v>
      </c>
      <c r="G1028" t="s">
        <v>570</v>
      </c>
      <c r="H1028" t="s">
        <v>533</v>
      </c>
      <c r="I1028" t="s">
        <v>26</v>
      </c>
      <c r="J1028">
        <v>93245</v>
      </c>
      <c r="K1028">
        <v>36.247216000000002</v>
      </c>
      <c r="L1028">
        <v>-119.833912</v>
      </c>
      <c r="M1028" t="s">
        <v>569</v>
      </c>
      <c r="N1028">
        <v>20</v>
      </c>
      <c r="O1028" t="s">
        <v>36</v>
      </c>
      <c r="P1028">
        <v>20</v>
      </c>
      <c r="Q1028">
        <v>46.9</v>
      </c>
      <c r="S1028" s="18">
        <v>41164</v>
      </c>
      <c r="T1028" s="18">
        <v>41382</v>
      </c>
    </row>
    <row r="1029" spans="1:20" x14ac:dyDescent="0.25">
      <c r="A1029" t="s">
        <v>33</v>
      </c>
      <c r="B1029" t="s">
        <v>197</v>
      </c>
      <c r="C1029">
        <v>2011</v>
      </c>
      <c r="D1029" t="s">
        <v>568</v>
      </c>
      <c r="E1029" t="s">
        <v>130</v>
      </c>
      <c r="F1029" t="s">
        <v>40</v>
      </c>
      <c r="G1029" t="s">
        <v>203</v>
      </c>
      <c r="H1029" t="s">
        <v>12</v>
      </c>
      <c r="I1029" t="s">
        <v>26</v>
      </c>
      <c r="J1029">
        <v>93249</v>
      </c>
      <c r="K1029">
        <v>35.619999999999997</v>
      </c>
      <c r="L1029">
        <v>-119.85</v>
      </c>
      <c r="M1029" t="s">
        <v>567</v>
      </c>
      <c r="N1029">
        <v>25</v>
      </c>
      <c r="O1029" t="s">
        <v>36</v>
      </c>
      <c r="P1029">
        <v>20</v>
      </c>
      <c r="Q1029">
        <v>47</v>
      </c>
      <c r="S1029" s="18">
        <v>41162</v>
      </c>
      <c r="T1029" s="18">
        <v>41675</v>
      </c>
    </row>
    <row r="1030" spans="1:20" hidden="1" x14ac:dyDescent="0.25">
      <c r="A1030" t="s">
        <v>33</v>
      </c>
      <c r="B1030" t="s">
        <v>197</v>
      </c>
      <c r="C1030">
        <v>2009</v>
      </c>
      <c r="D1030" t="s">
        <v>566</v>
      </c>
      <c r="E1030" t="s">
        <v>130</v>
      </c>
      <c r="F1030" t="s">
        <v>40</v>
      </c>
      <c r="G1030" t="s">
        <v>290</v>
      </c>
      <c r="H1030" t="s">
        <v>146</v>
      </c>
      <c r="I1030" t="s">
        <v>26</v>
      </c>
      <c r="J1030">
        <v>93640</v>
      </c>
      <c r="K1030">
        <v>36.726999999999997</v>
      </c>
      <c r="L1030">
        <v>-120.414</v>
      </c>
      <c r="M1030" t="s">
        <v>565</v>
      </c>
      <c r="N1030">
        <v>20</v>
      </c>
      <c r="O1030" t="s">
        <v>36</v>
      </c>
      <c r="P1030">
        <v>60</v>
      </c>
      <c r="Q1030">
        <v>136</v>
      </c>
      <c r="S1030" s="18">
        <v>40494</v>
      </c>
      <c r="T1030" s="18">
        <v>40844</v>
      </c>
    </row>
    <row r="1031" spans="1:20" hidden="1" x14ac:dyDescent="0.25">
      <c r="A1031" t="s">
        <v>33</v>
      </c>
      <c r="B1031" t="s">
        <v>206</v>
      </c>
      <c r="C1031">
        <v>2012</v>
      </c>
      <c r="D1031" t="s">
        <v>564</v>
      </c>
      <c r="E1031" t="s">
        <v>130</v>
      </c>
      <c r="F1031" t="s">
        <v>40</v>
      </c>
      <c r="G1031" t="s">
        <v>563</v>
      </c>
      <c r="H1031" t="s">
        <v>181</v>
      </c>
      <c r="I1031" t="s">
        <v>26</v>
      </c>
      <c r="J1031">
        <v>93210</v>
      </c>
      <c r="K1031">
        <v>35.895555549999997</v>
      </c>
      <c r="L1031">
        <v>-119.4555556</v>
      </c>
      <c r="M1031" t="s">
        <v>562</v>
      </c>
      <c r="N1031">
        <v>20</v>
      </c>
      <c r="O1031" t="s">
        <v>36</v>
      </c>
      <c r="P1031">
        <v>19.75</v>
      </c>
      <c r="Q1031">
        <v>44</v>
      </c>
      <c r="R1031" t="s">
        <v>370</v>
      </c>
      <c r="S1031" s="18">
        <v>41180</v>
      </c>
      <c r="T1031" s="18">
        <v>41222</v>
      </c>
    </row>
    <row r="1032" spans="1:20" hidden="1" x14ac:dyDescent="0.25">
      <c r="A1032" t="s">
        <v>33</v>
      </c>
      <c r="B1032" t="s">
        <v>197</v>
      </c>
      <c r="C1032">
        <v>2012</v>
      </c>
      <c r="D1032" t="s">
        <v>561</v>
      </c>
      <c r="E1032" t="s">
        <v>130</v>
      </c>
      <c r="F1032" t="s">
        <v>40</v>
      </c>
      <c r="G1032" t="s">
        <v>379</v>
      </c>
      <c r="H1032" t="s">
        <v>305</v>
      </c>
      <c r="I1032" t="s">
        <v>26</v>
      </c>
      <c r="J1032">
        <v>92233</v>
      </c>
      <c r="K1032">
        <v>33.169499999999999</v>
      </c>
      <c r="L1032">
        <v>-115.5496</v>
      </c>
      <c r="M1032" t="s">
        <v>560</v>
      </c>
      <c r="N1032">
        <v>20</v>
      </c>
      <c r="O1032" t="s">
        <v>36</v>
      </c>
      <c r="P1032">
        <v>50</v>
      </c>
      <c r="Q1032">
        <v>119.34</v>
      </c>
      <c r="S1032" s="18">
        <v>41689</v>
      </c>
      <c r="T1032" s="18">
        <v>41879</v>
      </c>
    </row>
    <row r="1033" spans="1:20" hidden="1" x14ac:dyDescent="0.25">
      <c r="A1033" t="s">
        <v>33</v>
      </c>
      <c r="B1033" t="s">
        <v>201</v>
      </c>
      <c r="C1033">
        <v>2009</v>
      </c>
      <c r="D1033" t="s">
        <v>559</v>
      </c>
      <c r="E1033" t="s">
        <v>30</v>
      </c>
      <c r="F1033" t="s">
        <v>40</v>
      </c>
      <c r="G1033" t="s">
        <v>480</v>
      </c>
      <c r="H1033" t="s">
        <v>94</v>
      </c>
      <c r="I1033" t="s">
        <v>26</v>
      </c>
      <c r="J1033">
        <v>94571</v>
      </c>
      <c r="K1033">
        <v>38.164999999999999</v>
      </c>
      <c r="L1033">
        <v>-121.765</v>
      </c>
      <c r="M1033" t="s">
        <v>558</v>
      </c>
      <c r="N1033">
        <v>20</v>
      </c>
      <c r="O1033" t="s">
        <v>36</v>
      </c>
      <c r="P1033">
        <v>100</v>
      </c>
      <c r="Q1033">
        <v>341.053</v>
      </c>
      <c r="S1033" s="18">
        <v>40451</v>
      </c>
      <c r="T1033" s="18">
        <v>40689</v>
      </c>
    </row>
    <row r="1034" spans="1:20" x14ac:dyDescent="0.25">
      <c r="A1034" t="s">
        <v>33</v>
      </c>
      <c r="B1034" t="s">
        <v>197</v>
      </c>
      <c r="C1034">
        <v>2012</v>
      </c>
      <c r="D1034" t="s">
        <v>557</v>
      </c>
      <c r="E1034" t="s">
        <v>130</v>
      </c>
      <c r="F1034" t="s">
        <v>40</v>
      </c>
      <c r="G1034" t="s">
        <v>347</v>
      </c>
      <c r="H1034" t="s">
        <v>12</v>
      </c>
      <c r="I1034" t="s">
        <v>26</v>
      </c>
      <c r="J1034">
        <v>93560</v>
      </c>
      <c r="K1034">
        <v>34.832121999999998</v>
      </c>
      <c r="L1034">
        <v>-118.479567</v>
      </c>
      <c r="M1034" t="s">
        <v>556</v>
      </c>
      <c r="N1034">
        <v>15</v>
      </c>
      <c r="O1034" t="s">
        <v>36</v>
      </c>
      <c r="P1034">
        <v>100</v>
      </c>
      <c r="Q1034">
        <v>298.14</v>
      </c>
      <c r="S1034" s="18">
        <v>41677</v>
      </c>
      <c r="T1034" s="18">
        <v>41928</v>
      </c>
    </row>
    <row r="1035" spans="1:20" hidden="1" x14ac:dyDescent="0.25">
      <c r="A1035" t="s">
        <v>33</v>
      </c>
      <c r="B1035" t="s">
        <v>197</v>
      </c>
      <c r="C1035">
        <v>2012</v>
      </c>
      <c r="D1035" t="s">
        <v>555</v>
      </c>
      <c r="E1035" t="s">
        <v>130</v>
      </c>
      <c r="F1035" t="s">
        <v>40</v>
      </c>
      <c r="G1035" t="s">
        <v>554</v>
      </c>
      <c r="H1035" t="s">
        <v>553</v>
      </c>
      <c r="I1035" t="s">
        <v>26</v>
      </c>
      <c r="J1035">
        <v>93461</v>
      </c>
      <c r="K1035">
        <v>35.874248999999999</v>
      </c>
      <c r="L1035">
        <v>-120.333445</v>
      </c>
      <c r="M1035" t="s">
        <v>552</v>
      </c>
      <c r="N1035">
        <v>15</v>
      </c>
      <c r="O1035" t="s">
        <v>36</v>
      </c>
      <c r="P1035">
        <v>150</v>
      </c>
      <c r="Q1035">
        <v>380.71</v>
      </c>
      <c r="S1035" s="18">
        <v>41695</v>
      </c>
      <c r="T1035" s="18">
        <v>41928</v>
      </c>
    </row>
    <row r="1036" spans="1:20" x14ac:dyDescent="0.25">
      <c r="A1036" t="s">
        <v>33</v>
      </c>
      <c r="B1036" t="s">
        <v>197</v>
      </c>
      <c r="C1036">
        <v>2011</v>
      </c>
      <c r="D1036" t="s">
        <v>551</v>
      </c>
      <c r="E1036" t="s">
        <v>130</v>
      </c>
      <c r="F1036" t="s">
        <v>40</v>
      </c>
      <c r="G1036" t="s">
        <v>203</v>
      </c>
      <c r="H1036" t="s">
        <v>12</v>
      </c>
      <c r="I1036" t="s">
        <v>26</v>
      </c>
      <c r="J1036">
        <v>93249</v>
      </c>
      <c r="K1036">
        <v>35.619999999999997</v>
      </c>
      <c r="L1036">
        <v>-119.85</v>
      </c>
      <c r="M1036" t="s">
        <v>550</v>
      </c>
      <c r="N1036">
        <v>25</v>
      </c>
      <c r="O1036" t="s">
        <v>36</v>
      </c>
      <c r="P1036">
        <v>12</v>
      </c>
      <c r="Q1036">
        <v>28</v>
      </c>
      <c r="S1036" s="18">
        <v>41162</v>
      </c>
      <c r="T1036" s="18">
        <v>41675</v>
      </c>
    </row>
    <row r="1037" spans="1:20" hidden="1" x14ac:dyDescent="0.25">
      <c r="A1037" t="s">
        <v>33</v>
      </c>
      <c r="B1037" t="s">
        <v>206</v>
      </c>
      <c r="C1037">
        <v>2011</v>
      </c>
      <c r="D1037" t="s">
        <v>549</v>
      </c>
      <c r="E1037" t="s">
        <v>130</v>
      </c>
      <c r="F1037" t="s">
        <v>40</v>
      </c>
      <c r="G1037" t="s">
        <v>546</v>
      </c>
      <c r="H1037" t="s">
        <v>259</v>
      </c>
      <c r="I1037" t="s">
        <v>26</v>
      </c>
      <c r="J1037">
        <v>93536</v>
      </c>
      <c r="K1037">
        <v>34.689230000000002</v>
      </c>
      <c r="L1037">
        <v>-118.3287</v>
      </c>
      <c r="M1037" t="s">
        <v>548</v>
      </c>
      <c r="N1037">
        <v>20</v>
      </c>
      <c r="O1037" t="s">
        <v>36</v>
      </c>
      <c r="P1037">
        <v>20</v>
      </c>
      <c r="Q1037">
        <v>53</v>
      </c>
      <c r="R1037" t="s">
        <v>544</v>
      </c>
      <c r="S1037" s="18">
        <v>40998</v>
      </c>
      <c r="T1037" s="18">
        <v>41031</v>
      </c>
    </row>
    <row r="1038" spans="1:20" hidden="1" x14ac:dyDescent="0.25">
      <c r="A1038" t="s">
        <v>33</v>
      </c>
      <c r="B1038" t="s">
        <v>206</v>
      </c>
      <c r="C1038">
        <v>2011</v>
      </c>
      <c r="D1038" t="s">
        <v>547</v>
      </c>
      <c r="E1038" t="s">
        <v>130</v>
      </c>
      <c r="F1038" t="s">
        <v>40</v>
      </c>
      <c r="G1038" t="s">
        <v>546</v>
      </c>
      <c r="H1038" t="s">
        <v>259</v>
      </c>
      <c r="I1038" t="s">
        <v>26</v>
      </c>
      <c r="J1038">
        <v>93536</v>
      </c>
      <c r="K1038">
        <v>34.681612999999999</v>
      </c>
      <c r="L1038">
        <v>-118.32476200000001</v>
      </c>
      <c r="M1038" t="s">
        <v>545</v>
      </c>
      <c r="N1038">
        <v>20</v>
      </c>
      <c r="O1038" t="s">
        <v>36</v>
      </c>
      <c r="P1038">
        <v>20</v>
      </c>
      <c r="Q1038">
        <v>47.73</v>
      </c>
      <c r="R1038" t="s">
        <v>544</v>
      </c>
      <c r="S1038" s="18">
        <v>40998</v>
      </c>
      <c r="T1038" s="18">
        <v>41031</v>
      </c>
    </row>
    <row r="1039" spans="1:20" hidden="1" x14ac:dyDescent="0.25">
      <c r="A1039" t="s">
        <v>33</v>
      </c>
      <c r="B1039" t="s">
        <v>540</v>
      </c>
      <c r="C1039">
        <v>2012</v>
      </c>
      <c r="D1039" t="s">
        <v>543</v>
      </c>
      <c r="E1039" t="s">
        <v>130</v>
      </c>
      <c r="F1039" t="s">
        <v>40</v>
      </c>
      <c r="G1039" t="s">
        <v>542</v>
      </c>
      <c r="H1039" t="s">
        <v>533</v>
      </c>
      <c r="I1039" t="s">
        <v>26</v>
      </c>
      <c r="J1039">
        <v>93245</v>
      </c>
      <c r="K1039">
        <v>36.222313999999997</v>
      </c>
      <c r="L1039">
        <v>-119.909995</v>
      </c>
      <c r="M1039" t="s">
        <v>541</v>
      </c>
      <c r="N1039">
        <v>20</v>
      </c>
      <c r="O1039" t="s">
        <v>36</v>
      </c>
      <c r="P1039">
        <v>20</v>
      </c>
      <c r="Q1039">
        <v>48</v>
      </c>
      <c r="S1039" s="18">
        <v>41159</v>
      </c>
      <c r="T1039" s="18">
        <v>41190</v>
      </c>
    </row>
    <row r="1040" spans="1:20" x14ac:dyDescent="0.25">
      <c r="A1040" t="s">
        <v>33</v>
      </c>
      <c r="B1040" t="s">
        <v>540</v>
      </c>
      <c r="C1040">
        <v>2012</v>
      </c>
      <c r="D1040" t="s">
        <v>539</v>
      </c>
      <c r="E1040" t="s">
        <v>130</v>
      </c>
      <c r="F1040" t="s">
        <v>40</v>
      </c>
      <c r="G1040" t="s">
        <v>498</v>
      </c>
      <c r="H1040" t="s">
        <v>12</v>
      </c>
      <c r="I1040" t="s">
        <v>26</v>
      </c>
      <c r="J1040">
        <v>93268</v>
      </c>
      <c r="K1040">
        <v>35.119999999999997</v>
      </c>
      <c r="L1040">
        <v>-119.248</v>
      </c>
      <c r="M1040" t="s">
        <v>538</v>
      </c>
      <c r="N1040">
        <v>20</v>
      </c>
      <c r="O1040" t="s">
        <v>36</v>
      </c>
      <c r="P1040">
        <v>20</v>
      </c>
      <c r="Q1040">
        <v>47</v>
      </c>
      <c r="S1040" s="18">
        <v>41159</v>
      </c>
      <c r="T1040" s="18">
        <v>41190</v>
      </c>
    </row>
    <row r="1041" spans="1:20" hidden="1" x14ac:dyDescent="0.25">
      <c r="A1041" t="s">
        <v>33</v>
      </c>
      <c r="B1041" t="s">
        <v>206</v>
      </c>
      <c r="C1041">
        <v>2012</v>
      </c>
      <c r="D1041" t="s">
        <v>536</v>
      </c>
      <c r="E1041" t="s">
        <v>130</v>
      </c>
      <c r="F1041" t="s">
        <v>40</v>
      </c>
      <c r="G1041" t="s">
        <v>537</v>
      </c>
      <c r="H1041" t="s">
        <v>133</v>
      </c>
      <c r="I1041" t="s">
        <v>26</v>
      </c>
      <c r="J1041">
        <v>92368</v>
      </c>
      <c r="K1041">
        <v>34.688490000000002</v>
      </c>
      <c r="L1041">
        <v>-117.344138</v>
      </c>
      <c r="M1041" t="s">
        <v>536</v>
      </c>
      <c r="N1041">
        <v>20</v>
      </c>
      <c r="O1041" t="s">
        <v>36</v>
      </c>
      <c r="P1041">
        <v>20</v>
      </c>
      <c r="Q1041">
        <v>49.76</v>
      </c>
      <c r="R1041" t="s">
        <v>370</v>
      </c>
      <c r="S1041" s="18">
        <v>41180</v>
      </c>
      <c r="T1041" s="18">
        <v>41222</v>
      </c>
    </row>
    <row r="1042" spans="1:20" hidden="1" x14ac:dyDescent="0.25">
      <c r="A1042" t="s">
        <v>33</v>
      </c>
      <c r="B1042" t="s">
        <v>206</v>
      </c>
      <c r="C1042">
        <v>2012</v>
      </c>
      <c r="D1042" t="s">
        <v>535</v>
      </c>
      <c r="E1042" t="s">
        <v>130</v>
      </c>
      <c r="F1042" t="s">
        <v>40</v>
      </c>
      <c r="G1042" t="s">
        <v>534</v>
      </c>
      <c r="H1042" t="s">
        <v>533</v>
      </c>
      <c r="I1042" t="s">
        <v>26</v>
      </c>
      <c r="J1042">
        <v>93212</v>
      </c>
      <c r="K1042">
        <v>36.12968</v>
      </c>
      <c r="L1042">
        <v>-119.53977</v>
      </c>
      <c r="M1042" t="s">
        <v>532</v>
      </c>
      <c r="N1042">
        <v>20</v>
      </c>
      <c r="O1042" t="s">
        <v>36</v>
      </c>
      <c r="P1042">
        <v>19.760000000000002</v>
      </c>
      <c r="Q1042">
        <v>49.7</v>
      </c>
      <c r="R1042" t="s">
        <v>370</v>
      </c>
      <c r="S1042" s="18">
        <v>41180</v>
      </c>
      <c r="T1042" s="18">
        <v>41222</v>
      </c>
    </row>
    <row r="1043" spans="1:20" hidden="1" x14ac:dyDescent="0.25">
      <c r="A1043" t="s">
        <v>33</v>
      </c>
      <c r="B1043" t="s">
        <v>206</v>
      </c>
      <c r="C1043">
        <v>2012</v>
      </c>
      <c r="D1043" t="s">
        <v>531</v>
      </c>
      <c r="E1043" t="s">
        <v>130</v>
      </c>
      <c r="F1043" t="s">
        <v>40</v>
      </c>
      <c r="G1043" t="s">
        <v>530</v>
      </c>
      <c r="H1043" t="s">
        <v>466</v>
      </c>
      <c r="I1043" t="s">
        <v>26</v>
      </c>
      <c r="J1043">
        <v>94565</v>
      </c>
      <c r="K1043">
        <v>38.019452999999999</v>
      </c>
      <c r="L1043">
        <v>-121.86412199999999</v>
      </c>
      <c r="M1043" t="s">
        <v>529</v>
      </c>
      <c r="N1043">
        <v>20</v>
      </c>
      <c r="O1043" t="s">
        <v>36</v>
      </c>
      <c r="P1043">
        <v>19</v>
      </c>
      <c r="Q1043">
        <v>40.6</v>
      </c>
      <c r="R1043" t="s">
        <v>370</v>
      </c>
      <c r="S1043" s="18">
        <v>41180</v>
      </c>
      <c r="T1043" s="18">
        <v>41222</v>
      </c>
    </row>
    <row r="1044" spans="1:20" x14ac:dyDescent="0.25">
      <c r="A1044" t="s">
        <v>33</v>
      </c>
      <c r="B1044" t="s">
        <v>206</v>
      </c>
      <c r="C1044">
        <v>2012</v>
      </c>
      <c r="D1044" t="s">
        <v>528</v>
      </c>
      <c r="E1044" t="s">
        <v>130</v>
      </c>
      <c r="F1044" t="s">
        <v>40</v>
      </c>
      <c r="G1044" t="s">
        <v>527</v>
      </c>
      <c r="H1044" t="s">
        <v>12</v>
      </c>
      <c r="I1044" t="s">
        <v>26</v>
      </c>
      <c r="J1044">
        <v>93314</v>
      </c>
      <c r="K1044">
        <v>35.448</v>
      </c>
      <c r="L1044">
        <v>-119.127</v>
      </c>
      <c r="M1044" t="s">
        <v>526</v>
      </c>
      <c r="N1044">
        <v>20</v>
      </c>
      <c r="O1044" t="s">
        <v>36</v>
      </c>
      <c r="P1044">
        <v>19.98</v>
      </c>
      <c r="Q1044">
        <v>52.57</v>
      </c>
      <c r="R1044" t="s">
        <v>334</v>
      </c>
      <c r="S1044" s="18">
        <v>41394</v>
      </c>
      <c r="T1044" s="18">
        <v>41423</v>
      </c>
    </row>
    <row r="1045" spans="1:20" x14ac:dyDescent="0.25">
      <c r="A1045" t="s">
        <v>33</v>
      </c>
      <c r="B1045" t="s">
        <v>206</v>
      </c>
      <c r="C1045">
        <v>2012</v>
      </c>
      <c r="D1045" t="s">
        <v>525</v>
      </c>
      <c r="E1045" t="s">
        <v>130</v>
      </c>
      <c r="F1045" t="s">
        <v>40</v>
      </c>
      <c r="G1045" t="s">
        <v>203</v>
      </c>
      <c r="H1045" t="s">
        <v>12</v>
      </c>
      <c r="I1045" t="s">
        <v>26</v>
      </c>
      <c r="J1045">
        <v>93249</v>
      </c>
      <c r="K1045">
        <v>35.727164000000002</v>
      </c>
      <c r="L1045">
        <v>-119.89894700000001</v>
      </c>
      <c r="M1045" t="s">
        <v>524</v>
      </c>
      <c r="N1045">
        <v>20</v>
      </c>
      <c r="O1045" t="s">
        <v>36</v>
      </c>
      <c r="P1045">
        <v>15</v>
      </c>
      <c r="Q1045">
        <v>32.630000000000003</v>
      </c>
      <c r="R1045" t="s">
        <v>334</v>
      </c>
      <c r="S1045" s="18">
        <v>41394</v>
      </c>
      <c r="T1045" s="18">
        <v>41423</v>
      </c>
    </row>
    <row r="1046" spans="1:20" x14ac:dyDescent="0.25">
      <c r="A1046" t="s">
        <v>33</v>
      </c>
      <c r="B1046" t="s">
        <v>206</v>
      </c>
      <c r="C1046">
        <v>2012</v>
      </c>
      <c r="D1046" t="s">
        <v>523</v>
      </c>
      <c r="E1046" t="s">
        <v>130</v>
      </c>
      <c r="F1046" t="s">
        <v>40</v>
      </c>
      <c r="G1046" t="s">
        <v>173</v>
      </c>
      <c r="H1046" t="s">
        <v>12</v>
      </c>
      <c r="I1046" t="s">
        <v>26</v>
      </c>
      <c r="J1046">
        <v>93313</v>
      </c>
      <c r="K1046">
        <v>35.220585</v>
      </c>
      <c r="L1046">
        <v>-119.084259</v>
      </c>
      <c r="M1046" t="s">
        <v>522</v>
      </c>
      <c r="N1046">
        <v>20</v>
      </c>
      <c r="O1046" t="s">
        <v>36</v>
      </c>
      <c r="P1046">
        <v>20</v>
      </c>
      <c r="Q1046">
        <v>51.88</v>
      </c>
      <c r="R1046" t="s">
        <v>334</v>
      </c>
      <c r="S1046" s="18">
        <v>41394</v>
      </c>
      <c r="T1046" s="18">
        <v>41423</v>
      </c>
    </row>
    <row r="1047" spans="1:20" hidden="1" x14ac:dyDescent="0.25">
      <c r="A1047" t="s">
        <v>33</v>
      </c>
      <c r="B1047" t="s">
        <v>232</v>
      </c>
      <c r="C1047">
        <v>2012</v>
      </c>
      <c r="D1047" t="s">
        <v>521</v>
      </c>
      <c r="E1047" t="s">
        <v>130</v>
      </c>
      <c r="F1047" t="s">
        <v>40</v>
      </c>
      <c r="G1047" t="s">
        <v>519</v>
      </c>
      <c r="H1047" t="s">
        <v>518</v>
      </c>
      <c r="I1047" t="s">
        <v>26</v>
      </c>
      <c r="J1047">
        <v>95618</v>
      </c>
      <c r="K1047">
        <v>38.502135000000003</v>
      </c>
      <c r="L1047">
        <v>-121.695517</v>
      </c>
      <c r="M1047" t="s">
        <v>517</v>
      </c>
      <c r="N1047">
        <v>20</v>
      </c>
      <c r="O1047" t="s">
        <v>36</v>
      </c>
      <c r="P1047">
        <v>1</v>
      </c>
      <c r="Q1047">
        <v>1.4</v>
      </c>
    </row>
    <row r="1048" spans="1:20" hidden="1" x14ac:dyDescent="0.25">
      <c r="A1048" t="s">
        <v>33</v>
      </c>
      <c r="B1048" t="s">
        <v>232</v>
      </c>
      <c r="C1048">
        <v>2012</v>
      </c>
      <c r="D1048" t="s">
        <v>520</v>
      </c>
      <c r="E1048" t="s">
        <v>130</v>
      </c>
      <c r="F1048" t="s">
        <v>40</v>
      </c>
      <c r="G1048" t="s">
        <v>519</v>
      </c>
      <c r="H1048" t="s">
        <v>518</v>
      </c>
      <c r="I1048" t="s">
        <v>26</v>
      </c>
      <c r="J1048">
        <v>95618</v>
      </c>
      <c r="K1048">
        <v>38.502135000000003</v>
      </c>
      <c r="L1048">
        <v>-121.695517</v>
      </c>
      <c r="M1048" t="s">
        <v>517</v>
      </c>
      <c r="N1048">
        <v>20</v>
      </c>
      <c r="O1048" t="s">
        <v>36</v>
      </c>
      <c r="P1048">
        <v>1</v>
      </c>
      <c r="Q1048">
        <v>1.4</v>
      </c>
    </row>
    <row r="1049" spans="1:20" hidden="1" x14ac:dyDescent="0.25">
      <c r="A1049" t="s">
        <v>33</v>
      </c>
      <c r="B1049" t="s">
        <v>232</v>
      </c>
      <c r="C1049">
        <v>2012</v>
      </c>
      <c r="D1049" t="s">
        <v>516</v>
      </c>
      <c r="E1049" t="s">
        <v>130</v>
      </c>
      <c r="F1049" t="s">
        <v>40</v>
      </c>
      <c r="G1049" t="s">
        <v>515</v>
      </c>
      <c r="H1049" t="s">
        <v>514</v>
      </c>
      <c r="I1049" t="s">
        <v>26</v>
      </c>
      <c r="J1049">
        <v>95023</v>
      </c>
      <c r="K1049">
        <v>36.858420000000002</v>
      </c>
      <c r="L1049">
        <v>-121.43485</v>
      </c>
      <c r="M1049" t="s">
        <v>513</v>
      </c>
      <c r="N1049">
        <v>20</v>
      </c>
      <c r="O1049" t="s">
        <v>36</v>
      </c>
      <c r="P1049">
        <v>1.5</v>
      </c>
      <c r="Q1049">
        <v>2.1</v>
      </c>
    </row>
    <row r="1050" spans="1:20" hidden="1" x14ac:dyDescent="0.25">
      <c r="A1050" t="s">
        <v>33</v>
      </c>
      <c r="B1050" t="s">
        <v>232</v>
      </c>
      <c r="C1050">
        <v>2012</v>
      </c>
      <c r="D1050" t="s">
        <v>512</v>
      </c>
      <c r="E1050" t="s">
        <v>130</v>
      </c>
      <c r="F1050" t="s">
        <v>40</v>
      </c>
      <c r="G1050" t="s">
        <v>153</v>
      </c>
      <c r="H1050" t="s">
        <v>153</v>
      </c>
      <c r="I1050" t="s">
        <v>26</v>
      </c>
      <c r="J1050">
        <v>95341</v>
      </c>
      <c r="K1050">
        <v>37.265942000000003</v>
      </c>
      <c r="L1050">
        <v>-120.48790099999999</v>
      </c>
      <c r="M1050" t="s">
        <v>511</v>
      </c>
      <c r="N1050">
        <v>20</v>
      </c>
      <c r="O1050" t="s">
        <v>36</v>
      </c>
      <c r="P1050">
        <v>1.5</v>
      </c>
      <c r="Q1050">
        <v>2.1</v>
      </c>
    </row>
    <row r="1051" spans="1:20" hidden="1" x14ac:dyDescent="0.25">
      <c r="A1051" t="s">
        <v>33</v>
      </c>
      <c r="B1051" t="s">
        <v>232</v>
      </c>
      <c r="C1051">
        <v>2013</v>
      </c>
      <c r="D1051" t="s">
        <v>510</v>
      </c>
      <c r="E1051" t="s">
        <v>130</v>
      </c>
      <c r="F1051" t="s">
        <v>40</v>
      </c>
      <c r="G1051" t="s">
        <v>153</v>
      </c>
      <c r="H1051" t="s">
        <v>153</v>
      </c>
      <c r="I1051" t="s">
        <v>26</v>
      </c>
      <c r="J1051">
        <v>95341</v>
      </c>
      <c r="K1051">
        <v>37.266010000000001</v>
      </c>
      <c r="L1051">
        <v>-120.48766500000001</v>
      </c>
      <c r="M1051" t="s">
        <v>509</v>
      </c>
      <c r="N1051">
        <v>20</v>
      </c>
      <c r="O1051" t="s">
        <v>36</v>
      </c>
      <c r="P1051">
        <v>1.5</v>
      </c>
      <c r="Q1051">
        <v>2.1</v>
      </c>
    </row>
    <row r="1052" spans="1:20" hidden="1" x14ac:dyDescent="0.25">
      <c r="A1052" t="s">
        <v>33</v>
      </c>
      <c r="B1052" t="s">
        <v>232</v>
      </c>
      <c r="C1052">
        <v>2013</v>
      </c>
      <c r="D1052" t="s">
        <v>508</v>
      </c>
      <c r="E1052" t="s">
        <v>130</v>
      </c>
      <c r="F1052" t="s">
        <v>40</v>
      </c>
      <c r="G1052" t="s">
        <v>507</v>
      </c>
      <c r="H1052" t="s">
        <v>181</v>
      </c>
      <c r="I1052" t="s">
        <v>26</v>
      </c>
      <c r="J1052">
        <v>93646</v>
      </c>
      <c r="K1052">
        <v>36.624400000000001</v>
      </c>
      <c r="L1052">
        <v>-119.30329999999999</v>
      </c>
      <c r="M1052" t="s">
        <v>506</v>
      </c>
      <c r="N1052">
        <v>20</v>
      </c>
      <c r="O1052" t="s">
        <v>36</v>
      </c>
      <c r="P1052">
        <v>0.75</v>
      </c>
      <c r="Q1052">
        <v>1.1000000000000001</v>
      </c>
    </row>
    <row r="1053" spans="1:20" hidden="1" x14ac:dyDescent="0.25">
      <c r="A1053" t="s">
        <v>33</v>
      </c>
      <c r="B1053" t="s">
        <v>232</v>
      </c>
      <c r="C1053">
        <v>2013</v>
      </c>
      <c r="D1053" t="s">
        <v>505</v>
      </c>
      <c r="E1053" t="s">
        <v>130</v>
      </c>
      <c r="F1053" t="s">
        <v>40</v>
      </c>
      <c r="G1053" t="s">
        <v>35</v>
      </c>
      <c r="H1053" t="s">
        <v>146</v>
      </c>
      <c r="I1053" t="s">
        <v>26</v>
      </c>
      <c r="J1053">
        <v>93660</v>
      </c>
      <c r="K1053">
        <v>36.617699999999999</v>
      </c>
      <c r="L1053">
        <v>-120.099</v>
      </c>
      <c r="M1053" t="s">
        <v>503</v>
      </c>
      <c r="N1053">
        <v>20</v>
      </c>
      <c r="O1053" t="s">
        <v>36</v>
      </c>
      <c r="P1053">
        <v>1.5</v>
      </c>
      <c r="Q1053">
        <v>2.1</v>
      </c>
    </row>
    <row r="1054" spans="1:20" hidden="1" x14ac:dyDescent="0.25">
      <c r="A1054" t="s">
        <v>33</v>
      </c>
      <c r="B1054" t="s">
        <v>232</v>
      </c>
      <c r="C1054">
        <v>2013</v>
      </c>
      <c r="D1054" t="s">
        <v>504</v>
      </c>
      <c r="E1054" t="s">
        <v>130</v>
      </c>
      <c r="F1054" t="s">
        <v>40</v>
      </c>
      <c r="G1054" t="s">
        <v>35</v>
      </c>
      <c r="H1054" t="s">
        <v>146</v>
      </c>
      <c r="I1054" t="s">
        <v>26</v>
      </c>
      <c r="J1054">
        <v>93660</v>
      </c>
      <c r="K1054">
        <v>36.617699999999999</v>
      </c>
      <c r="L1054">
        <v>-120.099</v>
      </c>
      <c r="M1054" t="s">
        <v>503</v>
      </c>
      <c r="N1054">
        <v>20</v>
      </c>
      <c r="O1054" t="s">
        <v>36</v>
      </c>
      <c r="P1054">
        <v>1.5</v>
      </c>
      <c r="Q1054">
        <v>2.1</v>
      </c>
    </row>
    <row r="1055" spans="1:20" hidden="1" x14ac:dyDescent="0.25">
      <c r="A1055" t="s">
        <v>33</v>
      </c>
      <c r="B1055" t="s">
        <v>232</v>
      </c>
      <c r="C1055">
        <v>2013</v>
      </c>
      <c r="D1055" t="s">
        <v>502</v>
      </c>
      <c r="E1055" t="s">
        <v>130</v>
      </c>
      <c r="F1055" t="s">
        <v>40</v>
      </c>
      <c r="G1055" t="s">
        <v>501</v>
      </c>
      <c r="H1055" t="s">
        <v>153</v>
      </c>
      <c r="I1055" t="s">
        <v>26</v>
      </c>
      <c r="J1055">
        <v>95333</v>
      </c>
      <c r="K1055">
        <v>37.274585000000002</v>
      </c>
      <c r="L1055">
        <v>-120.30545600000001</v>
      </c>
      <c r="M1055" t="s">
        <v>500</v>
      </c>
      <c r="N1055">
        <v>20</v>
      </c>
      <c r="O1055" t="s">
        <v>36</v>
      </c>
      <c r="P1055">
        <v>0.999</v>
      </c>
      <c r="Q1055">
        <v>1.3986000000000001</v>
      </c>
    </row>
    <row r="1056" spans="1:20" x14ac:dyDescent="0.25">
      <c r="A1056" t="s">
        <v>33</v>
      </c>
      <c r="B1056" t="s">
        <v>232</v>
      </c>
      <c r="C1056">
        <v>2013</v>
      </c>
      <c r="D1056" t="s">
        <v>499</v>
      </c>
      <c r="E1056" t="s">
        <v>130</v>
      </c>
      <c r="F1056" t="s">
        <v>40</v>
      </c>
      <c r="G1056" t="s">
        <v>498</v>
      </c>
      <c r="H1056" t="s">
        <v>12</v>
      </c>
      <c r="I1056" t="s">
        <v>26</v>
      </c>
      <c r="J1056">
        <v>93268</v>
      </c>
      <c r="K1056">
        <v>35.211044000000001</v>
      </c>
      <c r="L1056">
        <v>-119.387258</v>
      </c>
      <c r="M1056" t="s">
        <v>497</v>
      </c>
      <c r="N1056">
        <v>20</v>
      </c>
      <c r="O1056" t="s">
        <v>36</v>
      </c>
      <c r="P1056">
        <v>1.5</v>
      </c>
      <c r="Q1056">
        <v>2.1</v>
      </c>
    </row>
    <row r="1057" spans="1:20" hidden="1" x14ac:dyDescent="0.25">
      <c r="A1057" t="s">
        <v>33</v>
      </c>
      <c r="B1057" t="s">
        <v>197</v>
      </c>
      <c r="C1057">
        <v>2007</v>
      </c>
      <c r="D1057" t="s">
        <v>496</v>
      </c>
      <c r="E1057" t="s">
        <v>105</v>
      </c>
      <c r="F1057" t="s">
        <v>40</v>
      </c>
      <c r="G1057" t="s">
        <v>495</v>
      </c>
      <c r="H1057" t="s">
        <v>88</v>
      </c>
      <c r="I1057" t="s">
        <v>26</v>
      </c>
      <c r="J1057">
        <v>92225</v>
      </c>
      <c r="K1057">
        <v>33.665399999999998</v>
      </c>
      <c r="L1057">
        <v>-114.9987</v>
      </c>
      <c r="M1057" t="s">
        <v>494</v>
      </c>
      <c r="N1057">
        <v>25</v>
      </c>
      <c r="O1057" t="s">
        <v>24</v>
      </c>
      <c r="P1057">
        <v>250</v>
      </c>
      <c r="Q1057">
        <v>524</v>
      </c>
      <c r="S1057" s="18">
        <v>40112</v>
      </c>
      <c r="T1057" s="18">
        <v>40407</v>
      </c>
    </row>
    <row r="1058" spans="1:20" hidden="1" x14ac:dyDescent="0.25">
      <c r="A1058" t="s">
        <v>33</v>
      </c>
      <c r="B1058" t="s">
        <v>201</v>
      </c>
      <c r="C1058">
        <v>2009</v>
      </c>
      <c r="D1058" t="s">
        <v>493</v>
      </c>
      <c r="E1058" t="s">
        <v>105</v>
      </c>
      <c r="F1058" t="s">
        <v>40</v>
      </c>
      <c r="G1058" t="s">
        <v>490</v>
      </c>
      <c r="H1058" t="s">
        <v>133</v>
      </c>
      <c r="I1058" t="s">
        <v>26</v>
      </c>
      <c r="J1058">
        <v>92364</v>
      </c>
      <c r="K1058">
        <v>35.563600000000001</v>
      </c>
      <c r="L1058">
        <v>-115.481111</v>
      </c>
      <c r="M1058" t="s">
        <v>492</v>
      </c>
      <c r="N1058">
        <v>25</v>
      </c>
      <c r="O1058" t="s">
        <v>24</v>
      </c>
      <c r="P1058">
        <v>114.46</v>
      </c>
      <c r="Q1058">
        <v>294.88</v>
      </c>
      <c r="S1058" s="18">
        <v>39946</v>
      </c>
      <c r="T1058" s="18">
        <v>40046</v>
      </c>
    </row>
    <row r="1059" spans="1:20" hidden="1" x14ac:dyDescent="0.25">
      <c r="A1059" t="s">
        <v>33</v>
      </c>
      <c r="B1059" t="s">
        <v>201</v>
      </c>
      <c r="C1059">
        <v>2009</v>
      </c>
      <c r="D1059" t="s">
        <v>491</v>
      </c>
      <c r="E1059" t="s">
        <v>105</v>
      </c>
      <c r="F1059" t="s">
        <v>40</v>
      </c>
      <c r="G1059" t="s">
        <v>490</v>
      </c>
      <c r="H1059" t="s">
        <v>133</v>
      </c>
      <c r="I1059" t="s">
        <v>26</v>
      </c>
      <c r="J1059">
        <v>92364</v>
      </c>
      <c r="K1059">
        <v>35.563600000000001</v>
      </c>
      <c r="L1059">
        <v>-115.481111</v>
      </c>
      <c r="M1059" t="s">
        <v>489</v>
      </c>
      <c r="N1059">
        <v>25</v>
      </c>
      <c r="O1059" t="s">
        <v>24</v>
      </c>
      <c r="P1059">
        <v>126.1</v>
      </c>
      <c r="Q1059">
        <v>325.53199999999998</v>
      </c>
      <c r="S1059" s="18">
        <v>39946</v>
      </c>
      <c r="T1059" s="18">
        <v>40046</v>
      </c>
    </row>
    <row r="1060" spans="1:20" hidden="1" x14ac:dyDescent="0.25">
      <c r="A1060" t="s">
        <v>33</v>
      </c>
      <c r="B1060" t="s">
        <v>197</v>
      </c>
      <c r="C1060">
        <v>2007</v>
      </c>
      <c r="D1060" t="s">
        <v>488</v>
      </c>
      <c r="E1060" t="s">
        <v>105</v>
      </c>
      <c r="F1060" t="s">
        <v>40</v>
      </c>
      <c r="G1060" t="s">
        <v>134</v>
      </c>
      <c r="H1060" t="s">
        <v>133</v>
      </c>
      <c r="I1060" t="s">
        <v>26</v>
      </c>
      <c r="J1060">
        <v>92347</v>
      </c>
      <c r="K1060">
        <v>35.014330000000001</v>
      </c>
      <c r="L1060">
        <v>-117.330377</v>
      </c>
      <c r="M1060" t="s">
        <v>487</v>
      </c>
      <c r="N1060">
        <v>25</v>
      </c>
      <c r="O1060" t="s">
        <v>24</v>
      </c>
      <c r="P1060">
        <v>250</v>
      </c>
      <c r="Q1060">
        <v>617.23800000000006</v>
      </c>
      <c r="S1060" s="18">
        <v>40743</v>
      </c>
      <c r="T1060" s="18">
        <v>40857</v>
      </c>
    </row>
    <row r="1061" spans="1:20" hidden="1" x14ac:dyDescent="0.25">
      <c r="A1061" t="s">
        <v>33</v>
      </c>
      <c r="B1061" t="s">
        <v>206</v>
      </c>
      <c r="C1061">
        <v>2013</v>
      </c>
      <c r="D1061" t="s">
        <v>486</v>
      </c>
      <c r="E1061" t="s">
        <v>30</v>
      </c>
      <c r="F1061" t="s">
        <v>40</v>
      </c>
      <c r="G1061" t="s">
        <v>81</v>
      </c>
      <c r="H1061" t="s">
        <v>12</v>
      </c>
      <c r="I1061" t="s">
        <v>26</v>
      </c>
      <c r="J1061">
        <v>93501</v>
      </c>
      <c r="K1061">
        <v>35.067963890000001</v>
      </c>
      <c r="L1061">
        <v>-118.2390667</v>
      </c>
      <c r="M1061" t="s">
        <v>485</v>
      </c>
      <c r="N1061">
        <v>20</v>
      </c>
      <c r="O1061" t="s">
        <v>36</v>
      </c>
      <c r="P1061">
        <v>19.8</v>
      </c>
      <c r="Q1061">
        <v>68.930000000000007</v>
      </c>
      <c r="R1061" t="s">
        <v>484</v>
      </c>
      <c r="S1061" s="18">
        <v>41593</v>
      </c>
      <c r="T1061" s="18">
        <v>41667</v>
      </c>
    </row>
    <row r="1062" spans="1:20" hidden="1" x14ac:dyDescent="0.25">
      <c r="A1062" t="s">
        <v>33</v>
      </c>
      <c r="B1062" t="s">
        <v>197</v>
      </c>
      <c r="C1062">
        <v>2005</v>
      </c>
      <c r="D1062" t="s">
        <v>483</v>
      </c>
      <c r="E1062" t="s">
        <v>30</v>
      </c>
      <c r="F1062" t="s">
        <v>40</v>
      </c>
      <c r="G1062" t="s">
        <v>163</v>
      </c>
      <c r="H1062" t="s">
        <v>74</v>
      </c>
      <c r="I1062" t="s">
        <v>26</v>
      </c>
      <c r="J1062">
        <v>96013</v>
      </c>
      <c r="K1062">
        <v>40.869199999999999</v>
      </c>
      <c r="L1062">
        <v>-121.7594</v>
      </c>
      <c r="M1062" t="s">
        <v>482</v>
      </c>
      <c r="N1062">
        <v>15</v>
      </c>
      <c r="O1062" t="s">
        <v>24</v>
      </c>
      <c r="P1062">
        <v>103.2</v>
      </c>
      <c r="Q1062">
        <v>303</v>
      </c>
      <c r="S1062" s="18">
        <v>43028</v>
      </c>
      <c r="T1062" s="18">
        <v>43140</v>
      </c>
    </row>
    <row r="1063" spans="1:20" hidden="1" x14ac:dyDescent="0.25">
      <c r="A1063" t="s">
        <v>33</v>
      </c>
      <c r="B1063" t="s">
        <v>201</v>
      </c>
      <c r="C1063">
        <v>2006</v>
      </c>
      <c r="D1063" t="s">
        <v>481</v>
      </c>
      <c r="E1063" t="s">
        <v>30</v>
      </c>
      <c r="F1063" t="s">
        <v>40</v>
      </c>
      <c r="G1063" t="s">
        <v>480</v>
      </c>
      <c r="H1063" t="s">
        <v>94</v>
      </c>
      <c r="I1063" t="s">
        <v>26</v>
      </c>
      <c r="J1063">
        <v>94571</v>
      </c>
      <c r="K1063">
        <v>38.183900000000001</v>
      </c>
      <c r="L1063">
        <v>-121.863056</v>
      </c>
      <c r="M1063" t="s">
        <v>479</v>
      </c>
      <c r="N1063">
        <v>20</v>
      </c>
      <c r="O1063" t="s">
        <v>24</v>
      </c>
      <c r="P1063">
        <v>150</v>
      </c>
      <c r="Q1063">
        <v>509</v>
      </c>
      <c r="S1063" s="18">
        <v>43199</v>
      </c>
      <c r="T1063" s="18">
        <v>43357</v>
      </c>
    </row>
    <row r="1064" spans="1:20" hidden="1" x14ac:dyDescent="0.25">
      <c r="A1064" t="s">
        <v>33</v>
      </c>
      <c r="B1064" t="s">
        <v>201</v>
      </c>
      <c r="C1064">
        <v>2009</v>
      </c>
      <c r="D1064" t="s">
        <v>478</v>
      </c>
      <c r="E1064" t="s">
        <v>30</v>
      </c>
      <c r="F1064" t="s">
        <v>40</v>
      </c>
      <c r="G1064" t="s">
        <v>475</v>
      </c>
      <c r="H1064" t="s">
        <v>474</v>
      </c>
      <c r="I1064" t="s">
        <v>469</v>
      </c>
      <c r="J1064" t="s">
        <v>65</v>
      </c>
      <c r="K1064">
        <v>50.134999999999998</v>
      </c>
      <c r="L1064">
        <v>-112.89400000000001</v>
      </c>
      <c r="M1064" t="s">
        <v>477</v>
      </c>
      <c r="N1064">
        <v>20</v>
      </c>
      <c r="O1064" t="s">
        <v>24</v>
      </c>
      <c r="P1064">
        <v>150</v>
      </c>
      <c r="Q1064">
        <v>445</v>
      </c>
      <c r="S1064" s="18">
        <v>40231</v>
      </c>
      <c r="T1064" s="18">
        <v>40570</v>
      </c>
    </row>
    <row r="1065" spans="1:20" hidden="1" x14ac:dyDescent="0.25">
      <c r="A1065" t="s">
        <v>33</v>
      </c>
      <c r="B1065" t="s">
        <v>201</v>
      </c>
      <c r="C1065">
        <v>2009</v>
      </c>
      <c r="D1065" t="s">
        <v>476</v>
      </c>
      <c r="E1065" t="s">
        <v>30</v>
      </c>
      <c r="F1065" t="s">
        <v>40</v>
      </c>
      <c r="G1065" t="s">
        <v>475</v>
      </c>
      <c r="H1065" t="s">
        <v>474</v>
      </c>
      <c r="I1065" t="s">
        <v>469</v>
      </c>
      <c r="J1065" t="s">
        <v>65</v>
      </c>
      <c r="K1065">
        <v>50.134999999999998</v>
      </c>
      <c r="L1065">
        <v>-112.89400000000001</v>
      </c>
      <c r="M1065" t="s">
        <v>473</v>
      </c>
      <c r="N1065">
        <v>20</v>
      </c>
      <c r="O1065" t="s">
        <v>24</v>
      </c>
      <c r="P1065">
        <v>150</v>
      </c>
      <c r="Q1065">
        <v>445</v>
      </c>
      <c r="S1065" s="18">
        <v>40231</v>
      </c>
      <c r="T1065" s="18">
        <v>40570</v>
      </c>
    </row>
    <row r="1066" spans="1:20" hidden="1" x14ac:dyDescent="0.25">
      <c r="A1066" t="s">
        <v>33</v>
      </c>
      <c r="B1066" t="s">
        <v>201</v>
      </c>
      <c r="C1066">
        <v>2009</v>
      </c>
      <c r="D1066" t="s">
        <v>472</v>
      </c>
      <c r="E1066" t="s">
        <v>30</v>
      </c>
      <c r="F1066" t="s">
        <v>40</v>
      </c>
      <c r="G1066" t="s">
        <v>471</v>
      </c>
      <c r="H1066" t="s">
        <v>470</v>
      </c>
      <c r="I1066" t="s">
        <v>469</v>
      </c>
      <c r="J1066" t="s">
        <v>65</v>
      </c>
      <c r="K1066">
        <v>52.279499999999999</v>
      </c>
      <c r="L1066">
        <v>-112.0496</v>
      </c>
      <c r="M1066" t="s">
        <v>468</v>
      </c>
      <c r="N1066">
        <v>20</v>
      </c>
      <c r="O1066" t="s">
        <v>24</v>
      </c>
      <c r="P1066">
        <v>150</v>
      </c>
      <c r="Q1066">
        <v>485</v>
      </c>
      <c r="S1066" s="18">
        <v>40231</v>
      </c>
      <c r="T1066" s="18">
        <v>40570</v>
      </c>
    </row>
    <row r="1067" spans="1:20" hidden="1" x14ac:dyDescent="0.25">
      <c r="A1067" t="s">
        <v>33</v>
      </c>
      <c r="B1067" t="s">
        <v>201</v>
      </c>
      <c r="C1067">
        <v>2010</v>
      </c>
      <c r="D1067" t="s">
        <v>467</v>
      </c>
      <c r="E1067" t="s">
        <v>30</v>
      </c>
      <c r="F1067" t="s">
        <v>40</v>
      </c>
      <c r="G1067" t="s">
        <v>226</v>
      </c>
      <c r="H1067" t="s">
        <v>466</v>
      </c>
      <c r="I1067" t="s">
        <v>26</v>
      </c>
      <c r="J1067">
        <v>94551</v>
      </c>
      <c r="K1067">
        <v>37.791266999999998</v>
      </c>
      <c r="L1067">
        <v>-121.727817</v>
      </c>
      <c r="M1067" t="s">
        <v>465</v>
      </c>
      <c r="N1067">
        <v>25</v>
      </c>
      <c r="O1067" t="s">
        <v>36</v>
      </c>
      <c r="P1067">
        <v>78.2</v>
      </c>
      <c r="Q1067">
        <v>211</v>
      </c>
      <c r="S1067" s="18">
        <v>40632</v>
      </c>
      <c r="T1067" s="18">
        <v>40822</v>
      </c>
    </row>
    <row r="1068" spans="1:20" hidden="1" x14ac:dyDescent="0.25">
      <c r="A1068" t="s">
        <v>33</v>
      </c>
      <c r="B1068" t="s">
        <v>197</v>
      </c>
      <c r="C1068">
        <v>2009</v>
      </c>
      <c r="D1068" t="s">
        <v>464</v>
      </c>
      <c r="E1068" t="s">
        <v>30</v>
      </c>
      <c r="F1068" t="s">
        <v>40</v>
      </c>
      <c r="G1068" t="s">
        <v>149</v>
      </c>
      <c r="H1068" t="s">
        <v>12</v>
      </c>
      <c r="I1068" t="s">
        <v>26</v>
      </c>
      <c r="J1068">
        <v>93561</v>
      </c>
      <c r="K1068">
        <v>35.0625</v>
      </c>
      <c r="L1068">
        <v>-118.333</v>
      </c>
      <c r="M1068" t="s">
        <v>463</v>
      </c>
      <c r="N1068">
        <v>20</v>
      </c>
      <c r="O1068" t="s">
        <v>36</v>
      </c>
      <c r="P1068">
        <v>102</v>
      </c>
      <c r="Q1068">
        <v>285.94099999999997</v>
      </c>
      <c r="S1068" s="18">
        <v>40361</v>
      </c>
      <c r="T1068" s="18">
        <v>40479</v>
      </c>
    </row>
    <row r="1069" spans="1:20" hidden="1" x14ac:dyDescent="0.25">
      <c r="A1069" t="s">
        <v>33</v>
      </c>
      <c r="B1069" t="s">
        <v>197</v>
      </c>
      <c r="C1069">
        <v>2004</v>
      </c>
      <c r="D1069" t="s">
        <v>462</v>
      </c>
      <c r="E1069" t="s">
        <v>30</v>
      </c>
      <c r="F1069" t="s">
        <v>40</v>
      </c>
      <c r="G1069" t="s">
        <v>446</v>
      </c>
      <c r="H1069" t="s">
        <v>94</v>
      </c>
      <c r="I1069" t="s">
        <v>26</v>
      </c>
      <c r="J1069">
        <v>94512</v>
      </c>
      <c r="K1069">
        <v>38.148800000000001</v>
      </c>
      <c r="L1069">
        <v>-121.81319999999999</v>
      </c>
      <c r="M1069" t="s">
        <v>461</v>
      </c>
      <c r="N1069">
        <v>25</v>
      </c>
      <c r="O1069" t="s">
        <v>24</v>
      </c>
      <c r="P1069">
        <v>36.799999999999997</v>
      </c>
      <c r="Q1069">
        <v>129</v>
      </c>
      <c r="S1069" s="18">
        <v>40333</v>
      </c>
      <c r="T1069" s="18">
        <v>40424</v>
      </c>
    </row>
    <row r="1070" spans="1:20" hidden="1" x14ac:dyDescent="0.25">
      <c r="A1070" t="s">
        <v>33</v>
      </c>
      <c r="B1070" t="s">
        <v>197</v>
      </c>
      <c r="C1070">
        <v>2008</v>
      </c>
      <c r="D1070" t="s">
        <v>460</v>
      </c>
      <c r="E1070" t="s">
        <v>30</v>
      </c>
      <c r="F1070" t="s">
        <v>40</v>
      </c>
      <c r="G1070" t="s">
        <v>459</v>
      </c>
      <c r="H1070" t="s">
        <v>458</v>
      </c>
      <c r="I1070" t="s">
        <v>457</v>
      </c>
      <c r="J1070">
        <v>98926</v>
      </c>
      <c r="K1070">
        <v>46.956699999999998</v>
      </c>
      <c r="L1070">
        <v>-120.15689999999999</v>
      </c>
      <c r="M1070" t="s">
        <v>456</v>
      </c>
      <c r="N1070">
        <v>15</v>
      </c>
      <c r="O1070" t="s">
        <v>24</v>
      </c>
      <c r="P1070">
        <v>90</v>
      </c>
      <c r="Q1070">
        <v>277</v>
      </c>
      <c r="S1070" s="18">
        <v>40072</v>
      </c>
      <c r="T1070" s="18">
        <v>40295</v>
      </c>
    </row>
    <row r="1071" spans="1:20" hidden="1" x14ac:dyDescent="0.25">
      <c r="A1071" t="s">
        <v>33</v>
      </c>
      <c r="B1071" t="s">
        <v>197</v>
      </c>
      <c r="C1071">
        <v>2006</v>
      </c>
      <c r="D1071" t="s">
        <v>455</v>
      </c>
      <c r="E1071" t="s">
        <v>30</v>
      </c>
      <c r="F1071" t="s">
        <v>29</v>
      </c>
      <c r="G1071" t="s">
        <v>252</v>
      </c>
      <c r="H1071" t="s">
        <v>251</v>
      </c>
      <c r="I1071" t="s">
        <v>250</v>
      </c>
      <c r="J1071">
        <v>97812</v>
      </c>
      <c r="K1071">
        <v>45.677199999999999</v>
      </c>
      <c r="L1071">
        <v>-120.21083299999999</v>
      </c>
      <c r="M1071" t="s">
        <v>454</v>
      </c>
      <c r="N1071">
        <v>15</v>
      </c>
      <c r="O1071" t="s">
        <v>24</v>
      </c>
      <c r="P1071">
        <v>102.9</v>
      </c>
      <c r="Q1071">
        <v>240</v>
      </c>
      <c r="S1071" s="18">
        <v>39630</v>
      </c>
      <c r="T1071" s="18">
        <v>39777</v>
      </c>
    </row>
    <row r="1072" spans="1:20" hidden="1" x14ac:dyDescent="0.25">
      <c r="A1072" t="s">
        <v>33</v>
      </c>
      <c r="B1072" t="s">
        <v>201</v>
      </c>
      <c r="C1072">
        <v>2010</v>
      </c>
      <c r="D1072" t="s">
        <v>453</v>
      </c>
      <c r="E1072" t="s">
        <v>30</v>
      </c>
      <c r="F1072" t="s">
        <v>40</v>
      </c>
      <c r="G1072" t="s">
        <v>452</v>
      </c>
      <c r="H1072" t="s">
        <v>94</v>
      </c>
      <c r="I1072" t="s">
        <v>26</v>
      </c>
      <c r="J1072">
        <v>94585</v>
      </c>
      <c r="K1072">
        <v>38.137219999999999</v>
      </c>
      <c r="L1072">
        <v>-121.8325</v>
      </c>
      <c r="M1072" t="s">
        <v>451</v>
      </c>
      <c r="N1072">
        <v>25</v>
      </c>
      <c r="O1072" t="s">
        <v>36</v>
      </c>
      <c r="P1072">
        <v>78.2</v>
      </c>
      <c r="Q1072">
        <v>201</v>
      </c>
      <c r="S1072" s="18">
        <v>40690</v>
      </c>
      <c r="T1072" s="18">
        <v>40920</v>
      </c>
    </row>
    <row r="1073" spans="1:22" hidden="1" x14ac:dyDescent="0.25">
      <c r="A1073" t="s">
        <v>33</v>
      </c>
      <c r="B1073" t="s">
        <v>201</v>
      </c>
      <c r="C1073">
        <v>2010</v>
      </c>
      <c r="D1073" t="s">
        <v>450</v>
      </c>
      <c r="E1073" t="s">
        <v>30</v>
      </c>
      <c r="F1073" t="s">
        <v>40</v>
      </c>
      <c r="G1073" t="s">
        <v>449</v>
      </c>
      <c r="H1073" t="s">
        <v>12</v>
      </c>
      <c r="I1073" t="s">
        <v>26</v>
      </c>
      <c r="J1073">
        <v>93518</v>
      </c>
      <c r="K1073">
        <v>35.140189999999997</v>
      </c>
      <c r="L1073">
        <v>-118.29492</v>
      </c>
      <c r="M1073" t="s">
        <v>448</v>
      </c>
      <c r="N1073">
        <v>25</v>
      </c>
      <c r="O1073" t="s">
        <v>36</v>
      </c>
      <c r="P1073">
        <v>162</v>
      </c>
      <c r="Q1073">
        <v>493</v>
      </c>
      <c r="S1073" s="18">
        <v>40760</v>
      </c>
      <c r="T1073" s="18">
        <v>40945</v>
      </c>
    </row>
    <row r="1074" spans="1:22" hidden="1" x14ac:dyDescent="0.25">
      <c r="A1074" t="s">
        <v>33</v>
      </c>
      <c r="B1074" t="s">
        <v>201</v>
      </c>
      <c r="C1074">
        <v>2010</v>
      </c>
      <c r="D1074" t="s">
        <v>447</v>
      </c>
      <c r="E1074" t="s">
        <v>30</v>
      </c>
      <c r="F1074" t="s">
        <v>40</v>
      </c>
      <c r="G1074" t="s">
        <v>446</v>
      </c>
      <c r="H1074" t="s">
        <v>94</v>
      </c>
      <c r="I1074" t="s">
        <v>26</v>
      </c>
      <c r="J1074">
        <v>94512</v>
      </c>
      <c r="K1074">
        <v>38.132779999999997</v>
      </c>
      <c r="L1074">
        <v>-121.85101</v>
      </c>
      <c r="M1074" t="s">
        <v>445</v>
      </c>
      <c r="N1074">
        <v>25</v>
      </c>
      <c r="O1074" t="s">
        <v>36</v>
      </c>
      <c r="P1074">
        <v>100</v>
      </c>
      <c r="Q1074">
        <v>269</v>
      </c>
      <c r="S1074" s="18">
        <v>40773</v>
      </c>
      <c r="T1074" s="18">
        <v>40981</v>
      </c>
    </row>
    <row r="1075" spans="1:22" hidden="1" x14ac:dyDescent="0.25">
      <c r="A1075" t="s">
        <v>33</v>
      </c>
      <c r="B1075" t="s">
        <v>197</v>
      </c>
      <c r="C1075">
        <v>2012</v>
      </c>
      <c r="D1075" t="s">
        <v>227</v>
      </c>
      <c r="E1075" t="s">
        <v>30</v>
      </c>
      <c r="F1075" t="s">
        <v>40</v>
      </c>
      <c r="G1075" t="s">
        <v>226</v>
      </c>
      <c r="H1075" t="s">
        <v>27</v>
      </c>
      <c r="I1075" t="s">
        <v>26</v>
      </c>
      <c r="J1075">
        <v>94550</v>
      </c>
      <c r="K1075">
        <v>37.758889000000003</v>
      </c>
      <c r="L1075">
        <v>-121.621944</v>
      </c>
      <c r="M1075" t="s">
        <v>225</v>
      </c>
      <c r="N1075">
        <v>15</v>
      </c>
      <c r="O1075" t="s">
        <v>36</v>
      </c>
      <c r="P1075">
        <v>18</v>
      </c>
      <c r="Q1075">
        <v>62.02</v>
      </c>
      <c r="S1075" s="18">
        <v>41688</v>
      </c>
      <c r="T1075" s="18">
        <v>41802</v>
      </c>
    </row>
    <row r="1076" spans="1:22" hidden="1" x14ac:dyDescent="0.25">
      <c r="A1076" t="s">
        <v>33</v>
      </c>
      <c r="B1076" t="s">
        <v>111</v>
      </c>
      <c r="C1076">
        <v>2022</v>
      </c>
      <c r="D1076" t="s">
        <v>444</v>
      </c>
      <c r="E1076" t="s">
        <v>41</v>
      </c>
      <c r="F1076" t="s">
        <v>40</v>
      </c>
      <c r="G1076" t="s">
        <v>163</v>
      </c>
      <c r="H1076" t="s">
        <v>74</v>
      </c>
      <c r="I1076" t="s">
        <v>26</v>
      </c>
      <c r="J1076">
        <v>96013</v>
      </c>
      <c r="K1076">
        <v>40.878999999999998</v>
      </c>
      <c r="L1076">
        <v>-121.727</v>
      </c>
      <c r="M1076" t="s">
        <v>444</v>
      </c>
      <c r="N1076">
        <v>5</v>
      </c>
      <c r="O1076" t="s">
        <v>36</v>
      </c>
      <c r="Q1076">
        <v>198.066</v>
      </c>
      <c r="S1076" s="18">
        <v>44855</v>
      </c>
      <c r="T1076" s="18">
        <v>44896</v>
      </c>
    </row>
    <row r="1077" spans="1:22" hidden="1" x14ac:dyDescent="0.25">
      <c r="A1077" t="s">
        <v>33</v>
      </c>
      <c r="B1077" t="s">
        <v>111</v>
      </c>
      <c r="C1077">
        <v>2022</v>
      </c>
      <c r="D1077" t="s">
        <v>442</v>
      </c>
      <c r="E1077" t="s">
        <v>41</v>
      </c>
      <c r="F1077" t="s">
        <v>40</v>
      </c>
      <c r="G1077" t="s">
        <v>443</v>
      </c>
      <c r="H1077" t="s">
        <v>74</v>
      </c>
      <c r="I1077" t="s">
        <v>26</v>
      </c>
      <c r="J1077">
        <v>96007</v>
      </c>
      <c r="K1077">
        <v>40.428199999999997</v>
      </c>
      <c r="L1077">
        <v>-122.2754</v>
      </c>
      <c r="M1077" t="s">
        <v>442</v>
      </c>
      <c r="N1077">
        <v>5</v>
      </c>
      <c r="O1077" t="s">
        <v>36</v>
      </c>
      <c r="Q1077">
        <v>285.22000000000003</v>
      </c>
      <c r="S1077" s="18">
        <v>44855</v>
      </c>
      <c r="T1077" s="18">
        <v>44896</v>
      </c>
    </row>
    <row r="1078" spans="1:22" hidden="1" x14ac:dyDescent="0.25">
      <c r="A1078" t="s">
        <v>67</v>
      </c>
      <c r="B1078" t="s">
        <v>206</v>
      </c>
      <c r="C1078">
        <v>2013</v>
      </c>
      <c r="D1078" t="s">
        <v>441</v>
      </c>
      <c r="E1078" t="s">
        <v>30</v>
      </c>
      <c r="F1078" t="s">
        <v>40</v>
      </c>
      <c r="G1078" t="s">
        <v>81</v>
      </c>
      <c r="H1078" t="s">
        <v>12</v>
      </c>
      <c r="I1078" t="s">
        <v>26</v>
      </c>
      <c r="J1078">
        <v>93501</v>
      </c>
      <c r="K1078">
        <v>35.015300000000003</v>
      </c>
      <c r="L1078">
        <v>-118.211</v>
      </c>
      <c r="M1078" t="s">
        <v>440</v>
      </c>
      <c r="N1078">
        <v>10</v>
      </c>
      <c r="O1078" t="s">
        <v>36</v>
      </c>
      <c r="P1078">
        <v>3.5</v>
      </c>
      <c r="Q1078">
        <v>6.8</v>
      </c>
      <c r="R1078" t="s">
        <v>334</v>
      </c>
      <c r="S1078" s="18">
        <v>41411</v>
      </c>
      <c r="T1078" s="18">
        <v>41457</v>
      </c>
    </row>
    <row r="1079" spans="1:22" hidden="1" x14ac:dyDescent="0.25">
      <c r="A1079" t="s">
        <v>67</v>
      </c>
      <c r="B1079" t="s">
        <v>201</v>
      </c>
      <c r="C1079">
        <v>2011</v>
      </c>
      <c r="D1079" t="s">
        <v>439</v>
      </c>
      <c r="E1079" t="s">
        <v>130</v>
      </c>
      <c r="F1079" t="s">
        <v>40</v>
      </c>
      <c r="G1079" t="s">
        <v>252</v>
      </c>
      <c r="H1079" t="s">
        <v>382</v>
      </c>
      <c r="I1079" t="s">
        <v>438</v>
      </c>
      <c r="J1079">
        <v>85322</v>
      </c>
      <c r="K1079">
        <v>33.304000000000002</v>
      </c>
      <c r="L1079">
        <v>-112.822</v>
      </c>
      <c r="M1079" t="s">
        <v>437</v>
      </c>
      <c r="N1079">
        <v>25</v>
      </c>
      <c r="O1079" t="s">
        <v>36</v>
      </c>
      <c r="P1079">
        <v>127</v>
      </c>
      <c r="Q1079">
        <v>270</v>
      </c>
      <c r="S1079" s="18">
        <v>40750</v>
      </c>
      <c r="T1079" s="18">
        <v>40836</v>
      </c>
    </row>
    <row r="1080" spans="1:22" hidden="1" x14ac:dyDescent="0.25">
      <c r="A1080" t="s">
        <v>67</v>
      </c>
      <c r="B1080" t="s">
        <v>201</v>
      </c>
      <c r="C1080">
        <v>1985</v>
      </c>
      <c r="D1080" t="s">
        <v>436</v>
      </c>
      <c r="E1080" t="s">
        <v>339</v>
      </c>
      <c r="F1080" t="s">
        <v>40</v>
      </c>
      <c r="G1080" t="s">
        <v>435</v>
      </c>
      <c r="H1080" t="s">
        <v>129</v>
      </c>
      <c r="I1080" t="s">
        <v>26</v>
      </c>
      <c r="J1080">
        <v>92067</v>
      </c>
      <c r="K1080">
        <v>33.052</v>
      </c>
      <c r="L1080">
        <v>-117.17</v>
      </c>
      <c r="M1080" t="s">
        <v>434</v>
      </c>
      <c r="N1080">
        <v>7</v>
      </c>
      <c r="O1080" t="s">
        <v>36</v>
      </c>
      <c r="P1080">
        <v>0.6</v>
      </c>
      <c r="Q1080">
        <v>2.4</v>
      </c>
      <c r="S1080" s="18">
        <v>43766</v>
      </c>
      <c r="T1080" s="18">
        <v>43979</v>
      </c>
    </row>
    <row r="1081" spans="1:22" hidden="1" x14ac:dyDescent="0.25">
      <c r="A1081" t="s">
        <v>67</v>
      </c>
      <c r="B1081" t="s">
        <v>197</v>
      </c>
      <c r="C1081">
        <v>2018</v>
      </c>
      <c r="D1081" t="s">
        <v>433</v>
      </c>
      <c r="E1081" t="s">
        <v>130</v>
      </c>
      <c r="F1081" t="s">
        <v>40</v>
      </c>
      <c r="G1081" t="s">
        <v>142</v>
      </c>
      <c r="H1081" t="s">
        <v>305</v>
      </c>
      <c r="I1081" t="s">
        <v>26</v>
      </c>
      <c r="J1081">
        <v>92257</v>
      </c>
      <c r="K1081">
        <v>33.269426000000003</v>
      </c>
      <c r="L1081">
        <v>-115.502954</v>
      </c>
      <c r="M1081" t="s">
        <v>432</v>
      </c>
      <c r="N1081">
        <v>20</v>
      </c>
      <c r="O1081" t="s">
        <v>36</v>
      </c>
      <c r="P1081">
        <v>20</v>
      </c>
      <c r="Q1081">
        <v>58.7</v>
      </c>
      <c r="S1081" s="18">
        <v>43238</v>
      </c>
      <c r="T1081" s="18">
        <v>43262</v>
      </c>
      <c r="U1081" s="18">
        <v>43262</v>
      </c>
    </row>
    <row r="1082" spans="1:22" ht="30" hidden="1" x14ac:dyDescent="0.25">
      <c r="A1082" t="s">
        <v>67</v>
      </c>
      <c r="B1082" t="s">
        <v>197</v>
      </c>
      <c r="C1082">
        <v>2020</v>
      </c>
      <c r="D1082" s="15" t="s">
        <v>431</v>
      </c>
      <c r="E1082" t="s">
        <v>291</v>
      </c>
      <c r="F1082" t="s">
        <v>40</v>
      </c>
      <c r="G1082" t="s">
        <v>429</v>
      </c>
      <c r="H1082" t="s">
        <v>374</v>
      </c>
      <c r="I1082" t="s">
        <v>26</v>
      </c>
      <c r="J1082">
        <v>90720</v>
      </c>
      <c r="K1082" t="s">
        <v>428</v>
      </c>
      <c r="L1082" t="s">
        <v>427</v>
      </c>
      <c r="M1082" t="s">
        <v>426</v>
      </c>
      <c r="N1082">
        <v>10</v>
      </c>
      <c r="O1082" t="s">
        <v>36</v>
      </c>
      <c r="P1082">
        <v>5</v>
      </c>
      <c r="Q1082">
        <v>29.175000000000001</v>
      </c>
      <c r="S1082" s="18">
        <v>44195</v>
      </c>
      <c r="T1082" s="18">
        <v>44301</v>
      </c>
    </row>
    <row r="1083" spans="1:22" ht="30" hidden="1" x14ac:dyDescent="0.25">
      <c r="A1083" t="s">
        <v>67</v>
      </c>
      <c r="B1083" t="s">
        <v>197</v>
      </c>
      <c r="C1083">
        <v>2020</v>
      </c>
      <c r="D1083" s="15" t="s">
        <v>430</v>
      </c>
      <c r="E1083" t="s">
        <v>291</v>
      </c>
      <c r="F1083" t="s">
        <v>40</v>
      </c>
      <c r="G1083" t="s">
        <v>429</v>
      </c>
      <c r="H1083" t="s">
        <v>374</v>
      </c>
      <c r="I1083" t="s">
        <v>26</v>
      </c>
      <c r="J1083">
        <v>90720</v>
      </c>
      <c r="K1083" t="s">
        <v>428</v>
      </c>
      <c r="L1083" t="s">
        <v>427</v>
      </c>
      <c r="M1083" t="s">
        <v>426</v>
      </c>
      <c r="N1083">
        <v>10</v>
      </c>
      <c r="O1083" t="s">
        <v>36</v>
      </c>
      <c r="P1083">
        <v>5</v>
      </c>
      <c r="Q1083">
        <v>29.175000000000001</v>
      </c>
      <c r="S1083" s="18">
        <v>44195</v>
      </c>
      <c r="T1083" s="18">
        <v>44301</v>
      </c>
    </row>
    <row r="1084" spans="1:22" hidden="1" x14ac:dyDescent="0.25">
      <c r="A1084" t="s">
        <v>67</v>
      </c>
      <c r="B1084" t="s">
        <v>201</v>
      </c>
      <c r="C1084">
        <v>1994</v>
      </c>
      <c r="D1084" t="s">
        <v>425</v>
      </c>
      <c r="E1084" t="s">
        <v>339</v>
      </c>
      <c r="F1084" t="s">
        <v>40</v>
      </c>
      <c r="G1084" t="s">
        <v>424</v>
      </c>
      <c r="H1084" t="s">
        <v>129</v>
      </c>
      <c r="I1084" t="s">
        <v>26</v>
      </c>
      <c r="J1084">
        <v>92027</v>
      </c>
      <c r="K1084">
        <v>33.167999999999999</v>
      </c>
      <c r="L1084">
        <v>-117.017</v>
      </c>
      <c r="M1084" t="s">
        <v>423</v>
      </c>
      <c r="N1084">
        <v>999</v>
      </c>
      <c r="O1084" t="s">
        <v>24</v>
      </c>
      <c r="P1084">
        <v>1.5</v>
      </c>
      <c r="Q1084">
        <v>1.9710000000000001</v>
      </c>
    </row>
    <row r="1085" spans="1:22" hidden="1" x14ac:dyDescent="0.25">
      <c r="A1085" t="s">
        <v>67</v>
      </c>
      <c r="B1085" t="s">
        <v>201</v>
      </c>
      <c r="C1085">
        <v>2012</v>
      </c>
      <c r="D1085" t="s">
        <v>379</v>
      </c>
      <c r="E1085" t="s">
        <v>130</v>
      </c>
      <c r="F1085" t="s">
        <v>40</v>
      </c>
      <c r="G1085" t="s">
        <v>379</v>
      </c>
      <c r="H1085" t="s">
        <v>305</v>
      </c>
      <c r="I1085" t="s">
        <v>26</v>
      </c>
      <c r="J1085">
        <v>92227</v>
      </c>
      <c r="K1085">
        <v>33.083100000000002</v>
      </c>
      <c r="L1085">
        <v>-115.295</v>
      </c>
      <c r="M1085" t="s">
        <v>422</v>
      </c>
      <c r="N1085">
        <v>20</v>
      </c>
      <c r="O1085" t="s">
        <v>36</v>
      </c>
      <c r="P1085">
        <v>19.989999999999998</v>
      </c>
      <c r="Q1085">
        <v>48</v>
      </c>
      <c r="S1085" s="18">
        <v>41261</v>
      </c>
      <c r="T1085" s="18">
        <v>41452</v>
      </c>
    </row>
    <row r="1086" spans="1:22" hidden="1" x14ac:dyDescent="0.25">
      <c r="A1086" t="s">
        <v>67</v>
      </c>
      <c r="B1086" t="s">
        <v>197</v>
      </c>
      <c r="C1086">
        <v>2006</v>
      </c>
      <c r="D1086" t="s">
        <v>421</v>
      </c>
      <c r="E1086" t="s">
        <v>130</v>
      </c>
      <c r="F1086" t="s">
        <v>40</v>
      </c>
      <c r="G1086" t="s">
        <v>306</v>
      </c>
      <c r="H1086" t="s">
        <v>305</v>
      </c>
      <c r="I1086" t="s">
        <v>26</v>
      </c>
      <c r="J1086">
        <v>92273</v>
      </c>
      <c r="K1086">
        <v>32.741700000000002</v>
      </c>
      <c r="L1086">
        <v>-115.7236</v>
      </c>
      <c r="M1086" t="s">
        <v>420</v>
      </c>
      <c r="N1086">
        <v>20</v>
      </c>
      <c r="O1086" t="s">
        <v>36</v>
      </c>
      <c r="P1086">
        <v>139</v>
      </c>
      <c r="Q1086">
        <v>276</v>
      </c>
      <c r="S1086" s="18">
        <v>39041</v>
      </c>
      <c r="T1086" s="18">
        <v>39156</v>
      </c>
      <c r="U1086" s="18">
        <v>40956</v>
      </c>
      <c r="V1086" s="18">
        <v>41053</v>
      </c>
    </row>
    <row r="1087" spans="1:22" hidden="1" x14ac:dyDescent="0.25">
      <c r="A1087" t="s">
        <v>67</v>
      </c>
      <c r="B1087" t="s">
        <v>92</v>
      </c>
      <c r="C1087">
        <v>2015</v>
      </c>
      <c r="D1087" t="s">
        <v>419</v>
      </c>
      <c r="E1087" t="s">
        <v>130</v>
      </c>
      <c r="F1087" t="s">
        <v>40</v>
      </c>
      <c r="G1087" t="s">
        <v>332</v>
      </c>
      <c r="H1087" t="s">
        <v>129</v>
      </c>
      <c r="I1087" t="s">
        <v>26</v>
      </c>
      <c r="J1087">
        <v>92078</v>
      </c>
      <c r="K1087">
        <v>33.103279999999998</v>
      </c>
      <c r="L1087">
        <v>-117.215204</v>
      </c>
      <c r="M1087" t="s">
        <v>418</v>
      </c>
      <c r="N1087">
        <v>20</v>
      </c>
      <c r="O1087" t="s">
        <v>36</v>
      </c>
      <c r="P1087">
        <v>0.10199999999999999</v>
      </c>
      <c r="Q1087">
        <v>0.17399999999999999</v>
      </c>
    </row>
    <row r="1088" spans="1:22" hidden="1" x14ac:dyDescent="0.25">
      <c r="A1088" t="s">
        <v>67</v>
      </c>
      <c r="B1088" t="s">
        <v>206</v>
      </c>
      <c r="C1088">
        <v>2012</v>
      </c>
      <c r="D1088" t="s">
        <v>417</v>
      </c>
      <c r="E1088" t="s">
        <v>130</v>
      </c>
      <c r="F1088" t="s">
        <v>40</v>
      </c>
      <c r="G1088" t="s">
        <v>416</v>
      </c>
      <c r="H1088" t="s">
        <v>133</v>
      </c>
      <c r="I1088" t="s">
        <v>26</v>
      </c>
      <c r="J1088">
        <v>92252</v>
      </c>
      <c r="K1088">
        <v>34.163778999999998</v>
      </c>
      <c r="L1088">
        <v>-116.235461</v>
      </c>
      <c r="M1088" t="s">
        <v>415</v>
      </c>
      <c r="N1088">
        <v>20</v>
      </c>
      <c r="O1088" t="s">
        <v>36</v>
      </c>
      <c r="P1088">
        <v>18.5</v>
      </c>
      <c r="Q1088">
        <v>55</v>
      </c>
      <c r="R1088" t="s">
        <v>370</v>
      </c>
      <c r="S1088" s="18">
        <v>41222</v>
      </c>
      <c r="T1088" s="18">
        <v>41256</v>
      </c>
    </row>
    <row r="1089" spans="1:22" x14ac:dyDescent="0.25">
      <c r="A1089" t="s">
        <v>67</v>
      </c>
      <c r="B1089" t="s">
        <v>201</v>
      </c>
      <c r="C1089">
        <v>2011</v>
      </c>
      <c r="D1089" t="s">
        <v>414</v>
      </c>
      <c r="E1089" t="s">
        <v>130</v>
      </c>
      <c r="F1089" t="s">
        <v>40</v>
      </c>
      <c r="G1089" t="s">
        <v>81</v>
      </c>
      <c r="H1089" t="s">
        <v>12</v>
      </c>
      <c r="I1089" t="s">
        <v>26</v>
      </c>
      <c r="J1089">
        <v>93560</v>
      </c>
      <c r="K1089">
        <v>34.950000000000003</v>
      </c>
      <c r="L1089">
        <v>-118.29</v>
      </c>
      <c r="M1089" t="s">
        <v>413</v>
      </c>
      <c r="N1089">
        <v>25</v>
      </c>
      <c r="O1089" t="s">
        <v>36</v>
      </c>
      <c r="P1089">
        <v>109.44</v>
      </c>
      <c r="Q1089">
        <v>253.5</v>
      </c>
      <c r="S1089" s="18">
        <v>40758</v>
      </c>
      <c r="T1089" s="18">
        <v>40976</v>
      </c>
    </row>
    <row r="1090" spans="1:22" hidden="1" x14ac:dyDescent="0.25">
      <c r="A1090" t="s">
        <v>67</v>
      </c>
      <c r="B1090" t="s">
        <v>201</v>
      </c>
      <c r="C1090">
        <v>2010</v>
      </c>
      <c r="D1090" t="s">
        <v>412</v>
      </c>
      <c r="E1090" t="s">
        <v>130</v>
      </c>
      <c r="F1090" t="s">
        <v>40</v>
      </c>
      <c r="G1090" t="s">
        <v>389</v>
      </c>
      <c r="H1090" t="s">
        <v>305</v>
      </c>
      <c r="I1090" t="s">
        <v>26</v>
      </c>
      <c r="J1090">
        <v>92231</v>
      </c>
      <c r="K1090">
        <v>32.673999999999999</v>
      </c>
      <c r="L1090">
        <v>-115.658</v>
      </c>
      <c r="M1090" t="s">
        <v>410</v>
      </c>
      <c r="N1090">
        <v>20</v>
      </c>
      <c r="O1090" t="s">
        <v>24</v>
      </c>
      <c r="P1090">
        <v>125</v>
      </c>
      <c r="Q1090">
        <v>270</v>
      </c>
      <c r="S1090" s="18">
        <v>40317</v>
      </c>
      <c r="T1090" s="18">
        <v>40556</v>
      </c>
    </row>
    <row r="1091" spans="1:22" hidden="1" x14ac:dyDescent="0.25">
      <c r="A1091" t="s">
        <v>67</v>
      </c>
      <c r="B1091" t="s">
        <v>197</v>
      </c>
      <c r="C1091">
        <v>2010</v>
      </c>
      <c r="D1091" t="s">
        <v>411</v>
      </c>
      <c r="E1091" t="s">
        <v>130</v>
      </c>
      <c r="F1091" t="s">
        <v>40</v>
      </c>
      <c r="G1091" t="s">
        <v>389</v>
      </c>
      <c r="H1091" t="s">
        <v>305</v>
      </c>
      <c r="I1091" t="s">
        <v>26</v>
      </c>
      <c r="J1091">
        <v>92231</v>
      </c>
      <c r="K1091">
        <v>32.673999999999999</v>
      </c>
      <c r="L1091">
        <v>-115.658</v>
      </c>
      <c r="M1091" t="s">
        <v>410</v>
      </c>
      <c r="N1091">
        <v>20</v>
      </c>
      <c r="O1091" t="s">
        <v>36</v>
      </c>
      <c r="P1091">
        <v>45</v>
      </c>
      <c r="Q1091">
        <v>86</v>
      </c>
      <c r="S1091" s="18">
        <v>40416</v>
      </c>
      <c r="T1091" s="18">
        <v>40556</v>
      </c>
    </row>
    <row r="1092" spans="1:22" hidden="1" x14ac:dyDescent="0.25">
      <c r="A1092" t="s">
        <v>67</v>
      </c>
      <c r="B1092" t="s">
        <v>197</v>
      </c>
      <c r="C1092">
        <v>2010</v>
      </c>
      <c r="D1092" t="s">
        <v>409</v>
      </c>
      <c r="E1092" t="s">
        <v>30</v>
      </c>
      <c r="F1092" t="s">
        <v>40</v>
      </c>
      <c r="G1092" t="s">
        <v>149</v>
      </c>
      <c r="H1092" t="s">
        <v>12</v>
      </c>
      <c r="I1092" t="s">
        <v>26</v>
      </c>
      <c r="J1092">
        <v>93561</v>
      </c>
      <c r="K1092">
        <v>35.065399999999997</v>
      </c>
      <c r="L1092">
        <v>-118.33920000000001</v>
      </c>
      <c r="M1092" t="s">
        <v>408</v>
      </c>
      <c r="N1092">
        <v>15</v>
      </c>
      <c r="O1092" t="s">
        <v>36</v>
      </c>
      <c r="P1092">
        <v>7.5</v>
      </c>
      <c r="Q1092">
        <v>27</v>
      </c>
      <c r="S1092" s="18">
        <v>40389</v>
      </c>
      <c r="T1092" s="18">
        <v>40479</v>
      </c>
    </row>
    <row r="1093" spans="1:22" hidden="1" x14ac:dyDescent="0.25">
      <c r="A1093" t="s">
        <v>67</v>
      </c>
      <c r="B1093" t="s">
        <v>201</v>
      </c>
      <c r="C1093">
        <v>2010</v>
      </c>
      <c r="D1093" t="s">
        <v>407</v>
      </c>
      <c r="E1093" t="s">
        <v>130</v>
      </c>
      <c r="F1093" t="s">
        <v>40</v>
      </c>
      <c r="G1093" t="s">
        <v>389</v>
      </c>
      <c r="H1093" t="s">
        <v>305</v>
      </c>
      <c r="I1093" t="s">
        <v>26</v>
      </c>
      <c r="J1093">
        <v>92231</v>
      </c>
      <c r="K1093">
        <v>32.674500000000002</v>
      </c>
      <c r="L1093">
        <v>-115.58799999999999</v>
      </c>
      <c r="M1093" t="s">
        <v>406</v>
      </c>
      <c r="N1093">
        <v>25</v>
      </c>
      <c r="O1093" t="s">
        <v>36</v>
      </c>
      <c r="P1093">
        <v>130</v>
      </c>
      <c r="Q1093">
        <v>273</v>
      </c>
      <c r="S1093" s="18">
        <v>40558</v>
      </c>
      <c r="T1093" s="18">
        <v>40752</v>
      </c>
    </row>
    <row r="1094" spans="1:22" hidden="1" x14ac:dyDescent="0.25">
      <c r="A1094" t="s">
        <v>67</v>
      </c>
      <c r="B1094" t="s">
        <v>201</v>
      </c>
      <c r="C1094">
        <v>2011</v>
      </c>
      <c r="D1094" t="s">
        <v>405</v>
      </c>
      <c r="E1094" t="s">
        <v>130</v>
      </c>
      <c r="F1094" t="s">
        <v>40</v>
      </c>
      <c r="G1094" t="s">
        <v>306</v>
      </c>
      <c r="H1094" t="s">
        <v>305</v>
      </c>
      <c r="I1094" t="s">
        <v>26</v>
      </c>
      <c r="J1094">
        <v>92273</v>
      </c>
      <c r="K1094">
        <v>32.765999999999998</v>
      </c>
      <c r="L1094">
        <v>-115.795</v>
      </c>
      <c r="M1094" t="s">
        <v>404</v>
      </c>
      <c r="N1094">
        <v>25</v>
      </c>
      <c r="O1094" t="s">
        <v>36</v>
      </c>
      <c r="P1094">
        <v>150</v>
      </c>
      <c r="Q1094">
        <v>356</v>
      </c>
      <c r="S1094" s="18">
        <v>40690</v>
      </c>
      <c r="T1094" s="18">
        <v>40892</v>
      </c>
    </row>
    <row r="1095" spans="1:22" hidden="1" x14ac:dyDescent="0.25">
      <c r="A1095" t="s">
        <v>67</v>
      </c>
      <c r="B1095" t="s">
        <v>92</v>
      </c>
      <c r="C1095">
        <v>2015</v>
      </c>
      <c r="D1095" t="s">
        <v>403</v>
      </c>
      <c r="E1095" t="s">
        <v>130</v>
      </c>
      <c r="F1095" t="s">
        <v>40</v>
      </c>
      <c r="G1095" t="s">
        <v>129</v>
      </c>
      <c r="H1095" t="s">
        <v>129</v>
      </c>
      <c r="I1095" t="s">
        <v>26</v>
      </c>
      <c r="J1095">
        <v>92127</v>
      </c>
      <c r="K1095">
        <v>33.018549</v>
      </c>
      <c r="L1095">
        <v>-117.141148</v>
      </c>
      <c r="M1095" t="s">
        <v>402</v>
      </c>
      <c r="N1095">
        <v>15</v>
      </c>
      <c r="O1095" t="s">
        <v>36</v>
      </c>
      <c r="P1095">
        <v>4.1000000000000002E-2</v>
      </c>
      <c r="Q1095">
        <v>0.08</v>
      </c>
    </row>
    <row r="1096" spans="1:22" hidden="1" x14ac:dyDescent="0.25">
      <c r="A1096" t="s">
        <v>67</v>
      </c>
      <c r="B1096" t="s">
        <v>201</v>
      </c>
      <c r="C1096">
        <v>2011</v>
      </c>
      <c r="D1096" t="s">
        <v>401</v>
      </c>
      <c r="E1096" t="s">
        <v>130</v>
      </c>
      <c r="F1096" t="s">
        <v>40</v>
      </c>
      <c r="G1096" t="s">
        <v>319</v>
      </c>
      <c r="H1096" t="s">
        <v>129</v>
      </c>
      <c r="I1096" t="s">
        <v>26</v>
      </c>
      <c r="J1096">
        <v>92004</v>
      </c>
      <c r="K1096">
        <v>33.270000000000003</v>
      </c>
      <c r="L1096">
        <v>-116.312</v>
      </c>
      <c r="M1096" t="s">
        <v>400</v>
      </c>
      <c r="N1096">
        <v>25</v>
      </c>
      <c r="O1096" t="s">
        <v>36</v>
      </c>
      <c r="P1096">
        <v>6.3</v>
      </c>
      <c r="Q1096">
        <v>13.3</v>
      </c>
      <c r="S1096" s="18">
        <v>40633</v>
      </c>
      <c r="T1096" s="18">
        <v>40857</v>
      </c>
    </row>
    <row r="1097" spans="1:22" hidden="1" x14ac:dyDescent="0.25">
      <c r="A1097" t="s">
        <v>67</v>
      </c>
      <c r="B1097" t="s">
        <v>197</v>
      </c>
      <c r="C1097">
        <v>2011</v>
      </c>
      <c r="D1097" t="s">
        <v>399</v>
      </c>
      <c r="E1097" t="s">
        <v>30</v>
      </c>
      <c r="F1097" t="s">
        <v>40</v>
      </c>
      <c r="G1097" t="s">
        <v>396</v>
      </c>
      <c r="H1097" t="s">
        <v>65</v>
      </c>
      <c r="I1097" t="s">
        <v>395</v>
      </c>
      <c r="J1097">
        <v>21511</v>
      </c>
      <c r="K1097">
        <v>32.593000000000004</v>
      </c>
      <c r="L1097">
        <v>-116.099</v>
      </c>
      <c r="M1097" t="s">
        <v>398</v>
      </c>
      <c r="N1097">
        <v>20</v>
      </c>
      <c r="O1097" t="s">
        <v>36</v>
      </c>
      <c r="P1097">
        <v>155.1</v>
      </c>
      <c r="Q1097">
        <v>400</v>
      </c>
      <c r="S1097" s="18">
        <v>40652</v>
      </c>
      <c r="T1097" s="18">
        <v>40990</v>
      </c>
    </row>
    <row r="1098" spans="1:22" hidden="1" x14ac:dyDescent="0.25">
      <c r="A1098" t="s">
        <v>67</v>
      </c>
      <c r="B1098" t="s">
        <v>206</v>
      </c>
      <c r="C1098">
        <v>2017</v>
      </c>
      <c r="D1098" t="s">
        <v>397</v>
      </c>
      <c r="E1098" t="s">
        <v>30</v>
      </c>
      <c r="F1098" t="s">
        <v>40</v>
      </c>
      <c r="G1098" t="s">
        <v>396</v>
      </c>
      <c r="H1098" t="s">
        <v>65</v>
      </c>
      <c r="I1098" t="s">
        <v>395</v>
      </c>
      <c r="J1098">
        <v>21511</v>
      </c>
      <c r="K1098">
        <v>32.593000000000004</v>
      </c>
      <c r="L1098">
        <v>-116.099</v>
      </c>
      <c r="M1098" t="s">
        <v>394</v>
      </c>
      <c r="N1098">
        <v>20</v>
      </c>
      <c r="O1098" t="s">
        <v>36</v>
      </c>
      <c r="P1098">
        <v>105</v>
      </c>
      <c r="Q1098">
        <v>357</v>
      </c>
      <c r="R1098" t="s">
        <v>393</v>
      </c>
      <c r="S1098" s="18">
        <v>43055</v>
      </c>
      <c r="T1098" s="18">
        <v>43090</v>
      </c>
      <c r="U1098" s="18">
        <v>43539</v>
      </c>
    </row>
    <row r="1099" spans="1:22" hidden="1" x14ac:dyDescent="0.25">
      <c r="A1099" t="s">
        <v>67</v>
      </c>
      <c r="B1099" t="s">
        <v>42</v>
      </c>
      <c r="C1099">
        <v>2016</v>
      </c>
      <c r="D1099" t="s">
        <v>392</v>
      </c>
      <c r="E1099" t="s">
        <v>41</v>
      </c>
      <c r="F1099" t="s">
        <v>40</v>
      </c>
      <c r="G1099" t="s">
        <v>64</v>
      </c>
      <c r="H1099" t="s">
        <v>63</v>
      </c>
      <c r="I1099" t="s">
        <v>26</v>
      </c>
      <c r="J1099">
        <v>95816</v>
      </c>
      <c r="K1099">
        <v>40.368400000000001</v>
      </c>
      <c r="L1099">
        <v>-120.265</v>
      </c>
      <c r="M1099" t="s">
        <v>391</v>
      </c>
      <c r="N1099">
        <v>10</v>
      </c>
      <c r="O1099" t="s">
        <v>36</v>
      </c>
      <c r="P1099">
        <v>24</v>
      </c>
      <c r="Q1099">
        <v>175</v>
      </c>
      <c r="S1099" s="18">
        <v>42690</v>
      </c>
      <c r="T1099" s="18">
        <v>42720</v>
      </c>
    </row>
    <row r="1100" spans="1:22" hidden="1" x14ac:dyDescent="0.25">
      <c r="A1100" t="s">
        <v>67</v>
      </c>
      <c r="B1100" t="s">
        <v>197</v>
      </c>
      <c r="C1100">
        <v>2012</v>
      </c>
      <c r="D1100" t="s">
        <v>390</v>
      </c>
      <c r="E1100" t="s">
        <v>130</v>
      </c>
      <c r="F1100" t="s">
        <v>40</v>
      </c>
      <c r="G1100" t="s">
        <v>389</v>
      </c>
      <c r="H1100" t="s">
        <v>305</v>
      </c>
      <c r="I1100" t="s">
        <v>26</v>
      </c>
      <c r="J1100">
        <v>92231</v>
      </c>
      <c r="K1100">
        <v>32.675699999999999</v>
      </c>
      <c r="L1100">
        <v>-115.5866</v>
      </c>
      <c r="M1100" t="s">
        <v>388</v>
      </c>
      <c r="N1100">
        <v>25</v>
      </c>
      <c r="O1100" t="s">
        <v>36</v>
      </c>
      <c r="P1100">
        <v>200</v>
      </c>
      <c r="Q1100">
        <v>495.274</v>
      </c>
      <c r="S1100" s="18">
        <v>40973</v>
      </c>
      <c r="T1100" s="18">
        <v>41067</v>
      </c>
    </row>
    <row r="1101" spans="1:22" hidden="1" x14ac:dyDescent="0.25">
      <c r="A1101" t="s">
        <v>67</v>
      </c>
      <c r="B1101" t="s">
        <v>201</v>
      </c>
      <c r="C1101">
        <v>2004</v>
      </c>
      <c r="D1101" t="s">
        <v>387</v>
      </c>
      <c r="E1101" t="s">
        <v>30</v>
      </c>
      <c r="F1101" t="s">
        <v>40</v>
      </c>
      <c r="G1101" t="s">
        <v>368</v>
      </c>
      <c r="H1101" t="s">
        <v>129</v>
      </c>
      <c r="I1101" t="s">
        <v>26</v>
      </c>
      <c r="J1101">
        <v>91905</v>
      </c>
      <c r="K1101">
        <v>32.723500000000001</v>
      </c>
      <c r="L1101">
        <v>-116.364</v>
      </c>
      <c r="M1101" t="s">
        <v>386</v>
      </c>
      <c r="N1101">
        <v>20</v>
      </c>
      <c r="O1101" t="s">
        <v>24</v>
      </c>
      <c r="P1101">
        <v>50</v>
      </c>
      <c r="Q1101">
        <v>134.32</v>
      </c>
      <c r="S1101" s="18">
        <v>38153</v>
      </c>
      <c r="T1101" s="18">
        <v>38267</v>
      </c>
    </row>
    <row r="1102" spans="1:22" hidden="1" x14ac:dyDescent="0.25">
      <c r="A1102" t="s">
        <v>67</v>
      </c>
      <c r="B1102" t="s">
        <v>197</v>
      </c>
      <c r="C1102">
        <v>2012</v>
      </c>
      <c r="D1102" t="s">
        <v>385</v>
      </c>
      <c r="E1102" t="s">
        <v>30</v>
      </c>
      <c r="F1102" t="s">
        <v>40</v>
      </c>
      <c r="G1102" t="s">
        <v>347</v>
      </c>
      <c r="H1102" t="s">
        <v>12</v>
      </c>
      <c r="I1102" t="s">
        <v>26</v>
      </c>
      <c r="J1102">
        <v>93560</v>
      </c>
      <c r="K1102">
        <v>34.900100000000002</v>
      </c>
      <c r="L1102">
        <v>-118.453</v>
      </c>
      <c r="M1102" t="s">
        <v>384</v>
      </c>
      <c r="N1102">
        <v>20</v>
      </c>
      <c r="O1102" t="s">
        <v>36</v>
      </c>
      <c r="P1102">
        <v>100</v>
      </c>
      <c r="Q1102">
        <v>260</v>
      </c>
      <c r="S1102" s="18">
        <v>41015</v>
      </c>
      <c r="T1102" s="18">
        <v>41144</v>
      </c>
    </row>
    <row r="1103" spans="1:22" x14ac:dyDescent="0.25">
      <c r="A1103" t="s">
        <v>67</v>
      </c>
      <c r="B1103" t="s">
        <v>206</v>
      </c>
      <c r="C1103">
        <v>2013</v>
      </c>
      <c r="D1103" t="s">
        <v>383</v>
      </c>
      <c r="E1103" t="s">
        <v>130</v>
      </c>
      <c r="F1103" t="s">
        <v>40</v>
      </c>
      <c r="G1103" t="s">
        <v>382</v>
      </c>
      <c r="H1103" t="s">
        <v>12</v>
      </c>
      <c r="I1103" t="s">
        <v>26</v>
      </c>
      <c r="J1103">
        <v>93252</v>
      </c>
      <c r="K1103">
        <v>35.115729999999999</v>
      </c>
      <c r="L1103">
        <v>-119.33199999999999</v>
      </c>
      <c r="M1103" t="s">
        <v>381</v>
      </c>
      <c r="N1103">
        <v>15</v>
      </c>
      <c r="O1103" t="s">
        <v>36</v>
      </c>
      <c r="P1103">
        <v>20</v>
      </c>
      <c r="Q1103">
        <v>57.55</v>
      </c>
      <c r="R1103" t="s">
        <v>334</v>
      </c>
      <c r="S1103" s="18">
        <v>41411</v>
      </c>
      <c r="T1103" s="18">
        <v>41457</v>
      </c>
    </row>
    <row r="1104" spans="1:22" hidden="1" x14ac:dyDescent="0.25">
      <c r="A1104" t="s">
        <v>67</v>
      </c>
      <c r="B1104" t="s">
        <v>206</v>
      </c>
      <c r="C1104">
        <v>2015</v>
      </c>
      <c r="D1104" t="s">
        <v>380</v>
      </c>
      <c r="E1104" t="s">
        <v>130</v>
      </c>
      <c r="F1104" t="s">
        <v>40</v>
      </c>
      <c r="G1104" t="s">
        <v>379</v>
      </c>
      <c r="H1104" t="s">
        <v>305</v>
      </c>
      <c r="I1104" t="s">
        <v>26</v>
      </c>
      <c r="J1104">
        <v>92227</v>
      </c>
      <c r="K1104">
        <v>33.930109999999999</v>
      </c>
      <c r="L1104">
        <v>-115.322717</v>
      </c>
      <c r="M1104" t="s">
        <v>378</v>
      </c>
      <c r="N1104">
        <v>20</v>
      </c>
      <c r="O1104" t="s">
        <v>36</v>
      </c>
      <c r="P1104">
        <v>20</v>
      </c>
      <c r="Q1104">
        <v>58</v>
      </c>
      <c r="R1104" t="s">
        <v>377</v>
      </c>
      <c r="S1104" s="18">
        <v>42384</v>
      </c>
      <c r="T1104" s="18">
        <v>42565</v>
      </c>
      <c r="U1104" s="18">
        <v>42859</v>
      </c>
      <c r="V1104" s="18">
        <v>42891</v>
      </c>
    </row>
    <row r="1105" spans="1:22" hidden="1" x14ac:dyDescent="0.25">
      <c r="A1105" t="s">
        <v>67</v>
      </c>
      <c r="B1105" t="s">
        <v>201</v>
      </c>
      <c r="C1105">
        <v>2005</v>
      </c>
      <c r="D1105" t="s">
        <v>376</v>
      </c>
      <c r="E1105" t="s">
        <v>71</v>
      </c>
      <c r="F1105" t="s">
        <v>29</v>
      </c>
      <c r="G1105" t="s">
        <v>375</v>
      </c>
      <c r="H1105" t="s">
        <v>374</v>
      </c>
      <c r="I1105" t="s">
        <v>26</v>
      </c>
      <c r="J1105">
        <v>92675</v>
      </c>
      <c r="K1105">
        <v>33.463000000000001</v>
      </c>
      <c r="L1105">
        <v>-117.60299999999999</v>
      </c>
      <c r="M1105" t="s">
        <v>373</v>
      </c>
      <c r="N1105">
        <v>15</v>
      </c>
      <c r="O1105" t="s">
        <v>24</v>
      </c>
      <c r="P1105">
        <v>6.1</v>
      </c>
      <c r="Q1105">
        <v>35</v>
      </c>
    </row>
    <row r="1106" spans="1:22" hidden="1" x14ac:dyDescent="0.25">
      <c r="A1106" t="s">
        <v>67</v>
      </c>
      <c r="B1106" t="s">
        <v>206</v>
      </c>
      <c r="C1106">
        <v>2012</v>
      </c>
      <c r="D1106" t="s">
        <v>372</v>
      </c>
      <c r="E1106" t="s">
        <v>71</v>
      </c>
      <c r="F1106" t="s">
        <v>40</v>
      </c>
      <c r="G1106" t="s">
        <v>129</v>
      </c>
      <c r="H1106" t="s">
        <v>129</v>
      </c>
      <c r="I1106" t="s">
        <v>26</v>
      </c>
      <c r="J1106">
        <v>92111</v>
      </c>
      <c r="K1106">
        <v>32.851300000000002</v>
      </c>
      <c r="L1106">
        <v>-117.166</v>
      </c>
      <c r="M1106" t="s">
        <v>371</v>
      </c>
      <c r="N1106">
        <v>10</v>
      </c>
      <c r="O1106" t="s">
        <v>36</v>
      </c>
      <c r="P1106">
        <v>4.5</v>
      </c>
      <c r="Q1106">
        <v>17.2</v>
      </c>
      <c r="R1106" t="s">
        <v>370</v>
      </c>
      <c r="S1106" s="18">
        <v>41222</v>
      </c>
      <c r="T1106" s="18">
        <v>41256</v>
      </c>
    </row>
    <row r="1107" spans="1:22" hidden="1" x14ac:dyDescent="0.25">
      <c r="A1107" t="s">
        <v>67</v>
      </c>
      <c r="B1107" t="s">
        <v>32</v>
      </c>
      <c r="C1107">
        <v>2022</v>
      </c>
      <c r="D1107" t="s">
        <v>369</v>
      </c>
      <c r="E1107" t="s">
        <v>291</v>
      </c>
      <c r="F1107" t="s">
        <v>204</v>
      </c>
      <c r="G1107" t="s">
        <v>368</v>
      </c>
      <c r="H1107" t="s">
        <v>129</v>
      </c>
      <c r="I1107" t="s">
        <v>26</v>
      </c>
      <c r="J1107">
        <v>91905</v>
      </c>
      <c r="K1107">
        <v>32.658000000000001</v>
      </c>
      <c r="L1107">
        <v>-116.27200000000001</v>
      </c>
      <c r="M1107" t="s">
        <v>367</v>
      </c>
      <c r="N1107">
        <v>12</v>
      </c>
      <c r="O1107" t="s">
        <v>36</v>
      </c>
      <c r="P1107">
        <v>17.399999999999999</v>
      </c>
      <c r="Q1107">
        <v>50</v>
      </c>
    </row>
    <row r="1108" spans="1:22" hidden="1" x14ac:dyDescent="0.25">
      <c r="A1108" t="s">
        <v>67</v>
      </c>
      <c r="B1108" t="s">
        <v>201</v>
      </c>
      <c r="C1108">
        <v>2008</v>
      </c>
      <c r="D1108" t="s">
        <v>366</v>
      </c>
      <c r="E1108" t="s">
        <v>30</v>
      </c>
      <c r="F1108" t="s">
        <v>29</v>
      </c>
      <c r="G1108" t="s">
        <v>354</v>
      </c>
      <c r="H1108" t="s">
        <v>353</v>
      </c>
      <c r="I1108" t="s">
        <v>314</v>
      </c>
      <c r="J1108">
        <v>59435</v>
      </c>
      <c r="K1108">
        <v>48.511000000000003</v>
      </c>
      <c r="L1108">
        <v>-112.13500000000001</v>
      </c>
      <c r="M1108" t="s">
        <v>365</v>
      </c>
      <c r="N1108">
        <v>15</v>
      </c>
      <c r="O1108" t="s">
        <v>24</v>
      </c>
      <c r="P1108">
        <v>106.5</v>
      </c>
      <c r="S1108" s="18">
        <v>39603</v>
      </c>
      <c r="T1108" s="18">
        <v>39723</v>
      </c>
    </row>
    <row r="1109" spans="1:22" hidden="1" x14ac:dyDescent="0.25">
      <c r="A1109" t="s">
        <v>67</v>
      </c>
      <c r="B1109" t="s">
        <v>263</v>
      </c>
      <c r="C1109">
        <v>2014</v>
      </c>
      <c r="D1109" t="s">
        <v>364</v>
      </c>
      <c r="E1109" t="s">
        <v>130</v>
      </c>
      <c r="F1109" t="s">
        <v>40</v>
      </c>
      <c r="G1109" t="s">
        <v>322</v>
      </c>
      <c r="H1109" t="s">
        <v>129</v>
      </c>
      <c r="I1109" t="s">
        <v>26</v>
      </c>
      <c r="J1109">
        <v>92082</v>
      </c>
      <c r="K1109">
        <v>33.267648999999999</v>
      </c>
      <c r="L1109">
        <v>-117.59433</v>
      </c>
      <c r="M1109" t="s">
        <v>363</v>
      </c>
      <c r="N1109">
        <v>20</v>
      </c>
      <c r="O1109" t="s">
        <v>36</v>
      </c>
      <c r="P1109">
        <v>3</v>
      </c>
      <c r="Q1109">
        <v>8.4499999999999993</v>
      </c>
    </row>
    <row r="1110" spans="1:22" hidden="1" x14ac:dyDescent="0.25">
      <c r="A1110" t="s">
        <v>67</v>
      </c>
      <c r="B1110" t="s">
        <v>263</v>
      </c>
      <c r="C1110">
        <v>2015</v>
      </c>
      <c r="D1110" t="s">
        <v>362</v>
      </c>
      <c r="E1110" t="s">
        <v>130</v>
      </c>
      <c r="F1110" t="s">
        <v>40</v>
      </c>
      <c r="G1110" t="s">
        <v>322</v>
      </c>
      <c r="H1110" t="s">
        <v>129</v>
      </c>
      <c r="I1110" t="s">
        <v>26</v>
      </c>
      <c r="J1110">
        <v>92082</v>
      </c>
      <c r="K1110">
        <v>33.24947478</v>
      </c>
      <c r="L1110">
        <v>-117.022375</v>
      </c>
      <c r="M1110" t="s">
        <v>361</v>
      </c>
      <c r="N1110">
        <v>20</v>
      </c>
      <c r="O1110" t="s">
        <v>36</v>
      </c>
      <c r="P1110">
        <v>2.33</v>
      </c>
      <c r="Q1110">
        <v>6.7549999999999999</v>
      </c>
    </row>
    <row r="1111" spans="1:22" hidden="1" x14ac:dyDescent="0.25">
      <c r="A1111" t="s">
        <v>67</v>
      </c>
      <c r="B1111" t="s">
        <v>197</v>
      </c>
      <c r="C1111">
        <v>2011</v>
      </c>
      <c r="D1111" t="s">
        <v>360</v>
      </c>
      <c r="E1111" t="s">
        <v>30</v>
      </c>
      <c r="F1111" t="s">
        <v>40</v>
      </c>
      <c r="G1111" t="s">
        <v>359</v>
      </c>
      <c r="H1111" t="s">
        <v>305</v>
      </c>
      <c r="I1111" t="s">
        <v>26</v>
      </c>
      <c r="J1111">
        <v>92259</v>
      </c>
      <c r="K1111">
        <v>32.752000000000002</v>
      </c>
      <c r="L1111">
        <v>-116.05</v>
      </c>
      <c r="M1111" t="s">
        <v>358</v>
      </c>
      <c r="N1111">
        <v>20</v>
      </c>
      <c r="O1111" t="s">
        <v>36</v>
      </c>
      <c r="P1111">
        <v>265.29000000000002</v>
      </c>
      <c r="Q1111">
        <v>891</v>
      </c>
      <c r="S1111" s="18">
        <v>40606</v>
      </c>
      <c r="T1111" s="18">
        <v>40920</v>
      </c>
    </row>
    <row r="1112" spans="1:22" hidden="1" x14ac:dyDescent="0.25">
      <c r="A1112" t="s">
        <v>67</v>
      </c>
      <c r="B1112" t="s">
        <v>232</v>
      </c>
      <c r="C1112">
        <v>2013</v>
      </c>
      <c r="D1112" t="s">
        <v>357</v>
      </c>
      <c r="E1112" t="s">
        <v>339</v>
      </c>
      <c r="F1112" t="s">
        <v>40</v>
      </c>
      <c r="G1112" t="s">
        <v>350</v>
      </c>
      <c r="H1112" t="s">
        <v>129</v>
      </c>
      <c r="I1112" t="s">
        <v>26</v>
      </c>
      <c r="J1112">
        <v>92024</v>
      </c>
      <c r="K1112">
        <v>33.073099999999997</v>
      </c>
      <c r="L1112">
        <v>-117.20099999999999</v>
      </c>
      <c r="M1112" t="s">
        <v>356</v>
      </c>
      <c r="N1112">
        <v>20</v>
      </c>
      <c r="O1112" t="s">
        <v>36</v>
      </c>
      <c r="P1112">
        <v>0.45</v>
      </c>
      <c r="Q1112">
        <v>1.5</v>
      </c>
    </row>
    <row r="1113" spans="1:22" hidden="1" x14ac:dyDescent="0.25">
      <c r="A1113" t="s">
        <v>67</v>
      </c>
      <c r="B1113" t="s">
        <v>201</v>
      </c>
      <c r="C1113">
        <v>2008</v>
      </c>
      <c r="D1113" t="s">
        <v>355</v>
      </c>
      <c r="E1113" t="s">
        <v>30</v>
      </c>
      <c r="F1113" t="s">
        <v>40</v>
      </c>
      <c r="G1113" t="s">
        <v>354</v>
      </c>
      <c r="H1113" t="s">
        <v>353</v>
      </c>
      <c r="I1113" t="s">
        <v>314</v>
      </c>
      <c r="J1113">
        <v>59435</v>
      </c>
      <c r="K1113">
        <v>48.511000000000003</v>
      </c>
      <c r="L1113">
        <v>-112.13500000000001</v>
      </c>
      <c r="M1113" t="s">
        <v>352</v>
      </c>
      <c r="N1113">
        <v>15</v>
      </c>
      <c r="O1113" t="s">
        <v>24</v>
      </c>
      <c r="P1113">
        <v>103.5</v>
      </c>
      <c r="Q1113">
        <v>310</v>
      </c>
      <c r="S1113" s="18">
        <v>39603</v>
      </c>
      <c r="T1113" s="18">
        <v>39723</v>
      </c>
    </row>
    <row r="1114" spans="1:22" hidden="1" x14ac:dyDescent="0.25">
      <c r="A1114" t="s">
        <v>67</v>
      </c>
      <c r="B1114" t="s">
        <v>92</v>
      </c>
      <c r="C1114">
        <v>2015</v>
      </c>
      <c r="D1114" t="s">
        <v>351</v>
      </c>
      <c r="E1114" t="s">
        <v>130</v>
      </c>
      <c r="F1114" t="s">
        <v>40</v>
      </c>
      <c r="G1114" t="s">
        <v>350</v>
      </c>
      <c r="H1114" t="s">
        <v>129</v>
      </c>
      <c r="I1114" t="s">
        <v>26</v>
      </c>
      <c r="J1114">
        <v>92024</v>
      </c>
      <c r="K1114">
        <v>33.044120999999997</v>
      </c>
      <c r="L1114">
        <v>-117.29304500000001</v>
      </c>
      <c r="M1114" t="s">
        <v>349</v>
      </c>
      <c r="N1114">
        <v>10</v>
      </c>
      <c r="O1114" t="s">
        <v>36</v>
      </c>
      <c r="P1114">
        <v>0.10922</v>
      </c>
      <c r="Q1114">
        <v>0.11899999999999999</v>
      </c>
    </row>
    <row r="1115" spans="1:22" hidden="1" x14ac:dyDescent="0.25">
      <c r="A1115" t="s">
        <v>67</v>
      </c>
      <c r="B1115" t="s">
        <v>197</v>
      </c>
      <c r="C1115">
        <v>2010</v>
      </c>
      <c r="D1115" t="s">
        <v>348</v>
      </c>
      <c r="E1115" t="s">
        <v>30</v>
      </c>
      <c r="F1115" t="s">
        <v>40</v>
      </c>
      <c r="G1115" t="s">
        <v>347</v>
      </c>
      <c r="H1115" t="s">
        <v>12</v>
      </c>
      <c r="I1115" t="s">
        <v>26</v>
      </c>
      <c r="J1115">
        <v>93560</v>
      </c>
      <c r="K1115">
        <v>34.8917</v>
      </c>
      <c r="L1115">
        <v>-118.45</v>
      </c>
      <c r="M1115" t="s">
        <v>346</v>
      </c>
      <c r="N1115">
        <v>20</v>
      </c>
      <c r="O1115" t="s">
        <v>24</v>
      </c>
      <c r="P1115">
        <v>140</v>
      </c>
      <c r="Q1115">
        <v>260</v>
      </c>
      <c r="S1115" s="18">
        <v>38653</v>
      </c>
      <c r="T1115" s="18">
        <v>38862</v>
      </c>
    </row>
    <row r="1116" spans="1:22" hidden="1" x14ac:dyDescent="0.25">
      <c r="A1116" t="s">
        <v>67</v>
      </c>
      <c r="B1116" t="s">
        <v>92</v>
      </c>
      <c r="C1116">
        <v>2012</v>
      </c>
      <c r="D1116" t="s">
        <v>345</v>
      </c>
      <c r="E1116" t="s">
        <v>130</v>
      </c>
      <c r="F1116" t="s">
        <v>40</v>
      </c>
      <c r="G1116" t="s">
        <v>109</v>
      </c>
      <c r="H1116" t="s">
        <v>129</v>
      </c>
      <c r="I1116" t="s">
        <v>26</v>
      </c>
      <c r="J1116">
        <v>92065</v>
      </c>
      <c r="K1116">
        <v>33.010644999999997</v>
      </c>
      <c r="L1116">
        <v>-116.514438</v>
      </c>
      <c r="M1116" t="s">
        <v>344</v>
      </c>
      <c r="N1116">
        <v>25</v>
      </c>
      <c r="O1116" t="s">
        <v>36</v>
      </c>
      <c r="P1116">
        <v>4</v>
      </c>
      <c r="Q1116">
        <v>8.5</v>
      </c>
      <c r="S1116" s="18">
        <v>39640</v>
      </c>
      <c r="T1116" s="18">
        <v>40423</v>
      </c>
      <c r="U1116" s="18">
        <v>41080</v>
      </c>
      <c r="V1116" s="18">
        <v>41126</v>
      </c>
    </row>
    <row r="1117" spans="1:22" hidden="1" x14ac:dyDescent="0.25">
      <c r="A1117" t="s">
        <v>67</v>
      </c>
      <c r="B1117" t="s">
        <v>111</v>
      </c>
      <c r="C1117">
        <v>2022</v>
      </c>
      <c r="D1117" t="s">
        <v>341</v>
      </c>
      <c r="E1117" t="s">
        <v>41</v>
      </c>
      <c r="F1117" t="s">
        <v>40</v>
      </c>
      <c r="G1117" t="s">
        <v>343</v>
      </c>
      <c r="H1117" t="s">
        <v>343</v>
      </c>
      <c r="I1117" t="s">
        <v>343</v>
      </c>
      <c r="J1117" t="s">
        <v>342</v>
      </c>
      <c r="K1117">
        <v>40.368400000000001</v>
      </c>
      <c r="L1117">
        <v>-120.265</v>
      </c>
      <c r="M1117" t="s">
        <v>341</v>
      </c>
      <c r="N1117">
        <v>3</v>
      </c>
      <c r="O1117" t="s">
        <v>36</v>
      </c>
      <c r="Q1117">
        <v>175</v>
      </c>
    </row>
    <row r="1118" spans="1:22" hidden="1" x14ac:dyDescent="0.25">
      <c r="A1118" t="s">
        <v>67</v>
      </c>
      <c r="B1118" t="s">
        <v>201</v>
      </c>
      <c r="C1118">
        <v>1985</v>
      </c>
      <c r="D1118" t="s">
        <v>340</v>
      </c>
      <c r="E1118" t="s">
        <v>339</v>
      </c>
      <c r="F1118" t="s">
        <v>40</v>
      </c>
      <c r="G1118" t="s">
        <v>338</v>
      </c>
      <c r="H1118" t="s">
        <v>129</v>
      </c>
      <c r="I1118" t="s">
        <v>26</v>
      </c>
      <c r="J1118">
        <v>92056</v>
      </c>
      <c r="K1118">
        <v>33.196910000000003</v>
      </c>
      <c r="L1118">
        <v>-117.38</v>
      </c>
      <c r="M1118" t="s">
        <v>337</v>
      </c>
      <c r="N1118">
        <v>999</v>
      </c>
      <c r="O1118" t="s">
        <v>24</v>
      </c>
      <c r="P1118">
        <v>0.35</v>
      </c>
      <c r="Q1118">
        <v>0.4</v>
      </c>
    </row>
    <row r="1119" spans="1:22" hidden="1" x14ac:dyDescent="0.25">
      <c r="A1119" t="s">
        <v>67</v>
      </c>
      <c r="B1119" t="s">
        <v>206</v>
      </c>
      <c r="C1119">
        <v>2013</v>
      </c>
      <c r="D1119" t="s">
        <v>336</v>
      </c>
      <c r="E1119" t="s">
        <v>30</v>
      </c>
      <c r="F1119" t="s">
        <v>40</v>
      </c>
      <c r="G1119" t="s">
        <v>60</v>
      </c>
      <c r="H1119" t="s">
        <v>88</v>
      </c>
      <c r="I1119" t="s">
        <v>26</v>
      </c>
      <c r="J1119">
        <v>92282</v>
      </c>
      <c r="K1119">
        <v>33.894399999999997</v>
      </c>
      <c r="L1119">
        <v>-116.589</v>
      </c>
      <c r="M1119" t="s">
        <v>335</v>
      </c>
      <c r="N1119">
        <v>10</v>
      </c>
      <c r="O1119" t="s">
        <v>36</v>
      </c>
      <c r="P1119">
        <v>11.2</v>
      </c>
      <c r="Q1119">
        <v>32.380000000000003</v>
      </c>
      <c r="R1119" t="s">
        <v>334</v>
      </c>
      <c r="S1119" s="18">
        <v>41411</v>
      </c>
      <c r="T1119" s="18">
        <v>41457</v>
      </c>
    </row>
    <row r="1120" spans="1:22" hidden="1" x14ac:dyDescent="0.25">
      <c r="A1120" t="s">
        <v>67</v>
      </c>
      <c r="B1120" t="s">
        <v>232</v>
      </c>
      <c r="C1120">
        <v>2009</v>
      </c>
      <c r="D1120" t="s">
        <v>333</v>
      </c>
      <c r="E1120" t="s">
        <v>71</v>
      </c>
      <c r="F1120" t="s">
        <v>40</v>
      </c>
      <c r="G1120" t="s">
        <v>332</v>
      </c>
      <c r="H1120" t="s">
        <v>129</v>
      </c>
      <c r="I1120" t="s">
        <v>26</v>
      </c>
      <c r="J1120">
        <v>92069</v>
      </c>
      <c r="K1120">
        <v>32.879770000000001</v>
      </c>
      <c r="L1120">
        <v>-117.19499999999999</v>
      </c>
      <c r="M1120" t="s">
        <v>331</v>
      </c>
      <c r="N1120">
        <v>20</v>
      </c>
      <c r="O1120" t="s">
        <v>24</v>
      </c>
      <c r="P1120">
        <v>1.5</v>
      </c>
      <c r="Q1120">
        <v>12</v>
      </c>
    </row>
    <row r="1121" spans="1:20" hidden="1" x14ac:dyDescent="0.25">
      <c r="A1121" t="s">
        <v>67</v>
      </c>
      <c r="B1121" t="s">
        <v>201</v>
      </c>
      <c r="C1121">
        <v>2011</v>
      </c>
      <c r="D1121" t="s">
        <v>330</v>
      </c>
      <c r="E1121" t="s">
        <v>130</v>
      </c>
      <c r="F1121" t="s">
        <v>40</v>
      </c>
      <c r="G1121" t="s">
        <v>327</v>
      </c>
      <c r="H1121" t="s">
        <v>129</v>
      </c>
      <c r="I1121" t="s">
        <v>26</v>
      </c>
      <c r="J1121">
        <v>92065</v>
      </c>
      <c r="K1121">
        <v>33.014000000000003</v>
      </c>
      <c r="L1121">
        <v>-116.875</v>
      </c>
      <c r="M1121" t="s">
        <v>329</v>
      </c>
      <c r="N1121">
        <v>25</v>
      </c>
      <c r="O1121" t="s">
        <v>36</v>
      </c>
      <c r="P1121">
        <v>2</v>
      </c>
      <c r="Q1121">
        <v>1.8</v>
      </c>
      <c r="S1121" s="18">
        <v>40730</v>
      </c>
      <c r="T1121" s="18">
        <v>41067</v>
      </c>
    </row>
    <row r="1122" spans="1:20" hidden="1" x14ac:dyDescent="0.25">
      <c r="A1122" t="s">
        <v>67</v>
      </c>
      <c r="B1122" t="s">
        <v>201</v>
      </c>
      <c r="C1122">
        <v>2011</v>
      </c>
      <c r="D1122" t="s">
        <v>328</v>
      </c>
      <c r="E1122" t="s">
        <v>130</v>
      </c>
      <c r="F1122" t="s">
        <v>40</v>
      </c>
      <c r="G1122" t="s">
        <v>327</v>
      </c>
      <c r="H1122" t="s">
        <v>129</v>
      </c>
      <c r="I1122" t="s">
        <v>26</v>
      </c>
      <c r="J1122">
        <v>92065</v>
      </c>
      <c r="K1122">
        <v>33.014000000000003</v>
      </c>
      <c r="L1122">
        <v>-116.875</v>
      </c>
      <c r="M1122" t="s">
        <v>326</v>
      </c>
      <c r="N1122">
        <v>25</v>
      </c>
      <c r="O1122" t="s">
        <v>36</v>
      </c>
      <c r="P1122">
        <v>5</v>
      </c>
      <c r="Q1122">
        <v>1.8</v>
      </c>
      <c r="S1122" s="18">
        <v>40730</v>
      </c>
      <c r="T1122" s="18">
        <v>41067</v>
      </c>
    </row>
    <row r="1123" spans="1:20" hidden="1" x14ac:dyDescent="0.25">
      <c r="A1123" t="s">
        <v>67</v>
      </c>
      <c r="B1123" t="s">
        <v>201</v>
      </c>
      <c r="C1123">
        <v>2011</v>
      </c>
      <c r="D1123" t="s">
        <v>325</v>
      </c>
      <c r="E1123" t="s">
        <v>130</v>
      </c>
      <c r="F1123" t="s">
        <v>40</v>
      </c>
      <c r="G1123" t="s">
        <v>322</v>
      </c>
      <c r="H1123" t="s">
        <v>129</v>
      </c>
      <c r="I1123" t="s">
        <v>26</v>
      </c>
      <c r="J1123">
        <v>92082</v>
      </c>
      <c r="K1123">
        <v>33.232999999999997</v>
      </c>
      <c r="L1123">
        <v>-117.001</v>
      </c>
      <c r="M1123" t="s">
        <v>324</v>
      </c>
      <c r="N1123">
        <v>25</v>
      </c>
      <c r="O1123" t="s">
        <v>36</v>
      </c>
      <c r="P1123">
        <v>2.5</v>
      </c>
      <c r="Q1123">
        <v>1.7</v>
      </c>
      <c r="S1123" s="18">
        <v>40730</v>
      </c>
      <c r="T1123" s="18">
        <v>41067</v>
      </c>
    </row>
    <row r="1124" spans="1:20" hidden="1" x14ac:dyDescent="0.25">
      <c r="A1124" t="s">
        <v>67</v>
      </c>
      <c r="B1124" t="s">
        <v>201</v>
      </c>
      <c r="C1124">
        <v>2011</v>
      </c>
      <c r="D1124" t="s">
        <v>323</v>
      </c>
      <c r="E1124" t="s">
        <v>130</v>
      </c>
      <c r="F1124" t="s">
        <v>40</v>
      </c>
      <c r="G1124" t="s">
        <v>322</v>
      </c>
      <c r="H1124" t="s">
        <v>129</v>
      </c>
      <c r="I1124" t="s">
        <v>26</v>
      </c>
      <c r="J1124">
        <v>92082</v>
      </c>
      <c r="K1124">
        <v>33.232999999999997</v>
      </c>
      <c r="L1124">
        <v>-117.001</v>
      </c>
      <c r="M1124" t="s">
        <v>321</v>
      </c>
      <c r="N1124">
        <v>25</v>
      </c>
      <c r="O1124" t="s">
        <v>36</v>
      </c>
      <c r="P1124">
        <v>5</v>
      </c>
      <c r="Q1124">
        <v>1.7</v>
      </c>
      <c r="S1124" s="18">
        <v>40730</v>
      </c>
      <c r="T1124" s="18">
        <v>41067</v>
      </c>
    </row>
    <row r="1125" spans="1:20" hidden="1" x14ac:dyDescent="0.25">
      <c r="A1125" t="s">
        <v>67</v>
      </c>
      <c r="B1125" t="s">
        <v>201</v>
      </c>
      <c r="C1125">
        <v>2011</v>
      </c>
      <c r="D1125" t="s">
        <v>320</v>
      </c>
      <c r="E1125" t="s">
        <v>130</v>
      </c>
      <c r="F1125" t="s">
        <v>40</v>
      </c>
      <c r="G1125" t="s">
        <v>319</v>
      </c>
      <c r="H1125" t="s">
        <v>129</v>
      </c>
      <c r="I1125" t="s">
        <v>26</v>
      </c>
      <c r="J1125">
        <v>92004</v>
      </c>
      <c r="K1125">
        <v>33.305</v>
      </c>
      <c r="L1125">
        <v>-116.35</v>
      </c>
      <c r="M1125" t="s">
        <v>318</v>
      </c>
      <c r="N1125">
        <v>25</v>
      </c>
      <c r="O1125" t="s">
        <v>36</v>
      </c>
      <c r="P1125">
        <v>26</v>
      </c>
      <c r="Q1125">
        <v>59</v>
      </c>
      <c r="S1125" s="18">
        <v>40616</v>
      </c>
      <c r="T1125" s="18">
        <v>40794</v>
      </c>
    </row>
    <row r="1126" spans="1:20" hidden="1" x14ac:dyDescent="0.25">
      <c r="A1126" t="s">
        <v>67</v>
      </c>
      <c r="B1126" t="s">
        <v>201</v>
      </c>
      <c r="C1126">
        <v>2009</v>
      </c>
      <c r="D1126" t="s">
        <v>317</v>
      </c>
      <c r="E1126" t="s">
        <v>30</v>
      </c>
      <c r="F1126" t="s">
        <v>40</v>
      </c>
      <c r="G1126" t="s">
        <v>316</v>
      </c>
      <c r="H1126" t="s">
        <v>315</v>
      </c>
      <c r="I1126" t="s">
        <v>314</v>
      </c>
      <c r="J1126">
        <v>59454</v>
      </c>
      <c r="K1126">
        <v>48.820619999999998</v>
      </c>
      <c r="L1126">
        <v>-112.102</v>
      </c>
      <c r="M1126" t="s">
        <v>313</v>
      </c>
      <c r="N1126">
        <v>20</v>
      </c>
      <c r="O1126" t="s">
        <v>24</v>
      </c>
      <c r="P1126">
        <v>189</v>
      </c>
      <c r="Q1126">
        <v>645</v>
      </c>
      <c r="S1126" s="18">
        <v>39962</v>
      </c>
      <c r="T1126" s="18">
        <v>40137</v>
      </c>
    </row>
    <row r="1127" spans="1:20" hidden="1" x14ac:dyDescent="0.25">
      <c r="A1127" t="s">
        <v>67</v>
      </c>
      <c r="B1127" t="s">
        <v>232</v>
      </c>
      <c r="C1127">
        <v>2009</v>
      </c>
      <c r="D1127" t="s">
        <v>312</v>
      </c>
      <c r="E1127" t="s">
        <v>71</v>
      </c>
      <c r="F1127" t="s">
        <v>40</v>
      </c>
      <c r="G1127" t="s">
        <v>311</v>
      </c>
      <c r="H1127" t="s">
        <v>129</v>
      </c>
      <c r="I1127" t="s">
        <v>26</v>
      </c>
      <c r="J1127">
        <v>92071</v>
      </c>
      <c r="K1127">
        <v>32.848500000000001</v>
      </c>
      <c r="L1127">
        <v>-117.02</v>
      </c>
      <c r="M1127" t="s">
        <v>310</v>
      </c>
      <c r="N1127">
        <v>20</v>
      </c>
      <c r="O1127" t="s">
        <v>24</v>
      </c>
      <c r="P1127">
        <v>1.5</v>
      </c>
      <c r="Q1127">
        <v>11.78</v>
      </c>
    </row>
    <row r="1128" spans="1:20" hidden="1" x14ac:dyDescent="0.25">
      <c r="A1128" t="s">
        <v>67</v>
      </c>
      <c r="B1128" t="s">
        <v>263</v>
      </c>
      <c r="C1128">
        <v>2014</v>
      </c>
      <c r="D1128" t="s">
        <v>309</v>
      </c>
      <c r="E1128" t="s">
        <v>71</v>
      </c>
      <c r="F1128" t="s">
        <v>40</v>
      </c>
      <c r="G1128" t="s">
        <v>129</v>
      </c>
      <c r="H1128" t="s">
        <v>129</v>
      </c>
      <c r="I1128" t="s">
        <v>26</v>
      </c>
      <c r="J1128">
        <v>92071</v>
      </c>
      <c r="K1128">
        <v>32.85</v>
      </c>
      <c r="L1128">
        <v>-117.029</v>
      </c>
      <c r="M1128" t="s">
        <v>308</v>
      </c>
      <c r="N1128">
        <v>10</v>
      </c>
      <c r="O1128" t="s">
        <v>36</v>
      </c>
      <c r="P1128">
        <v>2.25</v>
      </c>
      <c r="Q1128">
        <v>13.4</v>
      </c>
    </row>
    <row r="1129" spans="1:20" hidden="1" x14ac:dyDescent="0.25">
      <c r="A1129" t="s">
        <v>67</v>
      </c>
      <c r="B1129" t="s">
        <v>201</v>
      </c>
      <c r="C1129">
        <v>2012</v>
      </c>
      <c r="D1129" t="s">
        <v>307</v>
      </c>
      <c r="E1129" t="s">
        <v>130</v>
      </c>
      <c r="F1129" t="s">
        <v>40</v>
      </c>
      <c r="G1129" t="s">
        <v>306</v>
      </c>
      <c r="H1129" t="s">
        <v>305</v>
      </c>
      <c r="I1129" t="s">
        <v>26</v>
      </c>
      <c r="J1129">
        <v>92233</v>
      </c>
      <c r="K1129">
        <v>33.113835999999999</v>
      </c>
      <c r="L1129">
        <v>-116.00577</v>
      </c>
      <c r="M1129" t="s">
        <v>304</v>
      </c>
      <c r="N1129">
        <v>20</v>
      </c>
      <c r="O1129" t="s">
        <v>36</v>
      </c>
      <c r="P1129">
        <v>20</v>
      </c>
      <c r="Q1129">
        <v>59</v>
      </c>
      <c r="S1129" s="18">
        <v>41261</v>
      </c>
      <c r="T1129" s="18">
        <v>41453</v>
      </c>
    </row>
    <row r="1130" spans="1:20" hidden="1" x14ac:dyDescent="0.25">
      <c r="A1130" t="s">
        <v>67</v>
      </c>
      <c r="B1130" t="s">
        <v>92</v>
      </c>
      <c r="C1130">
        <v>2005</v>
      </c>
      <c r="D1130" t="s">
        <v>303</v>
      </c>
      <c r="E1130" t="s">
        <v>130</v>
      </c>
      <c r="F1130" t="s">
        <v>40</v>
      </c>
      <c r="G1130" t="s">
        <v>302</v>
      </c>
      <c r="H1130" t="s">
        <v>129</v>
      </c>
      <c r="I1130" t="s">
        <v>26</v>
      </c>
      <c r="J1130">
        <v>92009</v>
      </c>
      <c r="K1130">
        <v>33.128988</v>
      </c>
      <c r="L1130">
        <v>-117.259311</v>
      </c>
      <c r="M1130" t="s">
        <v>301</v>
      </c>
      <c r="N1130">
        <v>25</v>
      </c>
      <c r="O1130" t="s">
        <v>36</v>
      </c>
      <c r="P1130">
        <v>0.08</v>
      </c>
      <c r="Q1130">
        <v>0.13</v>
      </c>
    </row>
    <row r="1131" spans="1:20" hidden="1" x14ac:dyDescent="0.25">
      <c r="A1131" t="s">
        <v>67</v>
      </c>
      <c r="B1131" t="s">
        <v>92</v>
      </c>
      <c r="C1131">
        <v>2015</v>
      </c>
      <c r="D1131" t="s">
        <v>300</v>
      </c>
      <c r="E1131" t="s">
        <v>130</v>
      </c>
      <c r="F1131" t="s">
        <v>40</v>
      </c>
      <c r="G1131" t="s">
        <v>299</v>
      </c>
      <c r="H1131" t="s">
        <v>129</v>
      </c>
      <c r="I1131" t="s">
        <v>26</v>
      </c>
      <c r="J1131">
        <v>92028</v>
      </c>
      <c r="K1131">
        <v>33.146321</v>
      </c>
      <c r="L1131">
        <v>-117.22134699999999</v>
      </c>
      <c r="M1131" t="s">
        <v>298</v>
      </c>
      <c r="N1131">
        <v>10</v>
      </c>
      <c r="O1131" t="s">
        <v>36</v>
      </c>
      <c r="P1131">
        <v>0.38429999999999997</v>
      </c>
      <c r="Q1131">
        <v>0.58399999999999996</v>
      </c>
    </row>
    <row r="1132" spans="1:20" hidden="1" x14ac:dyDescent="0.25">
      <c r="A1132" t="s">
        <v>67</v>
      </c>
      <c r="B1132" t="s">
        <v>197</v>
      </c>
      <c r="C1132">
        <v>2023</v>
      </c>
      <c r="D1132" t="s">
        <v>297</v>
      </c>
      <c r="E1132" t="s">
        <v>291</v>
      </c>
      <c r="F1132" t="s">
        <v>204</v>
      </c>
      <c r="G1132" t="s">
        <v>296</v>
      </c>
      <c r="H1132" t="s">
        <v>295</v>
      </c>
      <c r="I1132" t="s">
        <v>294</v>
      </c>
      <c r="J1132">
        <v>89061</v>
      </c>
      <c r="K1132">
        <v>36.067942000000002</v>
      </c>
      <c r="L1132">
        <v>-115.78035800000001</v>
      </c>
      <c r="M1132" t="s">
        <v>293</v>
      </c>
      <c r="N1132">
        <v>15</v>
      </c>
      <c r="O1132" t="s">
        <v>36</v>
      </c>
      <c r="P1132">
        <v>65</v>
      </c>
      <c r="Q1132">
        <v>73</v>
      </c>
      <c r="S1132" s="18">
        <v>45030</v>
      </c>
      <c r="T1132" s="18">
        <v>45148</v>
      </c>
    </row>
    <row r="1133" spans="1:20" hidden="1" x14ac:dyDescent="0.25">
      <c r="A1133" t="s">
        <v>67</v>
      </c>
      <c r="B1133" t="s">
        <v>197</v>
      </c>
      <c r="C1133">
        <v>2023</v>
      </c>
      <c r="D1133" t="s">
        <v>292</v>
      </c>
      <c r="E1133" t="s">
        <v>291</v>
      </c>
      <c r="F1133" t="s">
        <v>204</v>
      </c>
      <c r="G1133" t="s">
        <v>290</v>
      </c>
      <c r="H1133" t="s">
        <v>146</v>
      </c>
      <c r="I1133" t="s">
        <v>26</v>
      </c>
      <c r="J1133">
        <v>93640</v>
      </c>
      <c r="K1133">
        <v>36.592419</v>
      </c>
      <c r="L1133">
        <v>-120.40313399999999</v>
      </c>
      <c r="M1133" t="s">
        <v>289</v>
      </c>
      <c r="N1133">
        <v>15</v>
      </c>
      <c r="O1133" t="s">
        <v>36</v>
      </c>
      <c r="P1133">
        <v>113.5</v>
      </c>
      <c r="Q1133">
        <v>165.7</v>
      </c>
      <c r="S1133" s="18">
        <v>45030</v>
      </c>
      <c r="T1133" s="18">
        <v>45148</v>
      </c>
    </row>
    <row r="1134" spans="1:20" hidden="1" x14ac:dyDescent="0.25">
      <c r="A1134" t="s">
        <v>43</v>
      </c>
      <c r="B1134" t="s">
        <v>197</v>
      </c>
      <c r="C1134">
        <v>2005</v>
      </c>
      <c r="D1134" t="s">
        <v>288</v>
      </c>
      <c r="E1134" t="s">
        <v>30</v>
      </c>
      <c r="F1134" t="s">
        <v>40</v>
      </c>
      <c r="G1134" t="s">
        <v>81</v>
      </c>
      <c r="H1134" t="s">
        <v>12</v>
      </c>
      <c r="I1134" t="s">
        <v>26</v>
      </c>
      <c r="J1134">
        <v>93501</v>
      </c>
      <c r="K1134">
        <v>35.103000000000002</v>
      </c>
      <c r="L1134">
        <v>-118.22748</v>
      </c>
      <c r="M1134" t="s">
        <v>287</v>
      </c>
      <c r="N1134">
        <v>23</v>
      </c>
      <c r="O1134" t="s">
        <v>24</v>
      </c>
      <c r="P1134">
        <v>168</v>
      </c>
      <c r="Q1134">
        <v>529.79999999999995</v>
      </c>
      <c r="S1134" s="18">
        <v>39269</v>
      </c>
      <c r="T1134" s="18">
        <v>39583</v>
      </c>
    </row>
    <row r="1135" spans="1:20" hidden="1" x14ac:dyDescent="0.25">
      <c r="A1135" t="s">
        <v>43</v>
      </c>
      <c r="B1135" t="s">
        <v>197</v>
      </c>
      <c r="C1135">
        <v>2005</v>
      </c>
      <c r="D1135" t="s">
        <v>286</v>
      </c>
      <c r="E1135" t="s">
        <v>30</v>
      </c>
      <c r="F1135" t="s">
        <v>40</v>
      </c>
      <c r="G1135" t="s">
        <v>81</v>
      </c>
      <c r="H1135" t="s">
        <v>12</v>
      </c>
      <c r="I1135" t="s">
        <v>26</v>
      </c>
      <c r="J1135">
        <v>93501</v>
      </c>
      <c r="K1135">
        <v>35.026800000000001</v>
      </c>
      <c r="L1135">
        <v>-118.223333</v>
      </c>
      <c r="M1135" t="s">
        <v>285</v>
      </c>
      <c r="N1135">
        <v>23</v>
      </c>
      <c r="O1135" t="s">
        <v>24</v>
      </c>
      <c r="P1135">
        <v>132</v>
      </c>
      <c r="Q1135">
        <v>416.28</v>
      </c>
      <c r="S1135" s="18">
        <v>39269</v>
      </c>
      <c r="T1135" s="18">
        <v>39583</v>
      </c>
    </row>
    <row r="1136" spans="1:20" hidden="1" x14ac:dyDescent="0.25">
      <c r="A1136" t="s">
        <v>33</v>
      </c>
      <c r="B1136" t="s">
        <v>263</v>
      </c>
      <c r="C1136">
        <v>2013</v>
      </c>
      <c r="D1136" t="s">
        <v>284</v>
      </c>
      <c r="E1136" t="s">
        <v>71</v>
      </c>
      <c r="F1136" t="s">
        <v>40</v>
      </c>
      <c r="G1136" t="s">
        <v>283</v>
      </c>
      <c r="H1136" t="s">
        <v>120</v>
      </c>
      <c r="I1136" t="s">
        <v>26</v>
      </c>
      <c r="J1136">
        <v>94515</v>
      </c>
      <c r="K1136">
        <v>38.576183981472902</v>
      </c>
      <c r="L1136">
        <v>-122.530210274571</v>
      </c>
      <c r="M1136" t="s">
        <v>282</v>
      </c>
      <c r="N1136">
        <v>10</v>
      </c>
      <c r="O1136" t="s">
        <v>36</v>
      </c>
      <c r="P1136">
        <v>0.84799999999999998</v>
      </c>
      <c r="Q1136">
        <v>5.7469999999999999</v>
      </c>
    </row>
    <row r="1137" spans="1:23" hidden="1" x14ac:dyDescent="0.25">
      <c r="A1137" t="s">
        <v>33</v>
      </c>
      <c r="B1137" t="s">
        <v>263</v>
      </c>
      <c r="C1137">
        <v>2021</v>
      </c>
      <c r="D1137" t="s">
        <v>281</v>
      </c>
      <c r="E1137" t="s">
        <v>47</v>
      </c>
      <c r="F1137" t="s">
        <v>40</v>
      </c>
      <c r="G1137" t="s">
        <v>280</v>
      </c>
      <c r="H1137" t="s">
        <v>146</v>
      </c>
      <c r="I1137" t="s">
        <v>26</v>
      </c>
      <c r="J1137">
        <v>93657</v>
      </c>
      <c r="K1137">
        <v>36.764490878662599</v>
      </c>
      <c r="L1137">
        <v>-119.44185596681599</v>
      </c>
      <c r="M1137" t="s">
        <v>277</v>
      </c>
      <c r="N1137">
        <v>20</v>
      </c>
      <c r="O1137" t="s">
        <v>36</v>
      </c>
      <c r="P1137">
        <v>0.6</v>
      </c>
      <c r="Q1137">
        <v>1.2</v>
      </c>
    </row>
    <row r="1138" spans="1:23" hidden="1" x14ac:dyDescent="0.25">
      <c r="A1138" t="s">
        <v>33</v>
      </c>
      <c r="B1138" t="s">
        <v>263</v>
      </c>
      <c r="C1138">
        <v>2021</v>
      </c>
      <c r="D1138" t="s">
        <v>279</v>
      </c>
      <c r="E1138" t="s">
        <v>47</v>
      </c>
      <c r="F1138" t="s">
        <v>40</v>
      </c>
      <c r="G1138" t="s">
        <v>278</v>
      </c>
      <c r="H1138" t="s">
        <v>146</v>
      </c>
      <c r="I1138" t="s">
        <v>26</v>
      </c>
      <c r="J1138">
        <v>93626</v>
      </c>
      <c r="K1138">
        <v>36.9989066893516</v>
      </c>
      <c r="L1138">
        <v>-119.704610232715</v>
      </c>
      <c r="M1138" t="s">
        <v>277</v>
      </c>
      <c r="N1138">
        <v>20</v>
      </c>
      <c r="O1138" t="s">
        <v>36</v>
      </c>
      <c r="P1138">
        <v>0.52</v>
      </c>
      <c r="Q1138">
        <v>3.2749999999999999</v>
      </c>
    </row>
    <row r="1139" spans="1:23" hidden="1" x14ac:dyDescent="0.25">
      <c r="A1139" t="s">
        <v>33</v>
      </c>
      <c r="B1139" t="s">
        <v>263</v>
      </c>
      <c r="C1139">
        <v>2014</v>
      </c>
      <c r="D1139" t="s">
        <v>276</v>
      </c>
      <c r="E1139" t="s">
        <v>130</v>
      </c>
      <c r="F1139" t="s">
        <v>40</v>
      </c>
      <c r="G1139" t="s">
        <v>275</v>
      </c>
      <c r="H1139" t="s">
        <v>274</v>
      </c>
      <c r="I1139" t="s">
        <v>26</v>
      </c>
      <c r="J1139">
        <v>96021</v>
      </c>
      <c r="K1139">
        <v>39.925849900000003</v>
      </c>
      <c r="L1139">
        <v>-122.13108800000001</v>
      </c>
      <c r="M1139" t="s">
        <v>273</v>
      </c>
      <c r="N1139">
        <v>20</v>
      </c>
      <c r="O1139" t="s">
        <v>36</v>
      </c>
      <c r="P1139">
        <v>0.498</v>
      </c>
      <c r="Q1139">
        <v>0.99399999999999999</v>
      </c>
    </row>
    <row r="1140" spans="1:23" x14ac:dyDescent="0.25">
      <c r="A1140" t="s">
        <v>33</v>
      </c>
      <c r="B1140" t="s">
        <v>232</v>
      </c>
      <c r="C1140">
        <v>2011</v>
      </c>
      <c r="D1140" t="s">
        <v>272</v>
      </c>
      <c r="E1140" t="s">
        <v>130</v>
      </c>
      <c r="F1140" t="s">
        <v>40</v>
      </c>
      <c r="G1140" t="s">
        <v>203</v>
      </c>
      <c r="H1140" t="s">
        <v>12</v>
      </c>
      <c r="I1140" t="s">
        <v>26</v>
      </c>
      <c r="J1140">
        <v>93249</v>
      </c>
      <c r="K1140">
        <v>35.645530999999998</v>
      </c>
      <c r="L1140">
        <v>-119.72090900000001</v>
      </c>
      <c r="M1140" t="s">
        <v>271</v>
      </c>
      <c r="N1140">
        <v>20</v>
      </c>
      <c r="O1140" t="s">
        <v>36</v>
      </c>
      <c r="P1140">
        <v>1.5</v>
      </c>
      <c r="Q1140">
        <v>2.0979999999999999</v>
      </c>
    </row>
    <row r="1141" spans="1:23" hidden="1" x14ac:dyDescent="0.25">
      <c r="A1141" t="s">
        <v>43</v>
      </c>
      <c r="B1141" t="s">
        <v>32</v>
      </c>
      <c r="C1141">
        <v>1985</v>
      </c>
      <c r="D1141" t="s">
        <v>269</v>
      </c>
      <c r="E1141" t="s">
        <v>47</v>
      </c>
      <c r="F1141" t="s">
        <v>29</v>
      </c>
      <c r="G1141" t="s">
        <v>270</v>
      </c>
      <c r="H1141" t="s">
        <v>270</v>
      </c>
      <c r="I1141" t="s">
        <v>26</v>
      </c>
      <c r="J1141">
        <v>93108</v>
      </c>
      <c r="K1141">
        <v>34.450299999999999</v>
      </c>
      <c r="L1141">
        <v>-119.58014900000001</v>
      </c>
      <c r="M1141" t="s">
        <v>269</v>
      </c>
      <c r="N1141">
        <v>30</v>
      </c>
      <c r="O1141" t="s">
        <v>24</v>
      </c>
      <c r="P1141">
        <v>0.13</v>
      </c>
      <c r="Q1141">
        <v>0.63</v>
      </c>
    </row>
    <row r="1142" spans="1:23" hidden="1" x14ac:dyDescent="0.25">
      <c r="A1142" t="s">
        <v>33</v>
      </c>
      <c r="B1142" t="s">
        <v>32</v>
      </c>
      <c r="C1142">
        <v>1984</v>
      </c>
      <c r="D1142" t="s">
        <v>268</v>
      </c>
      <c r="E1142" t="s">
        <v>143</v>
      </c>
      <c r="F1142" t="s">
        <v>52</v>
      </c>
      <c r="G1142" t="s">
        <v>64</v>
      </c>
      <c r="H1142" t="s">
        <v>63</v>
      </c>
      <c r="I1142" t="s">
        <v>26</v>
      </c>
      <c r="J1142">
        <v>96136</v>
      </c>
      <c r="K1142">
        <v>40.356668999999997</v>
      </c>
      <c r="L1142">
        <v>-120.25639099999999</v>
      </c>
      <c r="M1142" t="s">
        <v>267</v>
      </c>
      <c r="N1142">
        <v>30</v>
      </c>
      <c r="O1142" t="s">
        <v>24</v>
      </c>
      <c r="P1142">
        <v>0.7</v>
      </c>
      <c r="Q1142">
        <v>3.137</v>
      </c>
      <c r="W1142" s="18">
        <v>42035</v>
      </c>
    </row>
    <row r="1143" spans="1:23" hidden="1" x14ac:dyDescent="0.25">
      <c r="A1143" t="s">
        <v>33</v>
      </c>
      <c r="B1143" t="s">
        <v>127</v>
      </c>
      <c r="C1143">
        <v>2012</v>
      </c>
      <c r="D1143" t="s">
        <v>266</v>
      </c>
      <c r="E1143" t="s">
        <v>47</v>
      </c>
      <c r="F1143" t="s">
        <v>52</v>
      </c>
      <c r="G1143" t="s">
        <v>187</v>
      </c>
      <c r="H1143" t="s">
        <v>265</v>
      </c>
      <c r="I1143" t="s">
        <v>26</v>
      </c>
      <c r="J1143">
        <v>95595</v>
      </c>
      <c r="K1143">
        <v>40.17</v>
      </c>
      <c r="L1143">
        <v>-123.643</v>
      </c>
      <c r="M1143" t="s">
        <v>264</v>
      </c>
      <c r="N1143">
        <v>7</v>
      </c>
      <c r="O1143" t="s">
        <v>36</v>
      </c>
      <c r="P1143">
        <v>5.4450000000000003</v>
      </c>
      <c r="Q1143">
        <v>16</v>
      </c>
      <c r="W1143" s="18">
        <v>42155</v>
      </c>
    </row>
    <row r="1144" spans="1:23" hidden="1" x14ac:dyDescent="0.25">
      <c r="A1144" t="s">
        <v>43</v>
      </c>
      <c r="B1144" t="s">
        <v>263</v>
      </c>
      <c r="C1144">
        <v>2015</v>
      </c>
      <c r="D1144" t="s">
        <v>262</v>
      </c>
      <c r="E1144" t="s">
        <v>30</v>
      </c>
      <c r="F1144" t="s">
        <v>40</v>
      </c>
      <c r="G1144" t="s">
        <v>60</v>
      </c>
      <c r="H1144" t="s">
        <v>88</v>
      </c>
      <c r="I1144" t="s">
        <v>26</v>
      </c>
      <c r="J1144">
        <v>92262</v>
      </c>
      <c r="K1144">
        <v>33.891197991993501</v>
      </c>
      <c r="L1144">
        <v>-116.54788792861901</v>
      </c>
      <c r="M1144" t="s">
        <v>211</v>
      </c>
      <c r="N1144">
        <v>15</v>
      </c>
      <c r="O1144" t="s">
        <v>36</v>
      </c>
      <c r="P1144">
        <v>3</v>
      </c>
      <c r="Q1144">
        <v>5.6</v>
      </c>
    </row>
    <row r="1145" spans="1:23" hidden="1" x14ac:dyDescent="0.25">
      <c r="A1145" t="s">
        <v>43</v>
      </c>
      <c r="B1145" t="s">
        <v>32</v>
      </c>
      <c r="C1145">
        <v>2017</v>
      </c>
      <c r="D1145" t="s">
        <v>261</v>
      </c>
      <c r="E1145" t="s">
        <v>47</v>
      </c>
      <c r="F1145" t="s">
        <v>40</v>
      </c>
      <c r="G1145" t="s">
        <v>260</v>
      </c>
      <c r="H1145" t="s">
        <v>259</v>
      </c>
      <c r="I1145" t="s">
        <v>26</v>
      </c>
      <c r="J1145">
        <v>91750</v>
      </c>
      <c r="K1145">
        <v>34.115900000000003</v>
      </c>
      <c r="L1145">
        <v>-117.750919</v>
      </c>
      <c r="M1145" t="s">
        <v>258</v>
      </c>
      <c r="N1145">
        <v>7</v>
      </c>
      <c r="O1145" t="s">
        <v>36</v>
      </c>
      <c r="P1145">
        <v>0.35</v>
      </c>
      <c r="Q1145">
        <v>0.543126</v>
      </c>
    </row>
    <row r="1146" spans="1:23" hidden="1" x14ac:dyDescent="0.25">
      <c r="A1146" t="s">
        <v>43</v>
      </c>
      <c r="B1146" t="s">
        <v>197</v>
      </c>
      <c r="C1146">
        <v>2007</v>
      </c>
      <c r="D1146" t="s">
        <v>257</v>
      </c>
      <c r="E1146" t="s">
        <v>30</v>
      </c>
      <c r="F1146" t="s">
        <v>40</v>
      </c>
      <c r="G1146" t="s">
        <v>252</v>
      </c>
      <c r="H1146" t="s">
        <v>251</v>
      </c>
      <c r="I1146" t="s">
        <v>250</v>
      </c>
      <c r="J1146">
        <v>97812</v>
      </c>
      <c r="K1146">
        <v>45.702800000000003</v>
      </c>
      <c r="L1146">
        <v>-120.15388900000001</v>
      </c>
      <c r="M1146" t="s">
        <v>256</v>
      </c>
      <c r="N1146">
        <v>20</v>
      </c>
      <c r="O1146" t="s">
        <v>24</v>
      </c>
      <c r="P1146">
        <v>265</v>
      </c>
      <c r="Q1146">
        <v>658</v>
      </c>
      <c r="S1146" s="18">
        <v>39731</v>
      </c>
      <c r="T1146" s="18">
        <v>40080</v>
      </c>
    </row>
    <row r="1147" spans="1:23" hidden="1" x14ac:dyDescent="0.25">
      <c r="A1147" t="s">
        <v>43</v>
      </c>
      <c r="B1147" t="s">
        <v>197</v>
      </c>
      <c r="C1147">
        <v>2007</v>
      </c>
      <c r="D1147" t="s">
        <v>255</v>
      </c>
      <c r="E1147" t="s">
        <v>30</v>
      </c>
      <c r="F1147" t="s">
        <v>40</v>
      </c>
      <c r="G1147" t="s">
        <v>252</v>
      </c>
      <c r="H1147" t="s">
        <v>251</v>
      </c>
      <c r="I1147" t="s">
        <v>250</v>
      </c>
      <c r="J1147">
        <v>97812</v>
      </c>
      <c r="K1147">
        <v>45.718800000000002</v>
      </c>
      <c r="L1147">
        <v>-120.11505</v>
      </c>
      <c r="M1147" t="s">
        <v>254</v>
      </c>
      <c r="N1147">
        <v>20</v>
      </c>
      <c r="O1147" t="s">
        <v>24</v>
      </c>
      <c r="P1147">
        <v>290</v>
      </c>
      <c r="Q1147">
        <v>720</v>
      </c>
      <c r="S1147" s="18">
        <v>39731</v>
      </c>
      <c r="T1147" s="18">
        <v>40080</v>
      </c>
    </row>
    <row r="1148" spans="1:23" hidden="1" x14ac:dyDescent="0.25">
      <c r="A1148" t="s">
        <v>43</v>
      </c>
      <c r="B1148" t="s">
        <v>197</v>
      </c>
      <c r="C1148">
        <v>2007</v>
      </c>
      <c r="D1148" t="s">
        <v>253</v>
      </c>
      <c r="E1148" t="s">
        <v>30</v>
      </c>
      <c r="F1148" t="s">
        <v>40</v>
      </c>
      <c r="G1148" t="s">
        <v>252</v>
      </c>
      <c r="H1148" t="s">
        <v>251</v>
      </c>
      <c r="I1148" t="s">
        <v>250</v>
      </c>
      <c r="J1148">
        <v>97843</v>
      </c>
      <c r="K1148">
        <v>45.613100000000003</v>
      </c>
      <c r="L1148">
        <v>-120.011072</v>
      </c>
      <c r="M1148" t="s">
        <v>249</v>
      </c>
      <c r="N1148">
        <v>20</v>
      </c>
      <c r="O1148" t="s">
        <v>24</v>
      </c>
      <c r="P1148">
        <v>290</v>
      </c>
      <c r="Q1148">
        <v>720</v>
      </c>
      <c r="S1148" s="18">
        <v>39731</v>
      </c>
      <c r="T1148" s="18">
        <v>40080</v>
      </c>
    </row>
    <row r="1149" spans="1:23" hidden="1" x14ac:dyDescent="0.25">
      <c r="A1149" t="s">
        <v>33</v>
      </c>
      <c r="B1149" t="s">
        <v>127</v>
      </c>
      <c r="C1149">
        <v>2019</v>
      </c>
      <c r="D1149" t="s">
        <v>247</v>
      </c>
      <c r="E1149" t="s">
        <v>47</v>
      </c>
      <c r="F1149" t="s">
        <v>40</v>
      </c>
      <c r="G1149" t="s">
        <v>248</v>
      </c>
      <c r="H1149" t="s">
        <v>74</v>
      </c>
      <c r="I1149" t="s">
        <v>26</v>
      </c>
      <c r="J1149">
        <v>96096</v>
      </c>
      <c r="K1149">
        <v>40.6374</v>
      </c>
      <c r="L1149">
        <v>-120.928</v>
      </c>
      <c r="M1149" t="s">
        <v>247</v>
      </c>
      <c r="N1149">
        <v>7</v>
      </c>
      <c r="O1149" t="s">
        <v>36</v>
      </c>
      <c r="P1149">
        <v>5.5</v>
      </c>
      <c r="Q1149">
        <v>16.559999999999999</v>
      </c>
      <c r="S1149" s="18">
        <v>44042</v>
      </c>
    </row>
    <row r="1150" spans="1:23" hidden="1" x14ac:dyDescent="0.25">
      <c r="A1150" t="s">
        <v>43</v>
      </c>
      <c r="B1150" t="s">
        <v>197</v>
      </c>
      <c r="C1150">
        <v>2005</v>
      </c>
      <c r="D1150" t="s">
        <v>246</v>
      </c>
      <c r="E1150" t="s">
        <v>30</v>
      </c>
      <c r="F1150" t="s">
        <v>40</v>
      </c>
      <c r="G1150" t="s">
        <v>81</v>
      </c>
      <c r="H1150" t="s">
        <v>12</v>
      </c>
      <c r="I1150" t="s">
        <v>26</v>
      </c>
      <c r="J1150">
        <v>93501</v>
      </c>
      <c r="K1150">
        <v>35.012999999999998</v>
      </c>
      <c r="L1150">
        <v>-118.30892299999999</v>
      </c>
      <c r="M1150" t="s">
        <v>245</v>
      </c>
      <c r="N1150">
        <v>25</v>
      </c>
      <c r="O1150" t="s">
        <v>24</v>
      </c>
      <c r="P1150">
        <v>150</v>
      </c>
      <c r="Q1150">
        <v>473.04</v>
      </c>
      <c r="S1150" s="18">
        <v>39269</v>
      </c>
      <c r="T1150" s="18">
        <v>39583</v>
      </c>
    </row>
    <row r="1151" spans="1:23" hidden="1" x14ac:dyDescent="0.25">
      <c r="A1151" t="s">
        <v>43</v>
      </c>
      <c r="B1151" t="s">
        <v>197</v>
      </c>
      <c r="C1151">
        <v>2005</v>
      </c>
      <c r="D1151" t="s">
        <v>244</v>
      </c>
      <c r="E1151" t="s">
        <v>30</v>
      </c>
      <c r="F1151" t="s">
        <v>40</v>
      </c>
      <c r="G1151" t="s">
        <v>81</v>
      </c>
      <c r="H1151" t="s">
        <v>12</v>
      </c>
      <c r="I1151" t="s">
        <v>26</v>
      </c>
      <c r="J1151">
        <v>93501</v>
      </c>
      <c r="K1151">
        <v>35.023299999999999</v>
      </c>
      <c r="L1151">
        <v>-118.283219</v>
      </c>
      <c r="M1151" t="s">
        <v>243</v>
      </c>
      <c r="N1151">
        <v>25</v>
      </c>
      <c r="O1151" t="s">
        <v>24</v>
      </c>
      <c r="P1151">
        <v>150</v>
      </c>
      <c r="Q1151">
        <v>473.04</v>
      </c>
      <c r="S1151" s="18">
        <v>39269</v>
      </c>
      <c r="T1151" s="18">
        <v>39583</v>
      </c>
    </row>
    <row r="1152" spans="1:23" hidden="1" x14ac:dyDescent="0.25">
      <c r="A1152" t="s">
        <v>43</v>
      </c>
      <c r="B1152" t="s">
        <v>197</v>
      </c>
      <c r="C1152">
        <v>2005</v>
      </c>
      <c r="D1152" t="s">
        <v>242</v>
      </c>
      <c r="E1152" t="s">
        <v>30</v>
      </c>
      <c r="F1152" t="s">
        <v>40</v>
      </c>
      <c r="G1152" t="s">
        <v>81</v>
      </c>
      <c r="H1152" t="s">
        <v>12</v>
      </c>
      <c r="I1152" t="s">
        <v>26</v>
      </c>
      <c r="J1152">
        <v>93501</v>
      </c>
      <c r="K1152">
        <v>35.103000000000002</v>
      </c>
      <c r="L1152">
        <v>-118.22748</v>
      </c>
      <c r="M1152" t="s">
        <v>241</v>
      </c>
      <c r="N1152">
        <v>23</v>
      </c>
      <c r="O1152" t="s">
        <v>36</v>
      </c>
      <c r="P1152">
        <v>138</v>
      </c>
      <c r="Q1152">
        <v>416</v>
      </c>
      <c r="S1152" s="18">
        <v>40906</v>
      </c>
      <c r="T1152" s="18">
        <v>39583</v>
      </c>
    </row>
    <row r="1153" spans="1:20" hidden="1" x14ac:dyDescent="0.25">
      <c r="A1153" t="s">
        <v>43</v>
      </c>
      <c r="B1153" t="s">
        <v>197</v>
      </c>
      <c r="C1153">
        <v>2005</v>
      </c>
      <c r="D1153" t="s">
        <v>240</v>
      </c>
      <c r="E1153" t="s">
        <v>30</v>
      </c>
      <c r="F1153" t="s">
        <v>40</v>
      </c>
      <c r="G1153" t="s">
        <v>81</v>
      </c>
      <c r="H1153" t="s">
        <v>12</v>
      </c>
      <c r="I1153" t="s">
        <v>26</v>
      </c>
      <c r="J1153">
        <v>93501</v>
      </c>
      <c r="K1153">
        <v>35.103000000000002</v>
      </c>
      <c r="L1153">
        <v>-118.22748</v>
      </c>
      <c r="M1153" t="s">
        <v>239</v>
      </c>
      <c r="N1153">
        <v>23</v>
      </c>
      <c r="O1153" t="s">
        <v>36</v>
      </c>
      <c r="P1153">
        <v>90</v>
      </c>
      <c r="Q1153">
        <v>416.28</v>
      </c>
      <c r="S1153" s="18">
        <v>40906</v>
      </c>
      <c r="T1153" s="18">
        <v>39583</v>
      </c>
    </row>
    <row r="1154" spans="1:20" hidden="1" x14ac:dyDescent="0.25">
      <c r="A1154" t="s">
        <v>43</v>
      </c>
      <c r="B1154" t="s">
        <v>32</v>
      </c>
      <c r="C1154">
        <v>1982</v>
      </c>
      <c r="D1154" t="s">
        <v>238</v>
      </c>
      <c r="E1154" t="s">
        <v>47</v>
      </c>
      <c r="F1154" t="s">
        <v>40</v>
      </c>
      <c r="G1154" t="s">
        <v>237</v>
      </c>
      <c r="H1154" t="s">
        <v>236</v>
      </c>
      <c r="I1154" t="s">
        <v>26</v>
      </c>
      <c r="J1154">
        <v>93514</v>
      </c>
      <c r="K1154">
        <v>37.661999999999999</v>
      </c>
      <c r="L1154">
        <v>-118.39467999999999</v>
      </c>
      <c r="M1154" t="s">
        <v>235</v>
      </c>
      <c r="N1154">
        <v>45</v>
      </c>
      <c r="O1154" t="s">
        <v>24</v>
      </c>
      <c r="P1154">
        <v>0.94799999999999995</v>
      </c>
      <c r="Q1154">
        <v>1.57</v>
      </c>
    </row>
    <row r="1155" spans="1:20" hidden="1" x14ac:dyDescent="0.25">
      <c r="A1155" t="s">
        <v>43</v>
      </c>
      <c r="B1155" t="s">
        <v>32</v>
      </c>
      <c r="C1155">
        <v>1985</v>
      </c>
      <c r="D1155" t="s">
        <v>233</v>
      </c>
      <c r="E1155" t="s">
        <v>47</v>
      </c>
      <c r="F1155" t="s">
        <v>40</v>
      </c>
      <c r="G1155" t="s">
        <v>155</v>
      </c>
      <c r="H1155" t="s">
        <v>234</v>
      </c>
      <c r="I1155" t="s">
        <v>26</v>
      </c>
      <c r="J1155">
        <v>93010</v>
      </c>
      <c r="K1155">
        <v>34.230800000000002</v>
      </c>
      <c r="L1155">
        <v>-119.05198300000001</v>
      </c>
      <c r="M1155" t="s">
        <v>233</v>
      </c>
      <c r="N1155">
        <v>999</v>
      </c>
      <c r="O1155" t="s">
        <v>24</v>
      </c>
      <c r="P1155">
        <v>0.15</v>
      </c>
    </row>
    <row r="1156" spans="1:20" hidden="1" x14ac:dyDescent="0.25">
      <c r="A1156" t="s">
        <v>33</v>
      </c>
      <c r="B1156" t="s">
        <v>232</v>
      </c>
      <c r="C1156">
        <v>2011</v>
      </c>
      <c r="D1156" t="s">
        <v>231</v>
      </c>
      <c r="E1156" t="s">
        <v>130</v>
      </c>
      <c r="F1156" t="s">
        <v>40</v>
      </c>
      <c r="G1156" t="s">
        <v>230</v>
      </c>
      <c r="H1156" t="s">
        <v>229</v>
      </c>
      <c r="I1156" t="s">
        <v>26</v>
      </c>
      <c r="J1156">
        <v>93432</v>
      </c>
      <c r="K1156">
        <v>35.481515999999999</v>
      </c>
      <c r="L1156">
        <v>-120.506601</v>
      </c>
      <c r="M1156" t="s">
        <v>228</v>
      </c>
      <c r="N1156">
        <v>20</v>
      </c>
      <c r="O1156" t="s">
        <v>36</v>
      </c>
      <c r="P1156">
        <v>0.5</v>
      </c>
      <c r="Q1156">
        <v>0.7</v>
      </c>
    </row>
    <row r="1157" spans="1:20" hidden="1" x14ac:dyDescent="0.25">
      <c r="A1157" t="s">
        <v>33</v>
      </c>
      <c r="B1157" t="s">
        <v>201</v>
      </c>
      <c r="C1157">
        <v>2003</v>
      </c>
      <c r="D1157" t="s">
        <v>227</v>
      </c>
      <c r="E1157" t="s">
        <v>30</v>
      </c>
      <c r="F1157" t="s">
        <v>40</v>
      </c>
      <c r="G1157" t="s">
        <v>226</v>
      </c>
      <c r="H1157" t="s">
        <v>27</v>
      </c>
      <c r="I1157" t="s">
        <v>26</v>
      </c>
      <c r="J1157">
        <v>94550</v>
      </c>
      <c r="K1157">
        <v>37.758889000000003</v>
      </c>
      <c r="L1157">
        <v>-121.621944</v>
      </c>
      <c r="M1157" t="s">
        <v>225</v>
      </c>
      <c r="N1157">
        <v>12</v>
      </c>
      <c r="P1157">
        <v>18</v>
      </c>
      <c r="Q1157">
        <v>65</v>
      </c>
    </row>
    <row r="1158" spans="1:20" hidden="1" x14ac:dyDescent="0.25">
      <c r="A1158" t="s">
        <v>33</v>
      </c>
      <c r="B1158" t="s">
        <v>127</v>
      </c>
      <c r="C1158">
        <v>2016</v>
      </c>
      <c r="D1158" t="s">
        <v>224</v>
      </c>
      <c r="E1158" t="s">
        <v>47</v>
      </c>
      <c r="F1158" t="s">
        <v>29</v>
      </c>
      <c r="G1158" t="s">
        <v>75</v>
      </c>
      <c r="H1158" t="s">
        <v>74</v>
      </c>
      <c r="I1158" t="s">
        <v>26</v>
      </c>
      <c r="J1158">
        <v>96088</v>
      </c>
      <c r="K1158">
        <v>40.533057999999997</v>
      </c>
      <c r="L1158">
        <v>-121.94999900000001</v>
      </c>
      <c r="M1158" t="s">
        <v>73</v>
      </c>
      <c r="O1158" t="s">
        <v>36</v>
      </c>
      <c r="P1158">
        <v>3</v>
      </c>
      <c r="Q1158">
        <v>8.3520000000000003</v>
      </c>
    </row>
    <row r="1159" spans="1:20" hidden="1" x14ac:dyDescent="0.25">
      <c r="A1159" t="s">
        <v>33</v>
      </c>
      <c r="B1159" t="s">
        <v>32</v>
      </c>
      <c r="C1159">
        <v>1984</v>
      </c>
      <c r="D1159" t="s">
        <v>223</v>
      </c>
      <c r="E1159" t="s">
        <v>30</v>
      </c>
      <c r="F1159" t="s">
        <v>29</v>
      </c>
      <c r="G1159" t="s">
        <v>28</v>
      </c>
      <c r="H1159" t="s">
        <v>35</v>
      </c>
      <c r="I1159" t="s">
        <v>26</v>
      </c>
      <c r="J1159">
        <v>95377</v>
      </c>
      <c r="K1159">
        <v>37.730615999999998</v>
      </c>
      <c r="L1159">
        <v>-121.58965000000001</v>
      </c>
      <c r="M1159" t="s">
        <v>25</v>
      </c>
      <c r="N1159">
        <v>28</v>
      </c>
      <c r="O1159" t="s">
        <v>24</v>
      </c>
      <c r="P1159">
        <v>54</v>
      </c>
      <c r="Q1159">
        <v>92.998000000000005</v>
      </c>
    </row>
    <row r="1160" spans="1:20" hidden="1" x14ac:dyDescent="0.25">
      <c r="A1160" t="s">
        <v>43</v>
      </c>
      <c r="B1160" t="s">
        <v>111</v>
      </c>
      <c r="C1160">
        <v>2022</v>
      </c>
      <c r="D1160" t="s">
        <v>221</v>
      </c>
      <c r="E1160" t="s">
        <v>109</v>
      </c>
      <c r="F1160" t="s">
        <v>40</v>
      </c>
      <c r="G1160" t="s">
        <v>109</v>
      </c>
      <c r="H1160" t="s">
        <v>109</v>
      </c>
      <c r="I1160" t="s">
        <v>222</v>
      </c>
      <c r="J1160" t="s">
        <v>110</v>
      </c>
      <c r="K1160" t="s">
        <v>109</v>
      </c>
      <c r="L1160" t="s">
        <v>109</v>
      </c>
      <c r="M1160" t="s">
        <v>221</v>
      </c>
      <c r="N1160">
        <v>1</v>
      </c>
      <c r="O1160" t="s">
        <v>220</v>
      </c>
      <c r="Q1160">
        <v>32.5</v>
      </c>
    </row>
    <row r="1161" spans="1:20" hidden="1" x14ac:dyDescent="0.25">
      <c r="A1161" t="s">
        <v>33</v>
      </c>
      <c r="B1161" t="s">
        <v>32</v>
      </c>
      <c r="C1161">
        <v>1984</v>
      </c>
      <c r="D1161" t="s">
        <v>219</v>
      </c>
      <c r="E1161" t="s">
        <v>41</v>
      </c>
      <c r="F1161" t="s">
        <v>29</v>
      </c>
      <c r="G1161" t="s">
        <v>218</v>
      </c>
      <c r="H1161" t="s">
        <v>55</v>
      </c>
      <c r="I1161" t="s">
        <v>26</v>
      </c>
      <c r="J1161">
        <v>95564</v>
      </c>
      <c r="K1161">
        <v>40.798924</v>
      </c>
      <c r="L1161">
        <v>-124.20359500000001</v>
      </c>
      <c r="M1161" t="s">
        <v>217</v>
      </c>
      <c r="N1161">
        <v>30</v>
      </c>
      <c r="O1161" t="s">
        <v>24</v>
      </c>
      <c r="P1161">
        <v>17.25</v>
      </c>
      <c r="Q1161">
        <v>102.661</v>
      </c>
    </row>
    <row r="1162" spans="1:20" hidden="1" x14ac:dyDescent="0.25">
      <c r="A1162" t="s">
        <v>43</v>
      </c>
      <c r="B1162" t="s">
        <v>32</v>
      </c>
      <c r="C1162">
        <v>1995</v>
      </c>
      <c r="D1162" t="s">
        <v>216</v>
      </c>
      <c r="E1162" t="s">
        <v>105</v>
      </c>
      <c r="F1162" t="s">
        <v>40</v>
      </c>
      <c r="G1162" t="s">
        <v>215</v>
      </c>
      <c r="H1162" t="s">
        <v>103</v>
      </c>
      <c r="I1162" t="s">
        <v>26</v>
      </c>
      <c r="J1162">
        <v>92327</v>
      </c>
      <c r="K1162">
        <v>34.863799999999998</v>
      </c>
      <c r="L1162">
        <v>-116.825309</v>
      </c>
      <c r="M1162" t="s">
        <v>214</v>
      </c>
      <c r="N1162">
        <v>30</v>
      </c>
      <c r="O1162" t="s">
        <v>24</v>
      </c>
      <c r="P1162">
        <v>13.8</v>
      </c>
      <c r="Q1162">
        <v>6.6849999999999996</v>
      </c>
    </row>
    <row r="1163" spans="1:20" hidden="1" x14ac:dyDescent="0.25">
      <c r="A1163" t="s">
        <v>33</v>
      </c>
      <c r="B1163" t="s">
        <v>127</v>
      </c>
      <c r="C1163">
        <v>2015</v>
      </c>
      <c r="D1163" t="s">
        <v>213</v>
      </c>
      <c r="E1163" t="s">
        <v>47</v>
      </c>
      <c r="F1163" t="s">
        <v>29</v>
      </c>
      <c r="G1163" t="s">
        <v>125</v>
      </c>
      <c r="H1163" t="s">
        <v>124</v>
      </c>
      <c r="I1163" t="s">
        <v>26</v>
      </c>
      <c r="J1163">
        <v>95423</v>
      </c>
      <c r="K1163">
        <v>39.142000000000003</v>
      </c>
      <c r="L1163">
        <v>-122.892</v>
      </c>
      <c r="M1163" t="s">
        <v>123</v>
      </c>
      <c r="O1163" t="s">
        <v>36</v>
      </c>
      <c r="P1163">
        <v>3</v>
      </c>
      <c r="Q1163">
        <v>13.11875</v>
      </c>
    </row>
    <row r="1164" spans="1:20" hidden="1" x14ac:dyDescent="0.25">
      <c r="A1164" t="s">
        <v>43</v>
      </c>
      <c r="B1164" t="s">
        <v>32</v>
      </c>
      <c r="C1164">
        <v>1984</v>
      </c>
      <c r="D1164" t="s">
        <v>212</v>
      </c>
      <c r="E1164" t="s">
        <v>30</v>
      </c>
      <c r="F1164" t="s">
        <v>29</v>
      </c>
      <c r="G1164" t="s">
        <v>60</v>
      </c>
      <c r="H1164" t="s">
        <v>59</v>
      </c>
      <c r="I1164" t="s">
        <v>26</v>
      </c>
      <c r="J1164">
        <v>92262</v>
      </c>
      <c r="K1164">
        <v>33.891399999999997</v>
      </c>
      <c r="L1164">
        <v>-116.54769</v>
      </c>
      <c r="M1164" t="s">
        <v>211</v>
      </c>
      <c r="N1164">
        <v>30</v>
      </c>
      <c r="O1164" t="s">
        <v>24</v>
      </c>
      <c r="P1164">
        <v>4.165</v>
      </c>
      <c r="Q1164">
        <v>8.06</v>
      </c>
    </row>
    <row r="1165" spans="1:20" hidden="1" x14ac:dyDescent="0.25">
      <c r="A1165" t="s">
        <v>33</v>
      </c>
      <c r="B1165" t="s">
        <v>32</v>
      </c>
      <c r="C1165">
        <v>1984</v>
      </c>
      <c r="D1165" t="s">
        <v>210</v>
      </c>
      <c r="E1165" t="s">
        <v>47</v>
      </c>
      <c r="F1165" t="s">
        <v>29</v>
      </c>
      <c r="G1165" t="s">
        <v>209</v>
      </c>
      <c r="H1165" t="s">
        <v>208</v>
      </c>
      <c r="I1165" t="s">
        <v>26</v>
      </c>
      <c r="J1165">
        <v>95959</v>
      </c>
      <c r="K1165">
        <v>39.184837000000002</v>
      </c>
      <c r="L1165">
        <v>-120.887806</v>
      </c>
      <c r="M1165" t="s">
        <v>207</v>
      </c>
      <c r="N1165">
        <v>30</v>
      </c>
      <c r="O1165" t="s">
        <v>24</v>
      </c>
      <c r="P1165">
        <v>3.6</v>
      </c>
      <c r="Q1165">
        <v>13.077</v>
      </c>
    </row>
    <row r="1166" spans="1:20" hidden="1" x14ac:dyDescent="0.25">
      <c r="A1166" t="s">
        <v>33</v>
      </c>
      <c r="B1166" t="s">
        <v>206</v>
      </c>
      <c r="C1166">
        <v>2013</v>
      </c>
      <c r="D1166" t="s">
        <v>205</v>
      </c>
      <c r="E1166" t="s">
        <v>130</v>
      </c>
      <c r="F1166" t="s">
        <v>204</v>
      </c>
      <c r="G1166" t="s">
        <v>203</v>
      </c>
      <c r="H1166" t="s">
        <v>12</v>
      </c>
      <c r="I1166" t="s">
        <v>26</v>
      </c>
      <c r="J1166">
        <v>93249</v>
      </c>
      <c r="K1166">
        <v>35.604089000000002</v>
      </c>
      <c r="L1166">
        <v>-119.849811</v>
      </c>
      <c r="M1166" t="s">
        <v>202</v>
      </c>
      <c r="N1166">
        <v>20</v>
      </c>
      <c r="P1166">
        <v>20</v>
      </c>
      <c r="Q1166">
        <v>48.16</v>
      </c>
    </row>
    <row r="1167" spans="1:20" hidden="1" x14ac:dyDescent="0.25">
      <c r="A1167" t="s">
        <v>33</v>
      </c>
      <c r="B1167" t="s">
        <v>201</v>
      </c>
      <c r="C1167">
        <v>1981</v>
      </c>
      <c r="D1167" t="s">
        <v>200</v>
      </c>
      <c r="E1167" t="s">
        <v>47</v>
      </c>
      <c r="F1167" t="s">
        <v>40</v>
      </c>
      <c r="G1167" t="s">
        <v>199</v>
      </c>
      <c r="H1167" t="s">
        <v>120</v>
      </c>
      <c r="I1167" t="s">
        <v>26</v>
      </c>
      <c r="J1167">
        <v>95688</v>
      </c>
      <c r="K1167">
        <v>38.512250999999999</v>
      </c>
      <c r="L1167">
        <v>-122.10397</v>
      </c>
      <c r="M1167" t="s">
        <v>198</v>
      </c>
      <c r="N1167">
        <v>50</v>
      </c>
      <c r="O1167" t="s">
        <v>24</v>
      </c>
      <c r="P1167">
        <v>11.9</v>
      </c>
      <c r="Q1167">
        <v>32.82</v>
      </c>
    </row>
    <row r="1168" spans="1:20" hidden="1" x14ac:dyDescent="0.25">
      <c r="A1168" t="s">
        <v>67</v>
      </c>
      <c r="B1168" t="s">
        <v>197</v>
      </c>
      <c r="C1168">
        <v>2002</v>
      </c>
      <c r="D1168" t="s">
        <v>196</v>
      </c>
      <c r="E1168" t="s">
        <v>195</v>
      </c>
      <c r="F1168" t="s">
        <v>29</v>
      </c>
      <c r="G1168" t="s">
        <v>129</v>
      </c>
      <c r="H1168" t="s">
        <v>129</v>
      </c>
      <c r="I1168" t="s">
        <v>26</v>
      </c>
      <c r="J1168">
        <v>92106</v>
      </c>
      <c r="K1168">
        <v>32.678600000000003</v>
      </c>
      <c r="L1168">
        <v>-117.247</v>
      </c>
      <c r="M1168" t="s">
        <v>194</v>
      </c>
      <c r="N1168">
        <v>5</v>
      </c>
      <c r="O1168" t="s">
        <v>24</v>
      </c>
      <c r="P1168">
        <v>4.8360000000000003</v>
      </c>
      <c r="Q1168">
        <v>22</v>
      </c>
      <c r="S1168" s="18">
        <v>39142</v>
      </c>
      <c r="T1168" s="18">
        <v>39226</v>
      </c>
    </row>
    <row r="1169" spans="1:23" hidden="1" x14ac:dyDescent="0.25">
      <c r="A1169" t="s">
        <v>67</v>
      </c>
      <c r="B1169" t="s">
        <v>92</v>
      </c>
      <c r="C1169">
        <v>2015</v>
      </c>
      <c r="D1169" t="s">
        <v>193</v>
      </c>
      <c r="E1169" t="s">
        <v>130</v>
      </c>
      <c r="F1169" t="s">
        <v>29</v>
      </c>
      <c r="G1169" t="s">
        <v>192</v>
      </c>
      <c r="H1169" t="s">
        <v>129</v>
      </c>
      <c r="I1169" t="s">
        <v>26</v>
      </c>
      <c r="J1169">
        <v>91941</v>
      </c>
      <c r="K1169">
        <v>32.783569</v>
      </c>
      <c r="L1169">
        <v>-117.00974100000001</v>
      </c>
      <c r="M1169" t="s">
        <v>191</v>
      </c>
      <c r="N1169">
        <v>10</v>
      </c>
      <c r="O1169" t="s">
        <v>24</v>
      </c>
      <c r="P1169">
        <v>6.4699999999999994E-2</v>
      </c>
      <c r="Q1169">
        <v>9.7000000000000003E-2</v>
      </c>
    </row>
    <row r="1170" spans="1:23" hidden="1" x14ac:dyDescent="0.25">
      <c r="A1170" t="s">
        <v>43</v>
      </c>
      <c r="B1170" t="s">
        <v>92</v>
      </c>
      <c r="C1170">
        <v>2008</v>
      </c>
      <c r="D1170" t="s">
        <v>189</v>
      </c>
      <c r="E1170" t="s">
        <v>90</v>
      </c>
      <c r="F1170" t="s">
        <v>40</v>
      </c>
      <c r="G1170" t="s">
        <v>190</v>
      </c>
      <c r="H1170" t="s">
        <v>133</v>
      </c>
      <c r="I1170" t="s">
        <v>26</v>
      </c>
      <c r="J1170">
        <v>92374</v>
      </c>
      <c r="K1170">
        <v>34.084510999999999</v>
      </c>
      <c r="L1170">
        <v>-117.229197</v>
      </c>
      <c r="M1170" t="s">
        <v>189</v>
      </c>
      <c r="N1170">
        <v>999</v>
      </c>
      <c r="O1170" t="s">
        <v>36</v>
      </c>
      <c r="P1170">
        <v>5</v>
      </c>
      <c r="Q1170">
        <v>9.0541711829999993</v>
      </c>
    </row>
    <row r="1171" spans="1:23" hidden="1" x14ac:dyDescent="0.25">
      <c r="A1171" t="s">
        <v>33</v>
      </c>
      <c r="B1171" t="s">
        <v>32</v>
      </c>
      <c r="C1171">
        <v>1982</v>
      </c>
      <c r="D1171" t="s">
        <v>188</v>
      </c>
      <c r="E1171" t="s">
        <v>47</v>
      </c>
      <c r="F1171" t="s">
        <v>40</v>
      </c>
      <c r="G1171" t="s">
        <v>187</v>
      </c>
      <c r="H1171" t="s">
        <v>55</v>
      </c>
      <c r="I1171" t="s">
        <v>26</v>
      </c>
      <c r="J1171">
        <v>95595</v>
      </c>
      <c r="K1171">
        <v>40.189444999999999</v>
      </c>
      <c r="L1171">
        <v>-123.478058</v>
      </c>
      <c r="M1171" t="s">
        <v>186</v>
      </c>
      <c r="N1171">
        <v>999</v>
      </c>
      <c r="O1171" t="s">
        <v>24</v>
      </c>
      <c r="P1171">
        <v>2.5000000000000001E-2</v>
      </c>
      <c r="Q1171">
        <v>0.08</v>
      </c>
    </row>
    <row r="1172" spans="1:23" hidden="1" x14ac:dyDescent="0.25">
      <c r="A1172" t="s">
        <v>43</v>
      </c>
      <c r="B1172" t="s">
        <v>32</v>
      </c>
      <c r="C1172">
        <v>1985</v>
      </c>
      <c r="D1172" t="s">
        <v>183</v>
      </c>
      <c r="E1172" t="s">
        <v>47</v>
      </c>
      <c r="F1172" t="s">
        <v>29</v>
      </c>
      <c r="G1172" t="s">
        <v>185</v>
      </c>
      <c r="H1172" t="s">
        <v>184</v>
      </c>
      <c r="I1172" t="s">
        <v>26</v>
      </c>
      <c r="J1172">
        <v>93514</v>
      </c>
      <c r="K1172">
        <v>37.680399999999999</v>
      </c>
      <c r="L1172">
        <v>-118.39160099999999</v>
      </c>
      <c r="M1172" t="s">
        <v>183</v>
      </c>
      <c r="N1172">
        <v>30</v>
      </c>
      <c r="O1172" t="s">
        <v>24</v>
      </c>
      <c r="P1172">
        <v>0.155</v>
      </c>
      <c r="Q1172">
        <v>0.46</v>
      </c>
    </row>
    <row r="1173" spans="1:23" hidden="1" x14ac:dyDescent="0.25">
      <c r="A1173" t="s">
        <v>33</v>
      </c>
      <c r="B1173" t="s">
        <v>32</v>
      </c>
      <c r="C1173">
        <v>1985</v>
      </c>
      <c r="D1173" t="s">
        <v>182</v>
      </c>
      <c r="E1173" t="s">
        <v>30</v>
      </c>
      <c r="F1173" t="s">
        <v>29</v>
      </c>
      <c r="G1173" t="s">
        <v>28</v>
      </c>
      <c r="H1173" t="s">
        <v>35</v>
      </c>
      <c r="I1173" t="s">
        <v>26</v>
      </c>
      <c r="J1173">
        <v>95391</v>
      </c>
      <c r="K1173">
        <v>37.745234000000004</v>
      </c>
      <c r="L1173">
        <v>-121.603399</v>
      </c>
      <c r="M1173" t="s">
        <v>86</v>
      </c>
      <c r="N1173">
        <v>30</v>
      </c>
      <c r="O1173" t="s">
        <v>24</v>
      </c>
      <c r="P1173">
        <v>6.5000000000000002E-2</v>
      </c>
      <c r="Q1173">
        <v>4.5999999999999999E-2</v>
      </c>
    </row>
    <row r="1174" spans="1:23" hidden="1" x14ac:dyDescent="0.25">
      <c r="A1174" t="s">
        <v>43</v>
      </c>
      <c r="B1174" t="s">
        <v>32</v>
      </c>
      <c r="C1174">
        <v>1986</v>
      </c>
      <c r="D1174" t="s">
        <v>180</v>
      </c>
      <c r="E1174" t="s">
        <v>41</v>
      </c>
      <c r="F1174" t="s">
        <v>52</v>
      </c>
      <c r="G1174" t="s">
        <v>181</v>
      </c>
      <c r="H1174" t="s">
        <v>181</v>
      </c>
      <c r="I1174" t="s">
        <v>26</v>
      </c>
      <c r="J1174">
        <v>93274</v>
      </c>
      <c r="K1174">
        <v>36.155999999999999</v>
      </c>
      <c r="L1174">
        <v>-119.25951000000001</v>
      </c>
      <c r="M1174" t="s">
        <v>180</v>
      </c>
      <c r="N1174">
        <v>999</v>
      </c>
      <c r="O1174" t="s">
        <v>24</v>
      </c>
      <c r="P1174">
        <v>0.1</v>
      </c>
      <c r="Q1174">
        <v>0.11</v>
      </c>
      <c r="W1174" s="18">
        <v>43108</v>
      </c>
    </row>
    <row r="1175" spans="1:23" hidden="1" x14ac:dyDescent="0.25">
      <c r="A1175" t="s">
        <v>33</v>
      </c>
      <c r="B1175" t="s">
        <v>32</v>
      </c>
      <c r="C1175">
        <v>1984</v>
      </c>
      <c r="D1175" t="s">
        <v>179</v>
      </c>
      <c r="E1175" t="s">
        <v>47</v>
      </c>
      <c r="F1175" t="s">
        <v>29</v>
      </c>
      <c r="G1175" t="s">
        <v>178</v>
      </c>
      <c r="H1175" t="s">
        <v>178</v>
      </c>
      <c r="I1175" t="s">
        <v>26</v>
      </c>
      <c r="J1175">
        <v>93636</v>
      </c>
      <c r="K1175">
        <v>37.072246999999997</v>
      </c>
      <c r="L1175">
        <v>-119.949219</v>
      </c>
      <c r="M1175" t="s">
        <v>177</v>
      </c>
      <c r="N1175">
        <v>30</v>
      </c>
      <c r="O1175" t="s">
        <v>24</v>
      </c>
      <c r="P1175">
        <v>0.56299999999999994</v>
      </c>
      <c r="Q1175">
        <v>1.413</v>
      </c>
    </row>
    <row r="1176" spans="1:23" hidden="1" x14ac:dyDescent="0.25">
      <c r="A1176" t="s">
        <v>33</v>
      </c>
      <c r="B1176" t="s">
        <v>32</v>
      </c>
      <c r="C1176">
        <v>1984</v>
      </c>
      <c r="D1176" t="s">
        <v>176</v>
      </c>
      <c r="E1176" t="s">
        <v>47</v>
      </c>
      <c r="F1176" t="s">
        <v>29</v>
      </c>
      <c r="G1176" t="s">
        <v>175</v>
      </c>
      <c r="H1176" t="s">
        <v>113</v>
      </c>
      <c r="I1176" t="s">
        <v>26</v>
      </c>
      <c r="J1176">
        <v>95726</v>
      </c>
      <c r="K1176">
        <v>40.836112999999997</v>
      </c>
      <c r="L1176">
        <v>-121.934445</v>
      </c>
      <c r="M1176" t="s">
        <v>174</v>
      </c>
      <c r="N1176">
        <v>30</v>
      </c>
      <c r="O1176" t="s">
        <v>24</v>
      </c>
      <c r="P1176">
        <v>2.6</v>
      </c>
      <c r="Q1176">
        <v>8.7010000000000005</v>
      </c>
    </row>
    <row r="1177" spans="1:23" hidden="1" x14ac:dyDescent="0.25">
      <c r="A1177" t="s">
        <v>33</v>
      </c>
      <c r="B1177" t="s">
        <v>32</v>
      </c>
      <c r="C1177">
        <v>1985</v>
      </c>
      <c r="D1177" t="s">
        <v>172</v>
      </c>
      <c r="E1177" t="s">
        <v>47</v>
      </c>
      <c r="F1177" t="s">
        <v>29</v>
      </c>
      <c r="G1177" t="s">
        <v>173</v>
      </c>
      <c r="H1177" t="s">
        <v>12</v>
      </c>
      <c r="I1177" t="s">
        <v>26</v>
      </c>
      <c r="J1177">
        <v>93306</v>
      </c>
      <c r="K1177">
        <v>35.417667999999999</v>
      </c>
      <c r="L1177">
        <v>-118.82888199999999</v>
      </c>
      <c r="M1177" t="s">
        <v>172</v>
      </c>
      <c r="N1177">
        <v>30</v>
      </c>
      <c r="O1177" t="s">
        <v>24</v>
      </c>
      <c r="P1177">
        <v>16</v>
      </c>
      <c r="Q1177">
        <v>33.97</v>
      </c>
    </row>
    <row r="1178" spans="1:23" hidden="1" x14ac:dyDescent="0.25">
      <c r="A1178" t="s">
        <v>43</v>
      </c>
      <c r="B1178" t="s">
        <v>32</v>
      </c>
      <c r="C1178">
        <v>1992</v>
      </c>
      <c r="D1178" t="s">
        <v>170</v>
      </c>
      <c r="E1178" t="s">
        <v>41</v>
      </c>
      <c r="F1178" t="s">
        <v>52</v>
      </c>
      <c r="G1178" t="s">
        <v>171</v>
      </c>
      <c r="H1178" t="s">
        <v>133</v>
      </c>
      <c r="I1178" t="s">
        <v>26</v>
      </c>
      <c r="J1178">
        <v>91710</v>
      </c>
      <c r="K1178">
        <v>33.953099999999999</v>
      </c>
      <c r="L1178">
        <v>-117.668284</v>
      </c>
      <c r="M1178" t="s">
        <v>170</v>
      </c>
      <c r="N1178">
        <v>30</v>
      </c>
      <c r="O1178" t="s">
        <v>24</v>
      </c>
      <c r="P1178">
        <v>0.57999999999999996</v>
      </c>
      <c r="Q1178">
        <v>1.1399999999999999</v>
      </c>
      <c r="W1178" s="18">
        <v>43567</v>
      </c>
    </row>
    <row r="1179" spans="1:23" hidden="1" x14ac:dyDescent="0.25">
      <c r="A1179" t="s">
        <v>43</v>
      </c>
      <c r="B1179" t="s">
        <v>111</v>
      </c>
      <c r="C1179">
        <v>2019</v>
      </c>
      <c r="D1179" t="s">
        <v>109</v>
      </c>
      <c r="E1179" t="s">
        <v>109</v>
      </c>
      <c r="F1179" t="s">
        <v>29</v>
      </c>
      <c r="G1179" t="s">
        <v>109</v>
      </c>
      <c r="H1179" t="s">
        <v>109</v>
      </c>
      <c r="I1179" t="s">
        <v>109</v>
      </c>
      <c r="J1179" t="s">
        <v>110</v>
      </c>
      <c r="K1179" t="s">
        <v>109</v>
      </c>
      <c r="L1179" t="s">
        <v>109</v>
      </c>
      <c r="M1179" t="s">
        <v>108</v>
      </c>
      <c r="N1179">
        <v>2</v>
      </c>
      <c r="O1179" t="s">
        <v>36</v>
      </c>
      <c r="P1179">
        <v>2</v>
      </c>
      <c r="Q1179">
        <v>9.8019999999999996</v>
      </c>
    </row>
    <row r="1180" spans="1:23" hidden="1" x14ac:dyDescent="0.25">
      <c r="A1180" t="s">
        <v>33</v>
      </c>
      <c r="B1180" t="s">
        <v>92</v>
      </c>
      <c r="C1180">
        <v>1930</v>
      </c>
      <c r="D1180" t="s">
        <v>169</v>
      </c>
      <c r="E1180" t="s">
        <v>47</v>
      </c>
      <c r="F1180" t="s">
        <v>52</v>
      </c>
      <c r="G1180" t="s">
        <v>168</v>
      </c>
      <c r="H1180" t="s">
        <v>153</v>
      </c>
      <c r="I1180" t="s">
        <v>167</v>
      </c>
      <c r="J1180">
        <v>95369</v>
      </c>
      <c r="K1180">
        <v>37.523009999999999</v>
      </c>
      <c r="L1180">
        <v>-120.329905</v>
      </c>
      <c r="O1180" t="s">
        <v>24</v>
      </c>
      <c r="W1180" s="18">
        <v>42782</v>
      </c>
    </row>
    <row r="1181" spans="1:23" hidden="1" x14ac:dyDescent="0.25">
      <c r="A1181" t="s">
        <v>33</v>
      </c>
      <c r="B1181" t="s">
        <v>32</v>
      </c>
      <c r="C1181">
        <v>1985</v>
      </c>
      <c r="D1181" t="s">
        <v>166</v>
      </c>
      <c r="E1181" t="s">
        <v>47</v>
      </c>
      <c r="F1181" t="s">
        <v>29</v>
      </c>
      <c r="G1181" t="s">
        <v>165</v>
      </c>
      <c r="H1181" t="s">
        <v>74</v>
      </c>
      <c r="I1181" t="s">
        <v>26</v>
      </c>
      <c r="J1181">
        <v>96065</v>
      </c>
      <c r="K1181">
        <v>40.882050999999997</v>
      </c>
      <c r="L1181">
        <v>-121.94835500000001</v>
      </c>
      <c r="M1181" t="s">
        <v>162</v>
      </c>
      <c r="N1181">
        <v>30</v>
      </c>
      <c r="O1181" t="s">
        <v>24</v>
      </c>
      <c r="P1181">
        <v>2</v>
      </c>
      <c r="Q1181">
        <v>6.0439999999999996</v>
      </c>
    </row>
    <row r="1182" spans="1:23" hidden="1" x14ac:dyDescent="0.25">
      <c r="A1182" t="s">
        <v>33</v>
      </c>
      <c r="B1182" t="s">
        <v>32</v>
      </c>
      <c r="C1182">
        <v>1985</v>
      </c>
      <c r="D1182" t="s">
        <v>164</v>
      </c>
      <c r="E1182" t="s">
        <v>47</v>
      </c>
      <c r="F1182" t="s">
        <v>29</v>
      </c>
      <c r="G1182" t="s">
        <v>163</v>
      </c>
      <c r="H1182" t="s">
        <v>74</v>
      </c>
      <c r="I1182" t="s">
        <v>26</v>
      </c>
      <c r="J1182">
        <v>96065</v>
      </c>
      <c r="K1182">
        <v>40.801354000000003</v>
      </c>
      <c r="L1182">
        <v>-121.448054</v>
      </c>
      <c r="M1182" t="s">
        <v>162</v>
      </c>
      <c r="N1182">
        <v>30</v>
      </c>
      <c r="O1182" t="s">
        <v>24</v>
      </c>
      <c r="P1182">
        <v>2</v>
      </c>
      <c r="Q1182">
        <v>11.09</v>
      </c>
    </row>
    <row r="1183" spans="1:23" hidden="1" x14ac:dyDescent="0.25">
      <c r="A1183" t="s">
        <v>43</v>
      </c>
      <c r="B1183" t="s">
        <v>161</v>
      </c>
      <c r="C1183">
        <v>2013</v>
      </c>
      <c r="D1183" t="s">
        <v>160</v>
      </c>
      <c r="E1183" t="s">
        <v>143</v>
      </c>
      <c r="F1183" t="s">
        <v>40</v>
      </c>
      <c r="G1183" t="s">
        <v>159</v>
      </c>
      <c r="H1183" t="s">
        <v>158</v>
      </c>
      <c r="I1183" t="s">
        <v>26</v>
      </c>
      <c r="J1183">
        <v>95461</v>
      </c>
      <c r="K1183">
        <v>38.784931999999998</v>
      </c>
      <c r="L1183">
        <v>-122.713536</v>
      </c>
      <c r="M1183" t="s">
        <v>157</v>
      </c>
      <c r="N1183">
        <v>10</v>
      </c>
      <c r="O1183" t="s">
        <v>36</v>
      </c>
      <c r="P1183">
        <v>225</v>
      </c>
      <c r="Q1183">
        <v>1971</v>
      </c>
    </row>
    <row r="1184" spans="1:23" hidden="1" x14ac:dyDescent="0.25">
      <c r="A1184" t="s">
        <v>43</v>
      </c>
      <c r="B1184" t="s">
        <v>32</v>
      </c>
      <c r="C1184">
        <v>1993</v>
      </c>
      <c r="D1184" t="s">
        <v>156</v>
      </c>
      <c r="E1184" t="s">
        <v>47</v>
      </c>
      <c r="F1184" t="s">
        <v>40</v>
      </c>
      <c r="G1184" t="s">
        <v>155</v>
      </c>
      <c r="H1184" t="s">
        <v>45</v>
      </c>
      <c r="I1184" t="s">
        <v>26</v>
      </c>
      <c r="J1184">
        <v>93011</v>
      </c>
      <c r="K1184">
        <v>34.2254</v>
      </c>
      <c r="L1184">
        <v>-119.086</v>
      </c>
      <c r="M1184" t="s">
        <v>44</v>
      </c>
      <c r="N1184">
        <v>30</v>
      </c>
      <c r="O1184" t="s">
        <v>24</v>
      </c>
      <c r="P1184">
        <v>1</v>
      </c>
      <c r="Q1184">
        <v>1.1399999999999999</v>
      </c>
    </row>
    <row r="1185" spans="1:23" hidden="1" x14ac:dyDescent="0.25">
      <c r="A1185" t="s">
        <v>33</v>
      </c>
      <c r="B1185" t="s">
        <v>32</v>
      </c>
      <c r="C1185">
        <v>1985</v>
      </c>
      <c r="D1185" t="s">
        <v>154</v>
      </c>
      <c r="E1185" t="s">
        <v>47</v>
      </c>
      <c r="F1185" t="s">
        <v>52</v>
      </c>
      <c r="G1185" t="s">
        <v>153</v>
      </c>
      <c r="H1185" t="s">
        <v>153</v>
      </c>
      <c r="I1185" t="s">
        <v>26</v>
      </c>
      <c r="J1185">
        <v>95340</v>
      </c>
      <c r="K1185">
        <v>37.470081999999998</v>
      </c>
      <c r="L1185">
        <v>-120.470393</v>
      </c>
      <c r="M1185" t="s">
        <v>152</v>
      </c>
      <c r="N1185">
        <v>999</v>
      </c>
      <c r="O1185" t="s">
        <v>24</v>
      </c>
      <c r="P1185">
        <v>0.9</v>
      </c>
      <c r="Q1185">
        <v>1.1819999999999999</v>
      </c>
      <c r="W1185" s="18">
        <v>42063</v>
      </c>
    </row>
    <row r="1186" spans="1:23" hidden="1" x14ac:dyDescent="0.25">
      <c r="A1186" t="s">
        <v>43</v>
      </c>
      <c r="B1186" t="s">
        <v>32</v>
      </c>
      <c r="C1186">
        <v>1985</v>
      </c>
      <c r="D1186" t="s">
        <v>151</v>
      </c>
      <c r="E1186" t="s">
        <v>30</v>
      </c>
      <c r="F1186" t="s">
        <v>29</v>
      </c>
      <c r="G1186" t="s">
        <v>81</v>
      </c>
      <c r="H1186" t="s">
        <v>80</v>
      </c>
      <c r="I1186" t="s">
        <v>26</v>
      </c>
      <c r="J1186">
        <v>93501</v>
      </c>
      <c r="K1186">
        <v>35.083300000000001</v>
      </c>
      <c r="L1186">
        <v>-118.283333</v>
      </c>
      <c r="M1186" t="s">
        <v>79</v>
      </c>
      <c r="N1186">
        <v>30</v>
      </c>
      <c r="O1186" t="s">
        <v>24</v>
      </c>
      <c r="P1186">
        <v>65</v>
      </c>
      <c r="Q1186">
        <v>145.32</v>
      </c>
    </row>
    <row r="1187" spans="1:23" hidden="1" x14ac:dyDescent="0.25">
      <c r="A1187" t="s">
        <v>43</v>
      </c>
      <c r="B1187" t="s">
        <v>32</v>
      </c>
      <c r="C1187">
        <v>1984</v>
      </c>
      <c r="D1187" t="s">
        <v>150</v>
      </c>
      <c r="E1187" t="s">
        <v>30</v>
      </c>
      <c r="F1187" t="s">
        <v>29</v>
      </c>
      <c r="G1187" t="s">
        <v>149</v>
      </c>
      <c r="H1187" t="s">
        <v>80</v>
      </c>
      <c r="I1187" t="s">
        <v>26</v>
      </c>
      <c r="J1187">
        <v>93561</v>
      </c>
      <c r="K1187">
        <v>35.070799999999998</v>
      </c>
      <c r="L1187">
        <v>-118.379167</v>
      </c>
      <c r="M1187" t="s">
        <v>58</v>
      </c>
      <c r="N1187">
        <v>30</v>
      </c>
      <c r="O1187" t="s">
        <v>24</v>
      </c>
      <c r="P1187">
        <v>6.77</v>
      </c>
      <c r="Q1187">
        <v>8.94</v>
      </c>
    </row>
    <row r="1188" spans="1:23" hidden="1" x14ac:dyDescent="0.25">
      <c r="A1188" t="s">
        <v>33</v>
      </c>
      <c r="B1188" t="s">
        <v>32</v>
      </c>
      <c r="C1188">
        <v>1985</v>
      </c>
      <c r="D1188" t="s">
        <v>147</v>
      </c>
      <c r="E1188" t="s">
        <v>47</v>
      </c>
      <c r="F1188" t="s">
        <v>29</v>
      </c>
      <c r="G1188" t="s">
        <v>148</v>
      </c>
      <c r="H1188" t="s">
        <v>74</v>
      </c>
      <c r="I1188" t="s">
        <v>26</v>
      </c>
      <c r="J1188">
        <v>96069</v>
      </c>
      <c r="K1188">
        <v>40.702987999999998</v>
      </c>
      <c r="L1188">
        <v>-121.933252</v>
      </c>
      <c r="M1188" t="s">
        <v>147</v>
      </c>
      <c r="N1188">
        <v>30</v>
      </c>
      <c r="O1188" t="s">
        <v>24</v>
      </c>
      <c r="P1188">
        <v>0.2</v>
      </c>
      <c r="Q1188">
        <v>0.70099999999999996</v>
      </c>
    </row>
    <row r="1189" spans="1:23" hidden="1" x14ac:dyDescent="0.25">
      <c r="A1189" t="s">
        <v>43</v>
      </c>
      <c r="B1189" t="s">
        <v>42</v>
      </c>
      <c r="C1189">
        <v>2016</v>
      </c>
      <c r="D1189" t="s">
        <v>145</v>
      </c>
      <c r="E1189" t="s">
        <v>41</v>
      </c>
      <c r="F1189" t="s">
        <v>40</v>
      </c>
      <c r="G1189" t="s">
        <v>146</v>
      </c>
      <c r="H1189" t="s">
        <v>146</v>
      </c>
      <c r="I1189" t="s">
        <v>26</v>
      </c>
      <c r="J1189">
        <v>93725</v>
      </c>
      <c r="K1189">
        <v>36.687469900000004</v>
      </c>
      <c r="L1189">
        <v>-119.72391570000001</v>
      </c>
      <c r="M1189" t="s">
        <v>145</v>
      </c>
      <c r="N1189">
        <v>5</v>
      </c>
      <c r="O1189" t="s">
        <v>36</v>
      </c>
      <c r="P1189">
        <v>24.3</v>
      </c>
      <c r="Q1189">
        <v>182</v>
      </c>
    </row>
    <row r="1190" spans="1:23" hidden="1" x14ac:dyDescent="0.25">
      <c r="A1190" t="s">
        <v>43</v>
      </c>
      <c r="B1190" t="s">
        <v>32</v>
      </c>
      <c r="C1190">
        <v>1984</v>
      </c>
      <c r="D1190" t="s">
        <v>144</v>
      </c>
      <c r="E1190" t="s">
        <v>143</v>
      </c>
      <c r="F1190" t="s">
        <v>29</v>
      </c>
      <c r="G1190" t="s">
        <v>142</v>
      </c>
      <c r="H1190" t="s">
        <v>141</v>
      </c>
      <c r="I1190" t="s">
        <v>26</v>
      </c>
      <c r="J1190">
        <v>92257</v>
      </c>
      <c r="K1190">
        <v>33.1631</v>
      </c>
      <c r="L1190">
        <v>-115.61722</v>
      </c>
      <c r="M1190" t="s">
        <v>140</v>
      </c>
      <c r="N1190">
        <v>30</v>
      </c>
      <c r="O1190" t="s">
        <v>24</v>
      </c>
      <c r="P1190">
        <v>34</v>
      </c>
      <c r="Q1190">
        <v>281.18</v>
      </c>
    </row>
    <row r="1191" spans="1:23" hidden="1" x14ac:dyDescent="0.25">
      <c r="A1191" t="s">
        <v>43</v>
      </c>
      <c r="B1191" t="s">
        <v>32</v>
      </c>
      <c r="C1191">
        <v>1985</v>
      </c>
      <c r="D1191" t="s">
        <v>139</v>
      </c>
      <c r="E1191" t="s">
        <v>30</v>
      </c>
      <c r="F1191" t="s">
        <v>29</v>
      </c>
      <c r="G1191" t="s">
        <v>60</v>
      </c>
      <c r="H1191" t="s">
        <v>59</v>
      </c>
      <c r="I1191" t="s">
        <v>26</v>
      </c>
      <c r="J1191">
        <v>92262</v>
      </c>
      <c r="K1191">
        <v>33.8917</v>
      </c>
      <c r="L1191">
        <v>-116.591667</v>
      </c>
      <c r="M1191" t="s">
        <v>138</v>
      </c>
      <c r="N1191">
        <v>30</v>
      </c>
      <c r="O1191" t="s">
        <v>24</v>
      </c>
      <c r="P1191">
        <v>15.063000000000001</v>
      </c>
      <c r="Q1191">
        <v>27.14</v>
      </c>
    </row>
    <row r="1192" spans="1:23" hidden="1" x14ac:dyDescent="0.25">
      <c r="A1192" t="s">
        <v>43</v>
      </c>
      <c r="B1192" t="s">
        <v>42</v>
      </c>
      <c r="C1192">
        <v>2016</v>
      </c>
      <c r="D1192" t="s">
        <v>135</v>
      </c>
      <c r="E1192" t="s">
        <v>41</v>
      </c>
      <c r="F1192" t="s">
        <v>40</v>
      </c>
      <c r="G1192" t="s">
        <v>137</v>
      </c>
      <c r="H1192" t="s">
        <v>136</v>
      </c>
      <c r="I1192" t="s">
        <v>26</v>
      </c>
      <c r="J1192">
        <v>95648</v>
      </c>
      <c r="K1192">
        <v>38.832571000000002</v>
      </c>
      <c r="L1192">
        <v>-121.11181000000001</v>
      </c>
      <c r="M1192" t="s">
        <v>135</v>
      </c>
      <c r="N1192">
        <v>5</v>
      </c>
      <c r="O1192" t="s">
        <v>36</v>
      </c>
      <c r="P1192">
        <v>24.4</v>
      </c>
      <c r="Q1192">
        <v>182</v>
      </c>
    </row>
    <row r="1193" spans="1:23" hidden="1" x14ac:dyDescent="0.25">
      <c r="A1193" t="s">
        <v>43</v>
      </c>
      <c r="B1193" t="s">
        <v>32</v>
      </c>
      <c r="C1193">
        <v>1988</v>
      </c>
      <c r="D1193" t="s">
        <v>132</v>
      </c>
      <c r="E1193" t="s">
        <v>105</v>
      </c>
      <c r="F1193" t="s">
        <v>29</v>
      </c>
      <c r="G1193" t="s">
        <v>134</v>
      </c>
      <c r="H1193" t="s">
        <v>133</v>
      </c>
      <c r="I1193" t="s">
        <v>26</v>
      </c>
      <c r="J1193">
        <v>92347</v>
      </c>
      <c r="K1193">
        <v>35.033099999999997</v>
      </c>
      <c r="L1193">
        <v>-117.34909</v>
      </c>
      <c r="M1193" t="s">
        <v>132</v>
      </c>
      <c r="N1193">
        <v>30</v>
      </c>
      <c r="O1193" t="s">
        <v>24</v>
      </c>
      <c r="P1193">
        <v>80</v>
      </c>
      <c r="Q1193">
        <v>170.04</v>
      </c>
    </row>
    <row r="1194" spans="1:23" hidden="1" x14ac:dyDescent="0.25">
      <c r="A1194" t="s">
        <v>67</v>
      </c>
      <c r="B1194" t="s">
        <v>92</v>
      </c>
      <c r="C1194">
        <v>2015</v>
      </c>
      <c r="D1194" t="s">
        <v>131</v>
      </c>
      <c r="E1194" t="s">
        <v>130</v>
      </c>
      <c r="F1194" t="s">
        <v>29</v>
      </c>
      <c r="G1194" t="s">
        <v>129</v>
      </c>
      <c r="H1194" t="s">
        <v>129</v>
      </c>
      <c r="I1194" t="s">
        <v>26</v>
      </c>
      <c r="J1194">
        <v>92121</v>
      </c>
      <c r="K1194">
        <v>32.892547999999998</v>
      </c>
      <c r="L1194">
        <v>-117.196383</v>
      </c>
      <c r="M1194" t="s">
        <v>128</v>
      </c>
      <c r="N1194">
        <v>15</v>
      </c>
      <c r="O1194" t="s">
        <v>36</v>
      </c>
      <c r="P1194">
        <v>0.04</v>
      </c>
      <c r="Q1194">
        <v>6.8000000000000005E-2</v>
      </c>
    </row>
    <row r="1195" spans="1:23" hidden="1" x14ac:dyDescent="0.25">
      <c r="A1195" t="s">
        <v>33</v>
      </c>
      <c r="B1195" t="s">
        <v>127</v>
      </c>
      <c r="C1195">
        <v>2017</v>
      </c>
      <c r="D1195" t="s">
        <v>126</v>
      </c>
      <c r="E1195" t="s">
        <v>47</v>
      </c>
      <c r="F1195" t="s">
        <v>29</v>
      </c>
      <c r="G1195" t="s">
        <v>125</v>
      </c>
      <c r="H1195" t="s">
        <v>124</v>
      </c>
      <c r="I1195" t="s">
        <v>26</v>
      </c>
      <c r="J1195">
        <v>95423</v>
      </c>
      <c r="K1195">
        <v>39.142000000000003</v>
      </c>
      <c r="L1195">
        <v>-122.892</v>
      </c>
      <c r="M1195" t="s">
        <v>123</v>
      </c>
      <c r="N1195">
        <v>1</v>
      </c>
      <c r="O1195" t="s">
        <v>36</v>
      </c>
      <c r="P1195">
        <v>2.9</v>
      </c>
      <c r="Q1195">
        <v>3</v>
      </c>
    </row>
    <row r="1196" spans="1:23" hidden="1" x14ac:dyDescent="0.25">
      <c r="A1196" t="s">
        <v>33</v>
      </c>
      <c r="B1196" t="s">
        <v>32</v>
      </c>
      <c r="C1196">
        <v>1985</v>
      </c>
      <c r="D1196" t="s">
        <v>122</v>
      </c>
      <c r="E1196" t="s">
        <v>71</v>
      </c>
      <c r="F1196" t="s">
        <v>29</v>
      </c>
      <c r="G1196" t="s">
        <v>121</v>
      </c>
      <c r="H1196" t="s">
        <v>120</v>
      </c>
      <c r="I1196" t="s">
        <v>26</v>
      </c>
      <c r="J1196">
        <v>94550</v>
      </c>
      <c r="K1196">
        <v>38.174917999999998</v>
      </c>
      <c r="L1196">
        <v>-122.26080399999999</v>
      </c>
      <c r="M1196" t="s">
        <v>68</v>
      </c>
      <c r="N1196">
        <v>30</v>
      </c>
      <c r="O1196" t="s">
        <v>24</v>
      </c>
      <c r="P1196">
        <v>1.5</v>
      </c>
      <c r="Q1196">
        <v>7.7850000000000001</v>
      </c>
    </row>
    <row r="1197" spans="1:23" hidden="1" x14ac:dyDescent="0.25">
      <c r="A1197" t="s">
        <v>33</v>
      </c>
      <c r="B1197" t="s">
        <v>32</v>
      </c>
      <c r="C1197">
        <v>1984</v>
      </c>
      <c r="D1197" t="s">
        <v>119</v>
      </c>
      <c r="E1197" t="s">
        <v>47</v>
      </c>
      <c r="F1197" t="s">
        <v>29</v>
      </c>
      <c r="G1197" t="s">
        <v>118</v>
      </c>
      <c r="H1197" t="s">
        <v>117</v>
      </c>
      <c r="I1197" t="s">
        <v>26</v>
      </c>
      <c r="J1197">
        <v>96124</v>
      </c>
      <c r="K1197">
        <v>39.603462999999998</v>
      </c>
      <c r="L1197">
        <v>-120.608082</v>
      </c>
      <c r="M1197" t="s">
        <v>116</v>
      </c>
      <c r="N1197">
        <v>30</v>
      </c>
      <c r="O1197" t="s">
        <v>24</v>
      </c>
      <c r="P1197">
        <v>0.59399999999999997</v>
      </c>
      <c r="Q1197">
        <v>2.0299999999999998</v>
      </c>
    </row>
    <row r="1198" spans="1:23" hidden="1" x14ac:dyDescent="0.25">
      <c r="A1198" t="s">
        <v>33</v>
      </c>
      <c r="B1198" t="s">
        <v>32</v>
      </c>
      <c r="C1198">
        <v>1984</v>
      </c>
      <c r="D1198" t="s">
        <v>115</v>
      </c>
      <c r="E1198" t="s">
        <v>47</v>
      </c>
      <c r="F1198" t="s">
        <v>29</v>
      </c>
      <c r="G1198" t="s">
        <v>114</v>
      </c>
      <c r="H1198" t="s">
        <v>113</v>
      </c>
      <c r="I1198" t="s">
        <v>26</v>
      </c>
      <c r="J1198">
        <v>95667</v>
      </c>
      <c r="K1198">
        <v>38.783057999999997</v>
      </c>
      <c r="L1198">
        <v>-120.778886</v>
      </c>
      <c r="M1198" t="s">
        <v>112</v>
      </c>
      <c r="N1198">
        <v>30</v>
      </c>
      <c r="O1198" t="s">
        <v>24</v>
      </c>
      <c r="P1198">
        <v>3</v>
      </c>
      <c r="Q1198">
        <v>2.7090000000000001</v>
      </c>
    </row>
    <row r="1199" spans="1:23" hidden="1" x14ac:dyDescent="0.25">
      <c r="A1199" t="s">
        <v>43</v>
      </c>
      <c r="B1199" t="s">
        <v>111</v>
      </c>
      <c r="C1199">
        <v>2019</v>
      </c>
      <c r="D1199" t="s">
        <v>109</v>
      </c>
      <c r="E1199" t="s">
        <v>109</v>
      </c>
      <c r="F1199" t="s">
        <v>29</v>
      </c>
      <c r="G1199" t="s">
        <v>109</v>
      </c>
      <c r="H1199" t="s">
        <v>109</v>
      </c>
      <c r="I1199" t="s">
        <v>109</v>
      </c>
      <c r="J1199" t="s">
        <v>110</v>
      </c>
      <c r="K1199" t="s">
        <v>109</v>
      </c>
      <c r="L1199" t="s">
        <v>109</v>
      </c>
      <c r="M1199" t="s">
        <v>108</v>
      </c>
      <c r="N1199">
        <v>2</v>
      </c>
      <c r="O1199" t="s">
        <v>36</v>
      </c>
      <c r="P1199">
        <v>2</v>
      </c>
      <c r="Q1199">
        <v>8.0745000000000005</v>
      </c>
    </row>
    <row r="1200" spans="1:23" hidden="1" x14ac:dyDescent="0.25">
      <c r="A1200" t="s">
        <v>33</v>
      </c>
      <c r="B1200" t="s">
        <v>32</v>
      </c>
      <c r="C1200">
        <v>1985</v>
      </c>
      <c r="D1200" t="s">
        <v>107</v>
      </c>
      <c r="E1200" t="s">
        <v>30</v>
      </c>
      <c r="F1200" t="s">
        <v>29</v>
      </c>
      <c r="G1200" t="s">
        <v>28</v>
      </c>
      <c r="H1200" t="s">
        <v>35</v>
      </c>
      <c r="I1200" t="s">
        <v>26</v>
      </c>
      <c r="J1200">
        <v>95391</v>
      </c>
      <c r="K1200">
        <v>37.745234000000004</v>
      </c>
      <c r="L1200">
        <v>-121.603399</v>
      </c>
      <c r="M1200" t="s">
        <v>86</v>
      </c>
      <c r="N1200">
        <v>30</v>
      </c>
      <c r="O1200" t="s">
        <v>24</v>
      </c>
      <c r="P1200">
        <v>2.7</v>
      </c>
      <c r="Q1200">
        <v>1.2989999999999999</v>
      </c>
    </row>
    <row r="1201" spans="1:23" hidden="1" x14ac:dyDescent="0.25">
      <c r="A1201" t="s">
        <v>43</v>
      </c>
      <c r="B1201" t="s">
        <v>32</v>
      </c>
      <c r="C1201">
        <v>1985</v>
      </c>
      <c r="D1201" t="s">
        <v>106</v>
      </c>
      <c r="E1201" t="s">
        <v>105</v>
      </c>
      <c r="F1201" t="s">
        <v>29</v>
      </c>
      <c r="G1201" t="s">
        <v>104</v>
      </c>
      <c r="H1201" t="s">
        <v>103</v>
      </c>
      <c r="I1201" t="s">
        <v>26</v>
      </c>
      <c r="J1201">
        <v>93516</v>
      </c>
      <c r="K1201">
        <v>35.014200000000002</v>
      </c>
      <c r="L1201">
        <v>-117.54765999999999</v>
      </c>
      <c r="M1201" t="s">
        <v>102</v>
      </c>
      <c r="N1201">
        <v>30</v>
      </c>
      <c r="O1201" t="s">
        <v>24</v>
      </c>
      <c r="P1201">
        <v>35</v>
      </c>
      <c r="Q1201">
        <v>62.58</v>
      </c>
      <c r="W1201" s="18">
        <v>42825</v>
      </c>
    </row>
    <row r="1202" spans="1:23" hidden="1" x14ac:dyDescent="0.25">
      <c r="A1202" t="s">
        <v>43</v>
      </c>
      <c r="B1202" t="s">
        <v>32</v>
      </c>
      <c r="C1202">
        <v>1985</v>
      </c>
      <c r="D1202" t="s">
        <v>101</v>
      </c>
      <c r="E1202" t="s">
        <v>30</v>
      </c>
      <c r="F1202" t="s">
        <v>40</v>
      </c>
      <c r="G1202" t="s">
        <v>81</v>
      </c>
      <c r="H1202" t="s">
        <v>80</v>
      </c>
      <c r="I1202" t="s">
        <v>26</v>
      </c>
      <c r="J1202">
        <v>93501</v>
      </c>
      <c r="K1202">
        <v>35.075000000000003</v>
      </c>
      <c r="L1202">
        <v>-118.33333</v>
      </c>
      <c r="M1202" t="s">
        <v>79</v>
      </c>
      <c r="N1202">
        <v>30</v>
      </c>
      <c r="O1202" t="s">
        <v>24</v>
      </c>
      <c r="P1202">
        <v>12.76</v>
      </c>
      <c r="Q1202">
        <v>36.659999999999997</v>
      </c>
    </row>
    <row r="1203" spans="1:23" hidden="1" x14ac:dyDescent="0.25">
      <c r="A1203" t="s">
        <v>43</v>
      </c>
      <c r="B1203" t="s">
        <v>32</v>
      </c>
      <c r="C1203">
        <v>1985</v>
      </c>
      <c r="D1203" t="s">
        <v>100</v>
      </c>
      <c r="E1203" t="s">
        <v>47</v>
      </c>
      <c r="F1203" t="s">
        <v>29</v>
      </c>
      <c r="G1203" t="s">
        <v>99</v>
      </c>
      <c r="H1203" t="s">
        <v>98</v>
      </c>
      <c r="I1203" t="s">
        <v>26</v>
      </c>
      <c r="J1203">
        <v>91789</v>
      </c>
      <c r="K1203">
        <v>34.027299999999997</v>
      </c>
      <c r="L1203">
        <v>-117.836161</v>
      </c>
      <c r="M1203" t="s">
        <v>97</v>
      </c>
      <c r="N1203">
        <v>30</v>
      </c>
      <c r="O1203" t="s">
        <v>24</v>
      </c>
      <c r="P1203">
        <v>2.5000000000000001E-2</v>
      </c>
      <c r="W1203" s="18">
        <v>42083</v>
      </c>
    </row>
    <row r="1204" spans="1:23" hidden="1" x14ac:dyDescent="0.25">
      <c r="A1204" t="s">
        <v>33</v>
      </c>
      <c r="B1204" t="s">
        <v>32</v>
      </c>
      <c r="C1204">
        <v>1984</v>
      </c>
      <c r="D1204" t="s">
        <v>96</v>
      </c>
      <c r="E1204" t="s">
        <v>30</v>
      </c>
      <c r="F1204" t="s">
        <v>29</v>
      </c>
      <c r="G1204" t="s">
        <v>95</v>
      </c>
      <c r="H1204" t="s">
        <v>94</v>
      </c>
      <c r="I1204" t="s">
        <v>26</v>
      </c>
      <c r="J1204">
        <v>94585</v>
      </c>
      <c r="K1204">
        <v>38.079258000000003</v>
      </c>
      <c r="L1204">
        <v>-121.839386</v>
      </c>
      <c r="M1204" t="s">
        <v>93</v>
      </c>
      <c r="N1204">
        <v>28</v>
      </c>
      <c r="O1204" t="s">
        <v>24</v>
      </c>
      <c r="P1204">
        <v>0.7</v>
      </c>
      <c r="Q1204">
        <v>18.687000000000001</v>
      </c>
    </row>
    <row r="1205" spans="1:23" hidden="1" x14ac:dyDescent="0.25">
      <c r="A1205" t="s">
        <v>43</v>
      </c>
      <c r="B1205" t="s">
        <v>92</v>
      </c>
      <c r="C1205">
        <v>2008</v>
      </c>
      <c r="D1205" t="s">
        <v>91</v>
      </c>
      <c r="E1205" t="s">
        <v>90</v>
      </c>
      <c r="F1205" t="s">
        <v>40</v>
      </c>
      <c r="G1205" t="s">
        <v>89</v>
      </c>
      <c r="H1205" t="s">
        <v>88</v>
      </c>
      <c r="I1205" t="s">
        <v>26</v>
      </c>
      <c r="J1205">
        <v>92571</v>
      </c>
      <c r="K1205">
        <v>33.840252777800004</v>
      </c>
      <c r="L1205">
        <v>-117.22523333300001</v>
      </c>
      <c r="O1205" t="s">
        <v>36</v>
      </c>
      <c r="Q1205">
        <v>1.27</v>
      </c>
    </row>
    <row r="1206" spans="1:23" hidden="1" x14ac:dyDescent="0.25">
      <c r="A1206" t="s">
        <v>33</v>
      </c>
      <c r="B1206" t="s">
        <v>32</v>
      </c>
      <c r="C1206">
        <v>1985</v>
      </c>
      <c r="D1206" t="s">
        <v>87</v>
      </c>
      <c r="E1206" t="s">
        <v>30</v>
      </c>
      <c r="F1206" t="s">
        <v>29</v>
      </c>
      <c r="G1206" t="s">
        <v>28</v>
      </c>
      <c r="H1206" t="s">
        <v>35</v>
      </c>
      <c r="I1206" t="s">
        <v>26</v>
      </c>
      <c r="J1206">
        <v>95391</v>
      </c>
      <c r="K1206">
        <v>37.745234000000004</v>
      </c>
      <c r="L1206">
        <v>-121.603399</v>
      </c>
      <c r="M1206" t="s">
        <v>86</v>
      </c>
      <c r="N1206">
        <v>30</v>
      </c>
      <c r="O1206" t="s">
        <v>24</v>
      </c>
      <c r="P1206">
        <v>5.76</v>
      </c>
      <c r="Q1206">
        <v>4.1459999999999999</v>
      </c>
    </row>
    <row r="1207" spans="1:23" hidden="1" x14ac:dyDescent="0.25">
      <c r="A1207" t="s">
        <v>33</v>
      </c>
      <c r="B1207" t="s">
        <v>32</v>
      </c>
      <c r="C1207">
        <v>1985</v>
      </c>
      <c r="D1207" t="s">
        <v>85</v>
      </c>
      <c r="E1207" t="s">
        <v>30</v>
      </c>
      <c r="F1207" t="s">
        <v>29</v>
      </c>
      <c r="G1207" t="s">
        <v>28</v>
      </c>
      <c r="H1207" t="s">
        <v>27</v>
      </c>
      <c r="I1207" t="s">
        <v>26</v>
      </c>
      <c r="J1207">
        <v>95377</v>
      </c>
      <c r="K1207">
        <v>37.730882999999999</v>
      </c>
      <c r="L1207">
        <v>-121.589356</v>
      </c>
      <c r="M1207" t="s">
        <v>25</v>
      </c>
      <c r="N1207">
        <v>30</v>
      </c>
      <c r="O1207" t="s">
        <v>24</v>
      </c>
      <c r="P1207">
        <v>10.8</v>
      </c>
      <c r="Q1207">
        <v>24.593</v>
      </c>
    </row>
    <row r="1208" spans="1:23" hidden="1" x14ac:dyDescent="0.25">
      <c r="A1208" t="s">
        <v>33</v>
      </c>
      <c r="B1208" t="s">
        <v>32</v>
      </c>
      <c r="C1208">
        <v>1983</v>
      </c>
      <c r="D1208" t="s">
        <v>83</v>
      </c>
      <c r="E1208" t="s">
        <v>47</v>
      </c>
      <c r="F1208" t="s">
        <v>29</v>
      </c>
      <c r="G1208" t="s">
        <v>84</v>
      </c>
      <c r="H1208" t="s">
        <v>74</v>
      </c>
      <c r="I1208" t="s">
        <v>26</v>
      </c>
      <c r="J1208">
        <v>96076</v>
      </c>
      <c r="K1208">
        <v>40.408746000000001</v>
      </c>
      <c r="L1208">
        <v>-122.87847499999999</v>
      </c>
      <c r="M1208" t="s">
        <v>83</v>
      </c>
      <c r="N1208">
        <v>30</v>
      </c>
      <c r="O1208" t="s">
        <v>24</v>
      </c>
      <c r="P1208">
        <v>0.3</v>
      </c>
      <c r="Q1208">
        <v>0.47099999999999997</v>
      </c>
    </row>
    <row r="1209" spans="1:23" hidden="1" x14ac:dyDescent="0.25">
      <c r="A1209" t="s">
        <v>43</v>
      </c>
      <c r="B1209" t="s">
        <v>32</v>
      </c>
      <c r="C1209">
        <v>1989</v>
      </c>
      <c r="D1209" t="s">
        <v>82</v>
      </c>
      <c r="E1209" t="s">
        <v>30</v>
      </c>
      <c r="F1209" t="s">
        <v>29</v>
      </c>
      <c r="G1209" t="s">
        <v>81</v>
      </c>
      <c r="H1209" t="s">
        <v>80</v>
      </c>
      <c r="I1209" t="s">
        <v>26</v>
      </c>
      <c r="J1209">
        <v>93501</v>
      </c>
      <c r="K1209">
        <v>35.037500000000001</v>
      </c>
      <c r="L1209">
        <v>-118.36666</v>
      </c>
      <c r="M1209" t="s">
        <v>79</v>
      </c>
      <c r="N1209">
        <v>30</v>
      </c>
      <c r="O1209" t="s">
        <v>24</v>
      </c>
      <c r="P1209">
        <v>27.9</v>
      </c>
      <c r="Q1209">
        <v>72.760000000000005</v>
      </c>
    </row>
    <row r="1210" spans="1:23" hidden="1" x14ac:dyDescent="0.25">
      <c r="A1210" t="s">
        <v>33</v>
      </c>
      <c r="B1210" t="s">
        <v>32</v>
      </c>
      <c r="C1210">
        <v>1983</v>
      </c>
      <c r="D1210" t="s">
        <v>78</v>
      </c>
      <c r="E1210" t="s">
        <v>41</v>
      </c>
      <c r="F1210" t="s">
        <v>29</v>
      </c>
      <c r="G1210" t="s">
        <v>39</v>
      </c>
      <c r="H1210" t="s">
        <v>38</v>
      </c>
      <c r="I1210" t="s">
        <v>26</v>
      </c>
      <c r="J1210">
        <v>95327</v>
      </c>
      <c r="K1210">
        <v>37.877191000000003</v>
      </c>
      <c r="L1210">
        <v>-120.47358800000001</v>
      </c>
      <c r="M1210" t="s">
        <v>77</v>
      </c>
      <c r="N1210">
        <v>30</v>
      </c>
      <c r="O1210" t="s">
        <v>24</v>
      </c>
      <c r="P1210">
        <v>22</v>
      </c>
      <c r="Q1210">
        <v>127.398</v>
      </c>
    </row>
    <row r="1211" spans="1:23" hidden="1" x14ac:dyDescent="0.25">
      <c r="A1211" t="s">
        <v>33</v>
      </c>
      <c r="B1211" t="s">
        <v>32</v>
      </c>
      <c r="C1211">
        <v>1985</v>
      </c>
      <c r="D1211" t="s">
        <v>76</v>
      </c>
      <c r="E1211" t="s">
        <v>47</v>
      </c>
      <c r="F1211" t="s">
        <v>29</v>
      </c>
      <c r="G1211" t="s">
        <v>75</v>
      </c>
      <c r="H1211" t="s">
        <v>74</v>
      </c>
      <c r="I1211" t="s">
        <v>26</v>
      </c>
      <c r="J1211">
        <v>96088</v>
      </c>
      <c r="K1211">
        <v>40.533057999999997</v>
      </c>
      <c r="L1211">
        <v>-121.94999900000001</v>
      </c>
      <c r="M1211" t="s">
        <v>73</v>
      </c>
      <c r="N1211">
        <v>30</v>
      </c>
      <c r="O1211" t="s">
        <v>24</v>
      </c>
      <c r="P1211">
        <v>3</v>
      </c>
      <c r="Q1211">
        <v>4.2320000000000002</v>
      </c>
    </row>
    <row r="1212" spans="1:23" hidden="1" x14ac:dyDescent="0.25">
      <c r="A1212" t="s">
        <v>33</v>
      </c>
      <c r="B1212" t="s">
        <v>32</v>
      </c>
      <c r="C1212">
        <v>1983</v>
      </c>
      <c r="D1212" t="s">
        <v>72</v>
      </c>
      <c r="E1212" t="s">
        <v>71</v>
      </c>
      <c r="F1212" t="s">
        <v>29</v>
      </c>
      <c r="G1212" t="s">
        <v>70</v>
      </c>
      <c r="H1212" t="s">
        <v>69</v>
      </c>
      <c r="I1212" t="s">
        <v>26</v>
      </c>
      <c r="J1212">
        <v>95035</v>
      </c>
      <c r="K1212">
        <v>37.454158</v>
      </c>
      <c r="L1212">
        <v>-121.928855</v>
      </c>
      <c r="M1212" t="s">
        <v>68</v>
      </c>
      <c r="N1212">
        <v>30</v>
      </c>
      <c r="O1212" t="s">
        <v>24</v>
      </c>
      <c r="P1212">
        <v>4.2</v>
      </c>
      <c r="Q1212">
        <v>25.952000000000002</v>
      </c>
    </row>
    <row r="1213" spans="1:23" hidden="1" x14ac:dyDescent="0.25">
      <c r="A1213" t="s">
        <v>67</v>
      </c>
      <c r="B1213" t="s">
        <v>66</v>
      </c>
      <c r="C1213">
        <v>2021</v>
      </c>
      <c r="D1213" t="s">
        <v>65</v>
      </c>
      <c r="E1213" t="s">
        <v>41</v>
      </c>
      <c r="F1213" t="s">
        <v>40</v>
      </c>
      <c r="G1213" t="s">
        <v>64</v>
      </c>
      <c r="H1213" t="s">
        <v>63</v>
      </c>
      <c r="I1213" t="s">
        <v>26</v>
      </c>
      <c r="J1213">
        <v>95816</v>
      </c>
      <c r="K1213">
        <v>40.368400000000001</v>
      </c>
      <c r="L1213">
        <v>-120.265</v>
      </c>
      <c r="M1213" t="s">
        <v>62</v>
      </c>
      <c r="N1213">
        <v>1</v>
      </c>
      <c r="O1213" t="s">
        <v>36</v>
      </c>
      <c r="Q1213">
        <v>30</v>
      </c>
    </row>
    <row r="1214" spans="1:23" hidden="1" x14ac:dyDescent="0.25">
      <c r="A1214" t="s">
        <v>43</v>
      </c>
      <c r="B1214" t="s">
        <v>32</v>
      </c>
      <c r="C1214">
        <v>1985</v>
      </c>
      <c r="D1214" t="s">
        <v>61</v>
      </c>
      <c r="E1214" t="s">
        <v>30</v>
      </c>
      <c r="F1214" t="s">
        <v>40</v>
      </c>
      <c r="G1214" t="s">
        <v>60</v>
      </c>
      <c r="H1214" t="s">
        <v>59</v>
      </c>
      <c r="I1214" t="s">
        <v>26</v>
      </c>
      <c r="J1214">
        <v>92262</v>
      </c>
      <c r="K1214">
        <v>33.8917</v>
      </c>
      <c r="L1214">
        <v>-116.591667</v>
      </c>
      <c r="M1214" t="s">
        <v>58</v>
      </c>
      <c r="N1214">
        <v>30</v>
      </c>
      <c r="O1214" t="s">
        <v>24</v>
      </c>
      <c r="P1214">
        <v>32.874000000000002</v>
      </c>
      <c r="Q1214">
        <v>76.95</v>
      </c>
    </row>
    <row r="1215" spans="1:23" hidden="1" x14ac:dyDescent="0.25">
      <c r="A1215" t="s">
        <v>33</v>
      </c>
      <c r="B1215" t="s">
        <v>32</v>
      </c>
      <c r="C1215">
        <v>1984</v>
      </c>
      <c r="D1215" t="s">
        <v>57</v>
      </c>
      <c r="E1215" t="s">
        <v>47</v>
      </c>
      <c r="F1215" t="s">
        <v>29</v>
      </c>
      <c r="G1215" t="s">
        <v>56</v>
      </c>
      <c r="H1215" t="s">
        <v>55</v>
      </c>
      <c r="I1215" t="s">
        <v>26</v>
      </c>
      <c r="J1215">
        <v>95526</v>
      </c>
      <c r="K1215">
        <v>40.491320000000002</v>
      </c>
      <c r="L1215">
        <v>-123.59368000000001</v>
      </c>
      <c r="M1215" t="s">
        <v>54</v>
      </c>
      <c r="N1215">
        <v>25</v>
      </c>
      <c r="O1215" t="s">
        <v>24</v>
      </c>
      <c r="P1215">
        <v>0.995</v>
      </c>
      <c r="Q1215">
        <v>1.85</v>
      </c>
    </row>
    <row r="1216" spans="1:23" hidden="1" x14ac:dyDescent="0.25">
      <c r="A1216" t="s">
        <v>33</v>
      </c>
      <c r="B1216" t="s">
        <v>32</v>
      </c>
      <c r="C1216">
        <v>1985</v>
      </c>
      <c r="D1216" t="s">
        <v>53</v>
      </c>
      <c r="E1216" t="s">
        <v>47</v>
      </c>
      <c r="F1216" t="s">
        <v>52</v>
      </c>
      <c r="G1216" t="s">
        <v>51</v>
      </c>
      <c r="H1216" t="s">
        <v>50</v>
      </c>
      <c r="I1216" t="s">
        <v>26</v>
      </c>
      <c r="J1216">
        <v>95526</v>
      </c>
      <c r="K1216">
        <v>40.369802999999997</v>
      </c>
      <c r="L1216">
        <v>-123.434602</v>
      </c>
      <c r="M1216" t="s">
        <v>49</v>
      </c>
      <c r="N1216">
        <v>999</v>
      </c>
      <c r="O1216" t="s">
        <v>24</v>
      </c>
      <c r="P1216">
        <v>2</v>
      </c>
      <c r="Q1216">
        <v>5.52</v>
      </c>
      <c r="W1216" s="18">
        <v>42869</v>
      </c>
    </row>
    <row r="1217" spans="1:17" hidden="1" x14ac:dyDescent="0.25">
      <c r="A1217" t="s">
        <v>43</v>
      </c>
      <c r="B1217" t="s">
        <v>32</v>
      </c>
      <c r="C1217">
        <v>1985</v>
      </c>
      <c r="D1217" t="s">
        <v>48</v>
      </c>
      <c r="E1217" t="s">
        <v>47</v>
      </c>
      <c r="F1217" t="s">
        <v>40</v>
      </c>
      <c r="G1217" t="s">
        <v>46</v>
      </c>
      <c r="H1217" t="s">
        <v>45</v>
      </c>
      <c r="I1217" t="s">
        <v>26</v>
      </c>
      <c r="J1217">
        <v>91360</v>
      </c>
      <c r="K1217">
        <v>34.242699999999999</v>
      </c>
      <c r="L1217">
        <v>-118.884061</v>
      </c>
      <c r="M1217" t="s">
        <v>44</v>
      </c>
      <c r="N1217">
        <v>30</v>
      </c>
      <c r="O1217" t="s">
        <v>24</v>
      </c>
      <c r="P1217">
        <v>0.25</v>
      </c>
      <c r="Q1217">
        <v>0.44</v>
      </c>
    </row>
    <row r="1218" spans="1:17" hidden="1" x14ac:dyDescent="0.25">
      <c r="A1218" t="s">
        <v>43</v>
      </c>
      <c r="B1218" t="s">
        <v>42</v>
      </c>
      <c r="C1218">
        <v>2016</v>
      </c>
      <c r="D1218" t="s">
        <v>37</v>
      </c>
      <c r="E1218" t="s">
        <v>41</v>
      </c>
      <c r="F1218" t="s">
        <v>40</v>
      </c>
      <c r="G1218" t="s">
        <v>39</v>
      </c>
      <c r="H1218" t="s">
        <v>38</v>
      </c>
      <c r="I1218" t="s">
        <v>26</v>
      </c>
      <c r="J1218">
        <v>95327</v>
      </c>
      <c r="K1218">
        <v>37.874369000000002</v>
      </c>
      <c r="L1218">
        <v>-120.47733599999999</v>
      </c>
      <c r="M1218" t="s">
        <v>37</v>
      </c>
      <c r="N1218">
        <v>18</v>
      </c>
      <c r="O1218" t="s">
        <v>36</v>
      </c>
      <c r="P1218">
        <v>18</v>
      </c>
      <c r="Q1218">
        <v>129</v>
      </c>
    </row>
    <row r="1219" spans="1:17" hidden="1" x14ac:dyDescent="0.25">
      <c r="A1219" t="s">
        <v>33</v>
      </c>
      <c r="B1219" t="s">
        <v>32</v>
      </c>
      <c r="C1219">
        <v>1985</v>
      </c>
      <c r="D1219" t="s">
        <v>34</v>
      </c>
      <c r="E1219" t="s">
        <v>30</v>
      </c>
      <c r="F1219" t="s">
        <v>29</v>
      </c>
      <c r="G1219" t="s">
        <v>28</v>
      </c>
      <c r="H1219" t="s">
        <v>35</v>
      </c>
      <c r="I1219" t="s">
        <v>26</v>
      </c>
      <c r="J1219">
        <v>95377</v>
      </c>
      <c r="K1219">
        <v>37.695149999999998</v>
      </c>
      <c r="L1219">
        <v>-121.590501</v>
      </c>
      <c r="M1219" t="s">
        <v>34</v>
      </c>
      <c r="N1219">
        <v>30</v>
      </c>
      <c r="O1219" t="s">
        <v>24</v>
      </c>
      <c r="P1219">
        <v>22</v>
      </c>
      <c r="Q1219">
        <v>36.404000000000003</v>
      </c>
    </row>
    <row r="1220" spans="1:17" hidden="1" x14ac:dyDescent="0.25">
      <c r="A1220" t="s">
        <v>33</v>
      </c>
      <c r="B1220" t="s">
        <v>32</v>
      </c>
      <c r="C1220">
        <v>1984</v>
      </c>
      <c r="D1220" t="s">
        <v>31</v>
      </c>
      <c r="E1220" t="s">
        <v>30</v>
      </c>
      <c r="F1220" t="s">
        <v>29</v>
      </c>
      <c r="G1220" t="s">
        <v>28</v>
      </c>
      <c r="H1220" t="s">
        <v>27</v>
      </c>
      <c r="I1220" t="s">
        <v>26</v>
      </c>
      <c r="J1220">
        <v>95377</v>
      </c>
      <c r="K1220">
        <v>37.730882999999999</v>
      </c>
      <c r="L1220">
        <v>-121.589356</v>
      </c>
      <c r="M1220" t="s">
        <v>25</v>
      </c>
      <c r="N1220">
        <v>28</v>
      </c>
      <c r="O1220" t="s">
        <v>24</v>
      </c>
      <c r="P1220">
        <v>43.1</v>
      </c>
      <c r="Q1220">
        <v>80.995000000000005</v>
      </c>
    </row>
  </sheetData>
  <autoFilter ref="A1:W1220" xr:uid="{00000000-0001-0000-0000-000000000000}">
    <filterColumn colId="4">
      <filters>
        <filter val="Solar PV - Ground mount"/>
        <filter val="Solar PV - Rooftop"/>
      </filters>
    </filterColumn>
    <filterColumn colId="5">
      <filters>
        <filter val="Online"/>
      </filters>
    </filterColumn>
    <filterColumn colId="7">
      <filters>
        <filter val="Kern"/>
        <filter val="Kern County"/>
      </filters>
    </filterColumn>
  </autoFilter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08075-D4E0-40FB-8041-6D5578B12682}">
  <sheetPr>
    <tabColor rgb="FFFFFF00"/>
  </sheetPr>
  <dimension ref="C2:I11"/>
  <sheetViews>
    <sheetView workbookViewId="0">
      <selection activeCell="O42" sqref="O42"/>
    </sheetView>
  </sheetViews>
  <sheetFormatPr defaultRowHeight="15" x14ac:dyDescent="0.25"/>
  <cols>
    <col min="8" max="8" width="10.140625" bestFit="1" customWidth="1"/>
  </cols>
  <sheetData>
    <row r="2" spans="3:9" x14ac:dyDescent="0.25">
      <c r="C2" t="s">
        <v>2534</v>
      </c>
    </row>
    <row r="3" spans="3:9" x14ac:dyDescent="0.25">
      <c r="C3">
        <v>3.5400000000000001E-2</v>
      </c>
    </row>
    <row r="6" spans="3:9" x14ac:dyDescent="0.25">
      <c r="G6" s="55" t="s">
        <v>2531</v>
      </c>
      <c r="H6" t="s">
        <v>2532</v>
      </c>
      <c r="I6" t="s">
        <v>2537</v>
      </c>
    </row>
    <row r="7" spans="3:9" x14ac:dyDescent="0.25">
      <c r="F7" t="s">
        <v>2535</v>
      </c>
      <c r="G7" s="75">
        <v>45658</v>
      </c>
      <c r="H7" s="16">
        <v>47848</v>
      </c>
      <c r="I7" s="7">
        <f>(H7-G7)/365</f>
        <v>6</v>
      </c>
    </row>
    <row r="8" spans="3:9" x14ac:dyDescent="0.25">
      <c r="F8" t="s">
        <v>2536</v>
      </c>
      <c r="G8" s="75">
        <v>45658</v>
      </c>
      <c r="H8" s="16">
        <v>55153</v>
      </c>
      <c r="I8" s="7">
        <f t="shared" ref="I8" si="0">(H8-G8)/365</f>
        <v>26.013698630136986</v>
      </c>
    </row>
    <row r="11" spans="3:9" x14ac:dyDescent="0.25">
      <c r="C11" t="s">
        <v>2539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4DBD0-6511-489A-B142-70D497D7DB24}">
  <dimension ref="C1:AB9"/>
  <sheetViews>
    <sheetView topLeftCell="G1" workbookViewId="0">
      <selection activeCell="R5" sqref="R5"/>
    </sheetView>
  </sheetViews>
  <sheetFormatPr defaultRowHeight="15" x14ac:dyDescent="0.25"/>
  <cols>
    <col min="4" max="4" width="14.140625" bestFit="1" customWidth="1"/>
    <col min="5" max="5" width="46.42578125" bestFit="1" customWidth="1"/>
    <col min="6" max="7" width="46.42578125" customWidth="1"/>
    <col min="14" max="16" width="11.85546875" bestFit="1" customWidth="1"/>
    <col min="18" max="18" width="20.5703125" bestFit="1" customWidth="1"/>
  </cols>
  <sheetData>
    <row r="1" spans="3:28" x14ac:dyDescent="0.25">
      <c r="M1" s="52"/>
      <c r="N1" s="53"/>
      <c r="O1" s="53"/>
      <c r="P1" s="53"/>
      <c r="Q1" s="53"/>
      <c r="R1" s="53"/>
      <c r="S1" s="54"/>
      <c r="V1" s="52"/>
      <c r="W1" s="53"/>
      <c r="X1" s="53"/>
      <c r="Y1" s="53"/>
      <c r="Z1" s="53"/>
      <c r="AA1" s="53"/>
      <c r="AB1" s="54"/>
    </row>
    <row r="2" spans="3:28" x14ac:dyDescent="0.25">
      <c r="M2" s="99" t="s">
        <v>2589</v>
      </c>
      <c r="R2" s="9" t="s">
        <v>2590</v>
      </c>
      <c r="S2" s="100" t="s">
        <v>2591</v>
      </c>
      <c r="V2" s="99" t="s">
        <v>2592</v>
      </c>
      <c r="AA2" s="9" t="s">
        <v>2515</v>
      </c>
      <c r="AB2" s="100" t="s">
        <v>2593</v>
      </c>
    </row>
    <row r="3" spans="3:28" x14ac:dyDescent="0.25">
      <c r="H3" s="9" t="s">
        <v>2577</v>
      </c>
      <c r="M3" s="55"/>
      <c r="N3" t="s">
        <v>2578</v>
      </c>
      <c r="O3" t="s">
        <v>2579</v>
      </c>
      <c r="P3" t="s">
        <v>2580</v>
      </c>
      <c r="S3" s="56"/>
      <c r="V3" s="55"/>
      <c r="W3" t="s">
        <v>2578</v>
      </c>
      <c r="X3" t="s">
        <v>2579</v>
      </c>
      <c r="Y3" t="s">
        <v>2580</v>
      </c>
      <c r="AB3" s="56"/>
    </row>
    <row r="4" spans="3:28" x14ac:dyDescent="0.25">
      <c r="D4" t="s">
        <v>2248</v>
      </c>
      <c r="E4" t="s">
        <v>4</v>
      </c>
      <c r="F4" t="s">
        <v>2582</v>
      </c>
      <c r="G4" t="s">
        <v>2581</v>
      </c>
      <c r="H4" t="s">
        <v>2578</v>
      </c>
      <c r="I4" t="s">
        <v>2579</v>
      </c>
      <c r="J4" t="s">
        <v>2580</v>
      </c>
      <c r="M4" s="55" t="s">
        <v>2382</v>
      </c>
      <c r="N4" s="12">
        <f>SUMIFS(emfac!AH:AH,emfac!$F:$F,$M4)/SUMIFS(emfac!$H:$H,emfac!$F:$F,$M4)*2000</f>
        <v>3.1415428214978385</v>
      </c>
      <c r="O4" s="12">
        <f>SUMIFS(emfac!AL:AL,emfac!$F:$F,$M4)/SUMIFS(emfac!$H:$H,emfac!$F:$F,$M4)*2000</f>
        <v>4.6732738008261297E-3</v>
      </c>
      <c r="P4" s="12">
        <f>SUMIFS(emfac!AP:AP,emfac!$F:$F,$M4)/SUMIFS(emfac!$H:$H,emfac!$F:$F,$M4)*2000</f>
        <v>6.4042405534465345E-4</v>
      </c>
      <c r="R4" s="7">
        <f>(N4+O4*27.9+P4*273)</f>
        <v>3.4467629276499778</v>
      </c>
      <c r="S4" s="101">
        <f>R4*454</f>
        <v>1564.83036915309</v>
      </c>
      <c r="V4" s="55" t="s">
        <v>2382</v>
      </c>
      <c r="W4" s="12">
        <f>SUMIFS(emfac!AH:AH,emfac!$F:$F,$V4)/SUMIFS(emfac!$BP:$BP,emfac!$F:$F,$V4)*2000/1000</f>
        <v>17.303321020519537</v>
      </c>
      <c r="X4" s="12">
        <f>SUMIFS(emfac!AL:AL,emfac!$F:$F,$V4)/SUMIFS(emfac!$BP:$BP,emfac!$F:$F,$V4)*2000/1000</f>
        <v>2.5739950523394017E-2</v>
      </c>
      <c r="Y4" s="12">
        <f>SUMIFS(emfac!AP:AP,emfac!$F:$F,$V4)/SUMIFS(emfac!$BP:$BP,emfac!$F:$F,$V4)*2000/1000</f>
        <v>3.5273951840032666E-3</v>
      </c>
      <c r="AA4" s="7">
        <f t="shared" ref="AA4:AA6" si="0">(W4+X4*27.9+Y4*273)</f>
        <v>18.984444525355123</v>
      </c>
      <c r="AB4" s="101">
        <f t="shared" ref="AB4:AB6" si="1">AA4*454</f>
        <v>8618.937814511226</v>
      </c>
    </row>
    <row r="5" spans="3:28" x14ac:dyDescent="0.25">
      <c r="C5" t="s">
        <v>2382</v>
      </c>
      <c r="D5">
        <v>6</v>
      </c>
      <c r="E5" t="s">
        <v>2569</v>
      </c>
      <c r="F5" t="s">
        <v>2583</v>
      </c>
      <c r="G5" s="3">
        <f>'Proj 6 EV Chargers And Vehicles'!AG5</f>
        <v>57771</v>
      </c>
      <c r="H5" s="14">
        <f>$G5*INDEX(W:W,MATCH($C5,$V:$V,0))/2204.62</f>
        <v>453.425152033654</v>
      </c>
      <c r="I5" s="14">
        <f t="shared" ref="I5:I7" si="2">$G5*INDEX(X:X,MATCH($C5,$V:$V,0))/2204.62</f>
        <v>0.6745029445831916</v>
      </c>
      <c r="J5" s="14">
        <f t="shared" ref="J5:J7" si="3">$G5*INDEX(Y:Y,MATCH($C5,$V:$V,0))/2204.62</f>
        <v>9.2433683435264466E-2</v>
      </c>
      <c r="K5" s="14">
        <f>H5*1+I5*27+J5*270</f>
        <v>496.59382606492159</v>
      </c>
      <c r="M5" s="55" t="s">
        <v>13</v>
      </c>
      <c r="N5" s="12">
        <f>SUMIFS(emfac!AH:AH,emfac!$F:$F,$M5)/SUMIFS(emfac!$H:$H,emfac!$F:$F,$M5)*2000</f>
        <v>0.80672521399459973</v>
      </c>
      <c r="O5" s="12">
        <f>SUMIFS(emfac!AL:AL,emfac!$F:$F,$M5)/SUMIFS(emfac!$H:$H,emfac!$F:$F,$M5)*2000</f>
        <v>3.2574937582811312E-5</v>
      </c>
      <c r="P5" s="12">
        <f>SUMIFS(emfac!AP:AP,emfac!$F:$F,$M5)/SUMIFS(emfac!$H:$H,emfac!$F:$F,$M5)*2000</f>
        <v>2.5360856850509664E-5</v>
      </c>
      <c r="R5" s="7">
        <f t="shared" ref="R5:R6" si="4">(N5+O5*27.9+P5*273)</f>
        <v>0.81455756867334927</v>
      </c>
      <c r="S5" s="101">
        <f t="shared" ref="S5:S6" si="5">R5*454</f>
        <v>369.80913617770057</v>
      </c>
      <c r="V5" s="55" t="s">
        <v>13</v>
      </c>
      <c r="W5" s="12">
        <f>SUMIFS(emfac!AH:AH,emfac!$F:$F,$V5)/SUMIFS(emfac!$BP:$BP,emfac!$F:$F,$V5)*2000/1000</f>
        <v>18.966559489476357</v>
      </c>
      <c r="X5" s="12">
        <f>SUMIFS(emfac!AL:AL,emfac!$F:$F,$V5)/SUMIFS(emfac!$BP:$BP,emfac!$F:$F,$V5)*2000/1000</f>
        <v>7.6585494145036824E-4</v>
      </c>
      <c r="Y5" s="12">
        <f>SUMIFS(emfac!AP:AP,emfac!$F:$F,$V5)/SUMIFS(emfac!$BP:$BP,emfac!$F:$F,$V5)*2000/1000</f>
        <v>5.962478819491881E-4</v>
      </c>
      <c r="AA5" s="7">
        <f t="shared" si="0"/>
        <v>19.150702514114951</v>
      </c>
      <c r="AB5" s="101">
        <f t="shared" si="1"/>
        <v>8694.4189414081884</v>
      </c>
    </row>
    <row r="6" spans="3:28" x14ac:dyDescent="0.25">
      <c r="C6" t="s">
        <v>13</v>
      </c>
      <c r="D6">
        <v>6</v>
      </c>
      <c r="E6" t="s">
        <v>2569</v>
      </c>
      <c r="F6" t="s">
        <v>2584</v>
      </c>
      <c r="G6" s="3">
        <f>'Proj 6 EV Chargers And Vehicles'!AG6</f>
        <v>75281</v>
      </c>
      <c r="H6" s="14">
        <f t="shared" ref="H6:H7" si="6">$G6*INDEX(W:W,MATCH($C6,$V:$V,0))/2204.62</f>
        <v>647.64973779030845</v>
      </c>
      <c r="I6" s="14">
        <f t="shared" si="2"/>
        <v>2.6151593402638628E-2</v>
      </c>
      <c r="J6" s="14">
        <f t="shared" si="3"/>
        <v>2.0360033384899362E-2</v>
      </c>
      <c r="K6" s="14">
        <f t="shared" ref="K6:K7" si="7">H6*1+I6*27+J6*270</f>
        <v>653.85303982610253</v>
      </c>
      <c r="M6" s="60" t="s">
        <v>10</v>
      </c>
      <c r="N6" s="102">
        <f>SUMIFS(emfac!AH:AH,emfac!$F:$F,$M6)/SUMIFS(emfac!$H:$H,emfac!$F:$F,$M6)*2000</f>
        <v>3.2211066141590945</v>
      </c>
      <c r="O6" s="102">
        <f>SUMIFS(emfac!AL:AL,emfac!$F:$F,$M6)/SUMIFS(emfac!$H:$H,emfac!$F:$F,$M6)*2000</f>
        <v>7.957887772071336E-6</v>
      </c>
      <c r="P6" s="102">
        <f>SUMIFS(emfac!AP:AP,emfac!$F:$F,$M6)/SUMIFS(emfac!$H:$H,emfac!$F:$F,$M6)*2000</f>
        <v>5.0748665882147516E-4</v>
      </c>
      <c r="Q6" s="61"/>
      <c r="R6" s="103">
        <f t="shared" si="4"/>
        <v>3.3598724970861982</v>
      </c>
      <c r="S6" s="104">
        <f t="shared" si="5"/>
        <v>1525.3821136771339</v>
      </c>
      <c r="V6" s="60" t="s">
        <v>10</v>
      </c>
      <c r="W6" s="102">
        <f>SUMIFS(emfac!AH:AH,emfac!$F:$F,$V6)/SUMIFS(emfac!$BP:$BP,emfac!$F:$F,$V6)*2000/1000</f>
        <v>22.388994391166548</v>
      </c>
      <c r="X6" s="102">
        <f>SUMIFS(emfac!AL:AL,emfac!$F:$F,$V6)/SUMIFS(emfac!$BP:$BP,emfac!$F:$F,$V6)*2000/1000</f>
        <v>5.5313010724716739E-5</v>
      </c>
      <c r="Y6" s="102">
        <f>SUMIFS(emfac!AP:AP,emfac!$F:$F,$V6)/SUMIFS(emfac!$BP:$BP,emfac!$F:$F,$V6)*2000/1000</f>
        <v>3.5273951840032671E-3</v>
      </c>
      <c r="Z6" s="61"/>
      <c r="AA6" s="103">
        <f t="shared" si="0"/>
        <v>23.353516509398659</v>
      </c>
      <c r="AB6" s="104">
        <f t="shared" si="1"/>
        <v>10602.496495266991</v>
      </c>
    </row>
    <row r="7" spans="3:28" x14ac:dyDescent="0.25">
      <c r="C7" t="s">
        <v>10</v>
      </c>
      <c r="D7">
        <v>6</v>
      </c>
      <c r="E7" t="s">
        <v>2569</v>
      </c>
      <c r="F7" t="s">
        <v>2585</v>
      </c>
      <c r="G7" s="3">
        <f>'Proj 6 EV Chargers And Vehicles'!AG7</f>
        <v>36252</v>
      </c>
      <c r="H7" s="14">
        <f t="shared" si="6"/>
        <v>368.15679104270566</v>
      </c>
      <c r="I7" s="14">
        <f t="shared" si="2"/>
        <v>9.0954779725868E-4</v>
      </c>
      <c r="J7" s="14">
        <f t="shared" si="3"/>
        <v>5.8003252356635809E-2</v>
      </c>
      <c r="K7" s="14">
        <f t="shared" si="7"/>
        <v>383.84222696952332</v>
      </c>
      <c r="N7" s="12"/>
      <c r="O7" s="12"/>
      <c r="P7" s="12"/>
    </row>
    <row r="8" spans="3:28" x14ac:dyDescent="0.25">
      <c r="D8">
        <v>7</v>
      </c>
      <c r="E8" t="s">
        <v>2250</v>
      </c>
      <c r="F8" t="s">
        <v>2586</v>
      </c>
      <c r="G8" s="3">
        <f>AVERAGE('Proj 7 eBike'!C19)*'Proj 7 eBike'!C12</f>
        <v>972070.92857142852</v>
      </c>
    </row>
    <row r="9" spans="3:28" x14ac:dyDescent="0.25">
      <c r="D9">
        <v>8</v>
      </c>
      <c r="E9" t="s">
        <v>2251</v>
      </c>
      <c r="F9" t="s">
        <v>2586</v>
      </c>
      <c r="G9" s="3">
        <f>AVERAGE('Proj 8 Complete Streets'!G29:K29)</f>
        <v>8169.8577404764819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BD7F2-42CA-45B1-8DE8-0C3134D9BF93}">
  <dimension ref="A1:T15"/>
  <sheetViews>
    <sheetView workbookViewId="0">
      <selection activeCell="B3" sqref="B3"/>
    </sheetView>
  </sheetViews>
  <sheetFormatPr defaultRowHeight="15" x14ac:dyDescent="0.25"/>
  <cols>
    <col min="1" max="1" width="59.7109375" bestFit="1" customWidth="1"/>
    <col min="2" max="2" width="10.7109375" customWidth="1"/>
    <col min="13" max="13" width="23.28515625" bestFit="1" customWidth="1"/>
    <col min="14" max="14" width="10.140625" bestFit="1" customWidth="1"/>
    <col min="15" max="15" width="20.7109375" bestFit="1" customWidth="1"/>
    <col min="16" max="16" width="24.140625" bestFit="1" customWidth="1"/>
    <col min="17" max="17" width="24.140625" customWidth="1"/>
    <col min="18" max="18" width="14.28515625" bestFit="1" customWidth="1"/>
  </cols>
  <sheetData>
    <row r="1" spans="1:20" x14ac:dyDescent="0.25">
      <c r="E1" s="40"/>
      <c r="M1" s="63" t="s">
        <v>2529</v>
      </c>
      <c r="N1" s="53"/>
      <c r="O1" s="53"/>
      <c r="P1" s="53"/>
      <c r="Q1" s="53"/>
      <c r="R1" s="54"/>
    </row>
    <row r="2" spans="1:20" ht="24" x14ac:dyDescent="0.25">
      <c r="A2" s="49" t="s">
        <v>2329</v>
      </c>
      <c r="B2" s="48" t="s">
        <v>2330</v>
      </c>
      <c r="M2" s="55" t="s">
        <v>2531</v>
      </c>
      <c r="N2" t="s">
        <v>2532</v>
      </c>
      <c r="O2" t="s">
        <v>2595</v>
      </c>
      <c r="P2" t="s">
        <v>2530</v>
      </c>
      <c r="Q2" t="s">
        <v>2538</v>
      </c>
      <c r="R2" s="56" t="s">
        <v>2528</v>
      </c>
    </row>
    <row r="3" spans="1:20" x14ac:dyDescent="0.25">
      <c r="A3" s="46" t="s">
        <v>2334</v>
      </c>
      <c r="B3" s="47">
        <v>78775</v>
      </c>
      <c r="M3" s="77">
        <f>Parameters!G7</f>
        <v>45658</v>
      </c>
      <c r="N3" s="77">
        <f>Parameters!H7</f>
        <v>47848</v>
      </c>
      <c r="O3">
        <f>N3-M3</f>
        <v>2190</v>
      </c>
      <c r="P3">
        <f>N3-$B$7</f>
        <v>1309</v>
      </c>
      <c r="Q3" s="6">
        <f>P3/365</f>
        <v>3.5863013698630137</v>
      </c>
      <c r="R3" s="76">
        <f>P3/O3</f>
        <v>0.59771689497716896</v>
      </c>
      <c r="T3" s="16">
        <f>M3+DATE(0,30,0)</f>
        <v>46540</v>
      </c>
    </row>
    <row r="4" spans="1:20" x14ac:dyDescent="0.25">
      <c r="A4" s="44" t="s">
        <v>2335</v>
      </c>
      <c r="B4" s="44">
        <v>8.9999999999999993E-3</v>
      </c>
      <c r="M4" s="77">
        <f>Parameters!G8</f>
        <v>45658</v>
      </c>
      <c r="N4" s="77">
        <f>Parameters!H8</f>
        <v>55153</v>
      </c>
      <c r="O4">
        <f>N4-M4</f>
        <v>9495</v>
      </c>
      <c r="P4">
        <f>N4-$B$7</f>
        <v>8614</v>
      </c>
      <c r="Q4" s="6">
        <f t="shared" ref="Q4" si="0">P4/365</f>
        <v>23.6</v>
      </c>
      <c r="R4" s="76">
        <f>P4/O4</f>
        <v>0.9072143233280674</v>
      </c>
    </row>
    <row r="5" spans="1:20" x14ac:dyDescent="0.25">
      <c r="A5" s="44" t="s">
        <v>2336</v>
      </c>
      <c r="B5" s="44">
        <v>7.0000000000000001E-3</v>
      </c>
      <c r="M5" s="60"/>
      <c r="N5" s="61"/>
      <c r="O5" s="61"/>
      <c r="P5" s="61"/>
      <c r="Q5" s="61"/>
      <c r="R5" s="62"/>
    </row>
    <row r="6" spans="1:20" x14ac:dyDescent="0.25">
      <c r="A6" s="44" t="s">
        <v>2337</v>
      </c>
      <c r="B6" s="44">
        <f>B4-B5</f>
        <v>1.9999999999999992E-3</v>
      </c>
    </row>
    <row r="7" spans="1:20" x14ac:dyDescent="0.25">
      <c r="A7" s="44" t="s">
        <v>2594</v>
      </c>
      <c r="B7" s="74">
        <v>46539</v>
      </c>
    </row>
    <row r="8" spans="1:20" x14ac:dyDescent="0.25">
      <c r="A8" s="44" t="s">
        <v>2338</v>
      </c>
      <c r="B8" s="45">
        <f>B6*B3</f>
        <v>157.54999999999993</v>
      </c>
    </row>
    <row r="9" spans="1:20" x14ac:dyDescent="0.25">
      <c r="A9" s="72" t="s">
        <v>2575</v>
      </c>
      <c r="B9" s="45">
        <f>$B$8*R3</f>
        <v>94.170296803652931</v>
      </c>
      <c r="C9" s="24"/>
    </row>
    <row r="10" spans="1:20" x14ac:dyDescent="0.25">
      <c r="A10" s="72" t="s">
        <v>2576</v>
      </c>
      <c r="B10" s="45">
        <f>$B$8*R4</f>
        <v>142.93161664033696</v>
      </c>
    </row>
    <row r="12" spans="1:20" x14ac:dyDescent="0.25">
      <c r="D12" s="1"/>
    </row>
    <row r="13" spans="1:20" x14ac:dyDescent="0.25">
      <c r="D13" s="1"/>
    </row>
    <row r="14" spans="1:20" x14ac:dyDescent="0.25">
      <c r="D14" s="109"/>
    </row>
    <row r="15" spans="1:20" x14ac:dyDescent="0.25">
      <c r="D15" s="10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B0DA5-A3C0-46E5-8821-6F2F7243F771}">
  <dimension ref="A2:AR25"/>
  <sheetViews>
    <sheetView zoomScaleNormal="100" workbookViewId="0">
      <selection activeCell="F14" sqref="F14"/>
    </sheetView>
  </sheetViews>
  <sheetFormatPr defaultRowHeight="15" x14ac:dyDescent="0.25"/>
  <cols>
    <col min="1" max="1" width="9" customWidth="1"/>
    <col min="2" max="2" width="10.140625" bestFit="1" customWidth="1"/>
    <col min="3" max="3" width="51.5703125" bestFit="1" customWidth="1"/>
    <col min="4" max="4" width="12.140625" customWidth="1"/>
    <col min="5" max="5" width="14.28515625" customWidth="1"/>
    <col min="6" max="6" width="14.140625" customWidth="1"/>
    <col min="7" max="9" width="9" customWidth="1"/>
    <col min="10" max="10" width="32.5703125" bestFit="1" customWidth="1"/>
    <col min="11" max="11" width="32.5703125" customWidth="1"/>
    <col min="12" max="12" width="16.7109375" bestFit="1" customWidth="1"/>
    <col min="13" max="44" width="16.7109375" customWidth="1"/>
  </cols>
  <sheetData>
    <row r="2" spans="1:44" x14ac:dyDescent="0.25">
      <c r="C2" t="s">
        <v>2368</v>
      </c>
      <c r="D2">
        <v>2</v>
      </c>
      <c r="E2">
        <v>4</v>
      </c>
      <c r="F2">
        <v>5</v>
      </c>
    </row>
    <row r="3" spans="1:44" ht="60" x14ac:dyDescent="0.25">
      <c r="D3" s="15" t="s">
        <v>23</v>
      </c>
      <c r="E3" s="15" t="s">
        <v>2369</v>
      </c>
      <c r="F3" s="15" t="s">
        <v>2312</v>
      </c>
      <c r="H3" s="9" t="s">
        <v>2370</v>
      </c>
    </row>
    <row r="4" spans="1:44" x14ac:dyDescent="0.25">
      <c r="C4" t="s">
        <v>2322</v>
      </c>
      <c r="D4" s="3">
        <v>144</v>
      </c>
      <c r="E4" s="3">
        <v>5000</v>
      </c>
      <c r="F4" s="3">
        <v>705</v>
      </c>
      <c r="H4" t="s">
        <v>2230</v>
      </c>
      <c r="I4" t="s">
        <v>2231</v>
      </c>
      <c r="J4" t="s">
        <v>2232</v>
      </c>
    </row>
    <row r="5" spans="1:44" x14ac:dyDescent="0.25">
      <c r="C5" t="s">
        <v>2262</v>
      </c>
      <c r="D5" s="4">
        <v>460800</v>
      </c>
      <c r="E5" s="4">
        <v>25650000</v>
      </c>
      <c r="F5" s="4">
        <v>6859868</v>
      </c>
      <c r="H5" s="3">
        <f>SUMIFS('RPS projects'!P:P,'RPS projects'!H:H,"Kern*",'RPS projects'!E:E,"*solar*",'RPS projects'!F:F,"Online")</f>
        <v>1966.8660000000002</v>
      </c>
      <c r="I5" s="3">
        <f>SUMIFS('RPS projects'!Q:Q,'RPS projects'!H:H,"Kern*",'RPS projects'!E:E,"*solar*",'RPS projects'!F:F,"Online")</f>
        <v>5609.8424148000013</v>
      </c>
      <c r="J5" s="24">
        <f>I5/(H5*8.76)</f>
        <v>0.32559054339544607</v>
      </c>
      <c r="K5" s="3"/>
      <c r="L5" s="17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</row>
    <row r="6" spans="1:44" x14ac:dyDescent="0.25">
      <c r="C6" t="s">
        <v>2319</v>
      </c>
      <c r="D6" s="27">
        <f>F6</f>
        <v>0.18739240260371126</v>
      </c>
      <c r="E6" s="27">
        <v>0.27328767123287673</v>
      </c>
      <c r="F6" s="27">
        <v>0.18739240260371126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</row>
    <row r="7" spans="1:44" x14ac:dyDescent="0.25">
      <c r="C7" t="s">
        <v>2263</v>
      </c>
      <c r="D7" s="3">
        <f>D4*D6*8760</f>
        <v>236384.27234042552</v>
      </c>
      <c r="E7" s="3">
        <v>11970000</v>
      </c>
      <c r="F7" s="3">
        <v>1157298</v>
      </c>
      <c r="L7" s="82" t="s">
        <v>2543</v>
      </c>
      <c r="M7" s="83">
        <v>42</v>
      </c>
      <c r="N7" s="83">
        <v>24</v>
      </c>
      <c r="O7" s="84">
        <v>30</v>
      </c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</row>
    <row r="8" spans="1:44" x14ac:dyDescent="0.25">
      <c r="C8" t="s">
        <v>2264</v>
      </c>
      <c r="D8" s="25">
        <f>D7/12</f>
        <v>19698.689361702127</v>
      </c>
      <c r="E8" s="25">
        <f t="shared" ref="E8:F8" si="0">E7/12</f>
        <v>997500</v>
      </c>
      <c r="F8" s="25">
        <f t="shared" si="0"/>
        <v>96441.5</v>
      </c>
      <c r="L8" s="85" t="s">
        <v>2540</v>
      </c>
      <c r="M8" s="7">
        <f>D2</f>
        <v>2</v>
      </c>
      <c r="N8" s="7">
        <f t="shared" ref="N8:O8" si="1">E2</f>
        <v>4</v>
      </c>
      <c r="O8" s="86">
        <f t="shared" si="1"/>
        <v>5</v>
      </c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</row>
    <row r="9" spans="1:44" x14ac:dyDescent="0.25">
      <c r="C9" s="16" t="s">
        <v>2367</v>
      </c>
      <c r="D9" s="16">
        <f>M9</f>
        <v>46905</v>
      </c>
      <c r="E9" s="16">
        <f t="shared" ref="E9:F9" si="2">N9</f>
        <v>46358</v>
      </c>
      <c r="F9" s="16">
        <f t="shared" si="2"/>
        <v>46540</v>
      </c>
      <c r="L9" s="87">
        <v>45658</v>
      </c>
      <c r="M9" s="88">
        <f>$L$9+DATE(0,M7,0)</f>
        <v>46905</v>
      </c>
      <c r="N9" s="88">
        <f t="shared" ref="N9:O9" si="3">$L$9+DATE(0,N7,0)</f>
        <v>46358</v>
      </c>
      <c r="O9" s="89">
        <f t="shared" si="3"/>
        <v>46540</v>
      </c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</row>
    <row r="10" spans="1:44" x14ac:dyDescent="0.25">
      <c r="C10" s="79" t="s">
        <v>2541</v>
      </c>
      <c r="D10" s="3">
        <f>(Parameters!$H7-D$9)/30</f>
        <v>31.433333333333334</v>
      </c>
      <c r="E10" s="3">
        <f>(Parameters!$H7-E$9)/30</f>
        <v>49.666666666666664</v>
      </c>
      <c r="F10" s="3">
        <f>(Parameters!$H7-F$9)/30</f>
        <v>43.6</v>
      </c>
      <c r="L10" s="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</row>
    <row r="11" spans="1:44" x14ac:dyDescent="0.25">
      <c r="C11" s="16" t="s">
        <v>2542</v>
      </c>
      <c r="D11" s="3">
        <f>(Parameters!$H8-D$9)/30</f>
        <v>274.93333333333334</v>
      </c>
      <c r="E11" s="3">
        <f>(Parameters!$H8-E$9)/30</f>
        <v>293.16666666666669</v>
      </c>
      <c r="F11" s="3">
        <f>(Parameters!$H8-F$9)/30</f>
        <v>287.10000000000002</v>
      </c>
      <c r="L11" s="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</row>
    <row r="12" spans="1:44" x14ac:dyDescent="0.25">
      <c r="B12" s="16">
        <f>Parameters!H7</f>
        <v>47848</v>
      </c>
      <c r="C12" s="19" t="s">
        <v>2596</v>
      </c>
      <c r="D12" s="6">
        <f>AVERAGEIFS('Electricity Emissions Factors'!$P:$P,'Electricity Emissions Factors'!$L:$L,"&gt;="&amp;D$9,'Electricity Emissions Factors'!$L:$L,"&lt;="&amp;$B12)</f>
        <v>7.6345798899929845E-2</v>
      </c>
      <c r="E12" s="6">
        <f>AVERAGEIFS('Electricity Emissions Factors'!$P:$P,'Electricity Emissions Factors'!$L:$L,"&gt;="&amp;E$9,'Electricity Emissions Factors'!$L:$L,"&lt;="&amp;$B12)</f>
        <v>7.7404089556973879E-2</v>
      </c>
      <c r="F12" s="6">
        <f>AVERAGEIFS('Electricity Emissions Factors'!$P:$P,'Electricity Emissions Factors'!$L:$L,"&gt;="&amp;F$9,'Electricity Emissions Factors'!$L:$L,"&lt;="&amp;$B12)</f>
        <v>7.7035662394435558E-2</v>
      </c>
      <c r="L12" s="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</row>
    <row r="13" spans="1:44" x14ac:dyDescent="0.25">
      <c r="B13" s="16">
        <f>Parameters!H8</f>
        <v>55153</v>
      </c>
      <c r="C13" s="19" t="s">
        <v>2597</v>
      </c>
      <c r="D13" s="6">
        <f>AVERAGEIFS('Electricity Emissions Factors'!$P:$P,'Electricity Emissions Factors'!$L:$L,"&gt;="&amp;D$9,'Electricity Emissions Factors'!$L:$L,"&lt;="&amp;$B13)</f>
        <v>3.4861279171843257E-2</v>
      </c>
      <c r="E13" s="6">
        <f>AVERAGEIFS('Electricity Emissions Factors'!$P:$P,'Electricity Emissions Factors'!$L:$L,"&gt;="&amp;E$9,'Electricity Emissions Factors'!$L:$L,"&lt;="&amp;$B13)</f>
        <v>3.7486399959744607E-2</v>
      </c>
      <c r="F13" s="6">
        <f>AVERAGEIFS('Electricity Emissions Factors'!$P:$P,'Electricity Emissions Factors'!$L:$L,"&gt;="&amp;F$9,'Electricity Emissions Factors'!$L:$L,"&lt;="&amp;$B13)</f>
        <v>3.6582215284531878E-2</v>
      </c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</row>
    <row r="14" spans="1:44" x14ac:dyDescent="0.25">
      <c r="A14" s="19"/>
      <c r="C14" s="19" t="s">
        <v>2573</v>
      </c>
      <c r="D14" s="25">
        <f>D$8*D10*D12/1000</f>
        <v>47.272972751148615</v>
      </c>
      <c r="E14" s="25">
        <f t="shared" ref="E14:F14" si="4">E$8*E10*E12/1000</f>
        <v>3834.7921068763785</v>
      </c>
      <c r="F14" s="25">
        <f t="shared" si="4"/>
        <v>323.92335879784497</v>
      </c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</row>
    <row r="15" spans="1:44" x14ac:dyDescent="0.25">
      <c r="C15" s="19" t="s">
        <v>2574</v>
      </c>
      <c r="D15" s="25">
        <f t="shared" ref="D15" si="5">D$8*D11*D13/1000</f>
        <v>188.80263358442826</v>
      </c>
      <c r="E15" s="25">
        <f t="shared" ref="E15:F15" si="6">E$8*E11*E13/1000</f>
        <v>10962.288514227965</v>
      </c>
      <c r="F15" s="25">
        <f t="shared" si="6"/>
        <v>1012.9013506807694</v>
      </c>
      <c r="J15" s="10"/>
      <c r="K15" s="10"/>
      <c r="L15" s="10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</row>
    <row r="16" spans="1:44" x14ac:dyDescent="0.25">
      <c r="A16" s="19"/>
      <c r="C16" t="str">
        <f>'Proj 1 MLK'!A9</f>
        <v>2025-2030 average annual emissions reductions (prorated) MT CO2e</v>
      </c>
      <c r="D16" s="14">
        <f>D14/Parameters!$I7</f>
        <v>7.8788287918581021</v>
      </c>
      <c r="E16" s="14">
        <f>E14/Parameters!$I7</f>
        <v>639.13201781272971</v>
      </c>
      <c r="F16" s="14">
        <f>F14/Parameters!$I7</f>
        <v>53.987226466307497</v>
      </c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</row>
    <row r="17" spans="3:44" x14ac:dyDescent="0.25">
      <c r="C17" t="str">
        <f>'Proj 1 MLK'!A10</f>
        <v>2025-2050 average annual emissions reductions (prorated) MT CO2e</v>
      </c>
      <c r="D17" s="14">
        <f>D15/Parameters!$I8</f>
        <v>7.2578158249938198</v>
      </c>
      <c r="E17" s="14">
        <f>E15/Parameters!$I8</f>
        <v>421.40445578654106</v>
      </c>
      <c r="F17" s="14">
        <f>F15/Parameters!$I8</f>
        <v>38.937229383726262</v>
      </c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</row>
    <row r="18" spans="3:44" x14ac:dyDescent="0.25"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</row>
    <row r="19" spans="3:44" x14ac:dyDescent="0.25"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</row>
    <row r="20" spans="3:44" x14ac:dyDescent="0.25"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</row>
    <row r="21" spans="3:44" x14ac:dyDescent="0.25"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</row>
    <row r="25" spans="3:44" x14ac:dyDescent="0.25">
      <c r="D25" s="14"/>
      <c r="E25" s="14"/>
      <c r="F25" s="14"/>
    </row>
  </sheetData>
  <conditionalFormatting sqref="I26:I1048576 I1:I22">
    <cfRule type="duplicateValues" dxfId="1" priority="1"/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27B78-64DF-4F3F-ACD7-3C83CEA454D0}">
  <dimension ref="A3:X42"/>
  <sheetViews>
    <sheetView topLeftCell="H1" workbookViewId="0">
      <selection activeCell="V8" sqref="V8"/>
    </sheetView>
  </sheetViews>
  <sheetFormatPr defaultRowHeight="15" x14ac:dyDescent="0.25"/>
  <cols>
    <col min="2" max="2" width="10.140625" customWidth="1"/>
    <col min="3" max="3" width="9.140625" bestFit="1" customWidth="1"/>
    <col min="4" max="4" width="11.140625" bestFit="1" customWidth="1"/>
    <col min="5" max="5" width="9.140625" bestFit="1" customWidth="1"/>
    <col min="6" max="6" width="9.140625" customWidth="1"/>
    <col min="8" max="8" width="10.140625" bestFit="1" customWidth="1"/>
    <col min="9" max="9" width="51" bestFit="1" customWidth="1"/>
    <col min="10" max="10" width="9.140625" bestFit="1" customWidth="1"/>
    <col min="14" max="14" width="9.140625" style="8" bestFit="1" customWidth="1"/>
    <col min="15" max="15" width="29.42578125" bestFit="1" customWidth="1"/>
    <col min="16" max="16" width="28.42578125" bestFit="1" customWidth="1"/>
    <col min="17" max="17" width="22.140625" bestFit="1" customWidth="1"/>
    <col min="18" max="18" width="10.42578125" bestFit="1" customWidth="1"/>
    <col min="21" max="21" width="8.85546875" customWidth="1"/>
    <col min="22" max="22" width="10.5703125" bestFit="1" customWidth="1"/>
    <col min="24" max="24" width="10.5703125" bestFit="1" customWidth="1"/>
    <col min="30" max="30" width="17.42578125" customWidth="1"/>
  </cols>
  <sheetData>
    <row r="3" spans="1:24" x14ac:dyDescent="0.25">
      <c r="A3" t="s">
        <v>2307</v>
      </c>
    </row>
    <row r="4" spans="1:24" x14ac:dyDescent="0.25">
      <c r="A4" s="40" t="s">
        <v>2254</v>
      </c>
    </row>
    <row r="6" spans="1:24" x14ac:dyDescent="0.25">
      <c r="D6" t="s">
        <v>2233</v>
      </c>
      <c r="E6" t="s">
        <v>2310</v>
      </c>
      <c r="I6" t="s">
        <v>2329</v>
      </c>
      <c r="J6" t="s">
        <v>2330</v>
      </c>
      <c r="N6" s="90" t="s">
        <v>2244</v>
      </c>
      <c r="O6" t="s">
        <v>2545</v>
      </c>
      <c r="P6" t="s">
        <v>2544</v>
      </c>
      <c r="Q6" t="s">
        <v>2546</v>
      </c>
      <c r="R6" t="s">
        <v>7</v>
      </c>
    </row>
    <row r="7" spans="1:24" x14ac:dyDescent="0.25">
      <c r="C7" t="s">
        <v>2308</v>
      </c>
      <c r="D7">
        <v>2430</v>
      </c>
      <c r="E7">
        <v>74</v>
      </c>
      <c r="I7" t="s">
        <v>2339</v>
      </c>
      <c r="J7">
        <v>74</v>
      </c>
      <c r="N7" s="8">
        <v>2025</v>
      </c>
      <c r="O7" s="14">
        <f t="shared" ref="O7:O12" si="0">$J$12</f>
        <v>0.58543136834071197</v>
      </c>
      <c r="P7">
        <v>20</v>
      </c>
      <c r="Q7">
        <f>SUM($P$7:P7)</f>
        <v>20</v>
      </c>
      <c r="R7" s="14">
        <f>O7*Q7</f>
        <v>11.708627366814239</v>
      </c>
    </row>
    <row r="8" spans="1:24" x14ac:dyDescent="0.25">
      <c r="C8" t="s">
        <v>2309</v>
      </c>
      <c r="D8">
        <v>1947</v>
      </c>
      <c r="E8">
        <v>98.1</v>
      </c>
      <c r="I8" t="s">
        <v>2342</v>
      </c>
      <c r="J8" s="2">
        <v>2.4300000000000002</v>
      </c>
      <c r="N8" s="8">
        <f>N7+1</f>
        <v>2026</v>
      </c>
      <c r="O8" s="14">
        <f t="shared" si="0"/>
        <v>0.58543136834071197</v>
      </c>
      <c r="P8">
        <v>20</v>
      </c>
      <c r="Q8">
        <f>SUM($P$7:P8)</f>
        <v>40</v>
      </c>
      <c r="R8" s="14">
        <f t="shared" ref="R8:R32" si="1">O8*Q8</f>
        <v>23.417254733628479</v>
      </c>
      <c r="U8" s="19" t="s">
        <v>2547</v>
      </c>
      <c r="V8" s="14">
        <f>AVERAGE(R7:R12)</f>
        <v>40.492336310232581</v>
      </c>
    </row>
    <row r="9" spans="1:24" x14ac:dyDescent="0.25">
      <c r="G9" s="16">
        <f>Parameters!G7</f>
        <v>45658</v>
      </c>
      <c r="H9" s="16">
        <f>Parameters!H7</f>
        <v>47848</v>
      </c>
      <c r="I9" t="s">
        <v>2596</v>
      </c>
      <c r="J9" s="6">
        <f>AVERAGEIFS('Electricity Emissions Factors'!$P:$P,'Electricity Emissions Factors'!$L:$L,"&gt;="&amp;G9,'Electricity Emissions Factors'!$L:$L,"&lt;="&amp;H9)</f>
        <v>7.8853903843914316E-2</v>
      </c>
      <c r="N9" s="8">
        <f t="shared" ref="N9:N32" si="2">N8+1</f>
        <v>2027</v>
      </c>
      <c r="O9" s="14">
        <f t="shared" si="0"/>
        <v>0.58543136834071197</v>
      </c>
      <c r="P9">
        <v>25</v>
      </c>
      <c r="Q9">
        <f>SUM($P$7:P9)</f>
        <v>65</v>
      </c>
      <c r="R9" s="14">
        <f t="shared" si="1"/>
        <v>38.05303894214628</v>
      </c>
      <c r="S9" s="9"/>
      <c r="U9" s="19" t="s">
        <v>2548</v>
      </c>
      <c r="V9" s="14">
        <f>AVERAGE(R7:R32)</f>
        <v>47.28153011065362</v>
      </c>
    </row>
    <row r="10" spans="1:24" x14ac:dyDescent="0.25">
      <c r="G10" s="16">
        <f>Parameters!G8</f>
        <v>45658</v>
      </c>
      <c r="H10" s="16">
        <f>Parameters!H8</f>
        <v>55153</v>
      </c>
      <c r="I10" t="s">
        <v>2597</v>
      </c>
      <c r="J10" s="6">
        <f>AVERAGEIFS('Electricity Emissions Factors'!$P:$P,'Electricity Emissions Factors'!$L:$L,"&gt;="&amp;G10,'Electricity Emissions Factors'!$L:$L,"&lt;="&amp;H10)</f>
        <v>4.0891563994979251E-2</v>
      </c>
      <c r="N10" s="8">
        <f t="shared" si="2"/>
        <v>2028</v>
      </c>
      <c r="O10" s="14">
        <f t="shared" si="0"/>
        <v>0.58543136834071197</v>
      </c>
      <c r="P10">
        <v>25</v>
      </c>
      <c r="Q10">
        <f>SUM($P$7:P10)</f>
        <v>90</v>
      </c>
      <c r="R10" s="14">
        <f t="shared" si="1"/>
        <v>52.688823150664078</v>
      </c>
    </row>
    <row r="11" spans="1:24" x14ac:dyDescent="0.25">
      <c r="I11" t="s">
        <v>2343</v>
      </c>
      <c r="J11" s="12">
        <v>5.3218430000000014E-3</v>
      </c>
      <c r="N11" s="8">
        <f t="shared" si="2"/>
        <v>2029</v>
      </c>
      <c r="O11" s="14">
        <f t="shared" si="0"/>
        <v>0.58543136834071197</v>
      </c>
      <c r="P11">
        <v>10</v>
      </c>
      <c r="Q11">
        <f>SUM($P$7:P11)</f>
        <v>100</v>
      </c>
      <c r="R11" s="14">
        <f t="shared" si="1"/>
        <v>58.543136834071198</v>
      </c>
      <c r="S11" s="7"/>
      <c r="T11" s="14"/>
      <c r="U11" s="14"/>
    </row>
    <row r="12" spans="1:24" x14ac:dyDescent="0.25">
      <c r="I12" s="19" t="s">
        <v>2340</v>
      </c>
      <c r="J12" s="14">
        <f>($J$7*$J$11+J9*$J$8)</f>
        <v>0.58543136834071197</v>
      </c>
      <c r="N12" s="8">
        <f t="shared" si="2"/>
        <v>2030</v>
      </c>
      <c r="O12" s="14">
        <f t="shared" si="0"/>
        <v>0.58543136834071197</v>
      </c>
      <c r="P12">
        <v>0</v>
      </c>
      <c r="Q12">
        <f>SUM($P$7:P12)</f>
        <v>100</v>
      </c>
      <c r="R12" s="14">
        <f t="shared" si="1"/>
        <v>58.543136834071198</v>
      </c>
      <c r="S12" s="7"/>
      <c r="T12" s="14"/>
      <c r="U12" s="14"/>
      <c r="X12" s="17"/>
    </row>
    <row r="13" spans="1:24" x14ac:dyDescent="0.25">
      <c r="I13" s="19" t="s">
        <v>2341</v>
      </c>
      <c r="J13" s="14">
        <f>($J$7*$J$11+J10*$J$8)</f>
        <v>0.49318288250779974</v>
      </c>
      <c r="N13" s="8">
        <f t="shared" si="2"/>
        <v>2031</v>
      </c>
      <c r="O13" s="14">
        <f t="shared" ref="O13:O32" si="3">$J$13</f>
        <v>0.49318288250779974</v>
      </c>
      <c r="P13">
        <v>0</v>
      </c>
      <c r="Q13">
        <f>SUM($P$7:P13)</f>
        <v>100</v>
      </c>
      <c r="R13" s="14">
        <f t="shared" si="1"/>
        <v>49.318288250779972</v>
      </c>
      <c r="S13" s="7"/>
      <c r="T13" s="14"/>
      <c r="U13" s="14"/>
      <c r="X13" s="4"/>
    </row>
    <row r="14" spans="1:24" x14ac:dyDescent="0.25">
      <c r="K14" s="14"/>
      <c r="N14" s="8">
        <f t="shared" si="2"/>
        <v>2032</v>
      </c>
      <c r="O14" s="14">
        <f t="shared" si="3"/>
        <v>0.49318288250779974</v>
      </c>
      <c r="P14">
        <v>0</v>
      </c>
      <c r="Q14">
        <f>SUM($P$7:P14)</f>
        <v>100</v>
      </c>
      <c r="R14" s="14">
        <f t="shared" si="1"/>
        <v>49.318288250779972</v>
      </c>
      <c r="S14" s="7"/>
      <c r="T14" s="14"/>
      <c r="U14" s="14"/>
    </row>
    <row r="15" spans="1:24" x14ac:dyDescent="0.25">
      <c r="N15" s="8">
        <f t="shared" si="2"/>
        <v>2033</v>
      </c>
      <c r="O15" s="14">
        <f t="shared" si="3"/>
        <v>0.49318288250779974</v>
      </c>
      <c r="P15">
        <v>0</v>
      </c>
      <c r="Q15">
        <f>SUM($P$7:P15)</f>
        <v>100</v>
      </c>
      <c r="R15" s="14">
        <f t="shared" si="1"/>
        <v>49.318288250779972</v>
      </c>
      <c r="S15" s="7"/>
      <c r="T15" s="14"/>
      <c r="U15" s="14"/>
    </row>
    <row r="16" spans="1:24" x14ac:dyDescent="0.25">
      <c r="N16" s="8">
        <f t="shared" si="2"/>
        <v>2034</v>
      </c>
      <c r="O16" s="14">
        <f t="shared" si="3"/>
        <v>0.49318288250779974</v>
      </c>
      <c r="P16">
        <v>0</v>
      </c>
      <c r="Q16">
        <f>SUM($P$7:P16)</f>
        <v>100</v>
      </c>
      <c r="R16" s="14">
        <f t="shared" si="1"/>
        <v>49.318288250779972</v>
      </c>
      <c r="S16" s="7"/>
      <c r="T16" s="14"/>
      <c r="U16" s="14"/>
      <c r="V16" s="17"/>
    </row>
    <row r="17" spans="14:21" x14ac:dyDescent="0.25">
      <c r="N17" s="8">
        <f t="shared" si="2"/>
        <v>2035</v>
      </c>
      <c r="O17" s="14">
        <f t="shared" si="3"/>
        <v>0.49318288250779974</v>
      </c>
      <c r="P17">
        <v>0</v>
      </c>
      <c r="Q17">
        <f>SUM($P$7:P17)</f>
        <v>100</v>
      </c>
      <c r="R17" s="14">
        <f t="shared" si="1"/>
        <v>49.318288250779972</v>
      </c>
      <c r="S17" s="7"/>
      <c r="T17" s="14"/>
      <c r="U17" s="14"/>
    </row>
    <row r="18" spans="14:21" x14ac:dyDescent="0.25">
      <c r="N18" s="8">
        <f t="shared" si="2"/>
        <v>2036</v>
      </c>
      <c r="O18" s="14">
        <f t="shared" si="3"/>
        <v>0.49318288250779974</v>
      </c>
      <c r="P18">
        <v>0</v>
      </c>
      <c r="Q18">
        <f>SUM($P$7:P18)</f>
        <v>100</v>
      </c>
      <c r="R18" s="14">
        <f t="shared" si="1"/>
        <v>49.318288250779972</v>
      </c>
      <c r="S18" s="7"/>
      <c r="T18" s="14"/>
      <c r="U18" s="14"/>
    </row>
    <row r="19" spans="14:21" x14ac:dyDescent="0.25">
      <c r="N19" s="8">
        <f t="shared" si="2"/>
        <v>2037</v>
      </c>
      <c r="O19" s="14">
        <f t="shared" si="3"/>
        <v>0.49318288250779974</v>
      </c>
      <c r="P19">
        <v>0</v>
      </c>
      <c r="Q19">
        <f>SUM($P$7:P19)</f>
        <v>100</v>
      </c>
      <c r="R19" s="14">
        <f t="shared" si="1"/>
        <v>49.318288250779972</v>
      </c>
      <c r="S19" s="7"/>
      <c r="T19" s="14"/>
      <c r="U19" s="14"/>
    </row>
    <row r="20" spans="14:21" x14ac:dyDescent="0.25">
      <c r="N20" s="8">
        <f t="shared" si="2"/>
        <v>2038</v>
      </c>
      <c r="O20" s="14">
        <f t="shared" si="3"/>
        <v>0.49318288250779974</v>
      </c>
      <c r="P20">
        <v>0</v>
      </c>
      <c r="Q20">
        <f>SUM($P$7:P20)</f>
        <v>100</v>
      </c>
      <c r="R20" s="14">
        <f t="shared" si="1"/>
        <v>49.318288250779972</v>
      </c>
      <c r="S20" s="7"/>
      <c r="T20" s="14"/>
      <c r="U20" s="14"/>
    </row>
    <row r="21" spans="14:21" x14ac:dyDescent="0.25">
      <c r="N21" s="8">
        <f t="shared" si="2"/>
        <v>2039</v>
      </c>
      <c r="O21" s="14">
        <f t="shared" si="3"/>
        <v>0.49318288250779974</v>
      </c>
      <c r="P21">
        <v>0</v>
      </c>
      <c r="Q21">
        <f>SUM($P$7:P21)</f>
        <v>100</v>
      </c>
      <c r="R21" s="14">
        <f t="shared" si="1"/>
        <v>49.318288250779972</v>
      </c>
      <c r="S21" s="7"/>
      <c r="T21" s="14"/>
      <c r="U21" s="14"/>
    </row>
    <row r="22" spans="14:21" x14ac:dyDescent="0.25">
      <c r="N22" s="8">
        <f t="shared" si="2"/>
        <v>2040</v>
      </c>
      <c r="O22" s="14">
        <f t="shared" si="3"/>
        <v>0.49318288250779974</v>
      </c>
      <c r="P22">
        <v>0</v>
      </c>
      <c r="Q22">
        <f>SUM($P$7:P22)</f>
        <v>100</v>
      </c>
      <c r="R22" s="14">
        <f t="shared" si="1"/>
        <v>49.318288250779972</v>
      </c>
      <c r="S22" s="7"/>
      <c r="T22" s="14"/>
      <c r="U22" s="14"/>
    </row>
    <row r="23" spans="14:21" x14ac:dyDescent="0.25">
      <c r="N23" s="8">
        <f t="shared" si="2"/>
        <v>2041</v>
      </c>
      <c r="O23" s="14">
        <f t="shared" si="3"/>
        <v>0.49318288250779974</v>
      </c>
      <c r="P23">
        <v>0</v>
      </c>
      <c r="Q23">
        <f>SUM($P$7:P23)</f>
        <v>100</v>
      </c>
      <c r="R23" s="14">
        <f t="shared" si="1"/>
        <v>49.318288250779972</v>
      </c>
      <c r="S23" s="7"/>
      <c r="T23" s="14"/>
      <c r="U23" s="14"/>
    </row>
    <row r="24" spans="14:21" x14ac:dyDescent="0.25">
      <c r="N24" s="8">
        <f t="shared" si="2"/>
        <v>2042</v>
      </c>
      <c r="O24" s="14">
        <f t="shared" si="3"/>
        <v>0.49318288250779974</v>
      </c>
      <c r="P24">
        <v>0</v>
      </c>
      <c r="Q24">
        <f>SUM($P$7:P24)</f>
        <v>100</v>
      </c>
      <c r="R24" s="14">
        <f t="shared" si="1"/>
        <v>49.318288250779972</v>
      </c>
      <c r="S24" s="7"/>
      <c r="T24" s="14"/>
      <c r="U24" s="14"/>
    </row>
    <row r="25" spans="14:21" x14ac:dyDescent="0.25">
      <c r="N25" s="8">
        <f t="shared" si="2"/>
        <v>2043</v>
      </c>
      <c r="O25" s="14">
        <f t="shared" si="3"/>
        <v>0.49318288250779974</v>
      </c>
      <c r="P25">
        <v>0</v>
      </c>
      <c r="Q25">
        <f>SUM($P$7:P25)</f>
        <v>100</v>
      </c>
      <c r="R25" s="14">
        <f t="shared" si="1"/>
        <v>49.318288250779972</v>
      </c>
      <c r="S25" s="7"/>
      <c r="T25" s="14"/>
      <c r="U25" s="14"/>
    </row>
    <row r="26" spans="14:21" x14ac:dyDescent="0.25">
      <c r="N26" s="8">
        <f t="shared" si="2"/>
        <v>2044</v>
      </c>
      <c r="O26" s="14">
        <f t="shared" si="3"/>
        <v>0.49318288250779974</v>
      </c>
      <c r="P26">
        <v>0</v>
      </c>
      <c r="Q26">
        <f>SUM($P$7:P26)</f>
        <v>100</v>
      </c>
      <c r="R26" s="14">
        <f t="shared" si="1"/>
        <v>49.318288250779972</v>
      </c>
      <c r="S26" s="7"/>
      <c r="T26" s="14"/>
      <c r="U26" s="14"/>
    </row>
    <row r="27" spans="14:21" x14ac:dyDescent="0.25">
      <c r="N27" s="8">
        <f t="shared" si="2"/>
        <v>2045</v>
      </c>
      <c r="O27" s="14">
        <f t="shared" si="3"/>
        <v>0.49318288250779974</v>
      </c>
      <c r="P27">
        <v>0</v>
      </c>
      <c r="Q27">
        <f>SUM($P$7:P27)</f>
        <v>100</v>
      </c>
      <c r="R27" s="14">
        <f t="shared" si="1"/>
        <v>49.318288250779972</v>
      </c>
      <c r="S27" s="7"/>
      <c r="T27" s="14"/>
      <c r="U27" s="14"/>
    </row>
    <row r="28" spans="14:21" x14ac:dyDescent="0.25">
      <c r="N28" s="8">
        <f t="shared" si="2"/>
        <v>2046</v>
      </c>
      <c r="O28" s="14">
        <f t="shared" si="3"/>
        <v>0.49318288250779974</v>
      </c>
      <c r="P28">
        <v>0</v>
      </c>
      <c r="Q28">
        <f>SUM($P$7:P28)</f>
        <v>100</v>
      </c>
      <c r="R28" s="14">
        <f t="shared" si="1"/>
        <v>49.318288250779972</v>
      </c>
      <c r="S28" s="7"/>
      <c r="T28" s="14"/>
      <c r="U28" s="14"/>
    </row>
    <row r="29" spans="14:21" x14ac:dyDescent="0.25">
      <c r="N29" s="8">
        <f t="shared" si="2"/>
        <v>2047</v>
      </c>
      <c r="O29" s="14">
        <f t="shared" si="3"/>
        <v>0.49318288250779974</v>
      </c>
      <c r="P29">
        <v>0</v>
      </c>
      <c r="Q29">
        <f>SUM($P$7:P29)</f>
        <v>100</v>
      </c>
      <c r="R29" s="14">
        <f t="shared" si="1"/>
        <v>49.318288250779972</v>
      </c>
      <c r="S29" s="7"/>
      <c r="T29" s="14"/>
      <c r="U29" s="14"/>
    </row>
    <row r="30" spans="14:21" x14ac:dyDescent="0.25">
      <c r="N30" s="8">
        <f t="shared" si="2"/>
        <v>2048</v>
      </c>
      <c r="O30" s="14">
        <f t="shared" si="3"/>
        <v>0.49318288250779974</v>
      </c>
      <c r="P30">
        <v>0</v>
      </c>
      <c r="Q30">
        <f>SUM($P$7:P30)</f>
        <v>100</v>
      </c>
      <c r="R30" s="14">
        <f t="shared" si="1"/>
        <v>49.318288250779972</v>
      </c>
      <c r="S30" s="7"/>
      <c r="T30" s="14"/>
      <c r="U30" s="14"/>
    </row>
    <row r="31" spans="14:21" x14ac:dyDescent="0.25">
      <c r="N31" s="8">
        <f t="shared" si="2"/>
        <v>2049</v>
      </c>
      <c r="O31" s="14">
        <f t="shared" si="3"/>
        <v>0.49318288250779974</v>
      </c>
      <c r="P31">
        <v>0</v>
      </c>
      <c r="Q31">
        <f>SUM($P$7:P31)</f>
        <v>100</v>
      </c>
      <c r="R31" s="14">
        <f t="shared" si="1"/>
        <v>49.318288250779972</v>
      </c>
      <c r="S31" s="7"/>
      <c r="T31" s="14"/>
      <c r="U31" s="14"/>
    </row>
    <row r="32" spans="14:21" x14ac:dyDescent="0.25">
      <c r="N32" s="8">
        <f t="shared" si="2"/>
        <v>2050</v>
      </c>
      <c r="O32" s="14">
        <f t="shared" si="3"/>
        <v>0.49318288250779974</v>
      </c>
      <c r="P32">
        <v>0</v>
      </c>
      <c r="Q32">
        <f>SUM($P$7:P32)</f>
        <v>100</v>
      </c>
      <c r="R32" s="14">
        <f t="shared" si="1"/>
        <v>49.318288250779972</v>
      </c>
      <c r="S32" s="7"/>
      <c r="T32" s="14"/>
      <c r="U32" s="14"/>
    </row>
    <row r="33" spans="18:21" x14ac:dyDescent="0.25">
      <c r="R33" s="14"/>
      <c r="S33" s="7"/>
      <c r="T33" s="14"/>
      <c r="U33" s="14"/>
    </row>
    <row r="34" spans="18:21" x14ac:dyDescent="0.25">
      <c r="R34" s="14"/>
      <c r="S34" s="7"/>
      <c r="T34" s="14"/>
      <c r="U34" s="14"/>
    </row>
    <row r="35" spans="18:21" x14ac:dyDescent="0.25">
      <c r="R35" s="14"/>
      <c r="S35" s="7"/>
      <c r="T35" s="14"/>
      <c r="U35" s="14"/>
    </row>
    <row r="36" spans="18:21" x14ac:dyDescent="0.25">
      <c r="R36" s="14"/>
      <c r="S36" s="7"/>
      <c r="T36" s="14"/>
      <c r="U36" s="14"/>
    </row>
    <row r="37" spans="18:21" x14ac:dyDescent="0.25">
      <c r="R37" s="14"/>
      <c r="S37" s="7"/>
      <c r="T37" s="14"/>
      <c r="U37" s="14"/>
    </row>
    <row r="38" spans="18:21" x14ac:dyDescent="0.25">
      <c r="R38" s="14"/>
      <c r="S38" s="7"/>
      <c r="T38" s="14"/>
      <c r="U38" s="14"/>
    </row>
    <row r="39" spans="18:21" x14ac:dyDescent="0.25">
      <c r="R39" s="14"/>
      <c r="S39" s="7"/>
      <c r="T39" s="14"/>
      <c r="U39" s="14"/>
    </row>
    <row r="40" spans="18:21" x14ac:dyDescent="0.25">
      <c r="R40" s="14"/>
      <c r="S40" s="7"/>
      <c r="T40" s="14"/>
      <c r="U40" s="14"/>
    </row>
    <row r="41" spans="18:21" x14ac:dyDescent="0.25">
      <c r="R41" s="14"/>
      <c r="S41" s="7"/>
      <c r="T41" s="14"/>
      <c r="U41" s="14"/>
    </row>
    <row r="42" spans="18:21" x14ac:dyDescent="0.25">
      <c r="R42" s="14"/>
      <c r="S42" s="7"/>
      <c r="T42" s="14"/>
      <c r="U42" s="14"/>
    </row>
  </sheetData>
  <hyperlinks>
    <hyperlink ref="A4" r:id="rId1" xr:uid="{D116E499-18DE-4DD7-A1D9-7FCE39AB13B2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30599-73C4-405E-8583-665A0025A235}">
  <dimension ref="A3:AG23"/>
  <sheetViews>
    <sheetView topLeftCell="B1" zoomScale="85" zoomScaleNormal="85" workbookViewId="0">
      <selection activeCell="O13" sqref="O13"/>
    </sheetView>
  </sheetViews>
  <sheetFormatPr defaultRowHeight="15" x14ac:dyDescent="0.25"/>
  <cols>
    <col min="1" max="1" width="34.140625" bestFit="1" customWidth="1"/>
    <col min="2" max="2" width="8.5703125" customWidth="1"/>
    <col min="3" max="3" width="21.5703125" bestFit="1" customWidth="1"/>
    <col min="4" max="4" width="34.5703125" bestFit="1" customWidth="1"/>
    <col min="5" max="5" width="17" bestFit="1" customWidth="1"/>
    <col min="6" max="6" width="14.85546875" bestFit="1" customWidth="1"/>
    <col min="7" max="7" width="14.85546875" customWidth="1"/>
    <col min="8" max="8" width="10.140625" bestFit="1" customWidth="1"/>
    <col min="11" max="11" width="20.42578125" bestFit="1" customWidth="1"/>
    <col min="12" max="13" width="20.42578125" customWidth="1"/>
    <col min="14" max="14" width="26.140625" bestFit="1" customWidth="1"/>
    <col min="15" max="15" width="9.140625" bestFit="1" customWidth="1"/>
  </cols>
  <sheetData>
    <row r="3" spans="1:33" x14ac:dyDescent="0.25">
      <c r="A3" t="s">
        <v>2516</v>
      </c>
      <c r="B3" t="s">
        <v>15</v>
      </c>
      <c r="C3" t="s">
        <v>2517</v>
      </c>
      <c r="D3" t="s">
        <v>2518</v>
      </c>
      <c r="E3" t="s">
        <v>2381</v>
      </c>
      <c r="F3" t="s">
        <v>2519</v>
      </c>
      <c r="G3" t="s">
        <v>2520</v>
      </c>
      <c r="H3" t="s">
        <v>2587</v>
      </c>
      <c r="K3" s="9" t="s">
        <v>2506</v>
      </c>
      <c r="L3" s="9"/>
      <c r="M3" s="9"/>
      <c r="U3" s="9" t="s">
        <v>2515</v>
      </c>
      <c r="AF3" t="s">
        <v>2588</v>
      </c>
    </row>
    <row r="4" spans="1:33" x14ac:dyDescent="0.25">
      <c r="A4" t="s">
        <v>2372</v>
      </c>
      <c r="B4" t="s">
        <v>2373</v>
      </c>
      <c r="C4" s="26">
        <v>8253</v>
      </c>
      <c r="D4" s="7">
        <f>INDEX(W:W,MATCH(B4,V:V,0))</f>
        <v>18.984444525355123</v>
      </c>
      <c r="E4">
        <v>7</v>
      </c>
      <c r="F4" s="4">
        <v>7000000</v>
      </c>
      <c r="G4" s="3">
        <f>C4*D4*E4/2204.62</f>
        <v>497.47817976535225</v>
      </c>
      <c r="H4" s="3">
        <f>C4*E4</f>
        <v>57771</v>
      </c>
      <c r="K4" s="8">
        <f>SUMPRODUCT(C4:C13,D4:D13,E4:E13)/2204.62</f>
        <v>1535.4328914452824</v>
      </c>
      <c r="L4" s="8"/>
      <c r="M4" s="8"/>
      <c r="N4" s="63" t="s">
        <v>2525</v>
      </c>
      <c r="O4" s="53"/>
      <c r="P4" s="54"/>
      <c r="U4" t="s">
        <v>15</v>
      </c>
      <c r="V4" t="s">
        <v>2504</v>
      </c>
      <c r="W4" t="str">
        <f>U3</f>
        <v>lbs CO2e per gallon</v>
      </c>
      <c r="Z4" s="9" t="s">
        <v>2514</v>
      </c>
    </row>
    <row r="5" spans="1:33" x14ac:dyDescent="0.25">
      <c r="A5" t="s">
        <v>2374</v>
      </c>
      <c r="B5" t="s">
        <v>10</v>
      </c>
      <c r="C5" s="26">
        <v>6466</v>
      </c>
      <c r="D5" s="7">
        <f t="shared" ref="D5:D13" si="0">INDEX(W:W,MATCH(B5,V:V,0))</f>
        <v>23.353516509398659</v>
      </c>
      <c r="E5">
        <v>4</v>
      </c>
      <c r="F5" s="4">
        <v>3500000</v>
      </c>
      <c r="G5" s="3">
        <f t="shared" ref="G5:G13" si="1">C5*D5*E5/2204.62</f>
        <v>273.97708040346498</v>
      </c>
      <c r="H5" s="3">
        <f t="shared" ref="H5:H13" si="2">C5*E5</f>
        <v>25864</v>
      </c>
      <c r="N5" s="55">
        <v>0</v>
      </c>
      <c r="O5" t="s">
        <v>2511</v>
      </c>
      <c r="P5" s="56"/>
      <c r="U5" t="s">
        <v>2382</v>
      </c>
      <c r="V5" t="s">
        <v>2373</v>
      </c>
      <c r="W5" s="7">
        <f>'Vehicle GHG reductions'!AA4</f>
        <v>18.984444525355123</v>
      </c>
      <c r="Z5">
        <v>1</v>
      </c>
      <c r="AA5">
        <v>10</v>
      </c>
      <c r="AF5" t="s">
        <v>2373</v>
      </c>
      <c r="AG5">
        <f>SUMIFS(H:H,B:B,AF5)</f>
        <v>57771</v>
      </c>
    </row>
    <row r="6" spans="1:33" x14ac:dyDescent="0.25">
      <c r="A6" t="s">
        <v>2236</v>
      </c>
      <c r="B6" t="s">
        <v>10</v>
      </c>
      <c r="C6" s="26">
        <v>350</v>
      </c>
      <c r="D6" s="7">
        <f t="shared" si="0"/>
        <v>23.353516509398659</v>
      </c>
      <c r="E6">
        <v>2</v>
      </c>
      <c r="F6" s="4">
        <v>1600000</v>
      </c>
      <c r="G6" s="3">
        <f t="shared" si="1"/>
        <v>7.4150926493359677</v>
      </c>
      <c r="H6" s="3">
        <f t="shared" si="2"/>
        <v>700</v>
      </c>
      <c r="N6" s="64">
        <f>$K$4*AA5/$AA$9+N5</f>
        <v>579.40863828123861</v>
      </c>
      <c r="O6" t="s">
        <v>2507</v>
      </c>
      <c r="P6" s="56"/>
      <c r="U6" t="s">
        <v>13</v>
      </c>
      <c r="V6" t="s">
        <v>13</v>
      </c>
      <c r="W6" s="7">
        <f>'Vehicle GHG reductions'!AA5</f>
        <v>19.150702514114951</v>
      </c>
      <c r="Z6">
        <v>2</v>
      </c>
      <c r="AA6">
        <v>6.5</v>
      </c>
      <c r="AF6" t="s">
        <v>13</v>
      </c>
      <c r="AG6">
        <f t="shared" ref="AG6:AG7" si="3">SUMIFS(H:H,B:B,AF6)</f>
        <v>75281</v>
      </c>
    </row>
    <row r="7" spans="1:33" x14ac:dyDescent="0.25">
      <c r="A7" t="s">
        <v>2375</v>
      </c>
      <c r="B7" t="s">
        <v>10</v>
      </c>
      <c r="C7" s="26">
        <v>1700</v>
      </c>
      <c r="D7" s="7">
        <f t="shared" si="0"/>
        <v>23.353516509398659</v>
      </c>
      <c r="E7">
        <v>4</v>
      </c>
      <c r="F7" s="4">
        <v>2400000</v>
      </c>
      <c r="G7" s="3">
        <f t="shared" si="1"/>
        <v>72.032328593549394</v>
      </c>
      <c r="H7" s="3">
        <f t="shared" si="2"/>
        <v>6800</v>
      </c>
      <c r="N7" s="64">
        <f>$K$4*AA6/$AA$9+N6</f>
        <v>956.02425316404367</v>
      </c>
      <c r="O7" t="s">
        <v>2508</v>
      </c>
      <c r="P7" s="56"/>
      <c r="U7" t="s">
        <v>10</v>
      </c>
      <c r="V7" t="s">
        <v>10</v>
      </c>
      <c r="W7" s="7">
        <f>'Vehicle GHG reductions'!AA6</f>
        <v>23.353516509398659</v>
      </c>
      <c r="Z7">
        <v>3</v>
      </c>
      <c r="AA7">
        <v>5</v>
      </c>
      <c r="AF7" t="s">
        <v>10</v>
      </c>
      <c r="AG7">
        <f t="shared" si="3"/>
        <v>36252</v>
      </c>
    </row>
    <row r="8" spans="1:33" x14ac:dyDescent="0.25">
      <c r="A8" t="s">
        <v>2237</v>
      </c>
      <c r="B8" t="s">
        <v>10</v>
      </c>
      <c r="C8" s="26">
        <v>2888</v>
      </c>
      <c r="D8" s="7">
        <f t="shared" si="0"/>
        <v>23.353516509398659</v>
      </c>
      <c r="E8">
        <v>1</v>
      </c>
      <c r="F8" s="4">
        <v>2500000</v>
      </c>
      <c r="G8" s="3">
        <f t="shared" si="1"/>
        <v>30.592553673260394</v>
      </c>
      <c r="H8" s="3">
        <f t="shared" si="2"/>
        <v>2888</v>
      </c>
      <c r="N8" s="64">
        <f>$K$4*AA7/$AA$9+N7</f>
        <v>1245.728572304663</v>
      </c>
      <c r="O8" t="s">
        <v>2509</v>
      </c>
      <c r="P8" s="56"/>
      <c r="Z8">
        <v>4</v>
      </c>
      <c r="AA8">
        <v>5</v>
      </c>
    </row>
    <row r="9" spans="1:33" x14ac:dyDescent="0.25">
      <c r="A9" t="s">
        <v>2376</v>
      </c>
      <c r="B9" t="s">
        <v>13</v>
      </c>
      <c r="C9" s="26">
        <v>1108</v>
      </c>
      <c r="D9" s="7">
        <f t="shared" si="0"/>
        <v>19.150702514114951</v>
      </c>
      <c r="E9">
        <v>30</v>
      </c>
      <c r="F9" s="4">
        <v>2400000</v>
      </c>
      <c r="G9" s="3">
        <f t="shared" si="1"/>
        <v>288.74334423582343</v>
      </c>
      <c r="H9" s="3">
        <f t="shared" si="2"/>
        <v>33240</v>
      </c>
      <c r="N9" s="65">
        <f>$K$4*AA8/$AA$9+N8</f>
        <v>1535.4328914452822</v>
      </c>
      <c r="O9" s="61" t="s">
        <v>2510</v>
      </c>
      <c r="P9" s="62"/>
      <c r="Z9" t="s">
        <v>1</v>
      </c>
      <c r="AA9">
        <f>SUM(AA5:AA8)</f>
        <v>26.5</v>
      </c>
    </row>
    <row r="10" spans="1:33" x14ac:dyDescent="0.25">
      <c r="A10" t="s">
        <v>2377</v>
      </c>
      <c r="B10" t="s">
        <v>13</v>
      </c>
      <c r="C10" s="26">
        <v>238</v>
      </c>
      <c r="D10" s="7">
        <f t="shared" si="0"/>
        <v>19.150702514114951</v>
      </c>
      <c r="E10">
        <v>35</v>
      </c>
      <c r="F10" s="4">
        <v>1750000</v>
      </c>
      <c r="G10" s="3">
        <f t="shared" si="1"/>
        <v>72.359568516378133</v>
      </c>
      <c r="H10" s="3">
        <f t="shared" si="2"/>
        <v>8330</v>
      </c>
      <c r="N10" s="52"/>
      <c r="O10" s="53"/>
      <c r="P10" s="54"/>
    </row>
    <row r="11" spans="1:33" x14ac:dyDescent="0.25">
      <c r="A11" t="s">
        <v>2378</v>
      </c>
      <c r="B11" t="s">
        <v>13</v>
      </c>
      <c r="C11" s="26">
        <v>711</v>
      </c>
      <c r="D11" s="7">
        <f t="shared" si="0"/>
        <v>19.150702514114951</v>
      </c>
      <c r="E11">
        <v>28</v>
      </c>
      <c r="F11" s="4">
        <v>2200000</v>
      </c>
      <c r="G11" s="3">
        <f t="shared" si="1"/>
        <v>172.93328811813393</v>
      </c>
      <c r="H11" s="3">
        <f t="shared" si="2"/>
        <v>19908</v>
      </c>
      <c r="N11" s="55"/>
      <c r="O11" t="s">
        <v>1</v>
      </c>
      <c r="P11" s="56" t="s">
        <v>2327</v>
      </c>
      <c r="W11" s="14"/>
    </row>
    <row r="12" spans="1:33" x14ac:dyDescent="0.25">
      <c r="A12" t="s">
        <v>2379</v>
      </c>
      <c r="B12" t="s">
        <v>13</v>
      </c>
      <c r="C12" s="26">
        <v>980</v>
      </c>
      <c r="D12" s="7">
        <f t="shared" si="0"/>
        <v>19.150702514114951</v>
      </c>
      <c r="E12">
        <v>12</v>
      </c>
      <c r="F12" s="4">
        <v>2600000</v>
      </c>
      <c r="G12" s="3">
        <f t="shared" si="1"/>
        <v>102.15468496429854</v>
      </c>
      <c r="H12" s="3">
        <f t="shared" si="2"/>
        <v>11760</v>
      </c>
      <c r="N12" s="66" t="s">
        <v>2505</v>
      </c>
      <c r="O12" s="67">
        <f>SUM(N5:N9)</f>
        <v>4316.5943551952278</v>
      </c>
      <c r="P12" s="68">
        <f>O12/Parameters!I7</f>
        <v>719.43239253253796</v>
      </c>
      <c r="W12" s="14"/>
    </row>
    <row r="13" spans="1:33" x14ac:dyDescent="0.25">
      <c r="A13" t="s">
        <v>2380</v>
      </c>
      <c r="B13" t="s">
        <v>13</v>
      </c>
      <c r="C13" s="26">
        <v>2043</v>
      </c>
      <c r="D13" s="7">
        <f t="shared" si="0"/>
        <v>19.150702514114951</v>
      </c>
      <c r="E13">
        <v>1</v>
      </c>
      <c r="F13" s="4">
        <v>500000</v>
      </c>
      <c r="G13" s="3">
        <f t="shared" si="1"/>
        <v>17.746770525685534</v>
      </c>
      <c r="H13" s="3">
        <f t="shared" si="2"/>
        <v>2043</v>
      </c>
      <c r="N13" s="69" t="s">
        <v>2512</v>
      </c>
      <c r="O13" s="70">
        <f>O12+K4*(Parameters!I8-Parameters!I7)</f>
        <v>35046.285511380949</v>
      </c>
      <c r="P13" s="71">
        <f>O13/Parameters!I8</f>
        <v>1347.2242455665137</v>
      </c>
    </row>
    <row r="14" spans="1:33" x14ac:dyDescent="0.25">
      <c r="A14" s="9" t="s">
        <v>1</v>
      </c>
      <c r="E14">
        <f>SUM(E4:E13)</f>
        <v>124</v>
      </c>
      <c r="F14" s="4">
        <f>SUM(F4:F13)</f>
        <v>26450000</v>
      </c>
      <c r="G14" s="3">
        <f>SUM(G4:G13)</f>
        <v>1535.4328914452826</v>
      </c>
    </row>
    <row r="16" spans="1:33" x14ac:dyDescent="0.25">
      <c r="N16" s="4"/>
      <c r="O16" s="9"/>
    </row>
    <row r="17" spans="4:15" x14ac:dyDescent="0.25">
      <c r="N17" s="10">
        <f>F14/O12</f>
        <v>6127.5157736714727</v>
      </c>
      <c r="O17" s="9" t="s">
        <v>2513</v>
      </c>
    </row>
    <row r="22" spans="4:15" x14ac:dyDescent="0.25">
      <c r="D22" s="7"/>
    </row>
    <row r="23" spans="4:15" x14ac:dyDescent="0.25">
      <c r="D23" s="7"/>
    </row>
  </sheetData>
  <phoneticPr fontId="1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BFE24-CCE4-4CB6-AC2F-9B56AC0519E9}">
  <dimension ref="A2:AX30"/>
  <sheetViews>
    <sheetView topLeftCell="A21" zoomScaleNormal="100" workbookViewId="0">
      <selection activeCell="D29" sqref="D29"/>
    </sheetView>
  </sheetViews>
  <sheetFormatPr defaultRowHeight="15" x14ac:dyDescent="0.25"/>
  <cols>
    <col min="1" max="1" width="12.7109375" bestFit="1" customWidth="1"/>
    <col min="2" max="2" width="35" bestFit="1" customWidth="1"/>
    <col min="3" max="3" width="13.85546875" bestFit="1" customWidth="1"/>
    <col min="4" max="4" width="12.7109375" bestFit="1" customWidth="1"/>
    <col min="13" max="13" width="11.5703125" bestFit="1" customWidth="1"/>
    <col min="16" max="17" width="11.140625" bestFit="1" customWidth="1"/>
    <col min="18" max="18" width="11.28515625" bestFit="1" customWidth="1"/>
    <col min="20" max="20" width="9.140625" bestFit="1" customWidth="1"/>
    <col min="22" max="22" width="86" bestFit="1" customWidth="1"/>
    <col min="23" max="23" width="11" bestFit="1" customWidth="1"/>
    <col min="24" max="24" width="21.140625" bestFit="1" customWidth="1"/>
    <col min="25" max="25" width="13.85546875" bestFit="1" customWidth="1"/>
    <col min="26" max="26" width="6" bestFit="1" customWidth="1"/>
    <col min="32" max="32" width="19.28515625" customWidth="1"/>
    <col min="33" max="33" width="8.85546875" bestFit="1" customWidth="1"/>
    <col min="42" max="42" width="42.140625" bestFit="1" customWidth="1"/>
    <col min="43" max="43" width="12.7109375" bestFit="1" customWidth="1"/>
    <col min="45" max="45" width="9.140625" bestFit="1" customWidth="1"/>
    <col min="50" max="50" width="13.85546875" bestFit="1" customWidth="1"/>
  </cols>
  <sheetData>
    <row r="2" spans="1:50" x14ac:dyDescent="0.25">
      <c r="N2" t="s">
        <v>2549</v>
      </c>
      <c r="O2" t="s">
        <v>2300</v>
      </c>
      <c r="AG2" s="26"/>
      <c r="AT2" s="24"/>
    </row>
    <row r="3" spans="1:50" x14ac:dyDescent="0.25">
      <c r="M3">
        <v>2025</v>
      </c>
      <c r="N3" s="27">
        <v>0.25</v>
      </c>
      <c r="O3" s="7">
        <f>N3*_xlfn.FORECAST.LINEAR(M3,$D$30:$H$30,$D$28:$H$28)</f>
        <v>72.903472135510356</v>
      </c>
      <c r="R3" s="19" t="s">
        <v>2550</v>
      </c>
      <c r="S3" s="7">
        <f>AVERAGE(O3:O8)</f>
        <v>211.01715339527155</v>
      </c>
      <c r="AQ3" s="8"/>
      <c r="AR3" s="19"/>
    </row>
    <row r="4" spans="1:50" x14ac:dyDescent="0.25">
      <c r="B4" t="s">
        <v>2325</v>
      </c>
      <c r="C4">
        <v>0</v>
      </c>
      <c r="M4">
        <f>M3+1</f>
        <v>2026</v>
      </c>
      <c r="N4" s="27">
        <f>MIN(1,N3+0.25)</f>
        <v>0.5</v>
      </c>
      <c r="O4" s="7">
        <f t="shared" ref="O4:O28" si="0">N4*_xlfn.FORECAST.LINEAR(M4,$D$30:$H$30,$D$28:$H$28)</f>
        <v>144.15838791146507</v>
      </c>
      <c r="R4" s="19" t="s">
        <v>2551</v>
      </c>
      <c r="S4" s="7">
        <f>AVERAGE(O3:O28)</f>
        <v>233.7029133956915</v>
      </c>
    </row>
    <row r="5" spans="1:50" x14ac:dyDescent="0.25">
      <c r="B5" t="s">
        <v>2326</v>
      </c>
      <c r="C5" s="3">
        <f>C12</f>
        <v>4614</v>
      </c>
      <c r="M5">
        <f t="shared" ref="M5:M28" si="1">M4+1</f>
        <v>2027</v>
      </c>
      <c r="N5" s="27">
        <f t="shared" ref="N5:N28" si="2">MIN(1,N4+0.25)</f>
        <v>0.75</v>
      </c>
      <c r="O5" s="7">
        <f t="shared" si="0"/>
        <v>213.76474732786414</v>
      </c>
      <c r="W5" s="30"/>
    </row>
    <row r="6" spans="1:50" x14ac:dyDescent="0.25">
      <c r="B6" t="s">
        <v>2239</v>
      </c>
      <c r="C6" s="3">
        <v>403455</v>
      </c>
      <c r="M6">
        <f t="shared" si="1"/>
        <v>2028</v>
      </c>
      <c r="N6" s="27">
        <f t="shared" si="2"/>
        <v>1</v>
      </c>
      <c r="O6" s="7">
        <f t="shared" si="0"/>
        <v>281.72255038470757</v>
      </c>
      <c r="W6" s="28"/>
      <c r="AR6" s="14"/>
      <c r="AS6" s="14"/>
    </row>
    <row r="7" spans="1:50" x14ac:dyDescent="0.25">
      <c r="B7" t="s">
        <v>2240</v>
      </c>
      <c r="C7" s="28">
        <f>C5/C6</f>
        <v>1.1436219652749378E-2</v>
      </c>
      <c r="M7">
        <f t="shared" si="1"/>
        <v>2029</v>
      </c>
      <c r="N7" s="27">
        <f t="shared" si="2"/>
        <v>1</v>
      </c>
      <c r="O7" s="7">
        <f t="shared" si="0"/>
        <v>278.42543766559629</v>
      </c>
      <c r="W7" s="30"/>
      <c r="AQ7" s="25"/>
      <c r="AX7" s="4"/>
    </row>
    <row r="8" spans="1:50" x14ac:dyDescent="0.25">
      <c r="A8" s="1"/>
      <c r="M8">
        <f t="shared" si="1"/>
        <v>2030</v>
      </c>
      <c r="N8" s="27">
        <f t="shared" si="2"/>
        <v>1</v>
      </c>
      <c r="O8" s="7">
        <f t="shared" si="0"/>
        <v>275.12832494648592</v>
      </c>
      <c r="AX8" s="11"/>
    </row>
    <row r="9" spans="1:50" x14ac:dyDescent="0.25">
      <c r="M9">
        <f t="shared" si="1"/>
        <v>2031</v>
      </c>
      <c r="N9" s="27">
        <f t="shared" si="2"/>
        <v>1</v>
      </c>
      <c r="O9" s="7">
        <f t="shared" si="0"/>
        <v>271.83121222737464</v>
      </c>
      <c r="W9" s="27"/>
      <c r="AX9" s="10"/>
    </row>
    <row r="10" spans="1:50" x14ac:dyDescent="0.25">
      <c r="M10">
        <f t="shared" si="1"/>
        <v>2032</v>
      </c>
      <c r="N10" s="27">
        <f t="shared" si="2"/>
        <v>1</v>
      </c>
      <c r="O10" s="7">
        <f t="shared" si="0"/>
        <v>268.53409950826335</v>
      </c>
    </row>
    <row r="11" spans="1:50" x14ac:dyDescent="0.25">
      <c r="B11" t="s">
        <v>2329</v>
      </c>
      <c r="C11" t="s">
        <v>2330</v>
      </c>
      <c r="D11" t="s">
        <v>2243</v>
      </c>
      <c r="M11">
        <f t="shared" si="1"/>
        <v>2033</v>
      </c>
      <c r="N11" s="27">
        <f t="shared" si="2"/>
        <v>1</v>
      </c>
      <c r="O11" s="7">
        <f t="shared" si="0"/>
        <v>265.23698678915207</v>
      </c>
    </row>
    <row r="12" spans="1:50" x14ac:dyDescent="0.25">
      <c r="B12" t="s">
        <v>2351</v>
      </c>
      <c r="C12">
        <v>4614</v>
      </c>
      <c r="D12" t="s">
        <v>2352</v>
      </c>
      <c r="M12">
        <f t="shared" si="1"/>
        <v>2034</v>
      </c>
      <c r="N12" s="27">
        <f t="shared" si="2"/>
        <v>1</v>
      </c>
      <c r="O12" s="7">
        <f t="shared" si="0"/>
        <v>261.93987407004079</v>
      </c>
    </row>
    <row r="13" spans="1:50" x14ac:dyDescent="0.25">
      <c r="B13" t="s">
        <v>2323</v>
      </c>
      <c r="C13" s="4">
        <v>1083.6584308625922</v>
      </c>
      <c r="D13" t="s">
        <v>2352</v>
      </c>
      <c r="M13">
        <f t="shared" si="1"/>
        <v>2035</v>
      </c>
      <c r="N13" s="27">
        <f t="shared" si="2"/>
        <v>1</v>
      </c>
      <c r="O13" s="7">
        <f t="shared" si="0"/>
        <v>258.6427613509295</v>
      </c>
    </row>
    <row r="14" spans="1:50" x14ac:dyDescent="0.25">
      <c r="B14" t="s">
        <v>2324</v>
      </c>
      <c r="C14" s="4">
        <f>C12*C13</f>
        <v>5000000.0000000009</v>
      </c>
      <c r="D14" s="14" t="s">
        <v>2270</v>
      </c>
      <c r="M14">
        <f t="shared" si="1"/>
        <v>2036</v>
      </c>
      <c r="N14" s="27">
        <f t="shared" si="2"/>
        <v>1</v>
      </c>
      <c r="O14" s="7">
        <f t="shared" si="0"/>
        <v>255.34564863181822</v>
      </c>
    </row>
    <row r="15" spans="1:50" x14ac:dyDescent="0.25">
      <c r="B15" t="s">
        <v>2346</v>
      </c>
      <c r="C15">
        <v>1.7</v>
      </c>
      <c r="M15">
        <f t="shared" si="1"/>
        <v>2037</v>
      </c>
      <c r="N15" s="27">
        <f t="shared" si="2"/>
        <v>1</v>
      </c>
      <c r="O15" s="7">
        <f t="shared" si="0"/>
        <v>252.04853591270694</v>
      </c>
    </row>
    <row r="16" spans="1:50" x14ac:dyDescent="0.25">
      <c r="B16" t="s">
        <v>2348</v>
      </c>
      <c r="C16">
        <f>C15*2</f>
        <v>3.4</v>
      </c>
      <c r="D16" s="14" t="s">
        <v>2270</v>
      </c>
      <c r="M16">
        <f t="shared" si="1"/>
        <v>2038</v>
      </c>
      <c r="N16" s="27">
        <f t="shared" si="2"/>
        <v>1</v>
      </c>
      <c r="O16" s="7">
        <f t="shared" si="0"/>
        <v>248.75142319359566</v>
      </c>
      <c r="W16" s="34"/>
    </row>
    <row r="17" spans="2:21" x14ac:dyDescent="0.25">
      <c r="B17" t="s">
        <v>2349</v>
      </c>
      <c r="C17" s="2">
        <f>5/28</f>
        <v>0.17857142857142858</v>
      </c>
      <c r="D17" t="s">
        <v>2353</v>
      </c>
      <c r="M17">
        <f t="shared" si="1"/>
        <v>2039</v>
      </c>
      <c r="N17" s="27">
        <f t="shared" si="2"/>
        <v>1</v>
      </c>
      <c r="O17" s="7">
        <f t="shared" si="0"/>
        <v>245.45431047448437</v>
      </c>
    </row>
    <row r="18" spans="2:21" x14ac:dyDescent="0.25">
      <c r="B18" t="s">
        <v>2355</v>
      </c>
      <c r="C18" s="3">
        <f>C17*347</f>
        <v>61.964285714285715</v>
      </c>
      <c r="D18" s="14" t="s">
        <v>2354</v>
      </c>
      <c r="M18">
        <f t="shared" si="1"/>
        <v>2040</v>
      </c>
      <c r="N18" s="27">
        <f t="shared" si="2"/>
        <v>1</v>
      </c>
      <c r="O18" s="7">
        <f t="shared" si="0"/>
        <v>242.15719775537309</v>
      </c>
    </row>
    <row r="19" spans="2:21" x14ac:dyDescent="0.25">
      <c r="B19" t="s">
        <v>2347</v>
      </c>
      <c r="C19" s="8">
        <f>C16*C18</f>
        <v>210.67857142857142</v>
      </c>
      <c r="D19" t="s">
        <v>2270</v>
      </c>
      <c r="M19">
        <f t="shared" si="1"/>
        <v>2041</v>
      </c>
      <c r="N19" s="27">
        <f t="shared" si="2"/>
        <v>1</v>
      </c>
      <c r="O19" s="7">
        <f t="shared" si="0"/>
        <v>238.86008503626181</v>
      </c>
      <c r="P19" s="51"/>
      <c r="Q19" s="51"/>
      <c r="R19" s="51"/>
      <c r="S19" s="51"/>
      <c r="U19" s="29"/>
    </row>
    <row r="20" spans="2:21" x14ac:dyDescent="0.25">
      <c r="M20">
        <f t="shared" si="1"/>
        <v>2042</v>
      </c>
      <c r="N20" s="27">
        <f t="shared" si="2"/>
        <v>1</v>
      </c>
      <c r="O20" s="7">
        <f t="shared" si="0"/>
        <v>235.56297231715052</v>
      </c>
      <c r="P20" s="14"/>
      <c r="Q20" s="14"/>
      <c r="R20" s="14"/>
      <c r="S20" s="14"/>
      <c r="U20" s="3"/>
    </row>
    <row r="21" spans="2:21" x14ac:dyDescent="0.25">
      <c r="M21">
        <f t="shared" si="1"/>
        <v>2043</v>
      </c>
      <c r="N21" s="27">
        <f t="shared" si="2"/>
        <v>1</v>
      </c>
      <c r="O21" s="7">
        <f t="shared" si="0"/>
        <v>232.26585959803924</v>
      </c>
    </row>
    <row r="22" spans="2:21" x14ac:dyDescent="0.25">
      <c r="M22">
        <f t="shared" si="1"/>
        <v>2044</v>
      </c>
      <c r="N22" s="27">
        <f t="shared" si="2"/>
        <v>1</v>
      </c>
      <c r="O22" s="7">
        <f t="shared" si="0"/>
        <v>228.96874687892796</v>
      </c>
    </row>
    <row r="23" spans="2:21" x14ac:dyDescent="0.25">
      <c r="M23">
        <f t="shared" si="1"/>
        <v>2045</v>
      </c>
      <c r="N23" s="27">
        <f t="shared" si="2"/>
        <v>1</v>
      </c>
      <c r="O23" s="7">
        <f t="shared" si="0"/>
        <v>225.67163415981668</v>
      </c>
    </row>
    <row r="24" spans="2:21" x14ac:dyDescent="0.25">
      <c r="M24">
        <f t="shared" si="1"/>
        <v>2046</v>
      </c>
      <c r="N24" s="27">
        <f t="shared" si="2"/>
        <v>1</v>
      </c>
      <c r="O24" s="7">
        <f t="shared" si="0"/>
        <v>222.37452144070539</v>
      </c>
    </row>
    <row r="25" spans="2:21" x14ac:dyDescent="0.25">
      <c r="M25">
        <f t="shared" si="1"/>
        <v>2047</v>
      </c>
      <c r="N25" s="27">
        <f t="shared" si="2"/>
        <v>1</v>
      </c>
      <c r="O25" s="7">
        <f t="shared" si="0"/>
        <v>219.07740872159411</v>
      </c>
    </row>
    <row r="26" spans="2:21" x14ac:dyDescent="0.25">
      <c r="M26">
        <f t="shared" si="1"/>
        <v>2048</v>
      </c>
      <c r="N26" s="27">
        <f t="shared" si="2"/>
        <v>1</v>
      </c>
      <c r="O26" s="7">
        <f t="shared" si="0"/>
        <v>215.78029600248283</v>
      </c>
    </row>
    <row r="27" spans="2:21" x14ac:dyDescent="0.25">
      <c r="M27">
        <f t="shared" si="1"/>
        <v>2049</v>
      </c>
      <c r="N27" s="27">
        <f t="shared" si="2"/>
        <v>1</v>
      </c>
      <c r="O27" s="7">
        <f t="shared" si="0"/>
        <v>212.48318328337155</v>
      </c>
    </row>
    <row r="28" spans="2:21" x14ac:dyDescent="0.25">
      <c r="D28">
        <f>'Proj 8 Complete Streets'!G27</f>
        <v>2025</v>
      </c>
      <c r="E28">
        <f>'Proj 8 Complete Streets'!H27</f>
        <v>2030</v>
      </c>
      <c r="F28">
        <f>'Proj 8 Complete Streets'!I27</f>
        <v>2040</v>
      </c>
      <c r="G28">
        <f>'Proj 8 Complete Streets'!J27</f>
        <v>2045</v>
      </c>
      <c r="H28">
        <f>'Proj 8 Complete Streets'!K27</f>
        <v>2050</v>
      </c>
      <c r="M28">
        <f t="shared" si="1"/>
        <v>2050</v>
      </c>
      <c r="N28" s="27">
        <f t="shared" si="2"/>
        <v>1</v>
      </c>
      <c r="O28" s="7">
        <f t="shared" si="0"/>
        <v>209.18607056426026</v>
      </c>
    </row>
    <row r="29" spans="2:21" x14ac:dyDescent="0.25">
      <c r="C29" t="s">
        <v>2350</v>
      </c>
      <c r="D29" s="8">
        <f>'Proj 8 Complete Streets'!G30</f>
        <v>299.99239764386584</v>
      </c>
      <c r="E29" s="8">
        <f>'Proj 8 Complete Streets'!H30</f>
        <v>284.95189155675996</v>
      </c>
      <c r="F29" s="8">
        <f>'Proj 8 Complete Streets'!I30</f>
        <v>243.35860292745599</v>
      </c>
      <c r="G29" s="8">
        <f>'Proj 8 Complete Streets'!J30</f>
        <v>235.99294781041039</v>
      </c>
      <c r="H29" s="8">
        <f>'Proj 8 Complete Streets'!K30</f>
        <v>215.196303495758</v>
      </c>
    </row>
    <row r="30" spans="2:21" x14ac:dyDescent="0.25">
      <c r="C30" t="s">
        <v>2300</v>
      </c>
      <c r="D30" s="8">
        <f>$C$19*D29/10^6*$C$12</f>
        <v>291.61388854204188</v>
      </c>
      <c r="E30" s="8">
        <f t="shared" ref="E30:H30" si="3">$C$19*E29/10^6*$C$12</f>
        <v>276.99344982376465</v>
      </c>
      <c r="F30" s="8">
        <f t="shared" si="3"/>
        <v>236.56182312353769</v>
      </c>
      <c r="G30" s="8">
        <f t="shared" si="3"/>
        <v>229.40188391437428</v>
      </c>
      <c r="H30" s="8">
        <f t="shared" si="3"/>
        <v>209.18607056426043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13B93-0CE3-4B0E-B974-578DD985DF5D}">
  <dimension ref="A1:U33"/>
  <sheetViews>
    <sheetView zoomScale="85" zoomScaleNormal="85" workbookViewId="0">
      <selection activeCell="F16" sqref="F16"/>
    </sheetView>
  </sheetViews>
  <sheetFormatPr defaultRowHeight="15" x14ac:dyDescent="0.25"/>
  <cols>
    <col min="3" max="3" width="9" customWidth="1"/>
    <col min="4" max="4" width="11.85546875" bestFit="1" customWidth="1"/>
    <col min="5" max="5" width="12.140625" customWidth="1"/>
    <col min="6" max="6" width="42.5703125" bestFit="1" customWidth="1"/>
    <col min="7" max="7" width="82.5703125" bestFit="1" customWidth="1"/>
    <col min="8" max="8" width="11" bestFit="1" customWidth="1"/>
    <col min="9" max="9" width="12" bestFit="1" customWidth="1"/>
    <col min="10" max="10" width="19.7109375" bestFit="1" customWidth="1"/>
    <col min="18" max="18" width="16.42578125" bestFit="1" customWidth="1"/>
    <col min="19" max="19" width="12.5703125" bestFit="1" customWidth="1"/>
    <col min="20" max="20" width="10.140625" bestFit="1" customWidth="1"/>
    <col min="21" max="21" width="22.140625" style="1" bestFit="1" customWidth="1"/>
  </cols>
  <sheetData>
    <row r="1" spans="1:19" x14ac:dyDescent="0.25">
      <c r="A1" s="9" t="s">
        <v>2521</v>
      </c>
      <c r="E1" s="63" t="s">
        <v>2522</v>
      </c>
      <c r="F1" s="53"/>
      <c r="G1" s="53"/>
      <c r="H1" s="53"/>
      <c r="I1" s="53"/>
      <c r="J1" s="53"/>
      <c r="K1" s="54"/>
    </row>
    <row r="2" spans="1:19" x14ac:dyDescent="0.25">
      <c r="A2" s="44" t="s">
        <v>3</v>
      </c>
      <c r="B2" s="44" t="s">
        <v>2332</v>
      </c>
      <c r="C2" s="44" t="s">
        <v>0</v>
      </c>
      <c r="D2" s="106" t="s">
        <v>6</v>
      </c>
      <c r="E2" s="55"/>
      <c r="K2" s="56"/>
    </row>
    <row r="3" spans="1:19" x14ac:dyDescent="0.25">
      <c r="A3" s="44" t="s">
        <v>2294</v>
      </c>
      <c r="B3" s="44">
        <v>2.4</v>
      </c>
      <c r="C3" s="44">
        <v>65</v>
      </c>
      <c r="D3" s="107">
        <v>26000000</v>
      </c>
      <c r="E3" s="55"/>
      <c r="K3" s="56"/>
    </row>
    <row r="4" spans="1:19" x14ac:dyDescent="0.25">
      <c r="A4" s="44" t="s">
        <v>2295</v>
      </c>
      <c r="B4" s="44">
        <v>1.6</v>
      </c>
      <c r="C4" s="44">
        <v>60</v>
      </c>
      <c r="D4" s="107">
        <v>11700000</v>
      </c>
      <c r="E4" s="55"/>
      <c r="F4" t="s">
        <v>1319</v>
      </c>
      <c r="G4" t="s">
        <v>2265</v>
      </c>
      <c r="H4" t="s">
        <v>2241</v>
      </c>
      <c r="I4" t="s">
        <v>2242</v>
      </c>
      <c r="J4" t="s">
        <v>2243</v>
      </c>
      <c r="K4" s="56"/>
      <c r="S4" s="4"/>
    </row>
    <row r="5" spans="1:19" x14ac:dyDescent="0.25">
      <c r="A5" s="44" t="s">
        <v>2296</v>
      </c>
      <c r="B5" s="44">
        <v>5.25</v>
      </c>
      <c r="C5" s="44">
        <v>150</v>
      </c>
      <c r="D5" s="107">
        <v>23630130</v>
      </c>
      <c r="E5" s="55"/>
      <c r="F5" t="s">
        <v>2266</v>
      </c>
      <c r="G5" t="s">
        <v>2267</v>
      </c>
      <c r="H5" t="s">
        <v>2268</v>
      </c>
      <c r="I5" t="s">
        <v>2269</v>
      </c>
      <c r="J5" t="s">
        <v>2270</v>
      </c>
      <c r="K5" s="56"/>
      <c r="S5" s="4"/>
    </row>
    <row r="6" spans="1:19" x14ac:dyDescent="0.25">
      <c r="A6" s="44" t="s">
        <v>1</v>
      </c>
      <c r="B6" s="44">
        <f>SUM(B3:B5)</f>
        <v>9.25</v>
      </c>
      <c r="C6" s="44">
        <f>SUM(C3:C5)</f>
        <v>275</v>
      </c>
      <c r="D6" s="110">
        <f>SUM(D3:D5)</f>
        <v>61330130</v>
      </c>
      <c r="E6" s="55"/>
      <c r="F6" t="s">
        <v>2271</v>
      </c>
      <c r="K6" s="56"/>
      <c r="S6" s="17"/>
    </row>
    <row r="7" spans="1:19" x14ac:dyDescent="0.25">
      <c r="D7" s="1">
        <v>1</v>
      </c>
      <c r="E7" s="55">
        <v>260</v>
      </c>
      <c r="F7" t="s">
        <v>2272</v>
      </c>
      <c r="G7" t="s">
        <v>2273</v>
      </c>
      <c r="H7" t="s">
        <v>2274</v>
      </c>
      <c r="I7" t="s">
        <v>2275</v>
      </c>
      <c r="J7" t="s">
        <v>2276</v>
      </c>
      <c r="K7" s="56"/>
      <c r="S7" s="17"/>
    </row>
    <row r="8" spans="1:19" x14ac:dyDescent="0.25">
      <c r="D8" s="1">
        <v>11</v>
      </c>
      <c r="E8" s="55">
        <f>SUM(B3:B5)+E7</f>
        <v>269.25</v>
      </c>
      <c r="F8" t="s">
        <v>2277</v>
      </c>
      <c r="G8" t="s">
        <v>2278</v>
      </c>
      <c r="H8" t="s">
        <v>2274</v>
      </c>
      <c r="I8" t="s">
        <v>2275</v>
      </c>
      <c r="J8" t="s">
        <v>2276</v>
      </c>
      <c r="K8" s="56"/>
    </row>
    <row r="9" spans="1:19" x14ac:dyDescent="0.25">
      <c r="D9" s="1"/>
      <c r="E9" s="55"/>
      <c r="F9" t="s">
        <v>2279</v>
      </c>
      <c r="K9" s="56"/>
    </row>
    <row r="10" spans="1:19" x14ac:dyDescent="0.25">
      <c r="D10" s="35">
        <v>7.9000000000000008E-3</v>
      </c>
      <c r="E10" s="57">
        <v>1.8E-3</v>
      </c>
      <c r="F10" t="s">
        <v>2280</v>
      </c>
      <c r="G10" t="s">
        <v>2281</v>
      </c>
      <c r="H10" t="s">
        <v>2282</v>
      </c>
      <c r="I10" t="s">
        <v>2269</v>
      </c>
      <c r="J10" t="s">
        <v>2247</v>
      </c>
      <c r="K10" s="56"/>
    </row>
    <row r="11" spans="1:19" x14ac:dyDescent="0.25">
      <c r="D11" s="35">
        <v>0.91320000000000001</v>
      </c>
      <c r="E11" s="57">
        <v>0.94189999999999996</v>
      </c>
      <c r="F11" t="s">
        <v>2283</v>
      </c>
      <c r="G11" t="s">
        <v>2284</v>
      </c>
      <c r="H11" t="s">
        <v>2285</v>
      </c>
      <c r="I11" t="s">
        <v>2269</v>
      </c>
      <c r="J11" t="s">
        <v>2247</v>
      </c>
      <c r="K11" s="56"/>
    </row>
    <row r="12" spans="1:19" x14ac:dyDescent="0.25">
      <c r="D12" s="1">
        <v>2.8</v>
      </c>
      <c r="E12" s="55">
        <v>1.7</v>
      </c>
      <c r="F12" t="s">
        <v>2286</v>
      </c>
      <c r="G12" t="s">
        <v>2287</v>
      </c>
      <c r="H12" t="s">
        <v>2246</v>
      </c>
      <c r="I12" t="s">
        <v>2245</v>
      </c>
      <c r="J12" t="s">
        <v>2247</v>
      </c>
      <c r="K12" s="56"/>
    </row>
    <row r="13" spans="1:19" x14ac:dyDescent="0.25">
      <c r="D13" s="1">
        <v>11.5</v>
      </c>
      <c r="E13" s="55">
        <v>9.6999999999999993</v>
      </c>
      <c r="F13" t="s">
        <v>2288</v>
      </c>
      <c r="G13" t="s">
        <v>2289</v>
      </c>
      <c r="H13" t="s">
        <v>2246</v>
      </c>
      <c r="I13" t="s">
        <v>2245</v>
      </c>
      <c r="J13" t="s">
        <v>2247</v>
      </c>
      <c r="K13" s="56"/>
    </row>
    <row r="14" spans="1:19" x14ac:dyDescent="0.25">
      <c r="D14" s="1">
        <v>0.25</v>
      </c>
      <c r="E14" s="55">
        <v>0.25</v>
      </c>
      <c r="F14" t="s">
        <v>2290</v>
      </c>
      <c r="G14" t="s">
        <v>2291</v>
      </c>
      <c r="H14">
        <v>0.25</v>
      </c>
      <c r="I14" t="s">
        <v>2292</v>
      </c>
      <c r="J14" t="s">
        <v>2293</v>
      </c>
      <c r="K14" s="56"/>
    </row>
    <row r="15" spans="1:19" x14ac:dyDescent="0.25">
      <c r="D15" s="1"/>
      <c r="E15" s="55"/>
      <c r="K15" s="56"/>
    </row>
    <row r="16" spans="1:19" x14ac:dyDescent="0.25">
      <c r="D16" s="1"/>
      <c r="E16" s="55"/>
      <c r="K16" s="56"/>
    </row>
    <row r="17" spans="4:20" x14ac:dyDescent="0.25">
      <c r="D17" s="36">
        <f>-1*(((D8-D7)/D7)*D10*D12*D14)/(D11*D13)</f>
        <v>-5.2657639642727924E-3</v>
      </c>
      <c r="E17" s="58">
        <f>(((E8-E7)/E7)*E10*E12*E14)/(E11*E13)</f>
        <v>2.9788819214776617E-6</v>
      </c>
      <c r="K17" s="56"/>
    </row>
    <row r="18" spans="4:20" x14ac:dyDescent="0.25">
      <c r="E18" s="59"/>
      <c r="G18" s="5" t="s">
        <v>2238</v>
      </c>
      <c r="H18" s="5"/>
      <c r="K18" s="56"/>
    </row>
    <row r="19" spans="4:20" x14ac:dyDescent="0.25">
      <c r="E19" s="55"/>
      <c r="G19" s="5">
        <v>161</v>
      </c>
      <c r="H19" s="5"/>
      <c r="K19" s="56"/>
    </row>
    <row r="20" spans="4:20" x14ac:dyDescent="0.25">
      <c r="E20" s="55"/>
      <c r="G20" s="5"/>
      <c r="H20" s="5"/>
      <c r="K20" s="56"/>
    </row>
    <row r="21" spans="4:20" x14ac:dyDescent="0.25">
      <c r="E21" s="55"/>
      <c r="G21" s="5" t="s">
        <v>2255</v>
      </c>
      <c r="H21" s="5" t="s">
        <v>2256</v>
      </c>
      <c r="K21" s="56"/>
    </row>
    <row r="22" spans="4:20" x14ac:dyDescent="0.25">
      <c r="E22" s="60"/>
      <c r="F22" s="61"/>
      <c r="G22" s="61"/>
      <c r="H22" s="61"/>
      <c r="I22" s="61"/>
      <c r="J22" s="61"/>
      <c r="K22" s="62"/>
    </row>
    <row r="23" spans="4:20" x14ac:dyDescent="0.25">
      <c r="D23" s="32">
        <f>10*0.0079*2.8*0.25/(0.9132*11.5)</f>
        <v>5.2657639642727924E-3</v>
      </c>
      <c r="E23" s="7">
        <f>D17/E17</f>
        <v>-1767.6981173059496</v>
      </c>
    </row>
    <row r="24" spans="4:20" x14ac:dyDescent="0.25">
      <c r="D24" s="37"/>
    </row>
    <row r="27" spans="4:20" x14ac:dyDescent="0.25">
      <c r="G27">
        <v>2025</v>
      </c>
      <c r="H27">
        <f>'[1]VMT Check'!B3</f>
        <v>2030</v>
      </c>
      <c r="I27">
        <f>'[1]VMT Check'!C3</f>
        <v>2040</v>
      </c>
      <c r="J27">
        <f>'[1]VMT Check'!D3</f>
        <v>2045</v>
      </c>
      <c r="K27">
        <v>2050</v>
      </c>
      <c r="Q27" s="92"/>
      <c r="R27" s="8"/>
    </row>
    <row r="28" spans="4:20" x14ac:dyDescent="0.25">
      <c r="F28" t="s">
        <v>2304</v>
      </c>
      <c r="G28" s="3">
        <f>_xlfn.FORECAST.LINEAR(G$27,$H28:$J28,$H$27:$J$27)</f>
        <v>2304797776.4316711</v>
      </c>
      <c r="H28" s="3">
        <f>'[1]VMT Check'!B9</f>
        <v>2461505090.855484</v>
      </c>
      <c r="I28" s="3">
        <f>'[1]VMT Check'!C9</f>
        <v>2844970205.8442602</v>
      </c>
      <c r="J28" s="3">
        <f>'[1]VMT Check'!D9</f>
        <v>2954977196.1739702</v>
      </c>
      <c r="K28" s="3">
        <f>_xlfn.FORECAST.LINEAR(K$27,$H28:$J28,$H$27:$J$27)</f>
        <v>3146709753.6683655</v>
      </c>
      <c r="Q28" s="93"/>
      <c r="R28" s="7"/>
    </row>
    <row r="29" spans="4:20" x14ac:dyDescent="0.25">
      <c r="F29" t="s">
        <v>2298</v>
      </c>
      <c r="G29" s="25">
        <f>G28*$E$17</f>
        <v>6865.7204288742187</v>
      </c>
      <c r="H29" s="25">
        <f t="shared" ref="H29:J29" si="0">H28*$E$17</f>
        <v>7332.5330147746308</v>
      </c>
      <c r="I29" s="25">
        <f t="shared" si="0"/>
        <v>8474.8303133320478</v>
      </c>
      <c r="J29" s="25">
        <f t="shared" si="0"/>
        <v>8802.5281480613903</v>
      </c>
      <c r="K29" s="25">
        <f>K28*$E$17</f>
        <v>9373.6767973401202</v>
      </c>
      <c r="Q29" s="94"/>
      <c r="R29" s="91"/>
      <c r="T29" s="7"/>
    </row>
    <row r="30" spans="4:20" x14ac:dyDescent="0.25">
      <c r="F30" t="s">
        <v>2297</v>
      </c>
      <c r="G30" s="3">
        <f>_xlfn.FORECAST.LINEAR(G$27,$H30:$J30,$H$27:$J$27)</f>
        <v>299.99239764386584</v>
      </c>
      <c r="H30" s="14">
        <f>'[1]LU-4.1 - 4.4'!C9*10^6</f>
        <v>284.95189155675996</v>
      </c>
      <c r="I30" s="14">
        <f>'[1]LU-4.1 - 4.4'!D9*10^6</f>
        <v>243.35860292745599</v>
      </c>
      <c r="J30" s="14">
        <f>'[1]LU-4.1 - 4.4'!E9*10^6</f>
        <v>235.99294781041039</v>
      </c>
      <c r="K30" s="3">
        <f>_xlfn.FORECAST.LINEAR(K$27,$H30:$J30,$H$27:$J$27)</f>
        <v>215.196303495758</v>
      </c>
    </row>
    <row r="31" spans="4:20" x14ac:dyDescent="0.25">
      <c r="F31" t="s">
        <v>2299</v>
      </c>
      <c r="G31" s="3">
        <f>_xlfn.FORECAST.LINEAR(G$27,$H31:$J31,$H$27:$J$27)</f>
        <v>2.0907416485323131</v>
      </c>
      <c r="H31" s="2">
        <f>H29*H30/10^6</f>
        <v>2.089419152462423</v>
      </c>
      <c r="I31" s="2">
        <f>I29*I30/10^6</f>
        <v>2.0624228650997409</v>
      </c>
      <c r="J31" s="2">
        <f>J29*J30/10^6</f>
        <v>2.0773345658451201</v>
      </c>
      <c r="K31" s="3">
        <f>_xlfn.FORECAST.LINEAR(K$27,$H31:$J31,$H$27:$J$27)</f>
        <v>2.0638364221637797</v>
      </c>
    </row>
    <row r="32" spans="4:20" x14ac:dyDescent="0.25">
      <c r="F32" t="s">
        <v>2333</v>
      </c>
      <c r="G32" s="14">
        <f>G31+SUM($C$3:$C$5)*Parameters!$C$3</f>
        <v>11.825741648532313</v>
      </c>
      <c r="H32" s="14">
        <f>H31+SUM($C$3:$C$5)*Parameters!$C$3</f>
        <v>11.824419152462422</v>
      </c>
      <c r="I32" s="14">
        <f>I31+SUM($C$3:$C$5)*Parameters!$C$3</f>
        <v>11.79742286509974</v>
      </c>
      <c r="J32" s="14">
        <f>J31+SUM($C$3:$C$5)*Parameters!$C$3</f>
        <v>11.81233456584512</v>
      </c>
      <c r="K32" s="14">
        <f>K31+SUM($C$3:$C$5)*Parameters!$C$3</f>
        <v>11.798836422163779</v>
      </c>
      <c r="N32" t="s">
        <v>2552</v>
      </c>
      <c r="O32" s="14">
        <f>H32*3/6</f>
        <v>5.9122095762312101</v>
      </c>
      <c r="P32" t="s">
        <v>2553</v>
      </c>
    </row>
    <row r="33" spans="15:16" x14ac:dyDescent="0.25">
      <c r="O33" s="14">
        <f>H32*23/25</f>
        <v>10.878465620265429</v>
      </c>
      <c r="P33" t="s">
        <v>2554</v>
      </c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99084-BE69-4C61-8993-5EFB39C3D588}">
  <dimension ref="B3:R11"/>
  <sheetViews>
    <sheetView topLeftCell="B1" workbookViewId="0">
      <selection activeCell="J18" sqref="J18"/>
    </sheetView>
  </sheetViews>
  <sheetFormatPr defaultRowHeight="15" x14ac:dyDescent="0.25"/>
  <cols>
    <col min="2" max="2" width="14.140625" bestFit="1" customWidth="1"/>
    <col min="3" max="3" width="11" bestFit="1" customWidth="1"/>
    <col min="4" max="4" width="41.7109375" customWidth="1"/>
    <col min="5" max="5" width="7.85546875" bestFit="1" customWidth="1"/>
    <col min="6" max="7" width="14.85546875" bestFit="1" customWidth="1"/>
    <col min="8" max="9" width="24.85546875" bestFit="1" customWidth="1"/>
    <col min="12" max="13" width="10.140625" bestFit="1" customWidth="1"/>
  </cols>
  <sheetData>
    <row r="3" spans="2:18" x14ac:dyDescent="0.25">
      <c r="B3" t="s">
        <v>2248</v>
      </c>
      <c r="C3" t="s">
        <v>2356</v>
      </c>
      <c r="D3" t="s">
        <v>4</v>
      </c>
      <c r="E3" t="s">
        <v>2357</v>
      </c>
      <c r="F3" t="s">
        <v>2249</v>
      </c>
      <c r="G3" t="s">
        <v>5</v>
      </c>
      <c r="H3" t="s">
        <v>2523</v>
      </c>
      <c r="I3" t="s">
        <v>2524</v>
      </c>
    </row>
    <row r="4" spans="2:18" x14ac:dyDescent="0.25">
      <c r="B4">
        <v>9</v>
      </c>
      <c r="C4" t="s">
        <v>2358</v>
      </c>
      <c r="D4" t="s">
        <v>2526</v>
      </c>
      <c r="E4" t="s">
        <v>2</v>
      </c>
      <c r="F4" s="108">
        <v>665000</v>
      </c>
      <c r="G4">
        <v>182</v>
      </c>
      <c r="H4" s="42">
        <f>G4*Parameters!$C$3</f>
        <v>6.4428000000000001</v>
      </c>
      <c r="I4" s="42">
        <f>H4*20/25</f>
        <v>5.1542399999999997</v>
      </c>
      <c r="L4" s="52" t="s">
        <v>2529</v>
      </c>
      <c r="M4" s="53"/>
      <c r="N4" s="54"/>
    </row>
    <row r="5" spans="2:18" x14ac:dyDescent="0.25">
      <c r="B5">
        <v>10</v>
      </c>
      <c r="C5" t="s">
        <v>2331</v>
      </c>
      <c r="D5" t="s">
        <v>2313</v>
      </c>
      <c r="E5">
        <v>7.49</v>
      </c>
      <c r="F5" s="108">
        <v>2621500</v>
      </c>
      <c r="G5" s="26">
        <v>74.900000000000006</v>
      </c>
      <c r="H5" s="42">
        <f>G5*Parameters!$C$3</f>
        <v>2.6514600000000002</v>
      </c>
      <c r="I5" s="42">
        <f t="shared" ref="I5:I11" si="0">H5*20/25</f>
        <v>2.1211679999999999</v>
      </c>
      <c r="L5" s="75">
        <f>Parameters!$G$7</f>
        <v>45658</v>
      </c>
      <c r="M5" s="16">
        <f>Parameters!$G$7</f>
        <v>45658</v>
      </c>
      <c r="N5" s="56"/>
    </row>
    <row r="6" spans="2:18" x14ac:dyDescent="0.25">
      <c r="B6">
        <v>10</v>
      </c>
      <c r="C6" t="s">
        <v>2331</v>
      </c>
      <c r="D6" t="s">
        <v>2314</v>
      </c>
      <c r="E6">
        <v>16.5</v>
      </c>
      <c r="F6" s="108">
        <v>5775000</v>
      </c>
      <c r="G6" s="26">
        <v>165</v>
      </c>
      <c r="H6" s="42">
        <f>G6*Parameters!$C$3</f>
        <v>5.8410000000000002</v>
      </c>
      <c r="I6" s="42">
        <f t="shared" si="0"/>
        <v>4.6728000000000005</v>
      </c>
      <c r="L6" s="75">
        <f>Parameters!H7</f>
        <v>47848</v>
      </c>
      <c r="M6" s="16">
        <f>Parameters!H8</f>
        <v>55153</v>
      </c>
      <c r="N6" s="56"/>
    </row>
    <row r="7" spans="2:18" x14ac:dyDescent="0.25">
      <c r="B7">
        <v>10</v>
      </c>
      <c r="C7" t="s">
        <v>2331</v>
      </c>
      <c r="D7" t="s">
        <v>2359</v>
      </c>
      <c r="E7">
        <v>7.3</v>
      </c>
      <c r="F7" s="108">
        <v>2555000</v>
      </c>
      <c r="G7" s="26">
        <v>73</v>
      </c>
      <c r="H7" s="42">
        <f>G7*Parameters!$C$3</f>
        <v>2.5842000000000001</v>
      </c>
      <c r="I7" s="42">
        <f t="shared" si="0"/>
        <v>2.0673599999999999</v>
      </c>
      <c r="L7" s="75">
        <f>L5+DATE(0,18,0)</f>
        <v>46175</v>
      </c>
      <c r="M7" s="16">
        <f>M5+DATE(0,18,0)</f>
        <v>46175</v>
      </c>
      <c r="N7" s="56"/>
      <c r="P7" t="s">
        <v>2555</v>
      </c>
      <c r="Q7" t="s">
        <v>2598</v>
      </c>
      <c r="R7" t="s">
        <v>2599</v>
      </c>
    </row>
    <row r="8" spans="2:18" x14ac:dyDescent="0.25">
      <c r="B8">
        <v>10</v>
      </c>
      <c r="C8" t="s">
        <v>2331</v>
      </c>
      <c r="D8" t="s">
        <v>2360</v>
      </c>
      <c r="E8">
        <v>12.02</v>
      </c>
      <c r="F8" s="108">
        <v>4207000</v>
      </c>
      <c r="G8" s="26">
        <v>120.19999999999999</v>
      </c>
      <c r="H8" s="42">
        <f>G8*Parameters!$C$3</f>
        <v>4.2550799999999995</v>
      </c>
      <c r="I8" s="42">
        <f t="shared" si="0"/>
        <v>3.4040639999999995</v>
      </c>
      <c r="L8" s="95">
        <f>(L6-L7)/(L6-L5)</f>
        <v>0.76392694063926936</v>
      </c>
      <c r="M8" s="96">
        <f>(M6-M7)/(M6-M5)</f>
        <v>0.94555028962611898</v>
      </c>
      <c r="N8" s="62"/>
      <c r="P8">
        <v>9</v>
      </c>
      <c r="Q8">
        <f>$I$4*L8</f>
        <v>3.9374627945205476</v>
      </c>
      <c r="R8">
        <f>$I$4*M8</f>
        <v>4.873593124802527</v>
      </c>
    </row>
    <row r="9" spans="2:18" x14ac:dyDescent="0.25">
      <c r="B9">
        <v>10</v>
      </c>
      <c r="C9" t="s">
        <v>2331</v>
      </c>
      <c r="D9" t="s">
        <v>2315</v>
      </c>
      <c r="E9">
        <v>3.2</v>
      </c>
      <c r="F9" s="108">
        <v>1120000</v>
      </c>
      <c r="G9" s="26">
        <v>32</v>
      </c>
      <c r="H9" s="42">
        <f>G9*Parameters!$C$3</f>
        <v>1.1328</v>
      </c>
      <c r="I9" s="42">
        <f t="shared" si="0"/>
        <v>0.90623999999999993</v>
      </c>
      <c r="P9">
        <v>10</v>
      </c>
      <c r="Q9">
        <f>SUM($I$5:$I$10)*L8</f>
        <v>11.42513242739726</v>
      </c>
      <c r="R9">
        <f>SUM($I$5:$I$10)*M8</f>
        <v>14.141453457187994</v>
      </c>
    </row>
    <row r="10" spans="2:18" x14ac:dyDescent="0.25">
      <c r="B10">
        <v>10</v>
      </c>
      <c r="C10" t="s">
        <v>2331</v>
      </c>
      <c r="D10" t="s">
        <v>2316</v>
      </c>
      <c r="E10">
        <v>6.3</v>
      </c>
      <c r="F10" s="108">
        <v>2205000</v>
      </c>
      <c r="G10" s="26">
        <v>63</v>
      </c>
      <c r="H10" s="42">
        <f>G10*Parameters!$C$3</f>
        <v>2.2302</v>
      </c>
      <c r="I10" s="42">
        <f t="shared" si="0"/>
        <v>1.78416</v>
      </c>
      <c r="Q10">
        <f>SUM(Q8:Q9)</f>
        <v>15.362595221917807</v>
      </c>
      <c r="R10">
        <f t="shared" ref="R10" si="1">SUM(R8:R9)</f>
        <v>19.015046581990521</v>
      </c>
    </row>
    <row r="11" spans="2:18" x14ac:dyDescent="0.25">
      <c r="B11" s="9" t="s">
        <v>1</v>
      </c>
      <c r="E11">
        <f>SUM(E4:E10)</f>
        <v>52.81</v>
      </c>
      <c r="F11" s="108">
        <f>SUM(F4:F10)</f>
        <v>19148500</v>
      </c>
      <c r="G11" s="26">
        <f>SUM(G4:G10)</f>
        <v>710.09999999999991</v>
      </c>
      <c r="H11" s="43">
        <f>SUM(H4:H10)</f>
        <v>25.137539999999998</v>
      </c>
      <c r="I11" s="43">
        <f t="shared" si="0"/>
        <v>20.110032</v>
      </c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AEAC1-9A5A-4C69-8BF0-A5500FD5327A}">
  <dimension ref="A1:E9"/>
  <sheetViews>
    <sheetView workbookViewId="0">
      <selection activeCell="J26" sqref="J26"/>
    </sheetView>
  </sheetViews>
  <sheetFormatPr defaultRowHeight="15" x14ac:dyDescent="0.25"/>
  <cols>
    <col min="2" max="2" width="10.140625" bestFit="1" customWidth="1"/>
    <col min="3" max="3" width="56.5703125" bestFit="1" customWidth="1"/>
    <col min="4" max="4" width="8.85546875" bestFit="1" customWidth="1"/>
  </cols>
  <sheetData>
    <row r="1" spans="1:5" x14ac:dyDescent="0.25">
      <c r="C1" t="s">
        <v>2329</v>
      </c>
      <c r="D1" t="s">
        <v>2330</v>
      </c>
      <c r="E1" t="s">
        <v>2243</v>
      </c>
    </row>
    <row r="2" spans="1:5" x14ac:dyDescent="0.25">
      <c r="C2" t="s">
        <v>2361</v>
      </c>
      <c r="D2" s="26">
        <v>3520000</v>
      </c>
      <c r="E2" t="s">
        <v>2224</v>
      </c>
    </row>
    <row r="3" spans="1:5" x14ac:dyDescent="0.25">
      <c r="C3" t="s">
        <v>2362</v>
      </c>
      <c r="D3" s="41">
        <f>D2/325851</f>
        <v>10.802483343614107</v>
      </c>
      <c r="E3" t="s">
        <v>2311</v>
      </c>
    </row>
    <row r="4" spans="1:5" x14ac:dyDescent="0.25">
      <c r="C4" t="s">
        <v>2363</v>
      </c>
      <c r="D4" s="8">
        <f>[2]Water!L3/[2]Water!H3</f>
        <v>1085.5628259225905</v>
      </c>
      <c r="E4" t="s">
        <v>2365</v>
      </c>
    </row>
    <row r="5" spans="1:5" x14ac:dyDescent="0.25">
      <c r="C5" t="s">
        <v>2364</v>
      </c>
      <c r="D5" s="3">
        <f>D3*D4</f>
        <v>11726.774345475444</v>
      </c>
      <c r="E5" t="s">
        <v>2270</v>
      </c>
    </row>
    <row r="6" spans="1:5" x14ac:dyDescent="0.25">
      <c r="A6" s="16">
        <v>45658</v>
      </c>
      <c r="B6" s="16">
        <v>47848</v>
      </c>
      <c r="C6" t="s">
        <v>2366</v>
      </c>
      <c r="D6">
        <f>AVERAGEIFS('Electricity Emissions Factors'!$P:$P,'Electricity Emissions Factors'!$L:$L,"&gt;="&amp;A$6,'Electricity Emissions Factors'!$L:$L,"&lt;="&amp;$B6)</f>
        <v>7.8853903843914316E-2</v>
      </c>
    </row>
    <row r="7" spans="1:5" x14ac:dyDescent="0.25">
      <c r="A7" s="16">
        <v>45658</v>
      </c>
      <c r="B7" s="16">
        <v>55153</v>
      </c>
      <c r="C7" t="s">
        <v>2371</v>
      </c>
      <c r="D7">
        <f>AVERAGEIFS('Electricity Emissions Factors'!$P:$P,'Electricity Emissions Factors'!$L:$L,"&gt;="&amp;A$6,'Electricity Emissions Factors'!$L:$L,"&lt;="&amp;$B7)</f>
        <v>4.0891563994979251E-2</v>
      </c>
    </row>
    <row r="8" spans="1:5" x14ac:dyDescent="0.25">
      <c r="C8" s="19" t="s">
        <v>2318</v>
      </c>
      <c r="D8" s="14">
        <f>$D$5*D6/1000</f>
        <v>0.92470193663740186</v>
      </c>
      <c r="E8" t="s">
        <v>2270</v>
      </c>
    </row>
    <row r="9" spans="1:5" x14ac:dyDescent="0.25">
      <c r="C9" s="19" t="s">
        <v>2320</v>
      </c>
      <c r="D9" s="14">
        <f>$D$5*D7/1000</f>
        <v>0.47952614360269002</v>
      </c>
      <c r="E9" t="s">
        <v>2270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80E1D7811E5047A3EB8F95E6B0C3D2" ma:contentTypeVersion="18" ma:contentTypeDescription="Create a new document." ma:contentTypeScope="" ma:versionID="6d99b71109bdd7b1e67cf83c77a4ebd8">
  <xsd:schema xmlns:xsd="http://www.w3.org/2001/XMLSchema" xmlns:xs="http://www.w3.org/2001/XMLSchema" xmlns:p="http://schemas.microsoft.com/office/2006/metadata/properties" xmlns:ns2="73debd32-59ba-4dfe-8850-d3fe1385bdc6" xmlns:ns3="c43fbb76-ebac-4a1c-a96a-1a09cbd91963" targetNamespace="http://schemas.microsoft.com/office/2006/metadata/properties" ma:root="true" ma:fieldsID="0645e81f0c1e38cafb064da342bb00d2" ns2:_="" ns3:_="">
    <xsd:import namespace="73debd32-59ba-4dfe-8850-d3fe1385bdc6"/>
    <xsd:import namespace="c43fbb76-ebac-4a1c-a96a-1a09cbd919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3:SharedWithUsers" minOccurs="0"/>
                <xsd:element ref="ns3:SharedWithDetails" minOccurs="0"/>
                <xsd:element ref="ns2:Note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debd32-59ba-4dfe-8850-d3fe1385bd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b163610-270c-4829-8980-f0536c223f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Notes" ma:index="23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3fbb76-ebac-4a1c-a96a-1a09cbd9196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0ad08ac-fbb8-45f8-83a4-a1a8be67d72c}" ma:internalName="TaxCatchAll" ma:showField="CatchAllData" ma:web="c43fbb76-ebac-4a1c-a96a-1a09cbd9196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43fbb76-ebac-4a1c-a96a-1a09cbd91963" xsi:nil="true"/>
    <lcf76f155ced4ddcb4097134ff3c332f xmlns="73debd32-59ba-4dfe-8850-d3fe1385bdc6">
      <Terms xmlns="http://schemas.microsoft.com/office/infopath/2007/PartnerControls"/>
    </lcf76f155ced4ddcb4097134ff3c332f>
    <Notes xmlns="73debd32-59ba-4dfe-8850-d3fe1385bdc6" xsi:nil="true"/>
  </documentManagement>
</p:properties>
</file>

<file path=customXml/itemProps1.xml><?xml version="1.0" encoding="utf-8"?>
<ds:datastoreItem xmlns:ds="http://schemas.openxmlformats.org/officeDocument/2006/customXml" ds:itemID="{D908480A-7E26-4825-9521-FFD0B53A07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debd32-59ba-4dfe-8850-d3fe1385bdc6"/>
    <ds:schemaRef ds:uri="c43fbb76-ebac-4a1c-a96a-1a09cbd919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70A0A1-6B6F-4096-958E-45B825CDE4E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2E75F3-39E4-40F0-81D2-D5F2B6E3A850}">
  <ds:schemaRefs>
    <ds:schemaRef ds:uri="http://purl.org/dc/dcmitype/"/>
    <ds:schemaRef ds:uri="73debd32-59ba-4dfe-8850-d3fe1385bdc6"/>
    <ds:schemaRef ds:uri="http://purl.org/dc/elements/1.1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c43fbb76-ebac-4a1c-a96a-1a09cbd91963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Budget</vt:lpstr>
      <vt:lpstr>Proj 1 MLK</vt:lpstr>
      <vt:lpstr>Proj 2 4 5 Solar</vt:lpstr>
      <vt:lpstr>Proj 3 Low-Income Weatherizatio</vt:lpstr>
      <vt:lpstr>Proj 6 EV Chargers And Vehicles</vt:lpstr>
      <vt:lpstr>Proj 7 eBike</vt:lpstr>
      <vt:lpstr>Proj 8 Complete Streets</vt:lpstr>
      <vt:lpstr>Proj 9 and 10 Trees and Parks</vt:lpstr>
      <vt:lpstr>Proj 11 Xeriscaping</vt:lpstr>
      <vt:lpstr>Proj 12 13 Waste</vt:lpstr>
      <vt:lpstr>emfac</vt:lpstr>
      <vt:lpstr>Electricity Emissions Factors</vt:lpstr>
      <vt:lpstr>RPS projects</vt:lpstr>
      <vt:lpstr>Parameters</vt:lpstr>
      <vt:lpstr>Vehicle GHG reductions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Maira Durazo</cp:lastModifiedBy>
  <cp:revision/>
  <dcterms:created xsi:type="dcterms:W3CDTF">2024-03-22T16:05:14Z</dcterms:created>
  <dcterms:modified xsi:type="dcterms:W3CDTF">2024-04-01T19:58:27Z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0x0101003F80E1D7811E5047A3EB8F95E6B0C3D2</vt:lpwstr>
  </property>
  <property fmtid="{D5CDD505-2E9C-101B-9397-08002B2CF9AE}" pid="3" name="MediaServiceImageTags">
    <vt:lpwstr/>
  </property>
</Properties>
</file>