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C:\Users\anthony.hagan\OneDrive - Brevard County BOCC\Desktop\Climate Pollution Reduction Grant\Attachments\"/>
    </mc:Choice>
  </mc:AlternateContent>
  <xr:revisionPtr revIDLastSave="0" documentId="8_{B276DB70-5B60-451E-9903-C3C3250443C7}" xr6:coauthVersionLast="47" xr6:coauthVersionMax="47" xr10:uidLastSave="{00000000-0000-0000-0000-000000000000}"/>
  <bookViews>
    <workbookView xWindow="28680" yWindow="-120" windowWidth="29040" windowHeight="15840" xr2:uid="{00000000-000D-0000-FFFF-FFFF00000000}"/>
  </bookViews>
  <sheets>
    <sheet name="GHG Reduction Spreadsheet"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7" i="2" l="1"/>
  <c r="E27" i="2"/>
  <c r="D27" i="2"/>
  <c r="C27" i="2"/>
  <c r="B27" i="2"/>
  <c r="F26" i="2"/>
  <c r="E26" i="2"/>
  <c r="D26" i="2"/>
  <c r="C26" i="2"/>
  <c r="B26" i="2"/>
  <c r="F25" i="2"/>
  <c r="E25" i="2"/>
  <c r="D25" i="2"/>
  <c r="C25" i="2"/>
  <c r="B25" i="2"/>
  <c r="G16" i="2"/>
  <c r="G13" i="2"/>
  <c r="F12" i="2"/>
  <c r="E12" i="2"/>
  <c r="D12" i="2"/>
  <c r="C12" i="2"/>
  <c r="B12" i="2"/>
  <c r="F11" i="2"/>
  <c r="F15" i="2" s="1"/>
  <c r="F17" i="2" s="1"/>
  <c r="E11" i="2"/>
  <c r="E10" i="2" s="1"/>
  <c r="D11" i="2"/>
  <c r="D10" i="2" s="1"/>
  <c r="C11" i="2"/>
  <c r="C10" i="2" s="1"/>
  <c r="B11" i="2"/>
  <c r="B10" i="2" s="1"/>
  <c r="F9" i="2"/>
  <c r="E9" i="2"/>
  <c r="D9" i="2"/>
  <c r="C9" i="2"/>
  <c r="B9" i="2"/>
  <c r="F28" i="2" l="1"/>
  <c r="F23" i="2" s="1"/>
  <c r="C28" i="2"/>
  <c r="C23" i="2" s="1"/>
  <c r="D7" i="2"/>
  <c r="D28" i="2"/>
  <c r="D23" i="2" s="1"/>
  <c r="F10" i="2"/>
  <c r="F7" i="2" s="1"/>
  <c r="G12" i="2"/>
  <c r="G11" i="2"/>
  <c r="G26" i="2"/>
  <c r="E28" i="2"/>
  <c r="E23" i="2" s="1"/>
  <c r="E7" i="2"/>
  <c r="G27" i="2"/>
  <c r="C7" i="2"/>
  <c r="G25" i="2"/>
  <c r="B15" i="2"/>
  <c r="B28" i="2"/>
  <c r="C15" i="2"/>
  <c r="C17" i="2" s="1"/>
  <c r="D15" i="2"/>
  <c r="D17" i="2" s="1"/>
  <c r="E15" i="2"/>
  <c r="E17" i="2" s="1"/>
  <c r="G10" i="2" l="1"/>
  <c r="G28" i="2"/>
  <c r="B23" i="2"/>
  <c r="B22" i="2" s="1"/>
  <c r="B17" i="2"/>
  <c r="G15" i="2"/>
  <c r="B7" i="2"/>
  <c r="B6" i="2" s="1"/>
  <c r="C6" i="2" s="1"/>
  <c r="D6" i="2" l="1"/>
  <c r="C22" i="2"/>
  <c r="D22" i="2" s="1"/>
  <c r="E22" i="2" s="1"/>
  <c r="F22" i="2" s="1"/>
  <c r="H22" i="2" s="1"/>
  <c r="B29" i="2"/>
  <c r="J11" i="2"/>
  <c r="J10" i="2" s="1"/>
  <c r="G17" i="2"/>
  <c r="G22" i="2" l="1"/>
  <c r="I22" i="2" s="1"/>
  <c r="K22" i="2"/>
  <c r="C29" i="2"/>
  <c r="D29" i="2"/>
  <c r="E6" i="2"/>
  <c r="J6" i="2"/>
  <c r="L22" i="2" l="1"/>
  <c r="E29" i="2"/>
  <c r="F6" i="2"/>
  <c r="G6" i="2" s="1"/>
  <c r="G18" i="2" s="1"/>
  <c r="H6" i="2" l="1"/>
  <c r="F29" i="2"/>
  <c r="I6" i="2" l="1"/>
  <c r="H29" i="2"/>
  <c r="I18" i="2" l="1"/>
  <c r="K6" i="2"/>
  <c r="K18" i="2" s="1"/>
  <c r="I29" i="2"/>
  <c r="J30" i="2"/>
  <c r="L6" i="2" l="1"/>
  <c r="L18" i="2" s="1"/>
  <c r="G29" i="2"/>
  <c r="G30" i="2" s="1"/>
  <c r="K29" i="2"/>
  <c r="L29" i="2" s="1"/>
  <c r="L30" i="2" s="1"/>
</calcChain>
</file>

<file path=xl/sharedStrings.xml><?xml version="1.0" encoding="utf-8"?>
<sst xmlns="http://schemas.openxmlformats.org/spreadsheetml/2006/main" count="63" uniqueCount="47">
  <si>
    <t>Notes</t>
  </si>
  <si>
    <t>Median AADT</t>
  </si>
  <si>
    <t xml:space="preserve"> </t>
  </si>
  <si>
    <t>CLKM</t>
  </si>
  <si>
    <t>CLM</t>
  </si>
  <si>
    <t>Volume PlusTi by sq/yd</t>
  </si>
  <si>
    <t>Volume PlusTi by sq/m</t>
  </si>
  <si>
    <t>CO2 tonnes ongoing annual</t>
  </si>
  <si>
    <t>CO2 tonnes new added</t>
  </si>
  <si>
    <t>CO2 tonnes per CLKM (1)</t>
  </si>
  <si>
    <t xml:space="preserve">(1) Velay Lizancos, M, Garcia Lopez-Arias, M, et al, Carbon Dioxide Removal w/ Titanium Dioxide Pavement Additives Progress Report, Purdue University, November 2023. </t>
  </si>
  <si>
    <t>Total</t>
  </si>
  <si>
    <t>Cost (USD)</t>
  </si>
  <si>
    <t>Cost per tonne</t>
  </si>
  <si>
    <t>CO2e tonnes ongoing annual</t>
  </si>
  <si>
    <t>CO2e tonnes new added</t>
  </si>
  <si>
    <t xml:space="preserve"> Solar Reflectance Index of Horizontal and Low-Sloped Opaque Surfaces; converted into radiative forcing (RF) or GWP/ CO2e.     </t>
  </si>
  <si>
    <t xml:space="preserve">     Total</t>
  </si>
  <si>
    <t xml:space="preserve">     Per CLM</t>
  </si>
  <si>
    <t>Mennekes D and Nowack B, Tire wear particle emissions: Measurement data where are you?, Science of The Total Environment, July 2022.</t>
  </si>
  <si>
    <t>Carbon Dioxide (CO2)</t>
  </si>
  <si>
    <t>Co-Benefits (CO2e) (2)</t>
  </si>
  <si>
    <t xml:space="preserve">     NOx (3)(4)(5)</t>
  </si>
  <si>
    <t xml:space="preserve">     Microplastics (6)(7)(8)(9)</t>
  </si>
  <si>
    <t xml:space="preserve">     Solar Reflectance (10)</t>
  </si>
  <si>
    <t xml:space="preserve">(3) EPA; Texas A&amp;M Transportation Institute (TTI), International Standard ISO 22197-1 Test method for air-purification performance of semiconducting photocatalytic materials.  </t>
  </si>
  <si>
    <t>(4) EPA; 60 Co2e per Dahlmann K et al, Quantifying the contributions of individual NOx sources to the trend in ozone radiative forcing, DLR Institute for Atmospheric Physics, Oberpfaffenhofen, Germany, February 2011.</t>
  </si>
  <si>
    <t>(5) Zollinger DG and Joshaghani A, Laboratory Investigation of the Effect of TiO2 Topical Treatments on Concrete and Asphalt Samples, Texas A&amp;M Transportation Institute, September 2018.</t>
  </si>
  <si>
    <t>(6) Shen M, Huang W, et al, (Micro)plastic crisis: Un-ignorable contribution to global greenhouse emissions and climate change, May 2020.</t>
  </si>
  <si>
    <t>(7) Zollinger D and Philip J, Effect of TiO2 Topical Treatments on Concrete and Asphalt for On-Road Microplastic Pollution Removal, Texas A&amp;M Transportation Institute, August 2022.</t>
  </si>
  <si>
    <t xml:space="preserve">(8) EPA; Staley, S, The Link Between Plastic Use and Climate Change: Nitty-Gritty, Stanford University (Stanford Magazine), November/December 2009; Emission Analytics (UK).  </t>
  </si>
  <si>
    <t xml:space="preserve">(9) Robbins J, Road Hazard: Evidence Mounts on Toxic Pollution from Tires, Yale University (Yale Environment360), September 2023; </t>
  </si>
  <si>
    <t>(10)Texas A&amp;M Transportation Institute (TTI) and Massachusetts Institute of Technology (MIT) – MIT Concrete Sustainability Hub (CSHub): Solar Reflectance Index (SRI) ASTM E1980-11 Standard Practice for Calculating</t>
  </si>
  <si>
    <t>2025-2030</t>
  </si>
  <si>
    <t>2031-2035</t>
  </si>
  <si>
    <t>2025-2035</t>
  </si>
  <si>
    <t>2036-2050</t>
  </si>
  <si>
    <t>2025-2050</t>
  </si>
  <si>
    <t>Brevard County | City of Palm Bay EPA CPRG Implementation Phase -- Photocatalytic Pavement Program Spreadsheet</t>
  </si>
  <si>
    <t>Total CO2 and CO2e Annual</t>
  </si>
  <si>
    <t>Cost per CL Mile Annually</t>
  </si>
  <si>
    <t>Annual Treatment Costs</t>
  </si>
  <si>
    <t>Annual Testing/Reporting Costs</t>
  </si>
  <si>
    <t>Total Annual Program Costs</t>
  </si>
  <si>
    <t xml:space="preserve">GHG Reduction efficiency is covered in further detail in the Coalition Workplan in Section, each five year period has been adjusted downward to account for pavement deterioration and lower reduction efficiency </t>
  </si>
  <si>
    <t xml:space="preserve">2031 to 2035 efficiency percentage has been adjusted down by 30% while 2036 to 2050 has been adjusted down another 50%. 2025 to 2030 measurements will allow for more accurate long term efficiency reduction. </t>
  </si>
  <si>
    <t xml:space="preserve">(2) Global Warming Potential (GWP) via 'Science-Based Targets' - see Notes 3 thru 10.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</si>
</sst>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1"/>
      <color theme="0"/>
      <name val="Calibri"/>
      <family val="2"/>
      <scheme val="minor"/>
    </font>
    <font>
      <b/>
      <sz val="18"/>
      <color theme="1"/>
      <name val="Calibri"/>
      <family val="2"/>
      <scheme val="minor"/>
    </font>
    <font>
      <b/>
      <sz val="12"/>
      <color theme="0"/>
      <name val="Calibri"/>
      <family val="2"/>
      <scheme val="minor"/>
    </font>
    <font>
      <b/>
      <sz val="12"/>
      <color theme="1"/>
      <name val="Calibri"/>
      <family val="2"/>
      <scheme val="minor"/>
    </font>
    <font>
      <sz val="11"/>
      <name val="Calibri"/>
      <family val="2"/>
      <scheme val="minor"/>
    </font>
    <font>
      <b/>
      <sz val="11"/>
      <color rgb="FFFF0000"/>
      <name val="Calibri"/>
      <family val="2"/>
      <scheme val="minor"/>
    </font>
  </fonts>
  <fills count="9">
    <fill>
      <patternFill patternType="none"/>
    </fill>
    <fill>
      <patternFill patternType="gray125"/>
    </fill>
    <fill>
      <patternFill patternType="solid">
        <fgColor theme="0" tint="-0.499984740745262"/>
        <bgColor indexed="64"/>
      </patternFill>
    </fill>
    <fill>
      <patternFill patternType="solid">
        <fgColor theme="1"/>
        <bgColor indexed="64"/>
      </patternFill>
    </fill>
    <fill>
      <patternFill patternType="solid">
        <fgColor theme="0" tint="-4.9989318521683403E-2"/>
        <bgColor indexed="64"/>
      </patternFill>
    </fill>
    <fill>
      <patternFill patternType="solid">
        <fgColor theme="0"/>
        <bgColor indexed="64"/>
      </patternFill>
    </fill>
    <fill>
      <patternFill patternType="solid">
        <fgColor theme="1" tint="0.499984740745262"/>
        <bgColor indexed="64"/>
      </patternFill>
    </fill>
    <fill>
      <patternFill patternType="solid">
        <fgColor theme="0" tint="-0.34998626667073579"/>
        <bgColor indexed="64"/>
      </patternFill>
    </fill>
    <fill>
      <patternFill patternType="solid">
        <fgColor theme="0" tint="-0.249977111117893"/>
        <bgColor indexed="64"/>
      </patternFill>
    </fill>
  </fills>
  <borders count="1">
    <border>
      <left/>
      <right/>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33">
    <xf numFmtId="0" fontId="0" fillId="0" borderId="0" xfId="0"/>
    <xf numFmtId="0" fontId="2" fillId="0" borderId="0" xfId="0" applyFont="1"/>
    <xf numFmtId="0" fontId="4" fillId="0" borderId="0" xfId="0" applyFont="1"/>
    <xf numFmtId="0" fontId="2" fillId="3" borderId="0" xfId="0" applyFont="1" applyFill="1" applyAlignment="1">
      <alignment horizontal="right"/>
    </xf>
    <xf numFmtId="0" fontId="2" fillId="3" borderId="0" xfId="0" applyFont="1" applyFill="1"/>
    <xf numFmtId="0" fontId="3" fillId="3" borderId="0" xfId="0" applyFont="1" applyFill="1" applyAlignment="1">
      <alignment horizontal="right"/>
    </xf>
    <xf numFmtId="0" fontId="5" fillId="3" borderId="0" xfId="0" applyFont="1" applyFill="1" applyAlignment="1">
      <alignment horizontal="right"/>
    </xf>
    <xf numFmtId="0" fontId="5" fillId="3" borderId="0" xfId="0" applyFont="1" applyFill="1"/>
    <xf numFmtId="0" fontId="6" fillId="0" borderId="0" xfId="0" applyFont="1"/>
    <xf numFmtId="164" fontId="6" fillId="0" borderId="0" xfId="1" applyNumberFormat="1" applyFont="1"/>
    <xf numFmtId="164" fontId="6" fillId="0" borderId="0" xfId="0" applyNumberFormat="1" applyFont="1"/>
    <xf numFmtId="0" fontId="6" fillId="3" borderId="0" xfId="0" applyFont="1" applyFill="1"/>
    <xf numFmtId="44" fontId="5" fillId="3" borderId="0" xfId="2" applyFont="1" applyFill="1"/>
    <xf numFmtId="0" fontId="6" fillId="2" borderId="0" xfId="0" applyFont="1" applyFill="1"/>
    <xf numFmtId="0" fontId="3" fillId="2" borderId="0" xfId="0" applyFont="1" applyFill="1"/>
    <xf numFmtId="0" fontId="2" fillId="0" borderId="0" xfId="0" applyFont="1" applyAlignment="1">
      <alignment horizontal="left"/>
    </xf>
    <xf numFmtId="0" fontId="7" fillId="0" borderId="0" xfId="0" applyFont="1"/>
    <xf numFmtId="164" fontId="6" fillId="4" borderId="0" xfId="1" applyNumberFormat="1" applyFont="1" applyFill="1"/>
    <xf numFmtId="164" fontId="6" fillId="4" borderId="0" xfId="0" applyNumberFormat="1" applyFont="1" applyFill="1"/>
    <xf numFmtId="164" fontId="6" fillId="5" borderId="0" xfId="1" applyNumberFormat="1" applyFont="1" applyFill="1"/>
    <xf numFmtId="0" fontId="3" fillId="6" borderId="0" xfId="0" applyFont="1" applyFill="1"/>
    <xf numFmtId="164" fontId="5" fillId="7" borderId="0" xfId="0" applyNumberFormat="1" applyFont="1" applyFill="1"/>
    <xf numFmtId="164" fontId="5" fillId="7" borderId="0" xfId="1" applyNumberFormat="1" applyFont="1" applyFill="1"/>
    <xf numFmtId="165" fontId="5" fillId="7" borderId="0" xfId="2" applyNumberFormat="1" applyFont="1" applyFill="1"/>
    <xf numFmtId="0" fontId="6" fillId="3" borderId="0" xfId="0" applyFont="1" applyFill="1" applyAlignment="1">
      <alignment horizontal="right"/>
    </xf>
    <xf numFmtId="164" fontId="5" fillId="8" borderId="0" xfId="1" applyNumberFormat="1" applyFont="1" applyFill="1"/>
    <xf numFmtId="0" fontId="5" fillId="8" borderId="0" xfId="0" applyFont="1" applyFill="1"/>
    <xf numFmtId="0" fontId="6" fillId="7" borderId="0" xfId="0" applyFont="1" applyFill="1"/>
    <xf numFmtId="0" fontId="8" fillId="0" borderId="0" xfId="0" applyFont="1"/>
    <xf numFmtId="0" fontId="5" fillId="2" borderId="0" xfId="0" applyFont="1" applyFill="1"/>
    <xf numFmtId="164" fontId="5" fillId="2" borderId="0" xfId="0" applyNumberFormat="1" applyFont="1" applyFill="1"/>
    <xf numFmtId="165" fontId="6" fillId="4" borderId="0" xfId="2" applyNumberFormat="1" applyFont="1" applyFill="1"/>
    <xf numFmtId="165" fontId="5" fillId="3" borderId="0" xfId="2" applyNumberFormat="1" applyFont="1" applyFill="1"/>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5"/>
  <sheetViews>
    <sheetView tabSelected="1" zoomScale="85" zoomScaleNormal="85" workbookViewId="0">
      <selection activeCell="A36" sqref="A36"/>
    </sheetView>
  </sheetViews>
  <sheetFormatPr defaultRowHeight="15" x14ac:dyDescent="0.25"/>
  <cols>
    <col min="1" max="1" width="30.7109375" customWidth="1"/>
    <col min="2" max="6" width="20.7109375" customWidth="1"/>
    <col min="7" max="7" width="14.7109375" customWidth="1"/>
    <col min="8" max="9" width="15.7109375" customWidth="1"/>
    <col min="10" max="12" width="18.7109375" customWidth="1"/>
  </cols>
  <sheetData>
    <row r="1" spans="1:12" ht="23.25" x14ac:dyDescent="0.35">
      <c r="A1" s="2" t="s">
        <v>38</v>
      </c>
      <c r="B1" s="1"/>
      <c r="C1" s="1"/>
      <c r="D1" s="1"/>
      <c r="E1" s="1"/>
      <c r="F1" s="1"/>
      <c r="G1" s="1"/>
      <c r="H1" s="1"/>
      <c r="I1" s="1"/>
      <c r="J1" s="1"/>
      <c r="K1" s="1"/>
      <c r="L1" s="1"/>
    </row>
    <row r="2" spans="1:12" ht="23.25" x14ac:dyDescent="0.35">
      <c r="A2" s="2"/>
      <c r="B2" s="1"/>
      <c r="C2" s="1"/>
      <c r="D2" s="1"/>
      <c r="E2" s="1"/>
      <c r="F2" s="1"/>
      <c r="G2" s="1"/>
      <c r="H2" s="28"/>
      <c r="I2" s="1"/>
      <c r="J2" s="1"/>
      <c r="K2" s="1"/>
      <c r="L2" s="1"/>
    </row>
    <row r="3" spans="1:12" x14ac:dyDescent="0.25">
      <c r="A3" s="1"/>
      <c r="B3" s="1"/>
      <c r="C3" s="1"/>
      <c r="D3" s="1"/>
      <c r="E3" s="1"/>
      <c r="F3" s="1"/>
      <c r="G3" s="5" t="s">
        <v>11</v>
      </c>
      <c r="H3" s="3"/>
      <c r="I3" s="5" t="s">
        <v>11</v>
      </c>
      <c r="J3" s="4"/>
      <c r="K3" s="5" t="s">
        <v>11</v>
      </c>
      <c r="L3" s="5" t="s">
        <v>11</v>
      </c>
    </row>
    <row r="4" spans="1:12" ht="15.75" x14ac:dyDescent="0.25">
      <c r="A4" s="1"/>
      <c r="B4" s="6">
        <v>2025</v>
      </c>
      <c r="C4" s="7">
        <v>2026</v>
      </c>
      <c r="D4" s="7">
        <v>2027</v>
      </c>
      <c r="E4" s="7">
        <v>2028</v>
      </c>
      <c r="F4" s="7">
        <v>2029</v>
      </c>
      <c r="G4" s="6" t="s">
        <v>33</v>
      </c>
      <c r="H4" s="6" t="s">
        <v>34</v>
      </c>
      <c r="I4" s="6" t="s">
        <v>35</v>
      </c>
      <c r="J4" s="6" t="s">
        <v>12</v>
      </c>
      <c r="K4" s="6" t="s">
        <v>36</v>
      </c>
      <c r="L4" s="6" t="s">
        <v>37</v>
      </c>
    </row>
    <row r="5" spans="1:12" ht="15.75" x14ac:dyDescent="0.25">
      <c r="A5" s="14" t="s">
        <v>20</v>
      </c>
      <c r="B5" s="13"/>
      <c r="C5" s="13"/>
      <c r="D5" s="13"/>
      <c r="E5" s="13"/>
      <c r="F5" s="13"/>
      <c r="G5" s="24"/>
      <c r="H5" s="11"/>
      <c r="I5" s="11"/>
      <c r="J5" s="11"/>
      <c r="K5" s="11"/>
      <c r="L5" s="11"/>
    </row>
    <row r="6" spans="1:12" ht="15.75" x14ac:dyDescent="0.25">
      <c r="A6" s="1" t="s">
        <v>7</v>
      </c>
      <c r="B6" s="17">
        <f>+B7</f>
        <v>173641.48148148152</v>
      </c>
      <c r="C6" s="9">
        <f t="shared" ref="C6:F6" si="0">+C7+B6</f>
        <v>259865.92592592596</v>
      </c>
      <c r="D6" s="17">
        <f t="shared" si="0"/>
        <v>321642.22222222225</v>
      </c>
      <c r="E6" s="9">
        <f t="shared" si="0"/>
        <v>373162.22222222225</v>
      </c>
      <c r="F6" s="17">
        <f t="shared" si="0"/>
        <v>397252.59259259264</v>
      </c>
      <c r="G6" s="21">
        <f>+B6+C6+D6+E6+F6</f>
        <v>1525564.4444444445</v>
      </c>
      <c r="H6" s="22">
        <f>(+F6*5)*0.7</f>
        <v>1390384.0740740742</v>
      </c>
      <c r="I6" s="22">
        <f>+H6+G6</f>
        <v>2915948.5185185187</v>
      </c>
      <c r="J6" s="23">
        <f>+J11*G11</f>
        <v>44751163</v>
      </c>
      <c r="K6" s="22">
        <f>+(I6*0.5)*3</f>
        <v>4373922.777777778</v>
      </c>
      <c r="L6" s="22">
        <f>+I6+K6</f>
        <v>7289871.2962962966</v>
      </c>
    </row>
    <row r="7" spans="1:12" ht="15.75" x14ac:dyDescent="0.25">
      <c r="A7" s="1" t="s">
        <v>8</v>
      </c>
      <c r="B7" s="17">
        <f>(+B9*B10)</f>
        <v>173641.48148148152</v>
      </c>
      <c r="C7" s="9">
        <f>(+C9*C10)</f>
        <v>86224.444444444453</v>
      </c>
      <c r="D7" s="17">
        <f>(+D9*D10)</f>
        <v>61776.296296296299</v>
      </c>
      <c r="E7" s="9">
        <f>(+E9*E10)</f>
        <v>51520.000000000007</v>
      </c>
      <c r="F7" s="17">
        <f>(+F9*F10)</f>
        <v>24090.370370370372</v>
      </c>
      <c r="G7" s="13" t="s">
        <v>2</v>
      </c>
      <c r="H7" s="13"/>
      <c r="I7" s="13"/>
      <c r="J7" s="13"/>
      <c r="K7" s="13"/>
      <c r="L7" s="13"/>
    </row>
    <row r="8" spans="1:12" ht="15.75" x14ac:dyDescent="0.25">
      <c r="A8" s="1" t="s">
        <v>1</v>
      </c>
      <c r="B8" s="17">
        <v>8000</v>
      </c>
      <c r="C8" s="9">
        <v>6000</v>
      </c>
      <c r="D8" s="17">
        <v>4000</v>
      </c>
      <c r="E8" s="9">
        <v>4000</v>
      </c>
      <c r="F8" s="17">
        <v>2000</v>
      </c>
      <c r="G8" s="13"/>
      <c r="H8" s="13"/>
      <c r="I8" s="13"/>
      <c r="J8" s="13"/>
      <c r="K8" s="13"/>
      <c r="L8" s="13"/>
    </row>
    <row r="9" spans="1:12" ht="15.75" x14ac:dyDescent="0.25">
      <c r="A9" s="1" t="s">
        <v>9</v>
      </c>
      <c r="B9" s="17">
        <f>+B8/27</f>
        <v>296.2962962962963</v>
      </c>
      <c r="C9" s="19">
        <f t="shared" ref="C9:F9" si="1">+C8/27</f>
        <v>222.22222222222223</v>
      </c>
      <c r="D9" s="17">
        <f>+D8/27</f>
        <v>148.14814814814815</v>
      </c>
      <c r="E9" s="19">
        <f t="shared" si="1"/>
        <v>148.14814814814815</v>
      </c>
      <c r="F9" s="17">
        <f t="shared" si="1"/>
        <v>74.074074074074076</v>
      </c>
      <c r="G9" s="13"/>
      <c r="H9" s="13"/>
      <c r="I9" s="13"/>
      <c r="J9" s="13"/>
      <c r="K9" s="13"/>
      <c r="L9" s="13"/>
    </row>
    <row r="10" spans="1:12" ht="15.75" x14ac:dyDescent="0.25">
      <c r="A10" s="1" t="s">
        <v>3</v>
      </c>
      <c r="B10" s="17">
        <f t="shared" ref="B10:F10" si="2">B11*1.61</f>
        <v>586.04000000000008</v>
      </c>
      <c r="C10" s="9">
        <f t="shared" si="2"/>
        <v>388.01000000000005</v>
      </c>
      <c r="D10" s="17">
        <f t="shared" si="2"/>
        <v>416.99</v>
      </c>
      <c r="E10" s="9">
        <f t="shared" si="2"/>
        <v>347.76000000000005</v>
      </c>
      <c r="F10" s="17">
        <f t="shared" si="2"/>
        <v>325.22000000000003</v>
      </c>
      <c r="G10" s="21">
        <f>+B10+C10+D10+E10+F10</f>
        <v>2064.0200000000004</v>
      </c>
      <c r="H10" s="13"/>
      <c r="I10" s="13"/>
      <c r="J10" s="23">
        <f>+(J11)*(B11/B10)</f>
        <v>21681.554926793342</v>
      </c>
      <c r="K10" s="13"/>
      <c r="L10" s="13"/>
    </row>
    <row r="11" spans="1:12" ht="15.75" x14ac:dyDescent="0.25">
      <c r="A11" s="1" t="s">
        <v>4</v>
      </c>
      <c r="B11" s="17">
        <f>B13/12907</f>
        <v>364</v>
      </c>
      <c r="C11" s="17">
        <f>C13/12907</f>
        <v>241</v>
      </c>
      <c r="D11" s="17">
        <f>D13/12907</f>
        <v>259</v>
      </c>
      <c r="E11" s="17">
        <f>E13/12907</f>
        <v>216</v>
      </c>
      <c r="F11" s="17">
        <f>F13/12907</f>
        <v>202</v>
      </c>
      <c r="G11" s="21">
        <f>+B11+C11+D11+E11+F11</f>
        <v>1282</v>
      </c>
      <c r="H11" s="13"/>
      <c r="I11" s="13"/>
      <c r="J11" s="23">
        <f>G15/G11</f>
        <v>34907.303432137283</v>
      </c>
      <c r="K11" s="13"/>
      <c r="L11" s="13"/>
    </row>
    <row r="12" spans="1:12" ht="15.75" x14ac:dyDescent="0.25">
      <c r="A12" s="1" t="s">
        <v>6</v>
      </c>
      <c r="B12" s="18">
        <f t="shared" ref="B12:F12" si="3">(B13)/0.836</f>
        <v>5619794.2583732056</v>
      </c>
      <c r="C12" s="10">
        <f t="shared" si="3"/>
        <v>3720797.8468899522</v>
      </c>
      <c r="D12" s="18">
        <f t="shared" si="3"/>
        <v>3998699.7607655502</v>
      </c>
      <c r="E12" s="10">
        <f t="shared" si="3"/>
        <v>3334822.9665071773</v>
      </c>
      <c r="F12" s="18">
        <f t="shared" si="3"/>
        <v>3118677.0334928231</v>
      </c>
      <c r="G12" s="21">
        <f t="shared" ref="G12:G13" si="4">+B12+C12+D12+E12+F12</f>
        <v>19792791.866028711</v>
      </c>
      <c r="H12" s="13"/>
      <c r="I12" s="13"/>
      <c r="J12" s="13"/>
      <c r="K12" s="13"/>
      <c r="L12" s="13"/>
    </row>
    <row r="13" spans="1:12" ht="15.75" x14ac:dyDescent="0.25">
      <c r="A13" s="1" t="s">
        <v>5</v>
      </c>
      <c r="B13" s="18">
        <v>4698148</v>
      </c>
      <c r="C13" s="18">
        <v>3110587</v>
      </c>
      <c r="D13" s="18">
        <v>3342913</v>
      </c>
      <c r="E13" s="18">
        <v>2787912</v>
      </c>
      <c r="F13" s="18">
        <v>2607214</v>
      </c>
      <c r="G13" s="21">
        <f t="shared" si="4"/>
        <v>16546774</v>
      </c>
      <c r="H13" s="13"/>
      <c r="I13" s="13"/>
      <c r="J13" s="13"/>
      <c r="K13" s="13"/>
      <c r="L13" s="13"/>
    </row>
    <row r="14" spans="1:12" ht="15.75" x14ac:dyDescent="0.25">
      <c r="A14" s="1" t="s">
        <v>40</v>
      </c>
      <c r="B14" s="31">
        <v>33171</v>
      </c>
      <c r="C14" s="31">
        <v>34204</v>
      </c>
      <c r="D14" s="31">
        <v>35107</v>
      </c>
      <c r="E14" s="31">
        <v>36140</v>
      </c>
      <c r="F14" s="31">
        <v>37301</v>
      </c>
      <c r="G14" s="21"/>
      <c r="H14" s="13"/>
      <c r="I14" s="13"/>
      <c r="J14" s="13"/>
      <c r="K14" s="13"/>
      <c r="L14" s="13"/>
    </row>
    <row r="15" spans="1:12" ht="15.75" x14ac:dyDescent="0.25">
      <c r="A15" s="1" t="s">
        <v>41</v>
      </c>
      <c r="B15" s="31">
        <f>B11*B14</f>
        <v>12074244</v>
      </c>
      <c r="C15" s="31">
        <f t="shared" ref="C15:F15" si="5">C11*C14</f>
        <v>8243164</v>
      </c>
      <c r="D15" s="31">
        <f t="shared" si="5"/>
        <v>9092713</v>
      </c>
      <c r="E15" s="31">
        <f t="shared" si="5"/>
        <v>7806240</v>
      </c>
      <c r="F15" s="31">
        <f t="shared" si="5"/>
        <v>7534802</v>
      </c>
      <c r="G15" s="23">
        <f>SUM(B15:F15)</f>
        <v>44751163</v>
      </c>
      <c r="H15" s="13"/>
      <c r="I15" s="13"/>
      <c r="J15" s="13"/>
      <c r="K15" s="13"/>
      <c r="L15" s="13"/>
    </row>
    <row r="16" spans="1:12" ht="15.75" x14ac:dyDescent="0.25">
      <c r="A16" s="1" t="s">
        <v>42</v>
      </c>
      <c r="B16" s="31">
        <v>200000</v>
      </c>
      <c r="C16" s="31">
        <v>200000</v>
      </c>
      <c r="D16" s="31">
        <v>200000</v>
      </c>
      <c r="E16" s="31">
        <v>200000</v>
      </c>
      <c r="F16" s="31">
        <v>200000</v>
      </c>
      <c r="G16" s="23">
        <f>SUM(B16:F16)</f>
        <v>1000000</v>
      </c>
      <c r="H16" s="13"/>
      <c r="I16" s="13"/>
      <c r="J16" s="13"/>
      <c r="K16" s="13"/>
      <c r="L16" s="13"/>
    </row>
    <row r="17" spans="1:12" ht="15.75" x14ac:dyDescent="0.25">
      <c r="A17" s="1" t="s">
        <v>43</v>
      </c>
      <c r="B17" s="31">
        <f>SUM(B15:B16)</f>
        <v>12274244</v>
      </c>
      <c r="C17" s="31">
        <f t="shared" ref="C17:F17" si="6">SUM(C15:C16)</f>
        <v>8443164</v>
      </c>
      <c r="D17" s="31">
        <f t="shared" si="6"/>
        <v>9292713</v>
      </c>
      <c r="E17" s="31">
        <f t="shared" si="6"/>
        <v>8006240</v>
      </c>
      <c r="F17" s="31">
        <f t="shared" si="6"/>
        <v>7734802</v>
      </c>
      <c r="G17" s="23">
        <f>G15+G16</f>
        <v>45751163</v>
      </c>
      <c r="H17" s="13"/>
      <c r="I17" s="13"/>
      <c r="J17" s="13"/>
      <c r="K17" s="13"/>
      <c r="L17" s="13"/>
    </row>
    <row r="18" spans="1:12" ht="15.75" x14ac:dyDescent="0.25">
      <c r="A18" s="13"/>
      <c r="B18" s="13"/>
      <c r="C18" s="13"/>
      <c r="D18" s="13"/>
      <c r="E18" s="13"/>
      <c r="F18" s="7" t="s">
        <v>13</v>
      </c>
      <c r="G18" s="32">
        <f>G17/G6</f>
        <v>29.989662623961404</v>
      </c>
      <c r="H18" s="32"/>
      <c r="I18" s="32">
        <f>G17/I6</f>
        <v>15.689976249390167</v>
      </c>
      <c r="J18" s="32"/>
      <c r="K18" s="32">
        <f>G17/K6</f>
        <v>10.459984166260112</v>
      </c>
      <c r="L18" s="32">
        <f>G17/L6</f>
        <v>6.2759904997560669</v>
      </c>
    </row>
    <row r="19" spans="1:12" x14ac:dyDescent="0.25">
      <c r="A19" s="1"/>
      <c r="B19" s="1"/>
      <c r="C19" s="1"/>
      <c r="D19" s="1"/>
      <c r="E19" s="1"/>
      <c r="F19" s="1"/>
      <c r="G19" s="5" t="s">
        <v>11</v>
      </c>
      <c r="H19" s="3"/>
      <c r="I19" s="5" t="s">
        <v>11</v>
      </c>
      <c r="J19" s="4"/>
      <c r="K19" s="5" t="s">
        <v>11</v>
      </c>
      <c r="L19" s="5" t="s">
        <v>11</v>
      </c>
    </row>
    <row r="20" spans="1:12" ht="15.75" x14ac:dyDescent="0.25">
      <c r="A20" s="1"/>
      <c r="B20" s="6">
        <v>2025</v>
      </c>
      <c r="C20" s="7">
        <v>2026</v>
      </c>
      <c r="D20" s="7">
        <v>2027</v>
      </c>
      <c r="E20" s="7">
        <v>2028</v>
      </c>
      <c r="F20" s="7">
        <v>2029</v>
      </c>
      <c r="G20" s="6" t="s">
        <v>33</v>
      </c>
      <c r="H20" s="6" t="s">
        <v>34</v>
      </c>
      <c r="I20" s="6" t="s">
        <v>35</v>
      </c>
      <c r="J20" s="6" t="s">
        <v>12</v>
      </c>
      <c r="K20" s="6" t="s">
        <v>36</v>
      </c>
      <c r="L20" s="6" t="s">
        <v>37</v>
      </c>
    </row>
    <row r="21" spans="1:12" ht="15.75" x14ac:dyDescent="0.25">
      <c r="A21" s="14" t="s">
        <v>21</v>
      </c>
      <c r="B21" s="13"/>
      <c r="C21" s="13"/>
      <c r="D21" s="13"/>
      <c r="E21" s="13"/>
      <c r="F21" s="13"/>
      <c r="G21" s="13"/>
      <c r="H21" s="13"/>
      <c r="I21" s="13"/>
      <c r="J21" s="13"/>
      <c r="K21" s="13"/>
      <c r="L21" s="13"/>
    </row>
    <row r="22" spans="1:12" ht="15.75" x14ac:dyDescent="0.25">
      <c r="A22" s="1" t="s">
        <v>14</v>
      </c>
      <c r="B22" s="17">
        <f>+B23</f>
        <v>134229.33333333334</v>
      </c>
      <c r="C22" s="9">
        <f t="shared" ref="C22:F22" si="7">+C23+B22</f>
        <v>200883.04761904763</v>
      </c>
      <c r="D22" s="17">
        <f t="shared" si="7"/>
        <v>248637.71428571429</v>
      </c>
      <c r="E22" s="9">
        <f t="shared" si="7"/>
        <v>288464</v>
      </c>
      <c r="F22" s="17">
        <f t="shared" si="7"/>
        <v>307086.47619047621</v>
      </c>
      <c r="G22" s="21">
        <f>+B22+C22+D22+E22+F22</f>
        <v>1179300.5714285714</v>
      </c>
      <c r="H22" s="22">
        <f>(+F22*5)*0.7</f>
        <v>1074802.6666666667</v>
      </c>
      <c r="I22" s="25">
        <f>+H22+G22</f>
        <v>2254103.2380952379</v>
      </c>
      <c r="J22" s="26"/>
      <c r="K22" s="25">
        <f>+(H22*0.5)*3</f>
        <v>1612204</v>
      </c>
      <c r="L22" s="25">
        <f>+I22+K22</f>
        <v>3866307.2380952379</v>
      </c>
    </row>
    <row r="23" spans="1:12" ht="15.75" x14ac:dyDescent="0.25">
      <c r="A23" s="1" t="s">
        <v>15</v>
      </c>
      <c r="B23" s="17">
        <f>(+B28*B11)</f>
        <v>134229.33333333334</v>
      </c>
      <c r="C23" s="9">
        <f>(+C28*C11)</f>
        <v>66653.714285714275</v>
      </c>
      <c r="D23" s="17">
        <f>(+D28*D11)</f>
        <v>47754.666666666664</v>
      </c>
      <c r="E23" s="9">
        <f>(+E28*E11)</f>
        <v>39826.285714285717</v>
      </c>
      <c r="F23" s="17">
        <f>(+F28*F11)</f>
        <v>18622.476190476191</v>
      </c>
      <c r="G23" s="13" t="s">
        <v>2</v>
      </c>
      <c r="H23" s="13"/>
      <c r="I23" s="13"/>
      <c r="J23" s="13"/>
      <c r="K23" s="13"/>
      <c r="L23" s="13"/>
    </row>
    <row r="24" spans="1:12" ht="15.75" x14ac:dyDescent="0.25">
      <c r="A24" s="20" t="s">
        <v>18</v>
      </c>
      <c r="B24" s="13"/>
      <c r="C24" s="13"/>
      <c r="D24" s="13"/>
      <c r="E24" s="13"/>
      <c r="F24" s="13"/>
      <c r="G24" s="13"/>
      <c r="H24" s="13"/>
      <c r="I24" s="13"/>
      <c r="J24" s="13"/>
      <c r="K24" s="13"/>
      <c r="L24" s="13"/>
    </row>
    <row r="25" spans="1:12" ht="15.75" x14ac:dyDescent="0.25">
      <c r="A25" s="15" t="s">
        <v>22</v>
      </c>
      <c r="B25" s="17">
        <f>+B8/30</f>
        <v>266.66666666666669</v>
      </c>
      <c r="C25" s="19">
        <f>+C8/30</f>
        <v>200</v>
      </c>
      <c r="D25" s="17">
        <f>+D8/30</f>
        <v>133.33333333333334</v>
      </c>
      <c r="E25" s="19">
        <f>+E8/30</f>
        <v>133.33333333333334</v>
      </c>
      <c r="F25" s="17">
        <f>+F8/30</f>
        <v>66.666666666666671</v>
      </c>
      <c r="G25" s="21">
        <f t="shared" ref="G25:G27" si="8">+B25+C25+D25+E25+F25</f>
        <v>800</v>
      </c>
      <c r="H25" s="13"/>
      <c r="I25" s="13"/>
      <c r="J25" s="13"/>
      <c r="K25" s="13"/>
      <c r="L25" s="13"/>
    </row>
    <row r="26" spans="1:12" ht="15.75" x14ac:dyDescent="0.25">
      <c r="A26" s="15" t="s">
        <v>23</v>
      </c>
      <c r="B26" s="17">
        <f>+B8/210</f>
        <v>38.095238095238095</v>
      </c>
      <c r="C26" s="19">
        <f>+C8/210</f>
        <v>28.571428571428573</v>
      </c>
      <c r="D26" s="17">
        <f>+D8/210</f>
        <v>19.047619047619047</v>
      </c>
      <c r="E26" s="19">
        <f>+E8/210</f>
        <v>19.047619047619047</v>
      </c>
      <c r="F26" s="17">
        <f>+F8/210</f>
        <v>9.5238095238095237</v>
      </c>
      <c r="G26" s="21">
        <f t="shared" si="8"/>
        <v>114.28571428571429</v>
      </c>
      <c r="H26" s="13"/>
      <c r="I26" s="13"/>
      <c r="J26" s="13"/>
      <c r="K26" s="13"/>
      <c r="L26" s="13"/>
    </row>
    <row r="27" spans="1:12" ht="15.75" x14ac:dyDescent="0.25">
      <c r="A27" s="15" t="s">
        <v>24</v>
      </c>
      <c r="B27" s="17">
        <f>+B8/125</f>
        <v>64</v>
      </c>
      <c r="C27" s="19">
        <f>+C8/125</f>
        <v>48</v>
      </c>
      <c r="D27" s="17">
        <f>+D8/125</f>
        <v>32</v>
      </c>
      <c r="E27" s="19">
        <f>+E8/125</f>
        <v>32</v>
      </c>
      <c r="F27" s="17">
        <f>+F8/125</f>
        <v>16</v>
      </c>
      <c r="G27" s="21">
        <f t="shared" si="8"/>
        <v>192</v>
      </c>
      <c r="H27" s="13"/>
      <c r="I27" s="13"/>
      <c r="J27" s="13"/>
      <c r="K27" s="13"/>
      <c r="L27" s="13"/>
    </row>
    <row r="28" spans="1:12" ht="15.75" x14ac:dyDescent="0.25">
      <c r="A28" s="15" t="s">
        <v>17</v>
      </c>
      <c r="B28" s="17">
        <f>+B25+B26+B27</f>
        <v>368.76190476190476</v>
      </c>
      <c r="C28" s="19">
        <f t="shared" ref="C28:F28" si="9">+C25+C26+C27</f>
        <v>276.57142857142856</v>
      </c>
      <c r="D28" s="17">
        <f t="shared" si="9"/>
        <v>184.38095238095238</v>
      </c>
      <c r="E28" s="19">
        <f t="shared" si="9"/>
        <v>184.38095238095238</v>
      </c>
      <c r="F28" s="17">
        <f t="shared" si="9"/>
        <v>92.19047619047619</v>
      </c>
      <c r="G28" s="21">
        <f>+B28+C28+D28+E28+F28</f>
        <v>1106.2857142857142</v>
      </c>
      <c r="H28" s="13"/>
      <c r="I28" s="13"/>
      <c r="J28" s="13"/>
      <c r="K28" s="13"/>
      <c r="L28" s="13"/>
    </row>
    <row r="29" spans="1:12" ht="15.75" x14ac:dyDescent="0.25">
      <c r="A29" s="29" t="s">
        <v>39</v>
      </c>
      <c r="B29" s="30">
        <f>B6+B22</f>
        <v>307870.81481481483</v>
      </c>
      <c r="C29" s="30">
        <f>C6+C22</f>
        <v>460748.97354497359</v>
      </c>
      <c r="D29" s="30">
        <f>D6+D22</f>
        <v>570279.93650793657</v>
      </c>
      <c r="E29" s="30">
        <f>E6+E22</f>
        <v>661626.22222222225</v>
      </c>
      <c r="F29" s="30">
        <f>F6+F22</f>
        <v>704339.0687830688</v>
      </c>
      <c r="G29" s="21">
        <f>I29-H29</f>
        <v>2704865.0158730159</v>
      </c>
      <c r="H29" s="21">
        <f>+H6+H22</f>
        <v>2465186.7407407407</v>
      </c>
      <c r="I29" s="21">
        <f>+I6+I22</f>
        <v>5170051.7566137565</v>
      </c>
      <c r="J29" s="27"/>
      <c r="K29" s="21">
        <f>+K6+K22</f>
        <v>5986126.777777778</v>
      </c>
      <c r="L29" s="25">
        <f>+I29+K29</f>
        <v>11156178.534391534</v>
      </c>
    </row>
    <row r="30" spans="1:12" ht="15.75" x14ac:dyDescent="0.25">
      <c r="A30" s="1"/>
      <c r="B30" s="8"/>
      <c r="C30" s="8"/>
      <c r="D30" s="8"/>
      <c r="E30" s="8"/>
      <c r="F30" s="7" t="s">
        <v>13</v>
      </c>
      <c r="G30" s="23">
        <f>J6/G29</f>
        <v>16.544693630693516</v>
      </c>
      <c r="H30" s="7"/>
      <c r="I30" s="7"/>
      <c r="J30" s="32">
        <f>+J6/(I22+I6)</f>
        <v>8.6558442945474106</v>
      </c>
      <c r="K30" s="12" t="s">
        <v>2</v>
      </c>
      <c r="L30" s="32">
        <f>J6/L29</f>
        <v>4.011334424421773</v>
      </c>
    </row>
    <row r="31" spans="1:12" x14ac:dyDescent="0.25">
      <c r="A31" t="s">
        <v>0</v>
      </c>
    </row>
    <row r="32" spans="1:12" x14ac:dyDescent="0.25">
      <c r="A32" t="s">
        <v>44</v>
      </c>
    </row>
    <row r="33" spans="1:1" x14ac:dyDescent="0.25">
      <c r="A33" t="s">
        <v>45</v>
      </c>
    </row>
    <row r="34" spans="1:1" x14ac:dyDescent="0.25">
      <c r="A34" t="s">
        <v>10</v>
      </c>
    </row>
    <row r="35" spans="1:1" x14ac:dyDescent="0.25">
      <c r="A35" t="s">
        <v>46</v>
      </c>
    </row>
    <row r="36" spans="1:1" x14ac:dyDescent="0.25">
      <c r="A36" t="s">
        <v>25</v>
      </c>
    </row>
    <row r="37" spans="1:1" x14ac:dyDescent="0.25">
      <c r="A37" t="s">
        <v>26</v>
      </c>
    </row>
    <row r="38" spans="1:1" x14ac:dyDescent="0.25">
      <c r="A38" t="s">
        <v>27</v>
      </c>
    </row>
    <row r="39" spans="1:1" s="16" customFormat="1" x14ac:dyDescent="0.25">
      <c r="A39" s="16" t="s">
        <v>28</v>
      </c>
    </row>
    <row r="40" spans="1:1" s="16" customFormat="1" x14ac:dyDescent="0.25">
      <c r="A40" s="16" t="s">
        <v>29</v>
      </c>
    </row>
    <row r="41" spans="1:1" s="16" customFormat="1" x14ac:dyDescent="0.25">
      <c r="A41" s="16" t="s">
        <v>30</v>
      </c>
    </row>
    <row r="42" spans="1:1" s="16" customFormat="1" x14ac:dyDescent="0.25">
      <c r="A42" s="16" t="s">
        <v>31</v>
      </c>
    </row>
    <row r="43" spans="1:1" s="16" customFormat="1" x14ac:dyDescent="0.25">
      <c r="A43" s="16" t="s">
        <v>19</v>
      </c>
    </row>
    <row r="44" spans="1:1" x14ac:dyDescent="0.25">
      <c r="A44" t="s">
        <v>32</v>
      </c>
    </row>
    <row r="45" spans="1:1" x14ac:dyDescent="0.25">
      <c r="A45" t="s">
        <v>16</v>
      </c>
    </row>
  </sheetData>
  <pageMargins left="0.7" right="0.7" top="0.75" bottom="0.75" header="0.3" footer="0.3"/>
  <pageSetup scale="51" orientation="landscape"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GHG Reduction Spreadsheet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Evers</dc:creator>
  <cp:lastModifiedBy>Hagan, Anthony</cp:lastModifiedBy>
  <cp:lastPrinted>2024-03-30T12:53:18Z</cp:lastPrinted>
  <dcterms:created xsi:type="dcterms:W3CDTF">2024-01-31T12:17:57Z</dcterms:created>
  <dcterms:modified xsi:type="dcterms:W3CDTF">2024-04-01T17:14:22Z</dcterms:modified>
</cp:coreProperties>
</file>