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codeName="ThisWorkbook" defaultThemeVersion="166925"/>
  <xr:revisionPtr revIDLastSave="0" documentId="13_ncr:1_{70645F79-D056-456F-BD6B-CB74E3609EA4}" xr6:coauthVersionLast="47" xr6:coauthVersionMax="47" xr10:uidLastSave="{00000000-0000-0000-0000-000000000000}"/>
  <bookViews>
    <workbookView xWindow="28680" yWindow="-120" windowWidth="29040" windowHeight="15840" tabRatio="979" firstSheet="1" activeTab="1" xr2:uid="{AAC398A2-E95D-4231-A920-55B8B1C73F3F}"/>
  </bookViews>
  <sheets>
    <sheet name="Consolidated Budget" sheetId="30" r:id="rId1"/>
    <sheet name="Measure 1 Budget" sheetId="16" r:id="rId2"/>
  </sheets>
  <definedNames>
    <definedName name="_xlnm._FilterDatabase" localSheetId="0" hidden="1">'Consolidated Budget'!#REF!</definedName>
    <definedName name="_xlnm._FilterDatabase" localSheetId="1" hidden="1">'Measure 1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6" l="1"/>
  <c r="H16" i="16"/>
  <c r="E13" i="16"/>
  <c r="F13" i="16" s="1"/>
  <c r="G13" i="16" s="1"/>
  <c r="H13" i="16" s="1"/>
  <c r="E12" i="16"/>
  <c r="F12" i="16" s="1"/>
  <c r="G12" i="16" s="1"/>
  <c r="H12" i="16" s="1"/>
  <c r="E11" i="16"/>
  <c r="F11" i="16" s="1"/>
  <c r="G11" i="16" s="1"/>
  <c r="H11" i="16" s="1"/>
  <c r="E10" i="16"/>
  <c r="F10" i="16" s="1"/>
  <c r="G10" i="16" s="1"/>
  <c r="H10" i="16" s="1"/>
  <c r="E9" i="16"/>
  <c r="F9" i="16" s="1"/>
  <c r="G9" i="16" s="1"/>
  <c r="H9" i="16" s="1"/>
  <c r="E8" i="16"/>
  <c r="F8" i="16" s="1"/>
  <c r="G8" i="16" s="1"/>
  <c r="H8" i="16" s="1"/>
  <c r="H7" i="16"/>
  <c r="G7" i="16"/>
  <c r="F7" i="16"/>
  <c r="E7" i="16"/>
  <c r="D37" i="16"/>
  <c r="E37" i="16"/>
  <c r="F37" i="16"/>
  <c r="G37" i="16"/>
  <c r="H37" i="16"/>
  <c r="J26" i="16" l="1"/>
  <c r="D7" i="16"/>
  <c r="D8" i="16"/>
  <c r="E22" i="16"/>
  <c r="F22" i="16"/>
  <c r="G22" i="16"/>
  <c r="H22" i="16"/>
  <c r="E21" i="16"/>
  <c r="F21" i="16"/>
  <c r="G21" i="16"/>
  <c r="H21" i="16"/>
  <c r="D21" i="16"/>
  <c r="D22" i="16"/>
  <c r="D26" i="16" s="1"/>
  <c r="E10" i="30"/>
  <c r="F10" i="30"/>
  <c r="G10" i="30"/>
  <c r="H10" i="30"/>
  <c r="D10" i="30"/>
  <c r="E9" i="30"/>
  <c r="F9" i="30"/>
  <c r="G9" i="30"/>
  <c r="H9" i="30"/>
  <c r="D9" i="30"/>
  <c r="J35" i="16"/>
  <c r="D35" i="16"/>
  <c r="D14" i="16" l="1"/>
  <c r="D8" i="30"/>
  <c r="D13" i="16"/>
  <c r="D12" i="16"/>
  <c r="D9" i="16"/>
  <c r="D11" i="16"/>
  <c r="H34" i="16"/>
  <c r="G34" i="16"/>
  <c r="F34" i="16"/>
  <c r="E34" i="16"/>
  <c r="D34" i="16"/>
  <c r="H33" i="16"/>
  <c r="G33" i="16"/>
  <c r="F33" i="16"/>
  <c r="E33" i="16"/>
  <c r="D33" i="16"/>
  <c r="H32" i="16"/>
  <c r="G32" i="16"/>
  <c r="F32" i="16"/>
  <c r="E32" i="16"/>
  <c r="D32" i="16"/>
  <c r="D6" i="30" l="1"/>
  <c r="D42" i="16"/>
  <c r="D16" i="16"/>
  <c r="E25" i="16"/>
  <c r="F25" i="16"/>
  <c r="G25" i="16"/>
  <c r="H25" i="16"/>
  <c r="D25" i="16"/>
  <c r="J29" i="16"/>
  <c r="E24" i="16"/>
  <c r="F24" i="16"/>
  <c r="G24" i="16"/>
  <c r="H24" i="16"/>
  <c r="D24" i="16"/>
  <c r="E20" i="16"/>
  <c r="F20" i="16"/>
  <c r="G20" i="16"/>
  <c r="H20" i="16"/>
  <c r="D20" i="16"/>
  <c r="E38" i="16"/>
  <c r="E11" i="30" s="1"/>
  <c r="F38" i="16"/>
  <c r="F11" i="30" s="1"/>
  <c r="G38" i="16"/>
  <c r="G11" i="30" s="1"/>
  <c r="H38" i="16"/>
  <c r="H11" i="30" s="1"/>
  <c r="D38" i="16"/>
  <c r="D28" i="16"/>
  <c r="J28" i="16" s="1"/>
  <c r="J23" i="16"/>
  <c r="E30" i="16"/>
  <c r="F30" i="16"/>
  <c r="G30" i="16"/>
  <c r="H30" i="16"/>
  <c r="J38" i="16" l="1"/>
  <c r="D11" i="30"/>
  <c r="H14" i="16"/>
  <c r="J25" i="16"/>
  <c r="J34" i="16"/>
  <c r="J33" i="16"/>
  <c r="J24" i="16"/>
  <c r="D30" i="16"/>
  <c r="F26" i="16"/>
  <c r="F8" i="30" s="1"/>
  <c r="E35" i="16"/>
  <c r="H35" i="16"/>
  <c r="H26" i="16"/>
  <c r="H8" i="30" s="1"/>
  <c r="G35" i="16"/>
  <c r="G26" i="16"/>
  <c r="G8" i="30" s="1"/>
  <c r="J22" i="16"/>
  <c r="E26" i="16"/>
  <c r="E8" i="30" s="1"/>
  <c r="J21" i="16"/>
  <c r="J20" i="16"/>
  <c r="F35" i="16"/>
  <c r="J37" i="16"/>
  <c r="J11" i="16"/>
  <c r="J13" i="16"/>
  <c r="J8" i="16"/>
  <c r="J9" i="16"/>
  <c r="J12" i="16"/>
  <c r="J10" i="16"/>
  <c r="E14" i="16"/>
  <c r="J30" i="16"/>
  <c r="E6" i="30" l="1"/>
  <c r="E42" i="16"/>
  <c r="E43" i="16" s="1"/>
  <c r="E14" i="30" s="1"/>
  <c r="E16" i="16"/>
  <c r="H17" i="16"/>
  <c r="H7" i="30" s="1"/>
  <c r="H43" i="16"/>
  <c r="H14" i="30" s="1"/>
  <c r="J7" i="16"/>
  <c r="J14" i="16" s="1"/>
  <c r="G14" i="16"/>
  <c r="F14" i="16"/>
  <c r="H6" i="30"/>
  <c r="D17" i="16"/>
  <c r="J9" i="30"/>
  <c r="J11" i="30"/>
  <c r="G6" i="30" l="1"/>
  <c r="G16" i="16"/>
  <c r="G17" i="16" s="1"/>
  <c r="G7" i="30" s="1"/>
  <c r="G42" i="16"/>
  <c r="G43" i="16" s="1"/>
  <c r="G14" i="30" s="1"/>
  <c r="F6" i="30"/>
  <c r="F42" i="16"/>
  <c r="F16" i="16"/>
  <c r="F17" i="16" s="1"/>
  <c r="F7" i="30" s="1"/>
  <c r="F43" i="16"/>
  <c r="F14" i="30" s="1"/>
  <c r="E17" i="16"/>
  <c r="E7" i="30" s="1"/>
  <c r="D7" i="30"/>
  <c r="D39" i="16"/>
  <c r="D12" i="30" s="1"/>
  <c r="H39" i="16"/>
  <c r="H12" i="30" s="1"/>
  <c r="H16" i="30" s="1"/>
  <c r="J8" i="30"/>
  <c r="D43" i="16"/>
  <c r="J6" i="30" l="1"/>
  <c r="J42" i="16"/>
  <c r="J43" i="16" s="1"/>
  <c r="F39" i="16"/>
  <c r="F45" i="16" s="1"/>
  <c r="G39" i="16"/>
  <c r="G12" i="30" s="1"/>
  <c r="G16" i="30" s="1"/>
  <c r="J16" i="16"/>
  <c r="J17" i="16" s="1"/>
  <c r="J7" i="30"/>
  <c r="E39" i="16"/>
  <c r="E45" i="16" s="1"/>
  <c r="D14" i="30"/>
  <c r="J14" i="30" s="1"/>
  <c r="D45" i="16"/>
  <c r="H45" i="16"/>
  <c r="G45" i="16" l="1"/>
  <c r="E12" i="30"/>
  <c r="E16" i="30" s="1"/>
  <c r="F12" i="30"/>
  <c r="F16" i="30" s="1"/>
  <c r="J39" i="16"/>
  <c r="J45" i="16" s="1"/>
  <c r="J10" i="30" l="1"/>
  <c r="D16" i="30" l="1"/>
  <c r="J12" i="30"/>
  <c r="J16" i="30" s="1"/>
</calcChain>
</file>

<file path=xl/sharedStrings.xml><?xml version="1.0" encoding="utf-8"?>
<sst xmlns="http://schemas.openxmlformats.org/spreadsheetml/2006/main" count="86" uniqueCount="51">
  <si>
    <t>Consolidated Budget Table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</si>
  <si>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</si>
  <si>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</si>
  <si>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</si>
  <si>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</si>
  <si>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</si>
  <si>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</si>
  <si>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</si>
  <si>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</si>
  <si>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</si>
  <si>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</si>
  <si>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</si>
  <si>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</si>
  <si>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</si>
  <si>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</si>
  <si>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</si>
  <si>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</si>
  <si>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</si>
  <si>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</si>
  <si>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</si>
  <si>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</si>
  <si>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Detailed Budget Table</t>
  </si>
  <si>
    <t>Personnel</t>
  </si>
  <si>
    <t> </t>
  </si>
  <si>
    <t>Program Director @ $139,800/yr., 1 FTE, with 5% annual salary increase</t>
  </si>
  <si>
    <t>IT Manager @ $113,250/yr., 1 FTE, with 5% annual salary increase</t>
  </si>
  <si>
    <t>Finance Manager @ $106,890/yr., 1 FTE, with 5% annual salary increase</t>
  </si>
  <si>
    <t>Program Manager @ $101,690/yr., 3 FTE, with 5% annual salary increase</t>
  </si>
  <si>
    <t>Analyst @ $88,440/yr., 1 FTE, with 5% annual salary increase</t>
  </si>
  <si>
    <t>Engagement Coordinator @ $85,720/yr., 1 FTE, with 5% annual salary increase</t>
  </si>
  <si>
    <t>Administrative Assistant @ $65,540/yr., 2 FTE, with 5% annual salary increase</t>
  </si>
  <si>
    <t xml:space="preserve"> Fringe Benefits </t>
  </si>
  <si>
    <t>Full-time Employees @ 42.49% of salary</t>
  </si>
  <si>
    <t xml:space="preserve"> Travel </t>
  </si>
  <si>
    <t>Travel for Program Director to attend conferences and events:</t>
  </si>
  <si>
    <t>Airfare - $400 roundtrip @ 2 roundtrip per year</t>
  </si>
  <si>
    <t>Hotel - $225 per day @ 4 days per year</t>
  </si>
  <si>
    <t>Per Diem - $79 per day @ 4 days per year</t>
  </si>
  <si>
    <t>Taxi - $45 per year</t>
  </si>
  <si>
    <t>Parking - $20 per day @ 4 days per year</t>
  </si>
  <si>
    <t>Mileage for local travel (2,800 miles per year at $0.67/mi)</t>
  </si>
  <si>
    <t xml:space="preserve"> Supplies </t>
  </si>
  <si>
    <t xml:space="preserve">10 Laptop Computer @ $2,500 each </t>
  </si>
  <si>
    <t xml:space="preserve"> Contractual </t>
  </si>
  <si>
    <t>Contractors to conduct concierge responsibilities and home upgrades (includes staff and internal costs only).</t>
  </si>
  <si>
    <t>Contract for 17,402 home weatherization projects. Assumes average cost of $16,550/project.</t>
  </si>
  <si>
    <t>Contract for 3,442 whole-home weatherization and efficiency retrofit projects. Assumes average cost of $32,541/project.</t>
  </si>
  <si>
    <t>OTHER</t>
  </si>
  <si>
    <t>Leases for commercial space to host 1 primary hub location and 5 satellite hubs throughout communities. Assumes $35/sf per year, including utilities.</t>
  </si>
  <si>
    <t>Indirect Costs</t>
  </si>
  <si>
    <t>Clark County Negotiated Rate of 29.95%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</si>
</sst>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3" fillId="0" borderId="0" xfId="0" applyFont="1"/>
    <xf numFmtId="0" fontId="0" fillId="0" borderId="0" xfId="0" applyAlignment="1">
      <alignment vertical="top"/>
    </xf>
    <xf numFmtId="0" fontId="5" fillId="0" borderId="0" xfId="0" applyFont="1"/>
    <xf numFmtId="0" fontId="5" fillId="0" borderId="1" xfId="0" applyFont="1" applyBorder="1"/>
    <xf numFmtId="0" fontId="5" fillId="4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0" fillId="0" borderId="1" xfId="0" applyBorder="1"/>
    <xf numFmtId="0" fontId="7" fillId="0" borderId="8" xfId="0" applyFont="1" applyBorder="1" applyAlignment="1">
      <alignment wrapText="1"/>
    </xf>
    <xf numFmtId="0" fontId="2" fillId="0" borderId="2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0" xfId="0" applyFont="1"/>
    <xf numFmtId="0" fontId="8" fillId="5" borderId="7" xfId="0" applyFont="1" applyFill="1" applyBorder="1"/>
    <xf numFmtId="0" fontId="1" fillId="5" borderId="6" xfId="0" applyFont="1" applyFill="1" applyBorder="1" applyAlignment="1">
      <alignment wrapText="1"/>
    </xf>
    <xf numFmtId="0" fontId="1" fillId="5" borderId="5" xfId="0" applyFont="1" applyFill="1" applyBorder="1" applyAlignment="1">
      <alignment wrapText="1"/>
    </xf>
    <xf numFmtId="0" fontId="7" fillId="6" borderId="10" xfId="0" applyFont="1" applyFill="1" applyBorder="1" applyAlignment="1">
      <alignment wrapText="1"/>
    </xf>
    <xf numFmtId="0" fontId="7" fillId="6" borderId="11" xfId="0" applyFont="1" applyFill="1" applyBorder="1" applyAlignment="1">
      <alignment wrapText="1"/>
    </xf>
    <xf numFmtId="0" fontId="7" fillId="6" borderId="12" xfId="0" applyFont="1" applyFill="1" applyBorder="1" applyAlignment="1">
      <alignment wrapText="1"/>
    </xf>
    <xf numFmtId="0" fontId="7" fillId="6" borderId="6" xfId="0" applyFont="1" applyFill="1" applyBorder="1" applyAlignment="1">
      <alignment wrapText="1"/>
    </xf>
    <xf numFmtId="0" fontId="7" fillId="6" borderId="3" xfId="0" applyFont="1" applyFill="1" applyBorder="1"/>
    <xf numFmtId="0" fontId="8" fillId="2" borderId="7" xfId="0" applyFont="1" applyFill="1" applyBorder="1"/>
    <xf numFmtId="0" fontId="1" fillId="2" borderId="6" xfId="0" applyFont="1" applyFill="1" applyBorder="1" applyAlignment="1">
      <alignment wrapText="1"/>
    </xf>
    <xf numFmtId="0" fontId="7" fillId="3" borderId="10" xfId="0" applyFont="1" applyFill="1" applyBorder="1" applyAlignment="1">
      <alignment wrapText="1"/>
    </xf>
    <xf numFmtId="0" fontId="7" fillId="3" borderId="11" xfId="0" applyFont="1" applyFill="1" applyBorder="1" applyAlignment="1">
      <alignment wrapText="1"/>
    </xf>
    <xf numFmtId="0" fontId="7" fillId="3" borderId="12" xfId="0" applyFont="1" applyFill="1" applyBorder="1" applyAlignment="1">
      <alignment wrapText="1"/>
    </xf>
    <xf numFmtId="0" fontId="7" fillId="3" borderId="6" xfId="0" applyFont="1" applyFill="1" applyBorder="1" applyAlignment="1">
      <alignment wrapText="1"/>
    </xf>
    <xf numFmtId="0" fontId="5" fillId="7" borderId="1" xfId="0" applyFont="1" applyFill="1" applyBorder="1" applyAlignment="1">
      <alignment wrapText="1"/>
    </xf>
    <xf numFmtId="0" fontId="5" fillId="8" borderId="0" xfId="0" applyFont="1" applyFill="1"/>
    <xf numFmtId="0" fontId="0" fillId="0" borderId="0" xfId="0" applyAlignment="1">
      <alignment wrapText="1"/>
    </xf>
    <xf numFmtId="0" fontId="7" fillId="0" borderId="14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7" fillId="3" borderId="1" xfId="0" applyFont="1" applyFill="1" applyBorder="1"/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 indent="2"/>
    </xf>
    <xf numFmtId="0" fontId="0" fillId="0" borderId="1" xfId="0" applyBorder="1" applyAlignment="1">
      <alignment horizontal="left" vertical="top" wrapText="1" indent="1"/>
    </xf>
    <xf numFmtId="0" fontId="10" fillId="0" borderId="1" xfId="0" applyFont="1" applyBorder="1" applyAlignment="1">
      <alignment horizontal="left" vertical="top" wrapText="1" indent="1"/>
    </xf>
    <xf numFmtId="0" fontId="10" fillId="0" borderId="1" xfId="0" applyFont="1" applyBorder="1" applyAlignment="1">
      <alignment horizontal="left" wrapText="1" indent="1"/>
    </xf>
    <xf numFmtId="164" fontId="0" fillId="0" borderId="0" xfId="0" applyNumberFormat="1"/>
    <xf numFmtId="0" fontId="5" fillId="8" borderId="1" xfId="0" applyFont="1" applyFill="1" applyBorder="1" applyAlignment="1">
      <alignment horizontal="left" wrapText="1" indent="1"/>
    </xf>
    <xf numFmtId="0" fontId="5" fillId="8" borderId="1" xfId="0" applyFont="1" applyFill="1" applyBorder="1" applyAlignment="1">
      <alignment horizontal="left" vertical="top" wrapText="1" indent="1"/>
    </xf>
    <xf numFmtId="164" fontId="5" fillId="4" borderId="1" xfId="1" applyNumberFormat="1" applyFont="1" applyFill="1" applyBorder="1" applyAlignment="1">
      <alignment wrapText="1"/>
    </xf>
    <xf numFmtId="164" fontId="10" fillId="7" borderId="1" xfId="1" applyNumberFormat="1" applyFont="1" applyFill="1" applyBorder="1" applyAlignment="1">
      <alignment wrapText="1"/>
    </xf>
    <xf numFmtId="164" fontId="10" fillId="4" borderId="1" xfId="1" applyNumberFormat="1" applyFont="1" applyFill="1" applyBorder="1" applyAlignment="1">
      <alignment wrapText="1"/>
    </xf>
    <xf numFmtId="164" fontId="5" fillId="0" borderId="0" xfId="1" applyNumberFormat="1" applyFont="1"/>
    <xf numFmtId="164" fontId="7" fillId="0" borderId="13" xfId="1" applyNumberFormat="1" applyFont="1" applyBorder="1" applyAlignment="1">
      <alignment wrapText="1"/>
    </xf>
    <xf numFmtId="164" fontId="7" fillId="0" borderId="0" xfId="1" applyNumberFormat="1" applyFont="1"/>
    <xf numFmtId="164" fontId="7" fillId="0" borderId="1" xfId="1" applyNumberFormat="1" applyFont="1" applyBorder="1" applyAlignment="1">
      <alignment wrapText="1"/>
    </xf>
    <xf numFmtId="164" fontId="2" fillId="0" borderId="0" xfId="0" applyNumberFormat="1" applyFont="1"/>
    <xf numFmtId="44" fontId="5" fillId="0" borderId="1" xfId="1" applyNumberFormat="1" applyFont="1" applyBorder="1" applyAlignment="1">
      <alignment wrapText="1"/>
    </xf>
    <xf numFmtId="44" fontId="5" fillId="0" borderId="0" xfId="1" applyNumberFormat="1" applyFont="1"/>
    <xf numFmtId="44" fontId="5" fillId="0" borderId="1" xfId="1" applyNumberFormat="1" applyFont="1" applyBorder="1"/>
    <xf numFmtId="44" fontId="10" fillId="4" borderId="1" xfId="1" applyNumberFormat="1" applyFont="1" applyFill="1" applyBorder="1" applyAlignment="1">
      <alignment wrapText="1"/>
    </xf>
    <xf numFmtId="44" fontId="10" fillId="0" borderId="0" xfId="1" applyNumberFormat="1" applyFont="1"/>
    <xf numFmtId="44" fontId="6" fillId="0" borderId="1" xfId="1" applyNumberFormat="1" applyFont="1" applyBorder="1" applyAlignment="1">
      <alignment wrapText="1"/>
    </xf>
    <xf numFmtId="44" fontId="10" fillId="0" borderId="1" xfId="1" applyNumberFormat="1" applyFont="1" applyBorder="1" applyAlignment="1">
      <alignment wrapText="1"/>
    </xf>
    <xf numFmtId="44" fontId="10" fillId="8" borderId="1" xfId="1" applyNumberFormat="1" applyFont="1" applyFill="1" applyBorder="1" applyAlignment="1">
      <alignment wrapText="1"/>
    </xf>
    <xf numFmtId="44" fontId="10" fillId="8" borderId="0" xfId="1" applyNumberFormat="1" applyFont="1" applyFill="1"/>
    <xf numFmtId="44" fontId="5" fillId="8" borderId="0" xfId="1" applyNumberFormat="1" applyFont="1" applyFill="1"/>
    <xf numFmtId="44" fontId="10" fillId="9" borderId="1" xfId="1" applyNumberFormat="1" applyFont="1" applyFill="1" applyBorder="1" applyAlignment="1">
      <alignment wrapText="1"/>
    </xf>
    <xf numFmtId="44" fontId="0" fillId="0" borderId="0" xfId="1" applyNumberFormat="1" applyFont="1"/>
    <xf numFmtId="44" fontId="0" fillId="0" borderId="1" xfId="1" applyNumberFormat="1" applyFont="1" applyBorder="1"/>
    <xf numFmtId="44" fontId="5" fillId="8" borderId="1" xfId="1" applyNumberFormat="1" applyFont="1" applyFill="1" applyBorder="1" applyAlignment="1">
      <alignment wrapText="1"/>
    </xf>
    <xf numFmtId="44" fontId="11" fillId="0" borderId="9" xfId="1" applyNumberFormat="1" applyFont="1" applyBorder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E6E6E6"/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18"/>
  <sheetViews>
    <sheetView showGridLines="0" zoomScale="83" zoomScaleNormal="85" workbookViewId="0">
      <selection activeCell="H26" sqref="H26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3.85546875" style="4" customWidth="1"/>
    <col min="5" max="5" width="13.42578125" style="2" customWidth="1"/>
    <col min="6" max="7" width="16" bestFit="1" customWidth="1"/>
    <col min="8" max="8" width="16" style="2" bestFit="1" customWidth="1"/>
    <col min="9" max="9" width="3.5703125" style="5" customWidth="1"/>
    <col min="10" max="10" width="14.140625" customWidth="1"/>
    <col min="11" max="11" width="10.140625" customWidth="1"/>
  </cols>
  <sheetData>
    <row r="2" spans="2:39" ht="23.25" x14ac:dyDescent="0.35">
      <c r="B2" s="15" t="s">
        <v>0</v>
      </c>
    </row>
    <row r="3" spans="2:39" ht="15" customHeight="1" x14ac:dyDescent="0.25">
      <c r="B3" s="3"/>
    </row>
    <row r="4" spans="2:39" ht="18.75" x14ac:dyDescent="0.3">
      <c r="B4" s="24" t="s">
        <v>1</v>
      </c>
      <c r="C4" s="25"/>
      <c r="D4" s="25"/>
      <c r="E4" s="25"/>
      <c r="F4" s="25"/>
      <c r="G4" s="25"/>
      <c r="H4" s="25"/>
      <c r="I4" s="25"/>
      <c r="J4" s="35"/>
    </row>
    <row r="5" spans="2:39" ht="17.100000000000001" customHeight="1" x14ac:dyDescent="0.25">
      <c r="B5" s="26" t="s">
        <v>2</v>
      </c>
      <c r="C5" s="26" t="s">
        <v>3</v>
      </c>
      <c r="D5" s="26" t="s">
        <v>4</v>
      </c>
      <c r="E5" s="27" t="s">
        <v>5</v>
      </c>
      <c r="F5" s="27" t="s">
        <v>6</v>
      </c>
      <c r="G5" s="27" t="s">
        <v>7</v>
      </c>
      <c r="H5" s="28" t="s">
        <v>8</v>
      </c>
      <c r="I5" s="29"/>
      <c r="J5" s="36" t="s">
        <v>9</v>
      </c>
    </row>
    <row r="6" spans="2:39" s="3" customFormat="1" x14ac:dyDescent="0.25">
      <c r="B6" s="12" t="s">
        <v>10</v>
      </c>
      <c r="C6" s="30" t="s">
        <v>11</v>
      </c>
      <c r="D6" s="50">
        <f>'Measure 1 Budget'!D14</f>
        <v>970249</v>
      </c>
      <c r="E6" s="50">
        <f>'Measure 1 Budget'!E14</f>
        <v>1018762</v>
      </c>
      <c r="F6" s="50">
        <f>'Measure 1 Budget'!F14</f>
        <v>1069701</v>
      </c>
      <c r="G6" s="50">
        <f>'Measure 1 Budget'!G14</f>
        <v>1123186</v>
      </c>
      <c r="H6" s="50">
        <f>'Measure 1 Budget'!H14</f>
        <v>1179346</v>
      </c>
      <c r="I6" s="31"/>
      <c r="J6" s="50">
        <f>SUM(D6:I6)</f>
        <v>5361244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2:39" x14ac:dyDescent="0.25">
      <c r="B7" s="13"/>
      <c r="C7" s="30" t="s">
        <v>12</v>
      </c>
      <c r="D7" s="50">
        <f>'Measure 1 Budget'!D17</f>
        <v>412259</v>
      </c>
      <c r="E7" s="50">
        <f>'Measure 1 Budget'!E17</f>
        <v>432872</v>
      </c>
      <c r="F7" s="50">
        <f>'Measure 1 Budget'!F17</f>
        <v>454516</v>
      </c>
      <c r="G7" s="50">
        <f>'Measure 1 Budget'!G17</f>
        <v>477242</v>
      </c>
      <c r="H7" s="50">
        <f>'Measure 1 Budget'!H17</f>
        <v>501103</v>
      </c>
      <c r="I7" s="31"/>
      <c r="J7" s="50">
        <f t="shared" ref="J7:J12" si="0">SUM(D7:I7)</f>
        <v>2277992</v>
      </c>
    </row>
    <row r="8" spans="2:39" x14ac:dyDescent="0.25">
      <c r="B8" s="13"/>
      <c r="C8" s="30" t="s">
        <v>13</v>
      </c>
      <c r="D8" s="50">
        <f>'Measure 1 Budget'!D26</f>
        <v>4017</v>
      </c>
      <c r="E8" s="50">
        <f>'Measure 1 Budget'!E26</f>
        <v>4017</v>
      </c>
      <c r="F8" s="50">
        <f>'Measure 1 Budget'!F26</f>
        <v>4017</v>
      </c>
      <c r="G8" s="50">
        <f>'Measure 1 Budget'!G26</f>
        <v>4017</v>
      </c>
      <c r="H8" s="50">
        <f>'Measure 1 Budget'!H26</f>
        <v>4017</v>
      </c>
      <c r="I8" s="31"/>
      <c r="J8" s="50">
        <f t="shared" si="0"/>
        <v>20085</v>
      </c>
    </row>
    <row r="9" spans="2:39" x14ac:dyDescent="0.25">
      <c r="B9" s="13"/>
      <c r="C9" s="30" t="s">
        <v>14</v>
      </c>
      <c r="D9" s="50">
        <f>'Measure 1 Budget'!D30</f>
        <v>25000</v>
      </c>
      <c r="E9" s="50">
        <f>'Measure 1 Budget'!E30</f>
        <v>0</v>
      </c>
      <c r="F9" s="50">
        <f>'Measure 1 Budget'!F30</f>
        <v>0</v>
      </c>
      <c r="G9" s="50">
        <f>'Measure 1 Budget'!G30</f>
        <v>0</v>
      </c>
      <c r="H9" s="50">
        <f>'Measure 1 Budget'!H30</f>
        <v>0</v>
      </c>
      <c r="I9" s="31"/>
      <c r="J9" s="50">
        <f t="shared" si="0"/>
        <v>25000</v>
      </c>
    </row>
    <row r="10" spans="2:39" x14ac:dyDescent="0.25">
      <c r="B10" s="13"/>
      <c r="C10" s="30" t="s">
        <v>15</v>
      </c>
      <c r="D10" s="50">
        <f>'Measure 1 Budget'!D35</f>
        <v>56191104</v>
      </c>
      <c r="E10" s="50">
        <f>'Measure 1 Budget'!E35</f>
        <v>97082208</v>
      </c>
      <c r="F10" s="50">
        <f>'Measure 1 Budget'!F35</f>
        <v>118026851</v>
      </c>
      <c r="G10" s="50">
        <f>'Measure 1 Budget'!G35</f>
        <v>118926851</v>
      </c>
      <c r="H10" s="50">
        <f>'Measure 1 Budget'!H35</f>
        <v>99782208</v>
      </c>
      <c r="I10" s="31"/>
      <c r="J10" s="50">
        <f t="shared" si="0"/>
        <v>490009222</v>
      </c>
    </row>
    <row r="11" spans="2:39" x14ac:dyDescent="0.25">
      <c r="B11" s="13"/>
      <c r="C11" s="30" t="s">
        <v>16</v>
      </c>
      <c r="D11" s="50">
        <f>'Measure 1 Budget'!D38</f>
        <v>140000</v>
      </c>
      <c r="E11" s="50">
        <f>'Measure 1 Budget'!E38</f>
        <v>140000</v>
      </c>
      <c r="F11" s="50">
        <f>'Measure 1 Budget'!F38</f>
        <v>140000</v>
      </c>
      <c r="G11" s="50">
        <f>'Measure 1 Budget'!G38</f>
        <v>140000</v>
      </c>
      <c r="H11" s="50">
        <f>'Measure 1 Budget'!H38</f>
        <v>140000</v>
      </c>
      <c r="I11" s="31"/>
      <c r="J11" s="50">
        <f t="shared" si="0"/>
        <v>700000</v>
      </c>
    </row>
    <row r="12" spans="2:39" x14ac:dyDescent="0.25">
      <c r="B12" s="14"/>
      <c r="C12" s="7" t="s">
        <v>17</v>
      </c>
      <c r="D12" s="51">
        <f>'Measure 1 Budget'!D39</f>
        <v>57742629</v>
      </c>
      <c r="E12" s="51">
        <f>'Measure 1 Budget'!E39</f>
        <v>98677859</v>
      </c>
      <c r="F12" s="51">
        <f>'Measure 1 Budget'!F39</f>
        <v>119695085</v>
      </c>
      <c r="G12" s="51">
        <f>'Measure 1 Budget'!G39</f>
        <v>120671296</v>
      </c>
      <c r="H12" s="51">
        <f>'Measure 1 Budget'!H39</f>
        <v>101606674</v>
      </c>
      <c r="J12" s="51">
        <f t="shared" si="0"/>
        <v>498393543</v>
      </c>
    </row>
    <row r="13" spans="2:39" x14ac:dyDescent="0.25">
      <c r="B13" s="34"/>
      <c r="D13"/>
      <c r="E13"/>
      <c r="H13"/>
      <c r="I13"/>
      <c r="J13" s="10" t="s">
        <v>18</v>
      </c>
    </row>
    <row r="14" spans="2:39" ht="20.100000000000001" customHeight="1" x14ac:dyDescent="0.25">
      <c r="B14" s="34"/>
      <c r="C14" s="7" t="s">
        <v>19</v>
      </c>
      <c r="D14" s="49">
        <f>'Measure 1 Budget'!D43</f>
        <v>290590</v>
      </c>
      <c r="E14" s="49">
        <f>'Measure 1 Budget'!E43</f>
        <v>305119</v>
      </c>
      <c r="F14" s="49">
        <f>'Measure 1 Budget'!F43</f>
        <v>320375</v>
      </c>
      <c r="G14" s="49">
        <f>'Measure 1 Budget'!G43</f>
        <v>336394</v>
      </c>
      <c r="H14" s="49">
        <f>'Measure 1 Budget'!H43</f>
        <v>353215</v>
      </c>
      <c r="I14" s="52"/>
      <c r="J14" s="49">
        <f>SUM(D14:H14)</f>
        <v>1605693</v>
      </c>
    </row>
    <row r="15" spans="2:39" ht="15.75" thickBot="1" x14ac:dyDescent="0.3">
      <c r="B15" s="34"/>
      <c r="D15"/>
      <c r="E15"/>
      <c r="H15"/>
      <c r="I15"/>
      <c r="J15" s="10" t="s">
        <v>18</v>
      </c>
    </row>
    <row r="16" spans="2:39" ht="30.95" customHeight="1" thickBot="1" x14ac:dyDescent="0.3">
      <c r="B16" s="33" t="s">
        <v>20</v>
      </c>
      <c r="C16" s="11"/>
      <c r="D16" s="53">
        <f>D12+D14</f>
        <v>58033219</v>
      </c>
      <c r="E16" s="53">
        <f>E12+E14</f>
        <v>98982978</v>
      </c>
      <c r="F16" s="53">
        <f>F12+F14</f>
        <v>120015460</v>
      </c>
      <c r="G16" s="53">
        <f>G12+G14</f>
        <v>121007690</v>
      </c>
      <c r="H16" s="53">
        <f>H12+H14</f>
        <v>101959889</v>
      </c>
      <c r="I16" s="54"/>
      <c r="J16" s="55">
        <f>J12+J14</f>
        <v>499999236</v>
      </c>
    </row>
    <row r="17" spans="2:10" s="1" customFormat="1" x14ac:dyDescent="0.25">
      <c r="B17" s="4"/>
      <c r="C17"/>
      <c r="D17" s="4"/>
      <c r="E17" s="2"/>
      <c r="F17"/>
      <c r="G17"/>
      <c r="H17" s="2"/>
      <c r="I17" s="5"/>
      <c r="J17"/>
    </row>
    <row r="18" spans="2:10" x14ac:dyDescent="0.25">
      <c r="B18" s="4"/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L60"/>
  <sheetViews>
    <sheetView showGridLines="0" tabSelected="1" zoomScale="70" zoomScaleNormal="70" workbookViewId="0">
      <selection activeCell="H42" sqref="H42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4.42578125" style="32" customWidth="1"/>
    <col min="4" max="4" width="21" style="4" bestFit="1" customWidth="1"/>
    <col min="5" max="5" width="21.5703125" style="2" bestFit="1" customWidth="1"/>
    <col min="6" max="7" width="22.140625" bestFit="1" customWidth="1"/>
    <col min="8" max="8" width="22.140625" style="2" bestFit="1" customWidth="1"/>
    <col min="9" max="9" width="10.7109375" style="5" customWidth="1"/>
    <col min="10" max="10" width="23" bestFit="1" customWidth="1"/>
    <col min="11" max="11" width="20.28515625" customWidth="1"/>
  </cols>
  <sheetData>
    <row r="2" spans="2:38" ht="23.25" x14ac:dyDescent="0.35">
      <c r="B2" s="15" t="s">
        <v>21</v>
      </c>
    </row>
    <row r="3" spans="2:38" x14ac:dyDescent="0.25">
      <c r="B3" s="3"/>
    </row>
    <row r="4" spans="2:38" ht="18.75" x14ac:dyDescent="0.3">
      <c r="B4" s="16" t="s">
        <v>1</v>
      </c>
      <c r="C4" s="17"/>
      <c r="D4" s="17"/>
      <c r="E4" s="17"/>
      <c r="F4" s="17"/>
      <c r="G4" s="17"/>
      <c r="H4" s="17"/>
      <c r="I4" s="17"/>
      <c r="J4" s="18"/>
    </row>
    <row r="5" spans="2:38" x14ac:dyDescent="0.25">
      <c r="B5" s="19" t="s">
        <v>2</v>
      </c>
      <c r="C5" s="19" t="s">
        <v>3</v>
      </c>
      <c r="D5" s="19" t="s">
        <v>4</v>
      </c>
      <c r="E5" s="20" t="s">
        <v>5</v>
      </c>
      <c r="F5" s="20" t="s">
        <v>6</v>
      </c>
      <c r="G5" s="20" t="s">
        <v>7</v>
      </c>
      <c r="H5" s="21" t="s">
        <v>8</v>
      </c>
      <c r="I5" s="22"/>
      <c r="J5" s="23" t="s">
        <v>9</v>
      </c>
    </row>
    <row r="6" spans="2:38" s="3" customFormat="1" ht="16.5" customHeight="1" x14ac:dyDescent="0.25">
      <c r="B6" s="37" t="s">
        <v>10</v>
      </c>
      <c r="C6" s="38" t="s">
        <v>22</v>
      </c>
      <c r="D6" s="8" t="s">
        <v>23</v>
      </c>
      <c r="E6" s="8" t="s">
        <v>23</v>
      </c>
      <c r="F6" s="8" t="s">
        <v>23</v>
      </c>
      <c r="G6" s="8"/>
      <c r="H6" s="8" t="s">
        <v>23</v>
      </c>
      <c r="I6" s="5"/>
      <c r="J6" s="6" t="s">
        <v>23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</row>
    <row r="7" spans="2:38" s="3" customFormat="1" ht="30" x14ac:dyDescent="0.25">
      <c r="B7" s="40"/>
      <c r="C7" s="43" t="s">
        <v>24</v>
      </c>
      <c r="D7" s="57">
        <f>1*139800</f>
        <v>139800</v>
      </c>
      <c r="E7" s="57">
        <f>ROUND(D7*1.05,0)</f>
        <v>146790</v>
      </c>
      <c r="F7" s="57">
        <f>ROUND(E7*1.05,0)</f>
        <v>154130</v>
      </c>
      <c r="G7" s="57">
        <f>ROUND(F7*1.05,0)</f>
        <v>161837</v>
      </c>
      <c r="H7" s="57">
        <f>ROUND(G7*1.05,0)</f>
        <v>169929</v>
      </c>
      <c r="I7" s="58"/>
      <c r="J7" s="59">
        <f>SUM(D7:H7)</f>
        <v>772486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2:38" s="3" customFormat="1" ht="30" x14ac:dyDescent="0.25">
      <c r="B8" s="40"/>
      <c r="C8" s="43" t="s">
        <v>25</v>
      </c>
      <c r="D8" s="57">
        <f>1*113250</f>
        <v>113250</v>
      </c>
      <c r="E8" s="57">
        <f>ROUND(D8*1.05,0)</f>
        <v>118913</v>
      </c>
      <c r="F8" s="57">
        <f>ROUND(E8*1.05,0)</f>
        <v>124859</v>
      </c>
      <c r="G8" s="57">
        <f>ROUND(F8*1.05,0)</f>
        <v>131102</v>
      </c>
      <c r="H8" s="57">
        <f>ROUND(G8*1.05,0)</f>
        <v>137657</v>
      </c>
      <c r="I8" s="58"/>
      <c r="J8" s="59">
        <f t="shared" ref="J8:J13" si="0">SUM(D8:H8)</f>
        <v>625781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</row>
    <row r="9" spans="2:38" s="3" customFormat="1" ht="30" x14ac:dyDescent="0.25">
      <c r="B9" s="40"/>
      <c r="C9" s="44" t="s">
        <v>26</v>
      </c>
      <c r="D9" s="57">
        <f>1*106890</f>
        <v>106890</v>
      </c>
      <c r="E9" s="57">
        <f>ROUND(D9*1.05,0)</f>
        <v>112235</v>
      </c>
      <c r="F9" s="57">
        <f>ROUND(E9*1.05,0)</f>
        <v>117847</v>
      </c>
      <c r="G9" s="57">
        <f>ROUND(F9*1.05,0)</f>
        <v>123739</v>
      </c>
      <c r="H9" s="57">
        <f>ROUND(G9*1.05,0)</f>
        <v>129926</v>
      </c>
      <c r="I9" s="58"/>
      <c r="J9" s="59">
        <f t="shared" si="0"/>
        <v>590637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</row>
    <row r="10" spans="2:38" s="3" customFormat="1" ht="30" x14ac:dyDescent="0.25">
      <c r="B10" s="40"/>
      <c r="C10" s="44" t="s">
        <v>27</v>
      </c>
      <c r="D10" s="57">
        <v>305069</v>
      </c>
      <c r="E10" s="57">
        <f>ROUND(D10*1.05,0)</f>
        <v>320322</v>
      </c>
      <c r="F10" s="57">
        <f>ROUND(E10*1.05,0)</f>
        <v>336338</v>
      </c>
      <c r="G10" s="57">
        <f>ROUND(F10*1.05,0)</f>
        <v>353155</v>
      </c>
      <c r="H10" s="57">
        <f>ROUND(G10*1.05,0)</f>
        <v>370813</v>
      </c>
      <c r="I10" s="58"/>
      <c r="J10" s="59">
        <f t="shared" si="0"/>
        <v>1685697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</row>
    <row r="11" spans="2:38" s="3" customFormat="1" ht="30" x14ac:dyDescent="0.25">
      <c r="B11" s="40"/>
      <c r="C11" s="44" t="s">
        <v>28</v>
      </c>
      <c r="D11" s="57">
        <f>1*88440</f>
        <v>88440</v>
      </c>
      <c r="E11" s="57">
        <f>ROUND(D11*1.05,0)</f>
        <v>92862</v>
      </c>
      <c r="F11" s="57">
        <f>ROUND(E11*1.05,0)</f>
        <v>97505</v>
      </c>
      <c r="G11" s="57">
        <f>ROUND(F11*1.05,0)</f>
        <v>102380</v>
      </c>
      <c r="H11" s="57">
        <f>ROUND(G11*1.05,0)</f>
        <v>107499</v>
      </c>
      <c r="I11" s="58"/>
      <c r="J11" s="59">
        <f t="shared" si="0"/>
        <v>488686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</row>
    <row r="12" spans="2:38" s="3" customFormat="1" ht="30" x14ac:dyDescent="0.25">
      <c r="B12" s="40"/>
      <c r="C12" s="44" t="s">
        <v>29</v>
      </c>
      <c r="D12" s="57">
        <f>1*85720</f>
        <v>85720</v>
      </c>
      <c r="E12" s="57">
        <f>ROUND(D12*1.05,0)</f>
        <v>90006</v>
      </c>
      <c r="F12" s="57">
        <f>ROUND(E12*1.05,0)</f>
        <v>94506</v>
      </c>
      <c r="G12" s="57">
        <f>ROUND(F12*1.05,0)</f>
        <v>99231</v>
      </c>
      <c r="H12" s="57">
        <f>ROUND(G12*1.05,0)</f>
        <v>104193</v>
      </c>
      <c r="I12" s="58"/>
      <c r="J12" s="59">
        <f t="shared" si="0"/>
        <v>473656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</row>
    <row r="13" spans="2:38" s="3" customFormat="1" ht="30" x14ac:dyDescent="0.25">
      <c r="B13" s="40"/>
      <c r="C13" s="44" t="s">
        <v>30</v>
      </c>
      <c r="D13" s="57">
        <f>2*65540</f>
        <v>131080</v>
      </c>
      <c r="E13" s="57">
        <f>ROUND(D13*1.05,0)</f>
        <v>137634</v>
      </c>
      <c r="F13" s="57">
        <f>ROUND(E13*1.05,0)</f>
        <v>144516</v>
      </c>
      <c r="G13" s="57">
        <f>ROUND(F13*1.05,0)</f>
        <v>151742</v>
      </c>
      <c r="H13" s="57">
        <f>ROUND(G13*1.05,0)</f>
        <v>159329</v>
      </c>
      <c r="I13" s="58"/>
      <c r="J13" s="59">
        <f t="shared" si="0"/>
        <v>724301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</row>
    <row r="14" spans="2:38" x14ac:dyDescent="0.25">
      <c r="B14" s="13"/>
      <c r="C14" s="7" t="s">
        <v>11</v>
      </c>
      <c r="D14" s="60">
        <f>SUM(D7:D13)</f>
        <v>970249</v>
      </c>
      <c r="E14" s="60">
        <f>SUM(E7:E13)</f>
        <v>1018762</v>
      </c>
      <c r="F14" s="60">
        <f>SUM(F7:F13)</f>
        <v>1069701</v>
      </c>
      <c r="G14" s="60">
        <f>SUM(G7:G13)</f>
        <v>1123186</v>
      </c>
      <c r="H14" s="60">
        <f>SUM(H7:H13)</f>
        <v>1179346</v>
      </c>
      <c r="I14" s="61"/>
      <c r="J14" s="60">
        <f>SUM(J7:J13)</f>
        <v>5361244</v>
      </c>
    </row>
    <row r="15" spans="2:38" x14ac:dyDescent="0.25">
      <c r="B15" s="13"/>
      <c r="C15" s="9" t="s">
        <v>31</v>
      </c>
      <c r="D15" s="62" t="s">
        <v>23</v>
      </c>
      <c r="E15" s="57"/>
      <c r="F15" s="57"/>
      <c r="G15" s="57"/>
      <c r="H15" s="57"/>
      <c r="I15" s="58"/>
      <c r="J15" s="59" t="s">
        <v>23</v>
      </c>
    </row>
    <row r="16" spans="2:38" x14ac:dyDescent="0.25">
      <c r="B16" s="13"/>
      <c r="C16" s="45" t="s">
        <v>32</v>
      </c>
      <c r="D16" s="63">
        <f>ROUND(D14*0.4249,0)</f>
        <v>412259</v>
      </c>
      <c r="E16" s="63">
        <f>ROUND(E14*0.4249,0)</f>
        <v>432872</v>
      </c>
      <c r="F16" s="63">
        <f>ROUND(F14*0.4249,0)</f>
        <v>454516</v>
      </c>
      <c r="G16" s="63">
        <f>ROUND(G14*0.4249,0)</f>
        <v>477242</v>
      </c>
      <c r="H16" s="63">
        <f>ROUND(H14*0.4249,0)-1</f>
        <v>501103</v>
      </c>
      <c r="I16" s="61"/>
      <c r="J16" s="63">
        <f>SUM(D16:H16)</f>
        <v>2277992</v>
      </c>
    </row>
    <row r="17" spans="2:11" x14ac:dyDescent="0.25">
      <c r="B17" s="13"/>
      <c r="C17" s="7" t="s">
        <v>12</v>
      </c>
      <c r="D17" s="60">
        <f>SUM(D16:D16)</f>
        <v>412259</v>
      </c>
      <c r="E17" s="60">
        <f>SUM(E16:E16)</f>
        <v>432872</v>
      </c>
      <c r="F17" s="60">
        <f>SUM(F16:F16)</f>
        <v>454516</v>
      </c>
      <c r="G17" s="60">
        <f>SUM(G16:G16)</f>
        <v>477242</v>
      </c>
      <c r="H17" s="60">
        <f>SUM(H16:H16)</f>
        <v>501103</v>
      </c>
      <c r="I17" s="61"/>
      <c r="J17" s="60">
        <f>SUM(J16:J16)</f>
        <v>2277992</v>
      </c>
    </row>
    <row r="18" spans="2:11" x14ac:dyDescent="0.25">
      <c r="B18" s="13"/>
      <c r="C18" s="9" t="s">
        <v>33</v>
      </c>
      <c r="D18" s="62" t="s">
        <v>23</v>
      </c>
      <c r="E18" s="57"/>
      <c r="F18" s="57"/>
      <c r="G18" s="57"/>
      <c r="H18" s="57"/>
      <c r="I18" s="58"/>
      <c r="J18" s="59" t="s">
        <v>23</v>
      </c>
    </row>
    <row r="19" spans="2:11" ht="30" x14ac:dyDescent="0.25">
      <c r="B19" s="13"/>
      <c r="C19" s="45" t="s">
        <v>34</v>
      </c>
      <c r="D19" s="63"/>
      <c r="E19" s="63"/>
      <c r="F19" s="63"/>
      <c r="G19" s="63"/>
      <c r="H19" s="63"/>
      <c r="I19" s="61"/>
      <c r="J19" s="63"/>
    </row>
    <row r="20" spans="2:11" ht="31.5" customHeight="1" x14ac:dyDescent="0.25">
      <c r="B20" s="13"/>
      <c r="C20" s="42" t="s">
        <v>35</v>
      </c>
      <c r="D20" s="63">
        <f>400*2</f>
        <v>800</v>
      </c>
      <c r="E20" s="63">
        <f t="shared" ref="E20:H20" si="1">400*2</f>
        <v>800</v>
      </c>
      <c r="F20" s="63">
        <f t="shared" si="1"/>
        <v>800</v>
      </c>
      <c r="G20" s="63">
        <f t="shared" si="1"/>
        <v>800</v>
      </c>
      <c r="H20" s="63">
        <f t="shared" si="1"/>
        <v>800</v>
      </c>
      <c r="I20" s="61"/>
      <c r="J20" s="63">
        <f>SUM(D20:H20)</f>
        <v>4000</v>
      </c>
    </row>
    <row r="21" spans="2:11" x14ac:dyDescent="0.25">
      <c r="B21" s="13"/>
      <c r="C21" s="42" t="s">
        <v>36</v>
      </c>
      <c r="D21" s="63">
        <f>225*4</f>
        <v>900</v>
      </c>
      <c r="E21" s="63">
        <f t="shared" ref="E21:H21" si="2">225*4</f>
        <v>900</v>
      </c>
      <c r="F21" s="63">
        <f t="shared" si="2"/>
        <v>900</v>
      </c>
      <c r="G21" s="63">
        <f t="shared" si="2"/>
        <v>900</v>
      </c>
      <c r="H21" s="63">
        <f t="shared" si="2"/>
        <v>900</v>
      </c>
      <c r="I21" s="61"/>
      <c r="J21" s="63">
        <f t="shared" ref="J21:J25" si="3">SUM(D21:H21)</f>
        <v>4500</v>
      </c>
    </row>
    <row r="22" spans="2:11" x14ac:dyDescent="0.25">
      <c r="B22" s="13"/>
      <c r="C22" s="42" t="s">
        <v>37</v>
      </c>
      <c r="D22" s="63">
        <f>79*4</f>
        <v>316</v>
      </c>
      <c r="E22" s="63">
        <f t="shared" ref="E22:H22" si="4">79*4</f>
        <v>316</v>
      </c>
      <c r="F22" s="63">
        <f t="shared" si="4"/>
        <v>316</v>
      </c>
      <c r="G22" s="63">
        <f t="shared" si="4"/>
        <v>316</v>
      </c>
      <c r="H22" s="63">
        <f t="shared" si="4"/>
        <v>316</v>
      </c>
      <c r="I22" s="61"/>
      <c r="J22" s="63">
        <f t="shared" si="3"/>
        <v>1580</v>
      </c>
    </row>
    <row r="23" spans="2:11" x14ac:dyDescent="0.25">
      <c r="B23" s="13"/>
      <c r="C23" s="42" t="s">
        <v>38</v>
      </c>
      <c r="D23" s="63">
        <v>45</v>
      </c>
      <c r="E23" s="63">
        <v>45</v>
      </c>
      <c r="F23" s="63">
        <v>45</v>
      </c>
      <c r="G23" s="63">
        <v>45</v>
      </c>
      <c r="H23" s="63">
        <v>45</v>
      </c>
      <c r="I23" s="61"/>
      <c r="J23" s="63">
        <f>SUM(D23:H23)</f>
        <v>225</v>
      </c>
    </row>
    <row r="24" spans="2:11" x14ac:dyDescent="0.25">
      <c r="B24" s="13"/>
      <c r="C24" s="42" t="s">
        <v>39</v>
      </c>
      <c r="D24" s="63">
        <f>20*4</f>
        <v>80</v>
      </c>
      <c r="E24" s="63">
        <f t="shared" ref="E24:H24" si="5">20*4</f>
        <v>80</v>
      </c>
      <c r="F24" s="63">
        <f t="shared" si="5"/>
        <v>80</v>
      </c>
      <c r="G24" s="63">
        <f t="shared" si="5"/>
        <v>80</v>
      </c>
      <c r="H24" s="63">
        <f t="shared" si="5"/>
        <v>80</v>
      </c>
      <c r="I24" s="61"/>
      <c r="J24" s="63">
        <f>SUM(D24:H24)</f>
        <v>400</v>
      </c>
    </row>
    <row r="25" spans="2:11" ht="30" x14ac:dyDescent="0.25">
      <c r="B25" s="13"/>
      <c r="C25" s="45" t="s">
        <v>40</v>
      </c>
      <c r="D25" s="63">
        <f>2800*0.67</f>
        <v>1876</v>
      </c>
      <c r="E25" s="63">
        <f t="shared" ref="E25:H25" si="6">2800*0.67</f>
        <v>1876</v>
      </c>
      <c r="F25" s="63">
        <f t="shared" si="6"/>
        <v>1876</v>
      </c>
      <c r="G25" s="63">
        <f t="shared" si="6"/>
        <v>1876</v>
      </c>
      <c r="H25" s="63">
        <f t="shared" si="6"/>
        <v>1876</v>
      </c>
      <c r="I25" s="61"/>
      <c r="J25" s="63">
        <f t="shared" si="3"/>
        <v>9380</v>
      </c>
    </row>
    <row r="26" spans="2:11" x14ac:dyDescent="0.25">
      <c r="B26" s="13"/>
      <c r="C26" s="7" t="s">
        <v>13</v>
      </c>
      <c r="D26" s="60">
        <f>SUM(D20:D25)</f>
        <v>4017</v>
      </c>
      <c r="E26" s="60">
        <f>SUM(E20:E25)</f>
        <v>4017</v>
      </c>
      <c r="F26" s="60">
        <f>SUM(F20:F25)</f>
        <v>4017</v>
      </c>
      <c r="G26" s="60">
        <f>SUM(G20:G25)</f>
        <v>4017</v>
      </c>
      <c r="H26" s="60">
        <f>SUM(H20:H25)</f>
        <v>4017</v>
      </c>
      <c r="I26" s="61"/>
      <c r="J26" s="60">
        <f>SUM(J20:J25)</f>
        <v>20085</v>
      </c>
    </row>
    <row r="27" spans="2:11" x14ac:dyDescent="0.25">
      <c r="B27" s="13"/>
      <c r="C27" s="9" t="s">
        <v>41</v>
      </c>
      <c r="D27" s="62" t="s">
        <v>23</v>
      </c>
      <c r="E27" s="57"/>
      <c r="F27" s="57"/>
      <c r="G27" s="57"/>
      <c r="H27" s="57"/>
      <c r="I27" s="58"/>
      <c r="J27" s="62"/>
    </row>
    <row r="28" spans="2:11" x14ac:dyDescent="0.25">
      <c r="B28" s="13"/>
      <c r="C28" s="45" t="s">
        <v>42</v>
      </c>
      <c r="D28" s="63">
        <f>10*2500</f>
        <v>25000</v>
      </c>
      <c r="E28" s="63">
        <v>0</v>
      </c>
      <c r="F28" s="63">
        <v>0</v>
      </c>
      <c r="G28" s="63">
        <v>0</v>
      </c>
      <c r="H28" s="63">
        <v>0</v>
      </c>
      <c r="I28" s="61"/>
      <c r="J28" s="63">
        <f t="shared" ref="J28" si="7">SUM(D28:H28)</f>
        <v>25000</v>
      </c>
    </row>
    <row r="29" spans="2:11" x14ac:dyDescent="0.25">
      <c r="B29" s="13"/>
      <c r="C29" s="41"/>
      <c r="D29" s="63"/>
      <c r="E29" s="63"/>
      <c r="F29" s="63"/>
      <c r="G29" s="63"/>
      <c r="H29" s="63"/>
      <c r="I29" s="61"/>
      <c r="J29" s="63">
        <f t="shared" ref="J29" si="8">SUM(D29:H29)</f>
        <v>0</v>
      </c>
    </row>
    <row r="30" spans="2:11" x14ac:dyDescent="0.25">
      <c r="B30" s="13"/>
      <c r="C30" s="7" t="s">
        <v>14</v>
      </c>
      <c r="D30" s="60">
        <f>SUM(D28:D29)</f>
        <v>25000</v>
      </c>
      <c r="E30" s="60">
        <f>SUM(E28:E29)</f>
        <v>0</v>
      </c>
      <c r="F30" s="60">
        <f>SUM(F28:F29)</f>
        <v>0</v>
      </c>
      <c r="G30" s="60">
        <f>SUM(G28:G29)</f>
        <v>0</v>
      </c>
      <c r="H30" s="60">
        <f>SUM(H28:H29)</f>
        <v>0</v>
      </c>
      <c r="I30" s="61"/>
      <c r="J30" s="60">
        <f>SUM(J28:J29)</f>
        <v>25000</v>
      </c>
    </row>
    <row r="31" spans="2:11" x14ac:dyDescent="0.25">
      <c r="B31" s="13"/>
      <c r="C31" s="9" t="s">
        <v>43</v>
      </c>
      <c r="D31" s="62" t="s">
        <v>23</v>
      </c>
      <c r="E31" s="57"/>
      <c r="F31" s="57"/>
      <c r="G31" s="57"/>
      <c r="H31" s="57"/>
      <c r="I31" s="58"/>
      <c r="J31" s="62"/>
    </row>
    <row r="32" spans="2:11" ht="45" x14ac:dyDescent="0.25">
      <c r="B32" s="13"/>
      <c r="C32" s="47" t="s">
        <v>44</v>
      </c>
      <c r="D32" s="64">
        <f>J32*0.18</f>
        <v>16200000</v>
      </c>
      <c r="E32" s="64">
        <f>J32*0.19</f>
        <v>17100000</v>
      </c>
      <c r="F32" s="64">
        <f>J32*0.2</f>
        <v>18000000</v>
      </c>
      <c r="G32" s="64">
        <f>J32*0.21</f>
        <v>18900000</v>
      </c>
      <c r="H32" s="64">
        <f>J32*0.22</f>
        <v>19800000</v>
      </c>
      <c r="I32" s="65"/>
      <c r="J32" s="64">
        <v>90000000</v>
      </c>
      <c r="K32" s="46"/>
    </row>
    <row r="33" spans="2:11" ht="31.5" customHeight="1" x14ac:dyDescent="0.25">
      <c r="B33" s="13"/>
      <c r="C33" s="48" t="s">
        <v>45</v>
      </c>
      <c r="D33" s="64">
        <f>16550*1740</f>
        <v>28797000</v>
      </c>
      <c r="E33" s="64">
        <f>16550*3480</f>
        <v>57594000</v>
      </c>
      <c r="F33" s="64">
        <f>16550*4351</f>
        <v>72009050</v>
      </c>
      <c r="G33" s="64">
        <f>16550*4351</f>
        <v>72009050</v>
      </c>
      <c r="H33" s="64">
        <f>16550*3480</f>
        <v>57594000</v>
      </c>
      <c r="I33" s="66"/>
      <c r="J33" s="64">
        <f>SUM(D33:H33)</f>
        <v>288003100</v>
      </c>
    </row>
    <row r="34" spans="2:11" ht="60" x14ac:dyDescent="0.25">
      <c r="B34" s="13"/>
      <c r="C34" s="47" t="s">
        <v>46</v>
      </c>
      <c r="D34" s="64">
        <f>32541*344</f>
        <v>11194104</v>
      </c>
      <c r="E34" s="64">
        <f>32541*688</f>
        <v>22388208</v>
      </c>
      <c r="F34" s="64">
        <f>32541*861</f>
        <v>28017801</v>
      </c>
      <c r="G34" s="64">
        <f>32541*861</f>
        <v>28017801</v>
      </c>
      <c r="H34" s="64">
        <f>32541*688</f>
        <v>22388208</v>
      </c>
      <c r="I34" s="66"/>
      <c r="J34" s="64">
        <f>SUM(D34:H34)</f>
        <v>112006122</v>
      </c>
    </row>
    <row r="35" spans="2:11" x14ac:dyDescent="0.25">
      <c r="B35" s="13"/>
      <c r="C35" s="7" t="s">
        <v>15</v>
      </c>
      <c r="D35" s="60">
        <f>SUM(D32:D34)</f>
        <v>56191104</v>
      </c>
      <c r="E35" s="60">
        <f>SUM(E32:E34)</f>
        <v>97082208</v>
      </c>
      <c r="F35" s="60">
        <f>SUM(F32:F34)</f>
        <v>118026851</v>
      </c>
      <c r="G35" s="60">
        <f>SUM(G32:G34)</f>
        <v>118926851</v>
      </c>
      <c r="H35" s="60">
        <f>SUM(H32:H34)</f>
        <v>99782208</v>
      </c>
      <c r="I35" s="58"/>
      <c r="J35" s="60">
        <f>SUM(J32:J34)</f>
        <v>490009222</v>
      </c>
    </row>
    <row r="36" spans="2:11" x14ac:dyDescent="0.25">
      <c r="B36" s="13"/>
      <c r="C36" s="9" t="s">
        <v>47</v>
      </c>
      <c r="D36" s="62" t="s">
        <v>23</v>
      </c>
      <c r="E36" s="57"/>
      <c r="F36" s="57"/>
      <c r="G36" s="57"/>
      <c r="H36" s="57"/>
      <c r="I36" s="58"/>
      <c r="J36" s="62"/>
    </row>
    <row r="37" spans="2:11" ht="60" x14ac:dyDescent="0.25">
      <c r="B37" s="13"/>
      <c r="C37" s="45" t="s">
        <v>48</v>
      </c>
      <c r="D37" s="63">
        <f>(500*35*5)+(1500*35)</f>
        <v>140000</v>
      </c>
      <c r="E37" s="63">
        <f t="shared" ref="E37:H37" si="9">(500*35*5)+(1500*35)</f>
        <v>140000</v>
      </c>
      <c r="F37" s="63">
        <f t="shared" si="9"/>
        <v>140000</v>
      </c>
      <c r="G37" s="63">
        <f t="shared" si="9"/>
        <v>140000</v>
      </c>
      <c r="H37" s="63">
        <f t="shared" si="9"/>
        <v>140000</v>
      </c>
      <c r="I37" s="58"/>
      <c r="J37" s="63">
        <f>SUM(D37:H37)</f>
        <v>700000</v>
      </c>
    </row>
    <row r="38" spans="2:11" x14ac:dyDescent="0.25">
      <c r="B38" s="14"/>
      <c r="C38" s="7" t="s">
        <v>16</v>
      </c>
      <c r="D38" s="60">
        <f>SUM(D37:D37)</f>
        <v>140000</v>
      </c>
      <c r="E38" s="60">
        <f>SUM(E37:E37)</f>
        <v>140000</v>
      </c>
      <c r="F38" s="60">
        <f>SUM(F37:F37)</f>
        <v>140000</v>
      </c>
      <c r="G38" s="60">
        <f>SUM(G37:G37)</f>
        <v>140000</v>
      </c>
      <c r="H38" s="60">
        <f>SUM(H37:H37)</f>
        <v>140000</v>
      </c>
      <c r="I38" s="61"/>
      <c r="J38" s="67">
        <f>SUM(D38:H38)</f>
        <v>700000</v>
      </c>
    </row>
    <row r="39" spans="2:11" x14ac:dyDescent="0.25">
      <c r="B39" s="14"/>
      <c r="C39" s="7" t="s">
        <v>17</v>
      </c>
      <c r="D39" s="60">
        <f>SUM(D38,D35,D30,D26,D17,D14)</f>
        <v>57742629</v>
      </c>
      <c r="E39" s="60">
        <f t="shared" ref="E39:H39" si="10">SUM(E38,E35,E30,E26,E17,E14)</f>
        <v>98677859</v>
      </c>
      <c r="F39" s="60">
        <f t="shared" si="10"/>
        <v>119695085</v>
      </c>
      <c r="G39" s="60">
        <f t="shared" si="10"/>
        <v>120671296</v>
      </c>
      <c r="H39" s="60">
        <f t="shared" si="10"/>
        <v>101606674</v>
      </c>
      <c r="I39" s="61"/>
      <c r="J39" s="60">
        <f>SUM(D39:H39)</f>
        <v>498393543</v>
      </c>
    </row>
    <row r="40" spans="2:11" x14ac:dyDescent="0.25">
      <c r="B40" s="4"/>
      <c r="D40" s="68"/>
      <c r="E40" s="68"/>
      <c r="F40" s="68"/>
      <c r="G40" s="68"/>
      <c r="H40" s="68"/>
      <c r="I40" s="68"/>
      <c r="J40" s="68" t="s">
        <v>18</v>
      </c>
    </row>
    <row r="41" spans="2:11" ht="30" x14ac:dyDescent="0.25">
      <c r="B41" s="37" t="s">
        <v>49</v>
      </c>
      <c r="C41" s="39" t="s">
        <v>49</v>
      </c>
      <c r="D41" s="69"/>
      <c r="E41" s="69"/>
      <c r="F41" s="69"/>
      <c r="G41" s="69"/>
      <c r="H41" s="69"/>
      <c r="I41" s="68"/>
      <c r="J41" s="69" t="s">
        <v>18</v>
      </c>
    </row>
    <row r="42" spans="2:11" ht="15" customHeight="1" x14ac:dyDescent="0.25">
      <c r="B42" s="13"/>
      <c r="C42" s="47" t="s">
        <v>50</v>
      </c>
      <c r="D42" s="70">
        <f>ROUND(D14*0.2995,0)</f>
        <v>290590</v>
      </c>
      <c r="E42" s="70">
        <f>ROUND(E14*0.2995,0)</f>
        <v>305119</v>
      </c>
      <c r="F42" s="70">
        <f>ROUND(F14*0.2995,0)</f>
        <v>320375</v>
      </c>
      <c r="G42" s="70">
        <f>ROUND(G14*0.2995,0)</f>
        <v>336394</v>
      </c>
      <c r="H42" s="70">
        <f>ROUND(H14*0.2995,0)+1</f>
        <v>353215</v>
      </c>
      <c r="I42" s="66"/>
      <c r="J42" s="70">
        <f>SUM(D42:H42)</f>
        <v>1605693</v>
      </c>
    </row>
    <row r="43" spans="2:11" x14ac:dyDescent="0.25">
      <c r="B43" s="14"/>
      <c r="C43" s="7" t="s">
        <v>19</v>
      </c>
      <c r="D43" s="60">
        <f>SUM(D42:D42)</f>
        <v>290590</v>
      </c>
      <c r="E43" s="60">
        <f>SUM(E42:E42)</f>
        <v>305119</v>
      </c>
      <c r="F43" s="60">
        <f>SUM(F42:F42)</f>
        <v>320375</v>
      </c>
      <c r="G43" s="60">
        <f>SUM(G42:G42)</f>
        <v>336394</v>
      </c>
      <c r="H43" s="60">
        <f>SUM(H42:H42)</f>
        <v>353215</v>
      </c>
      <c r="I43" s="61"/>
      <c r="J43" s="60">
        <f>SUM(J42:J42)</f>
        <v>1605693</v>
      </c>
    </row>
    <row r="44" spans="2:11" ht="15.75" thickBot="1" x14ac:dyDescent="0.3">
      <c r="B44" s="4"/>
      <c r="D44" s="68"/>
      <c r="E44" s="68"/>
      <c r="F44" s="68"/>
      <c r="G44" s="68"/>
      <c r="H44" s="68"/>
      <c r="I44" s="68"/>
      <c r="J44" s="68" t="s">
        <v>18</v>
      </c>
    </row>
    <row r="45" spans="2:11" s="1" customFormat="1" ht="30" x14ac:dyDescent="0.25">
      <c r="B45" s="11" t="s">
        <v>20</v>
      </c>
      <c r="C45" s="11"/>
      <c r="D45" s="71">
        <f>SUM(D43,D39)</f>
        <v>58033219</v>
      </c>
      <c r="E45" s="71">
        <f>SUM(E43,E39)</f>
        <v>98982978</v>
      </c>
      <c r="F45" s="71">
        <f>SUM(F43,F39)</f>
        <v>120015460</v>
      </c>
      <c r="G45" s="71">
        <f>SUM(G43,G39)</f>
        <v>121007690</v>
      </c>
      <c r="H45" s="71">
        <f>SUM(H43,H39)</f>
        <v>101959889</v>
      </c>
      <c r="I45" s="61"/>
      <c r="J45" s="71">
        <f>SUM(J43,J39)</f>
        <v>499999236</v>
      </c>
      <c r="K45" s="56"/>
    </row>
    <row r="46" spans="2:11" x14ac:dyDescent="0.25">
      <c r="B46" s="4"/>
    </row>
    <row r="47" spans="2:11" x14ac:dyDescent="0.25">
      <c r="B47" s="4"/>
    </row>
    <row r="48" spans="2:11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</sheetData>
  <pageMargins left="0.7" right="0.7" top="0.75" bottom="0.75" header="0.3" footer="0.3"/>
  <pageSetup scale="77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181bf711-446c-4c5c-acaf-9164888d9359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90ABF34C7BAAF4485405C40E6D9A1C3" ma:contentTypeVersion="6" ma:contentTypeDescription="Create a new document." ma:contentTypeScope="" ma:versionID="e4391a6ee4438787a79f9fbcebbcaf87">
  <xsd:schema xmlns:xsd="http://www.w3.org/2001/XMLSchema" xmlns:xs="http://www.w3.org/2001/XMLSchema" xmlns:p="http://schemas.microsoft.com/office/2006/metadata/properties" xmlns:ns2="1c9a11f2-37bd-45b0-8207-f7ef846d124d" xmlns:ns3="181bf711-446c-4c5c-acaf-9164888d9359" targetNamespace="http://schemas.microsoft.com/office/2006/metadata/properties" ma:root="true" ma:fieldsID="b6a395e589525fc8b805c9dd424da316" ns2:_="" ns3:_="">
    <xsd:import namespace="1c9a11f2-37bd-45b0-8207-f7ef846d124d"/>
    <xsd:import namespace="181bf711-446c-4c5c-acaf-9164888d93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a11f2-37bd-45b0-8207-f7ef846d12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1bf711-446c-4c5c-acaf-9164888d9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181bf711-446c-4c5c-acaf-9164888d9359"/>
  </ds:schemaRefs>
</ds:datastoreItem>
</file>

<file path=customXml/itemProps2.xml><?xml version="1.0" encoding="utf-8"?>
<ds:datastoreItem xmlns:ds="http://schemas.openxmlformats.org/officeDocument/2006/customXml" ds:itemID="{66D44722-36E8-46A5-8532-E762CAE76E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9a11f2-37bd-45b0-8207-f7ef846d124d"/>
    <ds:schemaRef ds:uri="181bf711-446c-4c5c-acaf-9164888d9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Consolidated Budget</vt:lpstr>
      <vt:lpstr>Measure 1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2024-03-30T23:59:17Z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0x010100390ABF34C7BAAF4485405C40E6D9A1C3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  <property fmtid="{D5CDD505-2E9C-101B-9397-08002B2CF9AE}" pid="8" name="SharedWithUsers">
    <vt:lpwstr>204;#SharingLinks.cd7199e0-3019-4770-af23-1ba8c35e4a37.OrganizationEdit.b1237b01-ca64-4605-b4c3-e192acc355d5;#313;#Butler, Elizabeth (she/her/hers);#223;#SharingLinks.c429da80-75db-48b8-ac2c-b8b8d35a7f8d.OrganizationEdit.8c06e9f9-c4a2-42b6-8195-9fbcfda7ee4f;#314;#Loutan, Reema (she/her/hers);#222;#SharingLinks.4046d22a-99a7-4d38-96fd-c2a5402ab433.OrganizationEdit.045493fe-632a-411c-b5ba-4812fc49926a;#804;#Bitalac, Emily;#50;#Roberts, Timothy-P;#248;#O'Sullivan, Caitlin (she/her/hers);#1114;#January, Elizabeth (she/her/hers);#221;#Ng, Allison;#62;#Thompson, Ashley (she/her/hers);#16;#Damberg, Rich;#17;#Brachtl, Megan;#14;#Denny, Andrea;#202;#Hansel, Peter</vt:lpwstr>
  </property>
</Properties>
</file>