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8"/>
  <workbookPr filterPrivacy="1" codeName="ThisWorkbook" defaultThemeVersion="166925"/>
  <xr:revisionPtr revIDLastSave="0" documentId="8_{81C790F4-FDE2-4A0D-9465-58A702C0BEA2}" xr6:coauthVersionLast="36" xr6:coauthVersionMax="36" xr10:uidLastSave="{00000000-0000-0000-0000-000000000000}"/>
  <bookViews>
    <workbookView xWindow="0" yWindow="0" windowWidth="28800" windowHeight="11805" tabRatio="979" activeTab="1" xr2:uid="{AAC398A2-E95D-4231-A920-55B8B1C73F3F}"/>
  </bookViews>
  <sheets>
    <sheet name="Overview" sheetId="26" r:id="rId1"/>
    <sheet name="Consolidated Budget" sheetId="30" r:id="rId2"/>
    <sheet name="HSOW Component" sheetId="41" r:id="rId3"/>
    <sheet name="RNG Component" sheetId="40" r:id="rId4"/>
    <sheet name="Centrifuge Component" sheetId="39" r:id="rId5"/>
    <sheet name="Silo AnDig Component" sheetId="38" r:id="rId6"/>
  </sheets>
  <definedNames>
    <definedName name="_xlnm._FilterDatabase" localSheetId="4" hidden="1">'Centrifuge Component'!#REF!</definedName>
    <definedName name="_xlnm._FilterDatabase" localSheetId="1" hidden="1">'Consolidated Budget'!#REF!</definedName>
    <definedName name="_xlnm._FilterDatabase" localSheetId="2" hidden="1">'HSOW Component'!#REF!</definedName>
    <definedName name="_xlnm._FilterDatabase" localSheetId="3" hidden="1">'RNG Component'!#REF!</definedName>
    <definedName name="_xlnm._FilterDatabase" localSheetId="5" hidden="1">'Silo AnDig Component'!#REF!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ARRAYTEXT_WF"/>
        <xcalcf:feature name="microsoft.com:CNMTM"/>
        <xcalcf:feature name="microsoft.com:LAMBDA_WF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43" i="38" l="1"/>
  <c r="E45" i="38" s="1"/>
  <c r="E49" i="38" s="1"/>
  <c r="D43" i="38"/>
  <c r="E38" i="39"/>
  <c r="E40" i="39" s="1"/>
  <c r="E44" i="39" s="1"/>
  <c r="D38" i="39"/>
  <c r="E34" i="41"/>
  <c r="D34" i="41"/>
  <c r="E40" i="40"/>
  <c r="D40" i="40"/>
  <c r="E32" i="41"/>
  <c r="E24" i="41"/>
  <c r="D45" i="38"/>
  <c r="D49" i="38" s="1"/>
  <c r="E41" i="38"/>
  <c r="F49" i="38"/>
  <c r="G49" i="38"/>
  <c r="F45" i="38"/>
  <c r="G45" i="38"/>
  <c r="H45" i="38"/>
  <c r="J41" i="38"/>
  <c r="D41" i="38"/>
  <c r="F41" i="38"/>
  <c r="G41" i="38"/>
  <c r="H41" i="38"/>
  <c r="J40" i="38"/>
  <c r="F44" i="39"/>
  <c r="G44" i="39"/>
  <c r="H44" i="39"/>
  <c r="F40" i="39"/>
  <c r="G40" i="39"/>
  <c r="D40" i="39"/>
  <c r="D44" i="39" s="1"/>
  <c r="J38" i="39"/>
  <c r="J40" i="39" s="1"/>
  <c r="J36" i="39"/>
  <c r="J35" i="39"/>
  <c r="E36" i="39"/>
  <c r="F36" i="39"/>
  <c r="G36" i="39"/>
  <c r="H36" i="39"/>
  <c r="D36" i="39"/>
  <c r="F47" i="40"/>
  <c r="G47" i="40"/>
  <c r="E43" i="40"/>
  <c r="E47" i="40" s="1"/>
  <c r="F43" i="40"/>
  <c r="G43" i="40"/>
  <c r="D43" i="40"/>
  <c r="D47" i="40" s="1"/>
  <c r="H40" i="41"/>
  <c r="G40" i="41"/>
  <c r="F40" i="41"/>
  <c r="J32" i="41"/>
  <c r="H43" i="40"/>
  <c r="J38" i="40"/>
  <c r="H38" i="40"/>
  <c r="G38" i="40"/>
  <c r="F38" i="40"/>
  <c r="E38" i="40"/>
  <c r="D38" i="40"/>
  <c r="J37" i="40"/>
  <c r="F36" i="41"/>
  <c r="G36" i="41"/>
  <c r="J29" i="41"/>
  <c r="H32" i="41"/>
  <c r="D32" i="41"/>
  <c r="E29" i="41"/>
  <c r="E35" i="40"/>
  <c r="J35" i="40" s="1"/>
  <c r="E33" i="39"/>
  <c r="J33" i="39" s="1"/>
  <c r="E38" i="38"/>
  <c r="J38" i="38" s="1"/>
  <c r="G37" i="38"/>
  <c r="F37" i="38"/>
  <c r="E37" i="38"/>
  <c r="J37" i="38" s="1"/>
  <c r="G32" i="39"/>
  <c r="F32" i="39"/>
  <c r="E32" i="39"/>
  <c r="G34" i="40"/>
  <c r="F34" i="40"/>
  <c r="E34" i="40"/>
  <c r="G28" i="41"/>
  <c r="F28" i="41"/>
  <c r="E28" i="41"/>
  <c r="J39" i="38"/>
  <c r="J34" i="39"/>
  <c r="J36" i="40"/>
  <c r="J41" i="40"/>
  <c r="J30" i="41"/>
  <c r="E25" i="40"/>
  <c r="J17" i="40"/>
  <c r="J18" i="40"/>
  <c r="J19" i="40"/>
  <c r="J20" i="40"/>
  <c r="J21" i="40"/>
  <c r="J22" i="40"/>
  <c r="I46" i="41"/>
  <c r="H44" i="41"/>
  <c r="G44" i="41"/>
  <c r="F44" i="41"/>
  <c r="E44" i="41"/>
  <c r="D44" i="41"/>
  <c r="J43" i="41"/>
  <c r="H39" i="41"/>
  <c r="G39" i="41"/>
  <c r="F39" i="41"/>
  <c r="E39" i="41"/>
  <c r="D39" i="41"/>
  <c r="J38" i="41"/>
  <c r="J39" i="41" s="1"/>
  <c r="H36" i="41"/>
  <c r="H22" i="41"/>
  <c r="G22" i="41"/>
  <c r="F22" i="41"/>
  <c r="E22" i="41"/>
  <c r="D22" i="41"/>
  <c r="J21" i="41"/>
  <c r="J22" i="41" s="1"/>
  <c r="H19" i="41"/>
  <c r="G19" i="41"/>
  <c r="F19" i="41"/>
  <c r="E19" i="41"/>
  <c r="D19" i="41"/>
  <c r="J18" i="41"/>
  <c r="J17" i="41"/>
  <c r="J19" i="41" s="1"/>
  <c r="H15" i="41"/>
  <c r="G15" i="41"/>
  <c r="F15" i="41"/>
  <c r="E15" i="41"/>
  <c r="D15" i="41"/>
  <c r="J14" i="41"/>
  <c r="J15" i="41" s="1"/>
  <c r="I12" i="41"/>
  <c r="H12" i="41"/>
  <c r="G12" i="41"/>
  <c r="F12" i="41"/>
  <c r="E12" i="41"/>
  <c r="D12" i="41"/>
  <c r="J11" i="41"/>
  <c r="J12" i="41" s="1"/>
  <c r="I9" i="41"/>
  <c r="H9" i="41"/>
  <c r="G9" i="41"/>
  <c r="F9" i="41"/>
  <c r="E9" i="41"/>
  <c r="D9" i="41"/>
  <c r="J8" i="41"/>
  <c r="J9" i="41" s="1"/>
  <c r="I53" i="40"/>
  <c r="H51" i="40"/>
  <c r="G51" i="40"/>
  <c r="F51" i="40"/>
  <c r="E51" i="40"/>
  <c r="D51" i="40"/>
  <c r="J50" i="40"/>
  <c r="H46" i="40"/>
  <c r="G46" i="40"/>
  <c r="F46" i="40"/>
  <c r="E46" i="40"/>
  <c r="D46" i="40"/>
  <c r="J45" i="40"/>
  <c r="J46" i="40" s="1"/>
  <c r="J42" i="40"/>
  <c r="H28" i="40"/>
  <c r="G28" i="40"/>
  <c r="F28" i="40"/>
  <c r="E28" i="40"/>
  <c r="D28" i="40"/>
  <c r="J27" i="40"/>
  <c r="J28" i="40" s="1"/>
  <c r="H25" i="40"/>
  <c r="G25" i="40"/>
  <c r="F25" i="40"/>
  <c r="D25" i="40"/>
  <c r="J24" i="40"/>
  <c r="J23" i="40"/>
  <c r="H15" i="40"/>
  <c r="G15" i="40"/>
  <c r="F15" i="40"/>
  <c r="E15" i="40"/>
  <c r="D15" i="40"/>
  <c r="J14" i="40"/>
  <c r="J15" i="40" s="1"/>
  <c r="I12" i="40"/>
  <c r="H12" i="40"/>
  <c r="G12" i="40"/>
  <c r="F12" i="40"/>
  <c r="E12" i="40"/>
  <c r="D12" i="40"/>
  <c r="J11" i="40"/>
  <c r="J12" i="40" s="1"/>
  <c r="I9" i="40"/>
  <c r="H9" i="40"/>
  <c r="G9" i="40"/>
  <c r="F9" i="40"/>
  <c r="E9" i="40"/>
  <c r="D9" i="40"/>
  <c r="J8" i="40"/>
  <c r="J9" i="40" s="1"/>
  <c r="E23" i="39"/>
  <c r="I50" i="39"/>
  <c r="H48" i="39"/>
  <c r="G48" i="39"/>
  <c r="F48" i="39"/>
  <c r="E48" i="39"/>
  <c r="D48" i="39"/>
  <c r="J47" i="39"/>
  <c r="H43" i="39"/>
  <c r="G43" i="39"/>
  <c r="F43" i="39"/>
  <c r="E43" i="39"/>
  <c r="D43" i="39"/>
  <c r="J42" i="39"/>
  <c r="J43" i="39" s="1"/>
  <c r="H40" i="39"/>
  <c r="J39" i="39"/>
  <c r="H26" i="39"/>
  <c r="G26" i="39"/>
  <c r="F26" i="39"/>
  <c r="E26" i="39"/>
  <c r="D26" i="39"/>
  <c r="J25" i="39"/>
  <c r="J26" i="39" s="1"/>
  <c r="H23" i="39"/>
  <c r="G23" i="39"/>
  <c r="F23" i="39"/>
  <c r="D23" i="39"/>
  <c r="J22" i="39"/>
  <c r="J21" i="39"/>
  <c r="J20" i="39"/>
  <c r="J19" i="39"/>
  <c r="J18" i="39"/>
  <c r="J17" i="39"/>
  <c r="H15" i="39"/>
  <c r="G15" i="39"/>
  <c r="F15" i="39"/>
  <c r="E15" i="39"/>
  <c r="D15" i="39"/>
  <c r="J14" i="39"/>
  <c r="J15" i="39" s="1"/>
  <c r="I12" i="39"/>
  <c r="H12" i="39"/>
  <c r="G12" i="39"/>
  <c r="F12" i="39"/>
  <c r="E12" i="39"/>
  <c r="D12" i="39"/>
  <c r="J11" i="39"/>
  <c r="J12" i="39" s="1"/>
  <c r="I9" i="39"/>
  <c r="H9" i="39"/>
  <c r="G9" i="39"/>
  <c r="F9" i="39"/>
  <c r="E9" i="39"/>
  <c r="D9" i="39"/>
  <c r="J8" i="39"/>
  <c r="J9" i="39" s="1"/>
  <c r="E28" i="38"/>
  <c r="J18" i="38"/>
  <c r="J19" i="38"/>
  <c r="J20" i="38"/>
  <c r="J21" i="38"/>
  <c r="J22" i="38"/>
  <c r="J23" i="38"/>
  <c r="J24" i="38"/>
  <c r="J25" i="38"/>
  <c r="J26" i="38"/>
  <c r="J27" i="38"/>
  <c r="J17" i="38"/>
  <c r="D28" i="38"/>
  <c r="J44" i="38"/>
  <c r="H12" i="30"/>
  <c r="D12" i="30"/>
  <c r="J49" i="38" l="1"/>
  <c r="J23" i="39"/>
  <c r="J32" i="39"/>
  <c r="J34" i="40"/>
  <c r="E10" i="30"/>
  <c r="D10" i="30"/>
  <c r="J28" i="41"/>
  <c r="G24" i="41" s="1"/>
  <c r="J25" i="40"/>
  <c r="J44" i="41"/>
  <c r="H46" i="41"/>
  <c r="H47" i="40"/>
  <c r="H53" i="40" s="1"/>
  <c r="J51" i="40"/>
  <c r="H50" i="39"/>
  <c r="J48" i="39"/>
  <c r="J28" i="38"/>
  <c r="G33" i="38" s="1"/>
  <c r="E33" i="38" l="1"/>
  <c r="E28" i="39"/>
  <c r="G28" i="39"/>
  <c r="F28" i="39"/>
  <c r="F24" i="41"/>
  <c r="F33" i="38"/>
  <c r="E30" i="40"/>
  <c r="G30" i="40"/>
  <c r="F30" i="40"/>
  <c r="I55" i="38"/>
  <c r="H53" i="38"/>
  <c r="H17" i="30" s="1"/>
  <c r="G53" i="38"/>
  <c r="G17" i="30" s="1"/>
  <c r="F53" i="38"/>
  <c r="F17" i="30" s="1"/>
  <c r="E53" i="38"/>
  <c r="E17" i="30" s="1"/>
  <c r="D53" i="38"/>
  <c r="D17" i="30" s="1"/>
  <c r="J52" i="38"/>
  <c r="H48" i="38"/>
  <c r="H14" i="30" s="1"/>
  <c r="G48" i="38"/>
  <c r="G14" i="30" s="1"/>
  <c r="F48" i="38"/>
  <c r="F14" i="30" s="1"/>
  <c r="E48" i="38"/>
  <c r="E14" i="30" s="1"/>
  <c r="D48" i="38"/>
  <c r="D14" i="30" s="1"/>
  <c r="J47" i="38"/>
  <c r="J48" i="38" s="1"/>
  <c r="H13" i="30"/>
  <c r="H31" i="38"/>
  <c r="H11" i="30" s="1"/>
  <c r="G31" i="38"/>
  <c r="G11" i="30" s="1"/>
  <c r="F31" i="38"/>
  <c r="F11" i="30" s="1"/>
  <c r="E31" i="38"/>
  <c r="E11" i="30" s="1"/>
  <c r="D31" i="38"/>
  <c r="D11" i="30" s="1"/>
  <c r="J30" i="38"/>
  <c r="J31" i="38" s="1"/>
  <c r="H28" i="38"/>
  <c r="H10" i="30" s="1"/>
  <c r="G28" i="38"/>
  <c r="G10" i="30" s="1"/>
  <c r="F28" i="38"/>
  <c r="F10" i="30" s="1"/>
  <c r="H15" i="38"/>
  <c r="H9" i="30" s="1"/>
  <c r="G15" i="38"/>
  <c r="G9" i="30" s="1"/>
  <c r="F15" i="38"/>
  <c r="F9" i="30" s="1"/>
  <c r="E15" i="38"/>
  <c r="E9" i="30" s="1"/>
  <c r="D15" i="38"/>
  <c r="D9" i="30" s="1"/>
  <c r="J14" i="38"/>
  <c r="J15" i="38" s="1"/>
  <c r="I12" i="38"/>
  <c r="H12" i="38"/>
  <c r="H8" i="30" s="1"/>
  <c r="G12" i="38"/>
  <c r="G8" i="30" s="1"/>
  <c r="F12" i="38"/>
  <c r="F8" i="30" s="1"/>
  <c r="E12" i="38"/>
  <c r="E8" i="30" s="1"/>
  <c r="D12" i="38"/>
  <c r="D8" i="30" s="1"/>
  <c r="J11" i="38"/>
  <c r="J12" i="38" s="1"/>
  <c r="I9" i="38"/>
  <c r="H9" i="38"/>
  <c r="H7" i="30" s="1"/>
  <c r="G9" i="38"/>
  <c r="G7" i="30" s="1"/>
  <c r="F9" i="38"/>
  <c r="F7" i="30" s="1"/>
  <c r="E9" i="38"/>
  <c r="E7" i="30" s="1"/>
  <c r="D9" i="38"/>
  <c r="D7" i="30" s="1"/>
  <c r="J8" i="38"/>
  <c r="J9" i="38" s="1"/>
  <c r="H15" i="30" l="1"/>
  <c r="J24" i="41"/>
  <c r="F25" i="41" s="1"/>
  <c r="J33" i="38"/>
  <c r="J30" i="40"/>
  <c r="J28" i="39"/>
  <c r="G13" i="30"/>
  <c r="H49" i="38"/>
  <c r="H55" i="38" s="1"/>
  <c r="J53" i="38"/>
  <c r="G25" i="41" l="1"/>
  <c r="E25" i="41"/>
  <c r="J25" i="41" s="1"/>
  <c r="F34" i="38"/>
  <c r="E34" i="38"/>
  <c r="G34" i="38"/>
  <c r="G29" i="39"/>
  <c r="F29" i="39"/>
  <c r="E29" i="39"/>
  <c r="F31" i="40"/>
  <c r="E31" i="40"/>
  <c r="G31" i="40"/>
  <c r="F13" i="30"/>
  <c r="J31" i="40" l="1"/>
  <c r="F32" i="40" s="1"/>
  <c r="E26" i="41"/>
  <c r="G26" i="41"/>
  <c r="F26" i="41"/>
  <c r="J34" i="38"/>
  <c r="J29" i="39"/>
  <c r="G32" i="40" l="1"/>
  <c r="E32" i="40"/>
  <c r="G35" i="38"/>
  <c r="E35" i="38"/>
  <c r="F35" i="38"/>
  <c r="G30" i="39"/>
  <c r="E30" i="39"/>
  <c r="F30" i="39"/>
  <c r="J26" i="41"/>
  <c r="J32" i="40" l="1"/>
  <c r="G33" i="40" s="1"/>
  <c r="F27" i="41"/>
  <c r="E27" i="41"/>
  <c r="G27" i="41"/>
  <c r="J35" i="38"/>
  <c r="J30" i="39"/>
  <c r="E33" i="40" l="1"/>
  <c r="F33" i="40"/>
  <c r="G32" i="41"/>
  <c r="G46" i="41" s="1"/>
  <c r="F32" i="41"/>
  <c r="F46" i="41" s="1"/>
  <c r="J27" i="41"/>
  <c r="F36" i="38"/>
  <c r="E36" i="38"/>
  <c r="E12" i="30" s="1"/>
  <c r="G36" i="38"/>
  <c r="E31" i="39"/>
  <c r="G31" i="39"/>
  <c r="G50" i="39" s="1"/>
  <c r="F31" i="39"/>
  <c r="G53" i="40"/>
  <c r="J33" i="40"/>
  <c r="G55" i="38" l="1"/>
  <c r="G12" i="30"/>
  <c r="G15" i="30" s="1"/>
  <c r="F55" i="38"/>
  <c r="F12" i="30"/>
  <c r="F15" i="30" s="1"/>
  <c r="F53" i="40"/>
  <c r="D36" i="41"/>
  <c r="D40" i="41" s="1"/>
  <c r="F50" i="39"/>
  <c r="J36" i="38"/>
  <c r="J31" i="39"/>
  <c r="E36" i="41" l="1"/>
  <c r="E40" i="41" s="1"/>
  <c r="J40" i="41" s="1"/>
  <c r="J46" i="41" s="1"/>
  <c r="D53" i="40"/>
  <c r="J40" i="40"/>
  <c r="J43" i="40" s="1"/>
  <c r="J34" i="41"/>
  <c r="J36" i="41" s="1"/>
  <c r="J10" i="30"/>
  <c r="J17" i="30"/>
  <c r="E55" i="38" l="1"/>
  <c r="E13" i="30"/>
  <c r="E15" i="30" s="1"/>
  <c r="D55" i="38"/>
  <c r="D13" i="30"/>
  <c r="J43" i="38"/>
  <c r="J45" i="38" s="1"/>
  <c r="D50" i="39"/>
  <c r="E53" i="40"/>
  <c r="J47" i="40"/>
  <c r="J53" i="40" s="1"/>
  <c r="E50" i="39"/>
  <c r="J11" i="30"/>
  <c r="J12" i="30"/>
  <c r="F19" i="30"/>
  <c r="J9" i="30"/>
  <c r="J8" i="30"/>
  <c r="G19" i="30"/>
  <c r="J7" i="30"/>
  <c r="H19" i="30"/>
  <c r="J14" i="30"/>
  <c r="J55" i="38" l="1"/>
  <c r="D15" i="30"/>
  <c r="D19" i="30" s="1"/>
  <c r="E46" i="41"/>
  <c r="J44" i="39"/>
  <c r="J50" i="39" s="1"/>
  <c r="D46" i="41"/>
  <c r="J13" i="30" l="1"/>
  <c r="E19" i="30"/>
  <c r="J15" i="30" l="1"/>
  <c r="J19" i="30" s="1"/>
  <c r="D24" i="30" s="1"/>
  <c r="D26" i="30" l="1"/>
  <c r="E24" i="30" l="1"/>
  <c r="E26" i="30" l="1"/>
</calcChain>
</file>

<file path=xl/sharedStrings.xml><?xml version="1.0" encoding="utf-8"?>
<sst xmlns="http://schemas.openxmlformats.org/spreadsheetml/2006/main" count="299" uniqueCount="79">
  <si>
    <t>Consolidated Budget Table</t>
  </si>
  <si>
    <t>This table will update automatically based on the budget detail entered in the tabs for measures 1-5. If your application includes more than 5 individual measures, you will need to add additional tabs, update the formulas below, and add additional lines to the "Budget by Project" table to include the additional measures.</t>
  </si>
  <si>
    <t>BUDGET BY YEAR</t>
  </si>
  <si>
    <t>COST-TYPE</t>
  </si>
  <si>
    <t>CATEGORY</t>
  </si>
  <si>
    <t>YEAR 1</t>
  </si>
  <si>
    <t>YEAR 2</t>
  </si>
  <si>
    <t>YEAR 3</t>
  </si>
  <si>
    <t>YEAR 4</t>
  </si>
  <si>
    <t>YEAR 5</t>
  </si>
  <si>
    <t>TOTAL</t>
  </si>
  <si>
    <t>Direct Costs</t>
  </si>
  <si>
    <t xml:space="preserve">TOTAL PERSONNEL </t>
  </si>
  <si>
    <t xml:space="preserve"> TOTAL FRINGE BENEFITS  </t>
  </si>
  <si>
    <t xml:space="preserve"> TOTAL TRAVEL </t>
  </si>
  <si>
    <t xml:space="preserve"> TOTAL EQUIPMENT </t>
  </si>
  <si>
    <t xml:space="preserve"> TOTAL SUPPLIES </t>
  </si>
  <si>
    <t xml:space="preserve"> TOTAL CONTRACTUAL </t>
  </si>
  <si>
    <t>TOTAL OTHER</t>
  </si>
  <si>
    <t>TOTAL DIRECT</t>
  </si>
  <si>
    <t/>
  </si>
  <si>
    <t xml:space="preserve"> TOTAL INDIRECT </t>
  </si>
  <si>
    <t xml:space="preserve"> TOTAL FUNDING </t>
  </si>
  <si>
    <t>BUDGET BY PROJECT</t>
  </si>
  <si>
    <t>Project Number</t>
  </si>
  <si>
    <t>Project Name</t>
  </si>
  <si>
    <t>Total Cost</t>
  </si>
  <si>
    <t>% of Total</t>
  </si>
  <si>
    <t>Total</t>
  </si>
  <si>
    <t>Detailed Budget Table</t>
  </si>
  <si>
    <t>Personnel</t>
  </si>
  <si>
    <t> </t>
  </si>
  <si>
    <t xml:space="preserve"> Fringe Benefits </t>
  </si>
  <si>
    <t xml:space="preserve"> Travel </t>
  </si>
  <si>
    <t xml:space="preserve"> Equipment </t>
  </si>
  <si>
    <t xml:space="preserve"> </t>
  </si>
  <si>
    <t xml:space="preserve"> Supplies </t>
  </si>
  <si>
    <t xml:space="preserve"> Contractual </t>
  </si>
  <si>
    <t>OTHER</t>
  </si>
  <si>
    <t>Indirect Costs</t>
  </si>
  <si>
    <t xml:space="preserve">This Excel Workbook is provided to aid applicants in developing the required budget table(s) within the budget narrative.  </t>
  </si>
  <si>
    <t>Sitework Preparation (Electrical, Piping, Overall)</t>
  </si>
  <si>
    <t>Plant Computer System</t>
  </si>
  <si>
    <t>Non-Construction Work (Permitting, Engineering, Construction Services, Commissioning &amp; Startup)</t>
  </si>
  <si>
    <t>Construction of Centrifuge Component</t>
  </si>
  <si>
    <t>Construction of Silo AnDig Component</t>
  </si>
  <si>
    <t>Biodigester System</t>
  </si>
  <si>
    <t>TOTAL CONSTRUCTION</t>
  </si>
  <si>
    <t>Mixing Pumps (Active)  (0 hp)</t>
  </si>
  <si>
    <t>Transfer Pumps (Active)  (43 hp)</t>
  </si>
  <si>
    <t>Transfer Pumps (Standby)  (43 hp)</t>
  </si>
  <si>
    <t>Sludge Heating Pumps (Active)  (18 hp)</t>
  </si>
  <si>
    <t>Dewatering Feed Pumps (Active)  (4 hp)</t>
  </si>
  <si>
    <t>Dewatering Feed Pumps (Standby)  (4 hp)</t>
  </si>
  <si>
    <t>Boilers  (2444339 BTU/hr per each)</t>
  </si>
  <si>
    <t>Fuel Oil Tank  (1 each, 385 gallons)</t>
  </si>
  <si>
    <t>Flares</t>
  </si>
  <si>
    <t>Miscellaneous (10%)</t>
  </si>
  <si>
    <t xml:space="preserve">Construction </t>
  </si>
  <si>
    <t xml:space="preserve"> TOTAL CONSTRUCTION</t>
  </si>
  <si>
    <t>Contingency (30%)</t>
  </si>
  <si>
    <t>Overhead (12%)</t>
  </si>
  <si>
    <t>Profit (10%)</t>
  </si>
  <si>
    <t>Mob/Bonds/Insurance (3%)</t>
  </si>
  <si>
    <t>Centrifuges</t>
  </si>
  <si>
    <t>Bulk Tanks (7,353 gallons each)</t>
  </si>
  <si>
    <t>Metering Pumps</t>
  </si>
  <si>
    <t>Miscellaneous (5%)</t>
  </si>
  <si>
    <t xml:space="preserve">Bulk H2S Reduction System </t>
  </si>
  <si>
    <t xml:space="preserve">Raw Gas Blower </t>
  </si>
  <si>
    <t xml:space="preserve">H2S Polisher </t>
  </si>
  <si>
    <t xml:space="preserve">PSA Upgrading System </t>
  </si>
  <si>
    <t xml:space="preserve">Emergency Flare </t>
  </si>
  <si>
    <t>Containerized E-house</t>
  </si>
  <si>
    <t>TOTAL CONTRACTUAL</t>
  </si>
  <si>
    <t>Interconnection to NW Natural Pipeline</t>
  </si>
  <si>
    <t>Shaftless Screw Conveyer</t>
  </si>
  <si>
    <t>Construction of HSOW Component</t>
  </si>
  <si>
    <t>Construction of RNG Component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</si>
</sst>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5" formatCode="&quot;$&quot;#,##0_);\(&quot;$&quot;#,##0\)"/>
    <numFmt numFmtId="6" formatCode="&quot;$&quot;#,##0_);[Red]\(&quot;$&quot;#,##0\)"/>
    <numFmt numFmtId="8" formatCode="&quot;$&quot;#,##0.00_);[Red]\(&quot;$&quot;#,##0.00\)"/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18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11"/>
      <color rgb="FF000000"/>
      <name val="Calibri"/>
      <family val="2"/>
      <scheme val="minor"/>
    </font>
    <font>
      <b/>
      <sz val="11"/>
      <color rgb="FF000000"/>
      <name val="Calibri"/>
      <family val="2"/>
    </font>
    <font>
      <sz val="11"/>
      <color rgb="FF000000"/>
      <name val="Calibri"/>
      <family val="2"/>
      <scheme val="minor"/>
    </font>
    <font>
      <sz val="11"/>
      <color rgb="FF000000"/>
      <name val="Calibri"/>
      <family val="2"/>
    </font>
    <font>
      <i/>
      <sz val="11"/>
      <color theme="0" tint="-0.34998626667073579"/>
      <name val="Calibri"/>
      <family val="2"/>
      <scheme val="minor"/>
    </font>
    <font>
      <b/>
      <sz val="11"/>
      <color rgb="FF000000"/>
      <name val="Calibri"/>
      <family val="2"/>
      <scheme val="minor"/>
    </font>
    <font>
      <i/>
      <sz val="11"/>
      <color theme="5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8"/>
      <color theme="1"/>
      <name val="Calibri"/>
      <family val="2"/>
      <scheme val="minor"/>
    </font>
    <font>
      <i/>
      <sz val="11"/>
      <name val="Calibri"/>
      <family val="2"/>
      <scheme val="minor"/>
    </font>
    <font>
      <sz val="11"/>
      <name val="Calibri"/>
      <family val="2"/>
      <scheme val="minor"/>
    </font>
    <font>
      <b/>
      <i/>
      <sz val="11"/>
      <name val="Calibri"/>
      <family val="2"/>
      <scheme val="minor"/>
    </font>
    <font>
      <sz val="8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E6E6E6"/>
        <bgColor rgb="FF000000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indexed="64"/>
      </right>
      <top/>
      <bottom style="thin">
        <color indexed="64"/>
      </bottom>
      <diagonal/>
    </border>
    <border>
      <left style="thin">
        <color rgb="FFFFFFFF"/>
      </left>
      <right/>
      <top style="thin">
        <color rgb="FFFFFFFF"/>
      </top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/>
      <top/>
      <bottom style="thin">
        <color rgb="FFFFFFFF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49" fontId="17" fillId="0" borderId="0">
      <alignment horizontal="left" vertical="top" wrapText="1" indent="2"/>
    </xf>
  </cellStyleXfs>
  <cellXfs count="104">
    <xf numFmtId="0" fontId="0" fillId="0" borderId="0" xfId="0"/>
    <xf numFmtId="0" fontId="2" fillId="0" borderId="0" xfId="0" applyFont="1"/>
    <xf numFmtId="0" fontId="0" fillId="0" borderId="0" xfId="0" applyFont="1"/>
    <xf numFmtId="164" fontId="0" fillId="0" borderId="0" xfId="1" applyNumberFormat="1" applyFont="1" applyBorder="1"/>
    <xf numFmtId="0" fontId="0" fillId="0" borderId="9" xfId="0" applyBorder="1"/>
    <xf numFmtId="0" fontId="0" fillId="0" borderId="10" xfId="0" applyBorder="1"/>
    <xf numFmtId="0" fontId="2" fillId="0" borderId="0" xfId="0" applyFont="1" applyBorder="1"/>
    <xf numFmtId="0" fontId="3" fillId="0" borderId="0" xfId="0" applyFont="1"/>
    <xf numFmtId="0" fontId="0" fillId="0" borderId="0" xfId="0" applyFont="1" applyBorder="1"/>
    <xf numFmtId="0" fontId="0" fillId="0" borderId="0" xfId="0" applyFont="1" applyFill="1" applyBorder="1"/>
    <xf numFmtId="0" fontId="3" fillId="0" borderId="0" xfId="0" applyFont="1" applyFill="1" applyBorder="1"/>
    <xf numFmtId="0" fontId="0" fillId="0" borderId="0" xfId="0" applyFont="1" applyBorder="1" applyAlignment="1">
      <alignment vertical="top"/>
    </xf>
    <xf numFmtId="0" fontId="7" fillId="0" borderId="0" xfId="0" applyFont="1" applyFill="1" applyBorder="1" applyAlignment="1"/>
    <xf numFmtId="0" fontId="7" fillId="0" borderId="1" xfId="0" applyFont="1" applyFill="1" applyBorder="1" applyAlignment="1"/>
    <xf numFmtId="0" fontId="7" fillId="4" borderId="1" xfId="0" applyFont="1" applyFill="1" applyBorder="1" applyAlignment="1">
      <alignment wrapText="1"/>
    </xf>
    <xf numFmtId="0" fontId="7" fillId="0" borderId="1" xfId="0" applyFont="1" applyFill="1" applyBorder="1" applyAlignment="1">
      <alignment wrapText="1"/>
    </xf>
    <xf numFmtId="6" fontId="7" fillId="0" borderId="1" xfId="0" applyNumberFormat="1" applyFont="1" applyFill="1" applyBorder="1" applyAlignment="1">
      <alignment wrapText="1"/>
    </xf>
    <xf numFmtId="6" fontId="9" fillId="4" borderId="4" xfId="0" applyNumberFormat="1" applyFont="1" applyFill="1" applyBorder="1" applyAlignment="1">
      <alignment wrapText="1"/>
    </xf>
    <xf numFmtId="0" fontId="9" fillId="0" borderId="1" xfId="0" applyFont="1" applyFill="1" applyBorder="1" applyAlignment="1">
      <alignment wrapText="1"/>
    </xf>
    <xf numFmtId="0" fontId="10" fillId="0" borderId="1" xfId="0" applyFont="1" applyFill="1" applyBorder="1" applyAlignment="1">
      <alignment wrapText="1"/>
    </xf>
    <xf numFmtId="6" fontId="9" fillId="0" borderId="1" xfId="0" applyNumberFormat="1" applyFont="1" applyFill="1" applyBorder="1" applyAlignment="1">
      <alignment wrapText="1"/>
    </xf>
    <xf numFmtId="6" fontId="9" fillId="4" borderId="1" xfId="0" applyNumberFormat="1" applyFont="1" applyFill="1" applyBorder="1" applyAlignment="1">
      <alignment wrapText="1"/>
    </xf>
    <xf numFmtId="0" fontId="2" fillId="0" borderId="1" xfId="0" applyFont="1" applyFill="1" applyBorder="1"/>
    <xf numFmtId="0" fontId="0" fillId="0" borderId="1" xfId="0" applyFont="1" applyFill="1" applyBorder="1"/>
    <xf numFmtId="0" fontId="10" fillId="0" borderId="11" xfId="0" applyFont="1" applyFill="1" applyBorder="1" applyAlignment="1">
      <alignment wrapText="1"/>
    </xf>
    <xf numFmtId="0" fontId="11" fillId="0" borderId="0" xfId="0" applyFont="1"/>
    <xf numFmtId="0" fontId="2" fillId="0" borderId="2" xfId="0" applyFont="1" applyFill="1" applyBorder="1" applyAlignment="1">
      <alignment vertical="top"/>
    </xf>
    <xf numFmtId="0" fontId="0" fillId="0" borderId="5" xfId="0" applyFont="1" applyFill="1" applyBorder="1" applyAlignment="1">
      <alignment vertical="top"/>
    </xf>
    <xf numFmtId="0" fontId="0" fillId="0" borderId="0" xfId="0" applyFont="1" applyFill="1" applyBorder="1" applyAlignment="1">
      <alignment vertical="top"/>
    </xf>
    <xf numFmtId="0" fontId="0" fillId="0" borderId="3" xfId="0" applyFont="1" applyFill="1" applyBorder="1" applyAlignment="1">
      <alignment vertical="top"/>
    </xf>
    <xf numFmtId="0" fontId="9" fillId="0" borderId="1" xfId="0" applyFont="1" applyFill="1" applyBorder="1" applyAlignment="1">
      <alignment horizontal="left" wrapText="1" indent="2"/>
    </xf>
    <xf numFmtId="0" fontId="2" fillId="0" borderId="1" xfId="0" applyFont="1" applyFill="1" applyBorder="1" applyAlignment="1">
      <alignment vertical="top"/>
    </xf>
    <xf numFmtId="0" fontId="7" fillId="0" borderId="1" xfId="0" applyFont="1" applyFill="1" applyBorder="1" applyAlignment="1">
      <alignment horizontal="left" wrapText="1" indent="2"/>
    </xf>
    <xf numFmtId="0" fontId="5" fillId="0" borderId="1" xfId="0" applyFont="1" applyBorder="1" applyAlignment="1">
      <alignment wrapText="1"/>
    </xf>
    <xf numFmtId="0" fontId="13" fillId="0" borderId="0" xfId="0" applyFont="1"/>
    <xf numFmtId="0" fontId="8" fillId="0" borderId="16" xfId="0" applyFont="1" applyBorder="1" applyAlignment="1">
      <alignment vertical="top" wrapText="1"/>
    </xf>
    <xf numFmtId="0" fontId="0" fillId="0" borderId="17" xfId="0" applyBorder="1"/>
    <xf numFmtId="0" fontId="6" fillId="0" borderId="18" xfId="0" applyFont="1" applyBorder="1" applyAlignment="1">
      <alignment vertical="top" wrapText="1"/>
    </xf>
    <xf numFmtId="6" fontId="0" fillId="0" borderId="0" xfId="0" applyNumberFormat="1"/>
    <xf numFmtId="6" fontId="7" fillId="0" borderId="0" xfId="0" applyNumberFormat="1" applyFont="1" applyFill="1" applyBorder="1" applyAlignment="1"/>
    <xf numFmtId="0" fontId="12" fillId="5" borderId="8" xfId="0" applyFont="1" applyFill="1" applyBorder="1" applyAlignment="1"/>
    <xf numFmtId="0" fontId="1" fillId="5" borderId="7" xfId="0" applyFont="1" applyFill="1" applyBorder="1" applyAlignment="1">
      <alignment wrapText="1"/>
    </xf>
    <xf numFmtId="0" fontId="1" fillId="5" borderId="6" xfId="0" applyFont="1" applyFill="1" applyBorder="1" applyAlignment="1">
      <alignment wrapText="1"/>
    </xf>
    <xf numFmtId="0" fontId="10" fillId="6" borderId="13" xfId="0" applyFont="1" applyFill="1" applyBorder="1" applyAlignment="1">
      <alignment wrapText="1"/>
    </xf>
    <xf numFmtId="0" fontId="10" fillId="6" borderId="14" xfId="0" applyFont="1" applyFill="1" applyBorder="1" applyAlignment="1">
      <alignment wrapText="1"/>
    </xf>
    <xf numFmtId="0" fontId="10" fillId="6" borderId="15" xfId="0" applyFont="1" applyFill="1" applyBorder="1" applyAlignment="1">
      <alignment wrapText="1"/>
    </xf>
    <xf numFmtId="0" fontId="10" fillId="6" borderId="7" xfId="0" applyFont="1" applyFill="1" applyBorder="1" applyAlignment="1">
      <alignment wrapText="1"/>
    </xf>
    <xf numFmtId="0" fontId="10" fillId="6" borderId="3" xfId="0" applyFont="1" applyFill="1" applyBorder="1" applyAlignment="1"/>
    <xf numFmtId="0" fontId="0" fillId="0" borderId="0" xfId="0" applyAlignment="1">
      <alignment vertical="top"/>
    </xf>
    <xf numFmtId="0" fontId="7" fillId="0" borderId="0" xfId="0" applyFont="1"/>
    <xf numFmtId="0" fontId="12" fillId="2" borderId="8" xfId="0" applyFont="1" applyFill="1" applyBorder="1"/>
    <xf numFmtId="0" fontId="1" fillId="2" borderId="7" xfId="0" applyFont="1" applyFill="1" applyBorder="1" applyAlignment="1">
      <alignment wrapText="1"/>
    </xf>
    <xf numFmtId="0" fontId="10" fillId="3" borderId="13" xfId="0" applyFont="1" applyFill="1" applyBorder="1" applyAlignment="1">
      <alignment wrapText="1"/>
    </xf>
    <xf numFmtId="0" fontId="10" fillId="3" borderId="14" xfId="0" applyFont="1" applyFill="1" applyBorder="1" applyAlignment="1">
      <alignment wrapText="1"/>
    </xf>
    <xf numFmtId="0" fontId="10" fillId="3" borderId="15" xfId="0" applyFont="1" applyFill="1" applyBorder="1" applyAlignment="1">
      <alignment wrapText="1"/>
    </xf>
    <xf numFmtId="0" fontId="10" fillId="3" borderId="7" xfId="0" applyFont="1" applyFill="1" applyBorder="1" applyAlignment="1">
      <alignment wrapText="1"/>
    </xf>
    <xf numFmtId="0" fontId="2" fillId="0" borderId="2" xfId="0" applyFont="1" applyBorder="1" applyAlignment="1">
      <alignment vertical="top"/>
    </xf>
    <xf numFmtId="0" fontId="7" fillId="7" borderId="1" xfId="0" applyFont="1" applyFill="1" applyBorder="1" applyAlignment="1">
      <alignment wrapText="1"/>
    </xf>
    <xf numFmtId="6" fontId="9" fillId="7" borderId="1" xfId="0" applyNumberFormat="1" applyFont="1" applyFill="1" applyBorder="1" applyAlignment="1">
      <alignment wrapText="1"/>
    </xf>
    <xf numFmtId="0" fontId="7" fillId="8" borderId="0" xfId="0" applyFont="1" applyFill="1"/>
    <xf numFmtId="0" fontId="0" fillId="0" borderId="5" xfId="0" applyBorder="1" applyAlignment="1">
      <alignment vertical="top"/>
    </xf>
    <xf numFmtId="0" fontId="0" fillId="0" borderId="3" xfId="0" applyBorder="1" applyAlignment="1">
      <alignment vertical="top"/>
    </xf>
    <xf numFmtId="0" fontId="10" fillId="0" borderId="11" xfId="0" applyFont="1" applyBorder="1" applyAlignment="1">
      <alignment wrapText="1"/>
    </xf>
    <xf numFmtId="6" fontId="10" fillId="0" borderId="19" xfId="0" applyNumberFormat="1" applyFont="1" applyBorder="1" applyAlignment="1">
      <alignment wrapText="1"/>
    </xf>
    <xf numFmtId="0" fontId="10" fillId="0" borderId="0" xfId="0" applyFont="1"/>
    <xf numFmtId="0" fontId="10" fillId="3" borderId="20" xfId="0" applyFont="1" applyFill="1" applyBorder="1" applyAlignment="1">
      <alignment wrapText="1"/>
    </xf>
    <xf numFmtId="6" fontId="9" fillId="7" borderId="8" xfId="0" applyNumberFormat="1" applyFont="1" applyFill="1" applyBorder="1" applyAlignment="1">
      <alignment wrapText="1"/>
    </xf>
    <xf numFmtId="6" fontId="7" fillId="4" borderId="1" xfId="0" applyNumberFormat="1" applyFont="1" applyFill="1" applyBorder="1" applyAlignment="1">
      <alignment wrapText="1"/>
    </xf>
    <xf numFmtId="0" fontId="13" fillId="0" borderId="0" xfId="0" applyFont="1" applyBorder="1"/>
    <xf numFmtId="0" fontId="0" fillId="0" borderId="0" xfId="0" applyBorder="1"/>
    <xf numFmtId="6" fontId="9" fillId="0" borderId="0" xfId="0" applyNumberFormat="1" applyFont="1" applyFill="1" applyBorder="1" applyAlignment="1">
      <alignment vertical="top" wrapText="1"/>
    </xf>
    <xf numFmtId="0" fontId="0" fillId="0" borderId="0" xfId="0" applyBorder="1" applyAlignment="1">
      <alignment wrapText="1"/>
    </xf>
    <xf numFmtId="0" fontId="10" fillId="0" borderId="21" xfId="0" applyFont="1" applyBorder="1" applyAlignment="1">
      <alignment wrapText="1"/>
    </xf>
    <xf numFmtId="0" fontId="0" fillId="0" borderId="1" xfId="0" applyBorder="1" applyAlignment="1">
      <alignment vertical="top"/>
    </xf>
    <xf numFmtId="0" fontId="1" fillId="2" borderId="1" xfId="0" applyFont="1" applyFill="1" applyBorder="1" applyAlignment="1">
      <alignment wrapText="1"/>
    </xf>
    <xf numFmtId="0" fontId="10" fillId="3" borderId="1" xfId="0" applyFont="1" applyFill="1" applyBorder="1"/>
    <xf numFmtId="0" fontId="0" fillId="0" borderId="1" xfId="0" applyBorder="1"/>
    <xf numFmtId="6" fontId="10" fillId="0" borderId="1" xfId="0" applyNumberFormat="1" applyFont="1" applyBorder="1" applyAlignment="1">
      <alignment wrapText="1"/>
    </xf>
    <xf numFmtId="0" fontId="2" fillId="0" borderId="2" xfId="0" applyFont="1" applyFill="1" applyBorder="1" applyAlignment="1">
      <alignment vertical="top" wrapText="1"/>
    </xf>
    <xf numFmtId="0" fontId="14" fillId="0" borderId="1" xfId="0" applyFont="1" applyFill="1" applyBorder="1" applyAlignment="1">
      <alignment horizontal="left" wrapText="1"/>
    </xf>
    <xf numFmtId="6" fontId="14" fillId="0" borderId="1" xfId="0" applyNumberFormat="1" applyFont="1" applyFill="1" applyBorder="1" applyAlignment="1">
      <alignment wrapText="1"/>
    </xf>
    <xf numFmtId="6" fontId="15" fillId="0" borderId="0" xfId="0" applyNumberFormat="1" applyFont="1" applyFill="1" applyBorder="1" applyAlignment="1"/>
    <xf numFmtId="6" fontId="14" fillId="4" borderId="1" xfId="0" applyNumberFormat="1" applyFont="1" applyFill="1" applyBorder="1" applyAlignment="1">
      <alignment wrapText="1"/>
    </xf>
    <xf numFmtId="0" fontId="15" fillId="0" borderId="0" xfId="0" applyFont="1" applyFill="1" applyBorder="1" applyAlignment="1"/>
    <xf numFmtId="6" fontId="16" fillId="0" borderId="12" xfId="0" applyNumberFormat="1" applyFont="1" applyFill="1" applyBorder="1" applyAlignment="1">
      <alignment wrapText="1"/>
    </xf>
    <xf numFmtId="6" fontId="15" fillId="0" borderId="1" xfId="0" applyNumberFormat="1" applyFont="1" applyFill="1" applyBorder="1" applyAlignment="1">
      <alignment wrapText="1"/>
    </xf>
    <xf numFmtId="6" fontId="14" fillId="7" borderId="1" xfId="0" applyNumberFormat="1" applyFont="1" applyFill="1" applyBorder="1" applyAlignment="1">
      <alignment horizontal="left" vertical="top" wrapText="1"/>
    </xf>
    <xf numFmtId="6" fontId="14" fillId="7" borderId="8" xfId="0" applyNumberFormat="1" applyFont="1" applyFill="1" applyBorder="1" applyAlignment="1">
      <alignment wrapText="1"/>
    </xf>
    <xf numFmtId="0" fontId="15" fillId="0" borderId="1" xfId="0" applyFont="1" applyBorder="1" applyAlignment="1">
      <alignment wrapText="1"/>
    </xf>
    <xf numFmtId="0" fontId="15" fillId="0" borderId="0" xfId="0" applyFont="1" applyAlignment="1">
      <alignment wrapText="1"/>
    </xf>
    <xf numFmtId="6" fontId="14" fillId="4" borderId="4" xfId="0" applyNumberFormat="1" applyFont="1" applyFill="1" applyBorder="1" applyAlignment="1">
      <alignment wrapText="1"/>
    </xf>
    <xf numFmtId="6" fontId="0" fillId="0" borderId="0" xfId="0" applyNumberFormat="1" applyFont="1" applyFill="1" applyBorder="1"/>
    <xf numFmtId="8" fontId="7" fillId="0" borderId="1" xfId="0" applyNumberFormat="1" applyFont="1" applyFill="1" applyBorder="1" applyAlignment="1">
      <alignment wrapText="1"/>
    </xf>
    <xf numFmtId="8" fontId="0" fillId="0" borderId="0" xfId="0" applyNumberFormat="1" applyFont="1" applyFill="1" applyBorder="1"/>
    <xf numFmtId="0" fontId="15" fillId="0" borderId="1" xfId="0" applyFont="1" applyFill="1" applyBorder="1" applyAlignment="1">
      <alignment horizontal="left" wrapText="1"/>
    </xf>
    <xf numFmtId="5" fontId="9" fillId="4" borderId="4" xfId="0" applyNumberFormat="1" applyFont="1" applyFill="1" applyBorder="1" applyAlignment="1">
      <alignment wrapText="1"/>
    </xf>
    <xf numFmtId="6" fontId="14" fillId="7" borderId="1" xfId="0" applyNumberFormat="1" applyFont="1" applyFill="1" applyBorder="1" applyAlignment="1">
      <alignment wrapText="1"/>
    </xf>
    <xf numFmtId="0" fontId="15" fillId="0" borderId="0" xfId="0" applyFont="1" applyFill="1" applyAlignment="1">
      <alignment wrapText="1"/>
    </xf>
    <xf numFmtId="8" fontId="0" fillId="0" borderId="0" xfId="0" applyNumberFormat="1"/>
    <xf numFmtId="0" fontId="3" fillId="0" borderId="0" xfId="0" applyFont="1" applyAlignment="1">
      <alignment horizontal="left" wrapText="1"/>
    </xf>
    <xf numFmtId="9" fontId="9" fillId="7" borderId="1" xfId="2" applyFont="1" applyFill="1" applyBorder="1" applyAlignment="1">
      <alignment horizontal="center" wrapText="1"/>
    </xf>
    <xf numFmtId="9" fontId="14" fillId="7" borderId="1" xfId="2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10" fillId="3" borderId="1" xfId="0" applyFont="1" applyFill="1" applyBorder="1" applyAlignment="1">
      <alignment horizontal="center" wrapText="1"/>
    </xf>
  </cellXfs>
  <cellStyles count="4">
    <cellStyle name="Currency" xfId="1" builtinId="4"/>
    <cellStyle name="Heading 3 2 3 2" xfId="3" xr:uid="{52986E7F-B397-4711-899B-89E2BF266D79}"/>
    <cellStyle name="Normal" xfId="0" builtinId="0"/>
    <cellStyle name="Percent" xfId="2" builtinId="5"/>
  </cellStyles>
  <dxfs count="0"/>
  <tableStyles count="0" defaultTableStyle="TableStyleMedium2" defaultPivotStyle="PivotStyleLight16"/>
  <colors>
    <mruColors>
      <color rgb="FFEDF1F9"/>
      <color rgb="FFEDD1D1"/>
      <color rgb="FFE0E6F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Relationship Id="rId14" Type="http://schemas.openxmlformats.org/officeDocument/2006/relationships/customXml" Target="../customXml/item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28229</xdr:colOff>
      <xdr:row>0</xdr:row>
      <xdr:rowOff>83389</xdr:rowOff>
    </xdr:from>
    <xdr:to>
      <xdr:col>14</xdr:col>
      <xdr:colOff>95250</xdr:colOff>
      <xdr:row>10</xdr:row>
      <xdr:rowOff>169334</xdr:rowOff>
    </xdr:to>
    <xdr:sp macro="" textlink="">
      <xdr:nvSpPr>
        <xdr:cNvPr id="5" name="Rectangle 1">
          <a:extLst>
            <a:ext uri="{FF2B5EF4-FFF2-40B4-BE49-F238E27FC236}">
              <a16:creationId xmlns:a16="http://schemas.microsoft.com/office/drawing/2014/main" id="{FD1992C7-AA22-4941-9568-B6DA7EAA81E5}"/>
            </a:ext>
          </a:extLst>
        </xdr:cNvPr>
        <xdr:cNvSpPr/>
      </xdr:nvSpPr>
      <xdr:spPr>
        <a:xfrm>
          <a:off x="155229" y="83389"/>
          <a:ext cx="10523354" cy="1320667"/>
        </a:xfrm>
        <a:prstGeom prst="rect">
          <a:avLst/>
        </a:prstGeom>
        <a:solidFill>
          <a:schemeClr val="accent6">
            <a:lumMod val="75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800" b="1"/>
            <a:t>Introduction: </a:t>
          </a:r>
          <a:endParaRPr lang="en-US" sz="1800" b="0"/>
        </a:p>
        <a:p>
          <a:pPr algn="l"/>
          <a:r>
            <a:rPr lang="en-US" sz="1400" b="0"/>
            <a:t>This Excel Spreadsheet is provided </a:t>
          </a:r>
          <a:r>
            <a:rPr lang="en-US" sz="1400"/>
            <a:t>to aid Climate Pollution Reduction Grant</a:t>
          </a:r>
          <a:r>
            <a:rPr lang="en-US" sz="1400" baseline="0"/>
            <a:t> implementation grant </a:t>
          </a:r>
          <a:r>
            <a:rPr lang="en-US" sz="1400"/>
            <a:t>applicants in developing the required budget table(s) within the budget narrative.  </a:t>
          </a:r>
          <a:r>
            <a:rPr lang="en-US" sz="140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Applicants may submit a budget spreadsheet (no page limit) with their application.</a:t>
          </a:r>
          <a:endParaRPr lang="en-US" sz="1400"/>
        </a:p>
        <a:p>
          <a:pPr algn="l"/>
          <a:endParaRPr lang="en-US" sz="1400"/>
        </a:p>
        <a:p>
          <a:pPr algn="l"/>
          <a:r>
            <a:rPr lang="en-US" sz="1400"/>
            <a:t>The</a:t>
          </a:r>
          <a:r>
            <a:rPr lang="en-US" sz="1400" baseline="0"/>
            <a:t> individual worksheets are formatted for 1 page width of 8.5" x 11" landscape orientation.</a:t>
          </a:r>
          <a:endParaRPr lang="en-US" sz="1400" b="0"/>
        </a:p>
      </xdr:txBody>
    </xdr:sp>
    <xdr:clientData/>
  </xdr:twoCellAnchor>
  <xdr:twoCellAnchor>
    <xdr:from>
      <xdr:col>1</xdr:col>
      <xdr:colOff>41787</xdr:colOff>
      <xdr:row>9</xdr:row>
      <xdr:rowOff>174298</xdr:rowOff>
    </xdr:from>
    <xdr:to>
      <xdr:col>14</xdr:col>
      <xdr:colOff>86391</xdr:colOff>
      <xdr:row>40</xdr:row>
      <xdr:rowOff>142875</xdr:rowOff>
    </xdr:to>
    <xdr:sp macro="" textlink="">
      <xdr:nvSpPr>
        <xdr:cNvPr id="294" name="Rectangle 2">
          <a:extLst>
            <a:ext uri="{FF2B5EF4-FFF2-40B4-BE49-F238E27FC236}">
              <a16:creationId xmlns:a16="http://schemas.microsoft.com/office/drawing/2014/main" id="{C2E9A354-A79D-41A6-AB37-77B1C72CD66E}"/>
            </a:ext>
          </a:extLst>
        </xdr:cNvPr>
        <xdr:cNvSpPr/>
      </xdr:nvSpPr>
      <xdr:spPr>
        <a:xfrm>
          <a:off x="168787" y="1222048"/>
          <a:ext cx="10522104" cy="5747077"/>
        </a:xfrm>
        <a:prstGeom prst="rect">
          <a:avLst/>
        </a:prstGeom>
        <a:solidFill>
          <a:schemeClr val="accent6">
            <a:lumMod val="75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800" b="1"/>
            <a:t>Instructions:  </a:t>
          </a:r>
        </a:p>
        <a:p>
          <a:pPr algn="l"/>
          <a:r>
            <a:rPr lang="en-US" sz="1400" b="0" baseline="0"/>
            <a:t>The template contains 5 tabs (titled "Measure 1 Budget" through "Measure 5 Budget") where applicants can create budgets for up to 5 discrete GHG measures contained in their application. Applicants should leave excess tabs blank (ie, if an application is for a single GHG measure, only Tab 1 should contain any numerical entries.) The Consolidated Budget tab will automatically sum budget totals across all GHG measure Tabs.  If an application includes more than 5 GHG measures, users may add duplicate tabs, but will need to manually update the formulas contained on the Consolidated Budget tab.</a:t>
          </a:r>
        </a:p>
        <a:p>
          <a:pPr algn="l"/>
          <a:endParaRPr lang="en-US" sz="1400" b="1" baseline="0"/>
        </a:p>
        <a:p>
          <a:pPr algn="l"/>
          <a:r>
            <a:rPr lang="en-US" sz="1400" b="1" baseline="0"/>
            <a:t>Measure Tab Instructions:</a:t>
          </a:r>
        </a:p>
        <a:p>
          <a:pPr algn="l"/>
          <a:r>
            <a:rPr lang="en-US" sz="1400" b="0" baseline="0"/>
            <a:t>Below is a description of the steps an applicant should complete to finish each measure tab of the template. </a:t>
          </a:r>
        </a:p>
        <a:p>
          <a:pPr algn="l"/>
          <a:r>
            <a:rPr lang="en-US" sz="1400" b="0" baseline="0"/>
            <a:t>- </a:t>
          </a:r>
          <a:r>
            <a:rPr lang="en-US" sz="1400" b="1" baseline="0"/>
            <a:t>In column C,</a:t>
          </a:r>
          <a:r>
            <a:rPr lang="en-US" sz="1400" b="0" baseline="0"/>
            <a:t> provide itemized costs descriptions in each cost category. Insert or delete rows as needed.</a:t>
          </a:r>
        </a:p>
        <a:p>
          <a:pPr algn="l"/>
          <a:endParaRPr lang="en-US" sz="1400" b="0" baseline="0"/>
        </a:p>
        <a:p>
          <a:pPr algn="l"/>
          <a:r>
            <a:rPr lang="en-US" sz="1400" b="0" baseline="0"/>
            <a:t>- </a:t>
          </a:r>
          <a:r>
            <a:rPr lang="en-US" sz="1400" b="1" baseline="0"/>
            <a:t>In columns D through H,</a:t>
          </a:r>
          <a:r>
            <a:rPr lang="en-US" sz="1400" b="0" baseline="0"/>
            <a:t> fill in the cost for the line item per year - personnel, fringe benefits, travel, equipment, installation, or labor supplies, contractual costs, and other direct costs (i.e., subawards, participant support costs), and indirect costs for each applicable year. Subtotals will calculate automatically.</a:t>
          </a:r>
        </a:p>
        <a:p>
          <a:pPr algn="l"/>
          <a:endParaRPr lang="en-US" sz="1400" b="0" baseline="0"/>
        </a:p>
        <a:p>
          <a:pPr algn="l"/>
          <a:r>
            <a:rPr lang="en-US" sz="1400" b="0" baseline="0"/>
            <a:t>- </a:t>
          </a:r>
          <a:r>
            <a:rPr lang="en-US" sz="1400" b="1" baseline="0"/>
            <a:t>Column J </a:t>
          </a:r>
          <a:r>
            <a:rPr lang="en-US" sz="1400" b="0" baseline="0"/>
            <a:t>will automatically calculate the total cost for the line item for the entire measure, including subtotals for each budget category - personnel, fringe benefits, travel, equipment, installation, or labor supplies, contractual costs, and other direct costs (i.e., subawards, participant support costs), and indirect costs. </a:t>
          </a:r>
        </a:p>
        <a:p>
          <a:pPr algn="l"/>
          <a:endParaRPr lang="en-US" sz="1400" b="0" baseline="0"/>
        </a:p>
        <a:p>
          <a:pPr algn="l"/>
          <a:r>
            <a:rPr lang="en-US" sz="1400" b="0" baseline="0"/>
            <a:t>Please check all formulas and calculations before finalizing your budget tables.</a:t>
          </a:r>
        </a:p>
        <a:p>
          <a:pPr algn="l"/>
          <a:endParaRPr lang="en-US" sz="1400" b="0" baseline="0"/>
        </a:p>
        <a:p>
          <a:pPr algn="l"/>
          <a:r>
            <a:rPr lang="en-US" sz="1400" b="1" baseline="0"/>
            <a:t>Consolidated Budget Instructions:</a:t>
          </a:r>
        </a:p>
        <a:p>
          <a:pPr algn="l"/>
          <a:r>
            <a:rPr lang="en-US" sz="1400" b="0" baseline="0"/>
            <a:t>This table will update automatically based on the budget detail entered in the tabs for measures 1-5. If your application includes more than 5 individual measures, you will need to add additional tabs, update the formulas below, and add additional lines to the "Budget by Project" table to include the additional measures.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A5BF4F-A53F-426F-B2F9-1F2AFC00110F}">
  <dimension ref="D1:R28"/>
  <sheetViews>
    <sheetView showGridLines="0" zoomScale="90" zoomScaleNormal="90" workbookViewId="0">
      <selection activeCell="F58" sqref="F58"/>
    </sheetView>
  </sheetViews>
  <sheetFormatPr defaultRowHeight="15" x14ac:dyDescent="0.25"/>
  <cols>
    <col min="1" max="1" width="1.85546875" customWidth="1"/>
    <col min="5" max="5" width="13.42578125" bestFit="1" customWidth="1"/>
    <col min="6" max="6" width="14.42578125" bestFit="1" customWidth="1"/>
    <col min="7" max="9" width="14.42578125" customWidth="1"/>
    <col min="10" max="10" width="10.85546875" bestFit="1" customWidth="1"/>
    <col min="11" max="11" width="15.5703125" customWidth="1"/>
    <col min="18" max="18" width="37.5703125" customWidth="1"/>
  </cols>
  <sheetData>
    <row r="1" spans="4:11" ht="10.5" customHeight="1" x14ac:dyDescent="0.25"/>
    <row r="2" spans="4:11" x14ac:dyDescent="0.25">
      <c r="D2" s="4"/>
      <c r="E2" s="4"/>
      <c r="J2" s="37"/>
      <c r="K2" s="4"/>
    </row>
    <row r="3" spans="4:11" x14ac:dyDescent="0.25">
      <c r="D3" s="4"/>
      <c r="E3" s="4"/>
      <c r="J3" s="35"/>
      <c r="K3" s="36"/>
    </row>
    <row r="4" spans="4:11" x14ac:dyDescent="0.25">
      <c r="D4" s="5"/>
      <c r="E4" s="4"/>
    </row>
    <row r="9" spans="4:11" x14ac:dyDescent="0.25">
      <c r="J9" s="25"/>
    </row>
    <row r="17" spans="5:18" x14ac:dyDescent="0.25">
      <c r="E17" s="38"/>
      <c r="F17" s="38"/>
      <c r="G17" s="38"/>
      <c r="H17" s="38"/>
      <c r="I17" s="38"/>
    </row>
    <row r="18" spans="5:18" x14ac:dyDescent="0.25">
      <c r="E18" s="38"/>
      <c r="F18" s="38"/>
      <c r="G18" s="38"/>
      <c r="H18" s="38"/>
      <c r="I18" s="38"/>
    </row>
    <row r="27" spans="5:18" ht="23.25" x14ac:dyDescent="0.35">
      <c r="Q27" s="68"/>
      <c r="R27" s="69"/>
    </row>
    <row r="28" spans="5:18" x14ac:dyDescent="0.25">
      <c r="Q28" s="70"/>
      <c r="R28" s="71"/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C96326-4914-48E0-ADF2-3E1029E57328}">
  <sheetPr>
    <tabColor theme="9" tint="-0.249977111117893"/>
  </sheetPr>
  <dimension ref="B2:AM27"/>
  <sheetViews>
    <sheetView showGridLines="0" tabSelected="1" zoomScale="126" zoomScaleNormal="85" workbookViewId="0">
      <selection activeCell="L19" sqref="L19"/>
    </sheetView>
  </sheetViews>
  <sheetFormatPr defaultColWidth="9.140625" defaultRowHeight="15" customHeight="1" x14ac:dyDescent="0.25"/>
  <cols>
    <col min="1" max="1" width="3.140625" customWidth="1"/>
    <col min="2" max="2" width="12.140625" customWidth="1"/>
    <col min="3" max="3" width="29.140625" customWidth="1"/>
    <col min="4" max="4" width="12.85546875" style="48" bestFit="1" customWidth="1"/>
    <col min="5" max="5" width="12.7109375" style="3" bestFit="1" customWidth="1"/>
    <col min="6" max="6" width="12.140625" customWidth="1"/>
    <col min="7" max="7" width="11.42578125" customWidth="1"/>
    <col min="8" max="8" width="12" style="3" customWidth="1"/>
    <col min="9" max="9" width="3.5703125" style="49" customWidth="1"/>
    <col min="10" max="10" width="12.7109375" bestFit="1" customWidth="1"/>
    <col min="11" max="11" width="10.140625" customWidth="1"/>
  </cols>
  <sheetData>
    <row r="2" spans="2:39" ht="23.25" x14ac:dyDescent="0.35">
      <c r="B2" s="34" t="s">
        <v>0</v>
      </c>
    </row>
    <row r="3" spans="2:39" ht="26.45" customHeight="1" x14ac:dyDescent="0.25">
      <c r="B3" s="99" t="s">
        <v>1</v>
      </c>
      <c r="C3" s="99"/>
      <c r="D3" s="99"/>
      <c r="E3" s="99"/>
      <c r="F3" s="99"/>
      <c r="G3" s="99"/>
      <c r="H3" s="99"/>
      <c r="I3" s="99"/>
      <c r="J3" s="99"/>
    </row>
    <row r="4" spans="2:39" ht="15" customHeight="1" x14ac:dyDescent="0.25">
      <c r="B4" s="7"/>
    </row>
    <row r="5" spans="2:39" ht="18.75" x14ac:dyDescent="0.3">
      <c r="B5" s="50" t="s">
        <v>2</v>
      </c>
      <c r="C5" s="51"/>
      <c r="D5" s="51"/>
      <c r="E5" s="51"/>
      <c r="F5" s="51"/>
      <c r="G5" s="51"/>
      <c r="H5" s="51"/>
      <c r="I5" s="51"/>
      <c r="J5" s="74"/>
    </row>
    <row r="6" spans="2:39" ht="17.100000000000001" customHeight="1" x14ac:dyDescent="0.25">
      <c r="B6" s="52" t="s">
        <v>3</v>
      </c>
      <c r="C6" s="52" t="s">
        <v>4</v>
      </c>
      <c r="D6" s="52" t="s">
        <v>5</v>
      </c>
      <c r="E6" s="53" t="s">
        <v>6</v>
      </c>
      <c r="F6" s="53" t="s">
        <v>7</v>
      </c>
      <c r="G6" s="53" t="s">
        <v>8</v>
      </c>
      <c r="H6" s="54" t="s">
        <v>9</v>
      </c>
      <c r="I6" s="55"/>
      <c r="J6" s="75" t="s">
        <v>10</v>
      </c>
    </row>
    <row r="7" spans="2:39" s="7" customFormat="1" x14ac:dyDescent="0.25">
      <c r="B7" s="56" t="s">
        <v>11</v>
      </c>
      <c r="C7" s="57" t="s">
        <v>12</v>
      </c>
      <c r="D7" s="96">
        <f>'HSOW Component'!D9+'RNG Component'!D9+'Centrifuge Component'!D9+'Silo AnDig Component'!D9</f>
        <v>0</v>
      </c>
      <c r="E7" s="96">
        <f>'HSOW Component'!E9+'RNG Component'!E9+'Centrifuge Component'!E9+'Silo AnDig Component'!E9</f>
        <v>0</v>
      </c>
      <c r="F7" s="96">
        <f>'HSOW Component'!F9+'RNG Component'!F9+'Centrifuge Component'!F9+'Silo AnDig Component'!F9</f>
        <v>0</v>
      </c>
      <c r="G7" s="96">
        <f>'HSOW Component'!G9+'RNG Component'!G9+'Centrifuge Component'!G9+'Silo AnDig Component'!G9</f>
        <v>0</v>
      </c>
      <c r="H7" s="96">
        <f>'HSOW Component'!H9+'RNG Component'!H9+'Centrifuge Component'!H9+'Silo AnDig Component'!H9</f>
        <v>0</v>
      </c>
      <c r="I7" s="59"/>
      <c r="J7" s="96">
        <f>SUM(D7:I7)</f>
        <v>0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x14ac:dyDescent="0.25">
      <c r="B8" s="60"/>
      <c r="C8" s="57" t="s">
        <v>13</v>
      </c>
      <c r="D8" s="96">
        <f>'HSOW Component'!D12+'RNG Component'!D12+'Centrifuge Component'!D12+'Silo AnDig Component'!D12</f>
        <v>0</v>
      </c>
      <c r="E8" s="96">
        <f>'HSOW Component'!E12+'RNG Component'!E12+'Centrifuge Component'!E12+'Silo AnDig Component'!E12</f>
        <v>0</v>
      </c>
      <c r="F8" s="96">
        <f>'HSOW Component'!F12+'RNG Component'!F12+'Centrifuge Component'!F12+'Silo AnDig Component'!F12</f>
        <v>0</v>
      </c>
      <c r="G8" s="96">
        <f>'HSOW Component'!G12+'RNG Component'!G12+'Centrifuge Component'!G12+'Silo AnDig Component'!G12</f>
        <v>0</v>
      </c>
      <c r="H8" s="96">
        <f>'HSOW Component'!H12+'RNG Component'!H12+'Centrifuge Component'!H12+'Silo AnDig Component'!H12</f>
        <v>0</v>
      </c>
      <c r="I8" s="59"/>
      <c r="J8" s="96">
        <f t="shared" ref="J8:J15" si="0">SUM(D8:I8)</f>
        <v>0</v>
      </c>
    </row>
    <row r="9" spans="2:39" x14ac:dyDescent="0.25">
      <c r="B9" s="60"/>
      <c r="C9" s="57" t="s">
        <v>14</v>
      </c>
      <c r="D9" s="96">
        <f>'HSOW Component'!D15+'RNG Component'!D15+'Centrifuge Component'!D15+'Silo AnDig Component'!D15</f>
        <v>0</v>
      </c>
      <c r="E9" s="96">
        <f>'HSOW Component'!E15+'RNG Component'!E15+'Centrifuge Component'!E15+'Silo AnDig Component'!E15</f>
        <v>0</v>
      </c>
      <c r="F9" s="96">
        <f>'HSOW Component'!F15+'RNG Component'!F15+'Centrifuge Component'!F15+'Silo AnDig Component'!F15</f>
        <v>0</v>
      </c>
      <c r="G9" s="96">
        <f>'HSOW Component'!G15+'RNG Component'!G15+'Centrifuge Component'!G15+'Silo AnDig Component'!G15</f>
        <v>0</v>
      </c>
      <c r="H9" s="96">
        <f>'HSOW Component'!H15+'RNG Component'!H15+'Centrifuge Component'!H15+'Silo AnDig Component'!H15</f>
        <v>0</v>
      </c>
      <c r="I9" s="59"/>
      <c r="J9" s="96">
        <f t="shared" si="0"/>
        <v>0</v>
      </c>
    </row>
    <row r="10" spans="2:39" x14ac:dyDescent="0.25">
      <c r="B10" s="60"/>
      <c r="C10" s="57" t="s">
        <v>15</v>
      </c>
      <c r="D10" s="96">
        <f>'HSOW Component'!D19+'RNG Component'!D25+'Centrifuge Component'!D23+'Silo AnDig Component'!D28</f>
        <v>0</v>
      </c>
      <c r="E10" s="96">
        <f>'HSOW Component'!E19+'RNG Component'!E25+'Centrifuge Component'!E23+'Silo AnDig Component'!E28</f>
        <v>7166987.8685487416</v>
      </c>
      <c r="F10" s="96">
        <f>'HSOW Component'!F19+'RNG Component'!F25+'Centrifuge Component'!F23+'Silo AnDig Component'!F28</f>
        <v>0</v>
      </c>
      <c r="G10" s="96">
        <f>'HSOW Component'!G19+'RNG Component'!G25+'Centrifuge Component'!G23+'Silo AnDig Component'!G28</f>
        <v>0</v>
      </c>
      <c r="H10" s="96">
        <f>'HSOW Component'!H19+'RNG Component'!H25+'Centrifuge Component'!H23+'Silo AnDig Component'!H28</f>
        <v>0</v>
      </c>
      <c r="I10" s="59"/>
      <c r="J10" s="96">
        <f t="shared" si="0"/>
        <v>7166987.8685487416</v>
      </c>
    </row>
    <row r="11" spans="2:39" x14ac:dyDescent="0.25">
      <c r="B11" s="60"/>
      <c r="C11" s="57" t="s">
        <v>16</v>
      </c>
      <c r="D11" s="96">
        <f>'HSOW Component'!D22+'RNG Component'!D28+'Centrifuge Component'!D26+'Silo AnDig Component'!D31</f>
        <v>0</v>
      </c>
      <c r="E11" s="96">
        <f>'HSOW Component'!E22+'RNG Component'!E28+'Centrifuge Component'!E26+'Silo AnDig Component'!E31</f>
        <v>0</v>
      </c>
      <c r="F11" s="96">
        <f>'HSOW Component'!F22+'RNG Component'!F28+'Centrifuge Component'!F26+'Silo AnDig Component'!F31</f>
        <v>0</v>
      </c>
      <c r="G11" s="96">
        <f>'HSOW Component'!G22+'RNG Component'!G28+'Centrifuge Component'!G26+'Silo AnDig Component'!G31</f>
        <v>0</v>
      </c>
      <c r="H11" s="96">
        <f>'HSOW Component'!H22+'RNG Component'!H28+'Centrifuge Component'!H26+'Silo AnDig Component'!H31</f>
        <v>0</v>
      </c>
      <c r="I11" s="59"/>
      <c r="J11" s="96">
        <f t="shared" si="0"/>
        <v>0</v>
      </c>
    </row>
    <row r="12" spans="2:39" x14ac:dyDescent="0.25">
      <c r="B12" s="60"/>
      <c r="C12" s="57" t="s">
        <v>47</v>
      </c>
      <c r="D12" s="96">
        <f>'HSOW Component'!D32+'RNG Component'!D38+'Centrifuge Component'!D36+'Silo AnDig Component'!D41</f>
        <v>0</v>
      </c>
      <c r="E12" s="96">
        <f>'HSOW Component'!E32+'RNG Component'!E38+'Centrifuge Component'!E36+'Silo AnDig Component'!E41</f>
        <v>16733836.560217265</v>
      </c>
      <c r="F12" s="96">
        <f>'HSOW Component'!F32+'RNG Component'!F38+'Centrifuge Component'!F36+'Silo AnDig Component'!F41</f>
        <v>14656980.205964223</v>
      </c>
      <c r="G12" s="96">
        <f>'HSOW Component'!G32+'RNG Component'!G38+'Centrifuge Component'!G36+'Silo AnDig Component'!G41</f>
        <v>3705997.9822476604</v>
      </c>
      <c r="H12" s="96">
        <f>'HSOW Component'!H32+'RNG Component'!H38+'Centrifuge Component'!H36+'Silo AnDig Component'!H41</f>
        <v>0</v>
      </c>
      <c r="I12" s="59"/>
      <c r="J12" s="96">
        <f t="shared" si="0"/>
        <v>35096814.748429149</v>
      </c>
    </row>
    <row r="13" spans="2:39" x14ac:dyDescent="0.25">
      <c r="B13" s="60"/>
      <c r="C13" s="57" t="s">
        <v>74</v>
      </c>
      <c r="D13" s="96">
        <f>'HSOW Component'!D36+'RNG Component'!D43+'Centrifuge Component'!D40+'Silo AnDig Component'!D45</f>
        <v>4606754.4852505904</v>
      </c>
      <c r="E13" s="96">
        <f>'HSOW Component'!E36+'RNG Component'!E43+'Centrifuge Component'!E40+'Silo AnDig Component'!E45</f>
        <v>7733545.8931015246</v>
      </c>
      <c r="F13" s="96">
        <f>'HSOW Component'!F36+'RNG Component'!F43+'Centrifuge Component'!F40+'Silo AnDig Component'!F45</f>
        <v>0</v>
      </c>
      <c r="G13" s="96">
        <f>'HSOW Component'!G36+'RNG Component'!G43+'Centrifuge Component'!G40+'Silo AnDig Component'!G45</f>
        <v>0</v>
      </c>
      <c r="H13" s="96">
        <f>'HSOW Component'!H36+'RNG Component'!H43+'Centrifuge Component'!H40+'Silo AnDig Component'!H45</f>
        <v>0</v>
      </c>
      <c r="I13" s="59"/>
      <c r="J13" s="96">
        <f t="shared" si="0"/>
        <v>12340300.378352115</v>
      </c>
    </row>
    <row r="14" spans="2:39" x14ac:dyDescent="0.25">
      <c r="B14" s="60"/>
      <c r="C14" s="57" t="s">
        <v>18</v>
      </c>
      <c r="D14" s="96">
        <f>'HSOW Component'!D39+'RNG Component'!D46+'Centrifuge Component'!D43+'Silo AnDig Component'!D48</f>
        <v>0</v>
      </c>
      <c r="E14" s="96">
        <f>'HSOW Component'!E39+'RNG Component'!E46+'Centrifuge Component'!E43+'Silo AnDig Component'!E48</f>
        <v>0</v>
      </c>
      <c r="F14" s="96">
        <f>'HSOW Component'!F39+'RNG Component'!F46+'Centrifuge Component'!F43+'Silo AnDig Component'!F48</f>
        <v>0</v>
      </c>
      <c r="G14" s="96">
        <f>'HSOW Component'!G39+'RNG Component'!G46+'Centrifuge Component'!G43+'Silo AnDig Component'!G48</f>
        <v>0</v>
      </c>
      <c r="H14" s="96">
        <f>'HSOW Component'!H39+'RNG Component'!H46+'Centrifuge Component'!H43+'Silo AnDig Component'!H48</f>
        <v>0</v>
      </c>
      <c r="I14" s="59"/>
      <c r="J14" s="96">
        <f t="shared" si="0"/>
        <v>0</v>
      </c>
    </row>
    <row r="15" spans="2:39" x14ac:dyDescent="0.25">
      <c r="B15" s="61"/>
      <c r="C15" s="14" t="s">
        <v>19</v>
      </c>
      <c r="D15" s="82">
        <f>D14+D13+D12+D11+D10+D9+D8+D7</f>
        <v>4606754.4852505904</v>
      </c>
      <c r="E15" s="82">
        <f t="shared" ref="E15:H15" si="1">E14+E13+E12+E11+E10+E9+E8+E7</f>
        <v>31634370.321867533</v>
      </c>
      <c r="F15" s="82">
        <f t="shared" si="1"/>
        <v>14656980.205964223</v>
      </c>
      <c r="G15" s="82">
        <f t="shared" si="1"/>
        <v>3705997.9822476604</v>
      </c>
      <c r="H15" s="82">
        <f t="shared" si="1"/>
        <v>0</v>
      </c>
      <c r="J15" s="82">
        <f t="shared" si="0"/>
        <v>54604102.995330006</v>
      </c>
    </row>
    <row r="16" spans="2:39" x14ac:dyDescent="0.25">
      <c r="B16" s="73"/>
      <c r="D16"/>
      <c r="E16"/>
      <c r="H16"/>
      <c r="I16"/>
      <c r="J16" s="76" t="s">
        <v>20</v>
      </c>
    </row>
    <row r="17" spans="2:12" ht="20.100000000000001" customHeight="1" x14ac:dyDescent="0.25">
      <c r="B17" s="73"/>
      <c r="C17" s="14" t="s">
        <v>21</v>
      </c>
      <c r="D17" s="67">
        <f>'HSOW Component'!D44+'RNG Component'!D51+'Centrifuge Component'!D48+'Silo AnDig Component'!D53</f>
        <v>0</v>
      </c>
      <c r="E17" s="67">
        <f>'HSOW Component'!E44+'RNG Component'!E51+'Centrifuge Component'!E48+'Silo AnDig Component'!E53</f>
        <v>0</v>
      </c>
      <c r="F17" s="67">
        <f>'HSOW Component'!F44+'RNG Component'!F51+'Centrifuge Component'!F48+'Silo AnDig Component'!F53</f>
        <v>0</v>
      </c>
      <c r="G17" s="67">
        <f>'HSOW Component'!G44+'RNG Component'!G51+'Centrifuge Component'!G48+'Silo AnDig Component'!G53</f>
        <v>0</v>
      </c>
      <c r="H17" s="67">
        <f>'HSOW Component'!H44+'RNG Component'!H51+'Centrifuge Component'!H48+'Silo AnDig Component'!H53</f>
        <v>0</v>
      </c>
      <c r="J17" s="14">
        <f>SUM(D17:H17)</f>
        <v>0</v>
      </c>
    </row>
    <row r="18" spans="2:12" ht="15.75" thickBot="1" x14ac:dyDescent="0.3">
      <c r="B18" s="73"/>
      <c r="D18"/>
      <c r="E18"/>
      <c r="H18"/>
      <c r="I18"/>
      <c r="J18" s="76" t="s">
        <v>20</v>
      </c>
    </row>
    <row r="19" spans="2:12" ht="30.95" customHeight="1" thickBot="1" x14ac:dyDescent="0.3">
      <c r="B19" s="72" t="s">
        <v>22</v>
      </c>
      <c r="C19" s="62"/>
      <c r="D19" s="63">
        <f>D15+D17</f>
        <v>4606754.4852505904</v>
      </c>
      <c r="E19" s="63">
        <f>E15+E17</f>
        <v>31634370.321867533</v>
      </c>
      <c r="F19" s="63">
        <f>F15+F17</f>
        <v>14656980.205964223</v>
      </c>
      <c r="G19" s="63">
        <f>G15+G17</f>
        <v>3705997.9822476604</v>
      </c>
      <c r="H19" s="63">
        <f>H15+H17</f>
        <v>0</v>
      </c>
      <c r="I19" s="64"/>
      <c r="J19" s="77">
        <f>J15+J17</f>
        <v>54604102.995330006</v>
      </c>
      <c r="L19" s="98"/>
    </row>
    <row r="20" spans="2:12" s="1" customFormat="1" x14ac:dyDescent="0.25">
      <c r="B20" s="48"/>
      <c r="C20"/>
      <c r="D20" s="48"/>
      <c r="E20" s="3"/>
      <c r="F20"/>
      <c r="G20"/>
      <c r="H20" s="3"/>
      <c r="I20" s="49"/>
      <c r="J20"/>
    </row>
    <row r="21" spans="2:12" ht="15" customHeight="1" x14ac:dyDescent="0.25">
      <c r="B21" s="48"/>
    </row>
    <row r="22" spans="2:12" ht="15" customHeight="1" x14ac:dyDescent="0.3">
      <c r="B22" s="50" t="s">
        <v>23</v>
      </c>
      <c r="C22" s="51"/>
      <c r="D22" s="51"/>
      <c r="E22" s="102"/>
      <c r="F22" s="102"/>
      <c r="H22"/>
      <c r="I22"/>
    </row>
    <row r="23" spans="2:12" ht="29.1" customHeight="1" x14ac:dyDescent="0.25">
      <c r="B23" s="52" t="s">
        <v>24</v>
      </c>
      <c r="C23" s="52" t="s">
        <v>25</v>
      </c>
      <c r="D23" s="65" t="s">
        <v>26</v>
      </c>
      <c r="E23" s="103" t="s">
        <v>27</v>
      </c>
      <c r="F23" s="103"/>
      <c r="H23"/>
      <c r="I23"/>
    </row>
    <row r="24" spans="2:12" ht="15" customHeight="1" x14ac:dyDescent="0.25">
      <c r="B24" s="57">
        <v>1</v>
      </c>
      <c r="C24" s="86" t="s">
        <v>46</v>
      </c>
      <c r="D24" s="87">
        <f>J19</f>
        <v>54604102.995330006</v>
      </c>
      <c r="E24" s="101">
        <f>D24/D$26</f>
        <v>1</v>
      </c>
      <c r="F24" s="101"/>
      <c r="H24"/>
      <c r="I24"/>
    </row>
    <row r="25" spans="2:12" ht="15" customHeight="1" x14ac:dyDescent="0.25">
      <c r="B25" s="57"/>
      <c r="C25" s="58"/>
      <c r="D25" s="66"/>
      <c r="E25" s="100"/>
      <c r="F25" s="100"/>
      <c r="H25"/>
      <c r="I25"/>
    </row>
    <row r="26" spans="2:12" ht="15" customHeight="1" x14ac:dyDescent="0.25">
      <c r="B26" s="57" t="s">
        <v>28</v>
      </c>
      <c r="C26" s="58"/>
      <c r="D26" s="87">
        <f>SUM(D24:D25)</f>
        <v>54604102.995330006</v>
      </c>
      <c r="E26" s="101">
        <f>SUM(E24:E25)</f>
        <v>1</v>
      </c>
      <c r="F26" s="101"/>
      <c r="H26"/>
      <c r="I26"/>
    </row>
    <row r="27" spans="2:12" ht="15" customHeight="1" x14ac:dyDescent="0.25">
      <c r="H27"/>
      <c r="I27"/>
    </row>
  </sheetData>
  <mergeCells count="6">
    <mergeCell ref="B3:J3"/>
    <mergeCell ref="E25:F25"/>
    <mergeCell ref="E26:F26"/>
    <mergeCell ref="E22:F22"/>
    <mergeCell ref="E23:F23"/>
    <mergeCell ref="E24:F24"/>
  </mergeCells>
  <pageMargins left="0.7" right="0.7" top="0.75" bottom="0.75" header="0.3" footer="0.3"/>
  <pageSetup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88A18E-E8F6-4B3B-9D44-8B2517E2908D}">
  <sheetPr>
    <tabColor rgb="FF00B050"/>
    <pageSetUpPr fitToPage="1"/>
  </sheetPr>
  <dimension ref="B2:AW61"/>
  <sheetViews>
    <sheetView showGridLines="0" zoomScale="128" zoomScaleNormal="85" workbookViewId="0">
      <pane xSplit="3" ySplit="6" topLeftCell="D19" activePane="bottomRight" state="frozen"/>
      <selection activeCell="R20" sqref="R20:W20"/>
      <selection pane="topRight" activeCell="R20" sqref="R20:W20"/>
      <selection pane="bottomLeft" activeCell="R20" sqref="R20:W20"/>
      <selection pane="bottomRight" activeCell="J34" sqref="J34"/>
    </sheetView>
  </sheetViews>
  <sheetFormatPr defaultColWidth="9.140625" defaultRowHeight="15" x14ac:dyDescent="0.25"/>
  <cols>
    <col min="1" max="1" width="3.140625" style="8" customWidth="1"/>
    <col min="2" max="2" width="9.7109375" style="8" customWidth="1"/>
    <col min="3" max="3" width="44.42578125" style="8" customWidth="1"/>
    <col min="4" max="4" width="12.85546875" style="11" customWidth="1"/>
    <col min="5" max="5" width="14.28515625" style="3" bestFit="1" customWidth="1"/>
    <col min="6" max="6" width="14.28515625" style="8" bestFit="1" customWidth="1"/>
    <col min="7" max="7" width="13.28515625" style="8" bestFit="1" customWidth="1"/>
    <col min="8" max="8" width="13.42578125" style="3" customWidth="1"/>
    <col min="9" max="9" width="0.85546875" style="12" customWidth="1"/>
    <col min="10" max="10" width="14.42578125" style="8" customWidth="1"/>
    <col min="11" max="11" width="9.140625" style="8"/>
    <col min="12" max="12" width="14.7109375" style="8" bestFit="1" customWidth="1"/>
    <col min="13" max="16384" width="9.140625" style="8"/>
  </cols>
  <sheetData>
    <row r="2" spans="2:49" ht="23.25" x14ac:dyDescent="0.35">
      <c r="B2" s="34" t="s">
        <v>29</v>
      </c>
    </row>
    <row r="3" spans="2:49" x14ac:dyDescent="0.25">
      <c r="B3" s="7" t="s">
        <v>40</v>
      </c>
    </row>
    <row r="4" spans="2:49" x14ac:dyDescent="0.25">
      <c r="B4" s="7"/>
    </row>
    <row r="5" spans="2:49" ht="18.75" x14ac:dyDescent="0.3">
      <c r="B5" s="40" t="s">
        <v>2</v>
      </c>
      <c r="C5" s="41"/>
      <c r="D5" s="41"/>
      <c r="E5" s="41"/>
      <c r="F5" s="41"/>
      <c r="G5" s="41"/>
      <c r="H5" s="41"/>
      <c r="I5" s="41"/>
      <c r="J5" s="4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</row>
    <row r="6" spans="2:49" ht="30" x14ac:dyDescent="0.25">
      <c r="B6" s="43" t="s">
        <v>3</v>
      </c>
      <c r="C6" s="43" t="s">
        <v>4</v>
      </c>
      <c r="D6" s="43" t="s">
        <v>5</v>
      </c>
      <c r="E6" s="44" t="s">
        <v>6</v>
      </c>
      <c r="F6" s="44" t="s">
        <v>7</v>
      </c>
      <c r="G6" s="44" t="s">
        <v>8</v>
      </c>
      <c r="H6" s="45" t="s">
        <v>9</v>
      </c>
      <c r="I6" s="46"/>
      <c r="J6" s="47" t="s">
        <v>10</v>
      </c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</row>
    <row r="7" spans="2:49" s="10" customFormat="1" x14ac:dyDescent="0.25">
      <c r="B7" s="26" t="s">
        <v>11</v>
      </c>
      <c r="C7" s="31" t="s">
        <v>30</v>
      </c>
      <c r="D7" s="15" t="s">
        <v>31</v>
      </c>
      <c r="E7" s="15" t="s">
        <v>31</v>
      </c>
      <c r="F7" s="15" t="s">
        <v>31</v>
      </c>
      <c r="G7" s="15"/>
      <c r="H7" s="15" t="s">
        <v>31</v>
      </c>
      <c r="I7" s="12"/>
      <c r="J7" s="13" t="s">
        <v>31</v>
      </c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</row>
    <row r="8" spans="2:49" s="9" customFormat="1" x14ac:dyDescent="0.25">
      <c r="B8" s="27"/>
      <c r="C8" s="32"/>
      <c r="D8" s="20"/>
      <c r="E8" s="16"/>
      <c r="F8" s="16"/>
      <c r="G8" s="16"/>
      <c r="H8" s="16"/>
      <c r="I8" s="12"/>
      <c r="J8" s="20">
        <f>SUM(D8:H8)</f>
        <v>0</v>
      </c>
    </row>
    <row r="9" spans="2:49" s="9" customFormat="1" x14ac:dyDescent="0.25">
      <c r="B9" s="27"/>
      <c r="C9" s="14" t="s">
        <v>12</v>
      </c>
      <c r="D9" s="21">
        <f t="shared" ref="D9:J9" si="0">SUM(D8:D8)</f>
        <v>0</v>
      </c>
      <c r="E9" s="21">
        <f t="shared" si="0"/>
        <v>0</v>
      </c>
      <c r="F9" s="21">
        <f t="shared" si="0"/>
        <v>0</v>
      </c>
      <c r="G9" s="21">
        <f t="shared" si="0"/>
        <v>0</v>
      </c>
      <c r="H9" s="21">
        <f t="shared" si="0"/>
        <v>0</v>
      </c>
      <c r="I9" s="12">
        <f t="shared" si="0"/>
        <v>0</v>
      </c>
      <c r="J9" s="21">
        <f t="shared" si="0"/>
        <v>0</v>
      </c>
    </row>
    <row r="10" spans="2:49" s="9" customFormat="1" x14ac:dyDescent="0.25">
      <c r="B10" s="27"/>
      <c r="C10" s="19" t="s">
        <v>32</v>
      </c>
      <c r="D10" s="18" t="s">
        <v>31</v>
      </c>
      <c r="E10" s="15"/>
      <c r="F10" s="15"/>
      <c r="G10" s="15"/>
      <c r="H10" s="15"/>
      <c r="I10" s="12"/>
      <c r="J10" s="13" t="s">
        <v>31</v>
      </c>
    </row>
    <row r="11" spans="2:49" s="9" customFormat="1" x14ac:dyDescent="0.25">
      <c r="B11" s="27"/>
      <c r="C11" s="15"/>
      <c r="D11" s="20"/>
      <c r="E11" s="16"/>
      <c r="F11" s="16"/>
      <c r="G11" s="16"/>
      <c r="H11" s="16"/>
      <c r="I11" s="12"/>
      <c r="J11" s="20">
        <f t="shared" ref="J11" si="1">SUM(D11:H11)</f>
        <v>0</v>
      </c>
    </row>
    <row r="12" spans="2:49" s="9" customFormat="1" x14ac:dyDescent="0.25">
      <c r="B12" s="27"/>
      <c r="C12" s="14" t="s">
        <v>13</v>
      </c>
      <c r="D12" s="21">
        <f t="shared" ref="D12:J12" si="2">SUM(D11:D11)</f>
        <v>0</v>
      </c>
      <c r="E12" s="21">
        <f t="shared" si="2"/>
        <v>0</v>
      </c>
      <c r="F12" s="21">
        <f t="shared" si="2"/>
        <v>0</v>
      </c>
      <c r="G12" s="21">
        <f t="shared" si="2"/>
        <v>0</v>
      </c>
      <c r="H12" s="21">
        <f t="shared" si="2"/>
        <v>0</v>
      </c>
      <c r="I12" s="12">
        <f t="shared" si="2"/>
        <v>0</v>
      </c>
      <c r="J12" s="21">
        <f t="shared" si="2"/>
        <v>0</v>
      </c>
    </row>
    <row r="13" spans="2:49" s="9" customFormat="1" x14ac:dyDescent="0.25">
      <c r="B13" s="27"/>
      <c r="C13" s="19" t="s">
        <v>33</v>
      </c>
      <c r="D13" s="18" t="s">
        <v>31</v>
      </c>
      <c r="E13" s="15"/>
      <c r="F13" s="15"/>
      <c r="G13" s="15"/>
      <c r="H13" s="15"/>
      <c r="I13" s="12"/>
      <c r="J13" s="13" t="s">
        <v>31</v>
      </c>
    </row>
    <row r="14" spans="2:49" s="9" customFormat="1" x14ac:dyDescent="0.25">
      <c r="B14" s="27"/>
      <c r="C14" s="30"/>
      <c r="D14" s="20"/>
      <c r="E14" s="20"/>
      <c r="F14" s="20"/>
      <c r="G14" s="20"/>
      <c r="H14" s="20"/>
      <c r="I14" s="39">
        <v>1638</v>
      </c>
      <c r="J14" s="20">
        <f t="shared" ref="J14" si="3">SUM(D14:H14)</f>
        <v>0</v>
      </c>
    </row>
    <row r="15" spans="2:49" s="9" customFormat="1" x14ac:dyDescent="0.25">
      <c r="B15" s="27"/>
      <c r="C15" s="14" t="s">
        <v>14</v>
      </c>
      <c r="D15" s="21">
        <f>SUM(D14:D14)</f>
        <v>0</v>
      </c>
      <c r="E15" s="21">
        <f>SUM(E14:E14)</f>
        <v>0</v>
      </c>
      <c r="F15" s="21">
        <f>SUM(F14:F14)</f>
        <v>0</v>
      </c>
      <c r="G15" s="21">
        <f>SUM(G14:G14)</f>
        <v>0</v>
      </c>
      <c r="H15" s="21">
        <f>SUM(H14:H14)</f>
        <v>0</v>
      </c>
      <c r="I15" s="12"/>
      <c r="J15" s="21">
        <f>SUM(J14:J14)</f>
        <v>0</v>
      </c>
    </row>
    <row r="16" spans="2:49" s="9" customFormat="1" x14ac:dyDescent="0.25">
      <c r="B16" s="27"/>
      <c r="C16" s="19" t="s">
        <v>34</v>
      </c>
      <c r="D16" s="20"/>
      <c r="E16" s="15"/>
      <c r="F16" s="15"/>
      <c r="G16" s="15"/>
      <c r="H16" s="15"/>
      <c r="I16" s="12"/>
      <c r="J16" s="20" t="s">
        <v>20</v>
      </c>
    </row>
    <row r="17" spans="2:12" s="9" customFormat="1" x14ac:dyDescent="0.25">
      <c r="B17" s="27"/>
      <c r="C17" s="15" t="s">
        <v>67</v>
      </c>
      <c r="D17" s="80"/>
      <c r="E17" s="80">
        <v>309608</v>
      </c>
      <c r="F17" s="15"/>
      <c r="G17" s="15"/>
      <c r="H17" s="15"/>
      <c r="I17" s="12"/>
      <c r="J17" s="80">
        <f t="shared" ref="J17" si="4">SUM(D17:H17)</f>
        <v>309608</v>
      </c>
    </row>
    <row r="18" spans="2:12" s="9" customFormat="1" x14ac:dyDescent="0.25">
      <c r="B18" s="27" t="s">
        <v>35</v>
      </c>
      <c r="C18" s="33" t="s">
        <v>35</v>
      </c>
      <c r="D18" s="18" t="s">
        <v>31</v>
      </c>
      <c r="E18" s="15"/>
      <c r="F18" s="15"/>
      <c r="G18" s="15"/>
      <c r="H18" s="15"/>
      <c r="I18" s="12"/>
      <c r="J18" s="20">
        <f t="shared" ref="J18:J38" si="5">SUM(D18:H18)</f>
        <v>0</v>
      </c>
    </row>
    <row r="19" spans="2:12" s="9" customFormat="1" x14ac:dyDescent="0.25">
      <c r="B19" s="27"/>
      <c r="C19" s="14" t="s">
        <v>15</v>
      </c>
      <c r="D19" s="95">
        <f>SUM(D18:D18)</f>
        <v>0</v>
      </c>
      <c r="E19" s="90">
        <f>SUM(E17:E17)</f>
        <v>309608</v>
      </c>
      <c r="F19" s="17">
        <f>SUM(F18:F18)</f>
        <v>0</v>
      </c>
      <c r="G19" s="17">
        <f>SUM(G18:G18)</f>
        <v>0</v>
      </c>
      <c r="H19" s="17">
        <f>SUM(H18:H18)</f>
        <v>0</v>
      </c>
      <c r="I19" s="12"/>
      <c r="J19" s="82">
        <f>SUM(J17:J17)</f>
        <v>309608</v>
      </c>
    </row>
    <row r="20" spans="2:12" s="9" customFormat="1" x14ac:dyDescent="0.25">
      <c r="B20" s="27"/>
      <c r="C20" s="19" t="s">
        <v>36</v>
      </c>
      <c r="D20" s="18" t="s">
        <v>31</v>
      </c>
      <c r="E20" s="15"/>
      <c r="F20" s="15"/>
      <c r="G20" s="15"/>
      <c r="H20" s="15"/>
      <c r="I20" s="12"/>
      <c r="J20" s="20"/>
    </row>
    <row r="21" spans="2:12" s="9" customFormat="1" x14ac:dyDescent="0.25">
      <c r="B21" s="27"/>
      <c r="C21" s="30"/>
      <c r="D21" s="20"/>
      <c r="E21" s="16"/>
      <c r="F21" s="16"/>
      <c r="G21" s="16"/>
      <c r="H21" s="16"/>
      <c r="I21" s="12"/>
      <c r="J21" s="20">
        <f t="shared" si="5"/>
        <v>0</v>
      </c>
    </row>
    <row r="22" spans="2:12" s="9" customFormat="1" x14ac:dyDescent="0.25">
      <c r="B22" s="27"/>
      <c r="C22" s="14" t="s">
        <v>16</v>
      </c>
      <c r="D22" s="21">
        <f>SUM(D21:D21)</f>
        <v>0</v>
      </c>
      <c r="E22" s="21">
        <f>SUM(E21:E21)</f>
        <v>0</v>
      </c>
      <c r="F22" s="21">
        <f>SUM(F21:F21)</f>
        <v>0</v>
      </c>
      <c r="G22" s="21">
        <f>SUM(G21:G21)</f>
        <v>0</v>
      </c>
      <c r="H22" s="21">
        <f>SUM(H21:H21)</f>
        <v>0</v>
      </c>
      <c r="I22" s="12"/>
      <c r="J22" s="21">
        <f>SUM(J21:J21)</f>
        <v>0</v>
      </c>
    </row>
    <row r="23" spans="2:12" s="9" customFormat="1" x14ac:dyDescent="0.25">
      <c r="B23" s="27"/>
      <c r="C23" s="19" t="s">
        <v>58</v>
      </c>
      <c r="D23" s="18" t="s">
        <v>31</v>
      </c>
      <c r="E23" s="15"/>
      <c r="F23" s="15"/>
      <c r="G23" s="15"/>
      <c r="H23" s="15"/>
      <c r="I23" s="12"/>
      <c r="J23" s="20"/>
    </row>
    <row r="24" spans="2:12" s="9" customFormat="1" x14ac:dyDescent="0.25">
      <c r="B24" s="27"/>
      <c r="C24" s="15" t="s">
        <v>61</v>
      </c>
      <c r="D24" s="18"/>
      <c r="E24" s="92">
        <f>(($J$19+$J$28+$J$29+$J$30)/24)*9*0.12</f>
        <v>111538.41967872003</v>
      </c>
      <c r="F24" s="92">
        <f>(($J$19+$J$28+$J$29+$J$30)/24)*12*0.12</f>
        <v>148717.89290496006</v>
      </c>
      <c r="G24" s="92">
        <f>(($J$19+$J$28+$J$29+$J$30)/24)*3*0.12</f>
        <v>37179.473226240014</v>
      </c>
      <c r="H24" s="15"/>
      <c r="I24" s="12"/>
      <c r="J24" s="80">
        <f>SUM(E24:G24)</f>
        <v>297435.78580992011</v>
      </c>
    </row>
    <row r="25" spans="2:12" s="9" customFormat="1" x14ac:dyDescent="0.25">
      <c r="B25" s="27"/>
      <c r="C25" s="15" t="s">
        <v>62</v>
      </c>
      <c r="D25" s="18"/>
      <c r="E25" s="92">
        <f>(($J$19+$J$28+$J$29+$J$30+$J$24)/24)*9*0.1</f>
        <v>104102.52503347205</v>
      </c>
      <c r="F25" s="92">
        <f>(($J$19+$J$28+$J$29+$J$30+$J$24)/24)*12*0.1</f>
        <v>138803.36671129605</v>
      </c>
      <c r="G25" s="92">
        <f>(($J$19+$J$28+$J$29+$J$30+$J$24)/24)*3*0.1</f>
        <v>34700.841677824013</v>
      </c>
      <c r="H25" s="15"/>
      <c r="I25" s="12"/>
      <c r="J25" s="80">
        <f t="shared" ref="J25:J26" si="6">SUM(E25:G25)</f>
        <v>277606.73342259211</v>
      </c>
    </row>
    <row r="26" spans="2:12" s="9" customFormat="1" x14ac:dyDescent="0.25">
      <c r="B26" s="27"/>
      <c r="C26" s="15" t="s">
        <v>63</v>
      </c>
      <c r="D26" s="18"/>
      <c r="E26" s="92">
        <f>(($J$19+$J$28+$J$29+$J$30+$J$24+$J$25)/24)*9*0.03</f>
        <v>34353.833261045773</v>
      </c>
      <c r="F26" s="92">
        <f>(($J$19+$J$28+$J$29+$J$30+$J$24+$J$25)/24)*12*0.03</f>
        <v>45805.1110147277</v>
      </c>
      <c r="G26" s="92">
        <f>(($J$19+$J$28+$J$29+$J$30+$J$24+$J$25)/24)*3*0.03</f>
        <v>11451.277753681925</v>
      </c>
      <c r="H26" s="15"/>
      <c r="I26" s="12"/>
      <c r="J26" s="80">
        <f t="shared" si="6"/>
        <v>91610.222029455399</v>
      </c>
    </row>
    <row r="27" spans="2:12" s="9" customFormat="1" x14ac:dyDescent="0.25">
      <c r="B27" s="27"/>
      <c r="C27" s="15" t="s">
        <v>60</v>
      </c>
      <c r="D27" s="18"/>
      <c r="E27" s="92">
        <f>(($J$19+$J$28+$J$29+$J$30+$J$24+$J$25+$J$26)/24)*9*0.3</f>
        <v>353844.4825887715</v>
      </c>
      <c r="F27" s="92">
        <f>(($J$19+$J$28+$J$29+$J$30+$J$24+$J$25+$J$26)/24)*12*0.3</f>
        <v>471792.64345169527</v>
      </c>
      <c r="G27" s="92">
        <f>(($J$19+$J$28+$J$29+$J$30+$J$24+$J$25+$J$26)/24)*3*0.3</f>
        <v>117948.16086292382</v>
      </c>
      <c r="H27" s="15"/>
      <c r="I27" s="12"/>
      <c r="J27" s="80">
        <f>SUM(E27:G27)</f>
        <v>943585.28690339066</v>
      </c>
    </row>
    <row r="28" spans="2:12" s="9" customFormat="1" x14ac:dyDescent="0.25">
      <c r="B28" s="27"/>
      <c r="C28" s="97" t="s">
        <v>77</v>
      </c>
      <c r="D28" s="20"/>
      <c r="E28" s="80">
        <f>(531819.408161085)*1.12</f>
        <v>595637.73714041524</v>
      </c>
      <c r="F28" s="80">
        <f>(709092.54421478)*1.15</f>
        <v>815456.42584699695</v>
      </c>
      <c r="G28" s="80">
        <f>(177273.136053695)*1.18</f>
        <v>209182.30054336009</v>
      </c>
      <c r="H28" s="80"/>
      <c r="I28" s="81"/>
      <c r="J28" s="80">
        <f>SUM(D28:H28)</f>
        <v>1620276.4635307724</v>
      </c>
      <c r="L28" s="93"/>
    </row>
    <row r="29" spans="2:12" s="9" customFormat="1" ht="30" x14ac:dyDescent="0.25">
      <c r="B29" s="27"/>
      <c r="C29" s="85" t="s">
        <v>41</v>
      </c>
      <c r="D29" s="20"/>
      <c r="E29" s="80">
        <f>397392.410338799*1.12</f>
        <v>445079.49957945495</v>
      </c>
      <c r="F29" s="80"/>
      <c r="G29" s="80"/>
      <c r="H29" s="80"/>
      <c r="I29" s="81"/>
      <c r="J29" s="80">
        <f>SUM(D29:H29)</f>
        <v>445079.49957945495</v>
      </c>
      <c r="L29" s="93"/>
    </row>
    <row r="30" spans="2:12" s="9" customFormat="1" x14ac:dyDescent="0.25">
      <c r="B30" s="27"/>
      <c r="C30" s="85" t="s">
        <v>42</v>
      </c>
      <c r="D30" s="20"/>
      <c r="E30" s="80">
        <v>103667.58530577355</v>
      </c>
      <c r="F30" s="80"/>
      <c r="G30" s="80"/>
      <c r="H30" s="80"/>
      <c r="I30" s="81"/>
      <c r="J30" s="80">
        <f t="shared" ref="J30:J34" si="7">SUM(D30:H30)</f>
        <v>103667.58530577355</v>
      </c>
      <c r="L30" s="93"/>
    </row>
    <row r="31" spans="2:12" s="9" customFormat="1" x14ac:dyDescent="0.25">
      <c r="B31" s="27"/>
      <c r="C31" s="85"/>
      <c r="D31" s="20"/>
      <c r="E31" s="80"/>
      <c r="F31" s="80"/>
      <c r="G31" s="80"/>
      <c r="H31" s="80"/>
      <c r="I31" s="81"/>
      <c r="J31" s="20">
        <v>0</v>
      </c>
      <c r="L31" s="93"/>
    </row>
    <row r="32" spans="2:12" s="9" customFormat="1" x14ac:dyDescent="0.25">
      <c r="B32" s="27"/>
      <c r="C32" s="14" t="s">
        <v>59</v>
      </c>
      <c r="D32" s="82">
        <f>SUM(D24:D30)</f>
        <v>0</v>
      </c>
      <c r="E32" s="82">
        <f>SUM(E24:E30)</f>
        <v>1748224.0825876533</v>
      </c>
      <c r="F32" s="82">
        <f t="shared" ref="F32:H32" si="8">SUM(F24:F30)</f>
        <v>1620575.439929676</v>
      </c>
      <c r="G32" s="82">
        <f t="shared" si="8"/>
        <v>410462.05406402983</v>
      </c>
      <c r="H32" s="82">
        <f t="shared" si="8"/>
        <v>0</v>
      </c>
      <c r="I32" s="12"/>
      <c r="J32" s="82">
        <f>SUM(J24:J30)</f>
        <v>3779261.5765813589</v>
      </c>
      <c r="L32" s="93"/>
    </row>
    <row r="33" spans="2:12" s="9" customFormat="1" x14ac:dyDescent="0.25">
      <c r="B33" s="27"/>
      <c r="C33" s="19" t="s">
        <v>37</v>
      </c>
      <c r="D33" s="20"/>
      <c r="E33" s="80"/>
      <c r="F33" s="80"/>
      <c r="G33" s="80"/>
      <c r="H33" s="80"/>
      <c r="I33" s="81"/>
      <c r="J33" s="80"/>
      <c r="L33" s="93"/>
    </row>
    <row r="34" spans="2:12" s="9" customFormat="1" ht="45" x14ac:dyDescent="0.25">
      <c r="B34" s="27"/>
      <c r="C34" s="94" t="s">
        <v>43</v>
      </c>
      <c r="D34" s="85">
        <f>(($J$32+J19)*0.1)*1.09</f>
        <v>445686.78384736821</v>
      </c>
      <c r="E34" s="85">
        <f>((J32+J19)*0.1)*1.12</f>
        <v>457953.39257711224</v>
      </c>
      <c r="F34" s="85"/>
      <c r="G34" s="85"/>
      <c r="H34" s="85"/>
      <c r="I34" s="83"/>
      <c r="J34" s="80">
        <f t="shared" si="7"/>
        <v>903640.17642448051</v>
      </c>
      <c r="L34" s="93"/>
    </row>
    <row r="35" spans="2:12" s="9" customFormat="1" x14ac:dyDescent="0.25">
      <c r="B35" s="27"/>
      <c r="C35" s="94"/>
      <c r="D35" s="80"/>
      <c r="E35" s="85"/>
      <c r="F35" s="85"/>
      <c r="G35" s="85"/>
      <c r="H35" s="85"/>
      <c r="I35" s="83"/>
      <c r="J35" s="20">
        <v>0</v>
      </c>
      <c r="L35" s="93"/>
    </row>
    <row r="36" spans="2:12" s="9" customFormat="1" x14ac:dyDescent="0.25">
      <c r="B36" s="27"/>
      <c r="C36" s="14" t="s">
        <v>17</v>
      </c>
      <c r="D36" s="82">
        <f>SUM(D34)</f>
        <v>445686.78384736821</v>
      </c>
      <c r="E36" s="82">
        <f t="shared" ref="E36:G36" si="9">SUM(E34)</f>
        <v>457953.39257711224</v>
      </c>
      <c r="F36" s="82">
        <f t="shared" si="9"/>
        <v>0</v>
      </c>
      <c r="G36" s="82">
        <f t="shared" si="9"/>
        <v>0</v>
      </c>
      <c r="H36" s="82">
        <f>SUM(H28:H28)</f>
        <v>0</v>
      </c>
      <c r="I36" s="83"/>
      <c r="J36" s="82">
        <f>SUM(J34)</f>
        <v>903640.17642448051</v>
      </c>
      <c r="L36" s="91"/>
    </row>
    <row r="37" spans="2:12" s="9" customFormat="1" x14ac:dyDescent="0.25">
      <c r="B37" s="27"/>
      <c r="C37" s="19" t="s">
        <v>38</v>
      </c>
      <c r="D37" s="18" t="s">
        <v>31</v>
      </c>
      <c r="E37" s="15"/>
      <c r="F37" s="15"/>
      <c r="G37" s="15"/>
      <c r="H37" s="15"/>
      <c r="I37" s="12"/>
      <c r="J37" s="20"/>
    </row>
    <row r="38" spans="2:12" s="9" customFormat="1" x14ac:dyDescent="0.25">
      <c r="B38" s="27"/>
      <c r="C38" s="15"/>
      <c r="D38" s="20"/>
      <c r="E38" s="16"/>
      <c r="F38" s="16"/>
      <c r="G38" s="16"/>
      <c r="H38" s="16"/>
      <c r="I38" s="12"/>
      <c r="J38" s="20">
        <f t="shared" si="5"/>
        <v>0</v>
      </c>
    </row>
    <row r="39" spans="2:12" s="9" customFormat="1" x14ac:dyDescent="0.25">
      <c r="B39" s="29"/>
      <c r="C39" s="14" t="s">
        <v>18</v>
      </c>
      <c r="D39" s="21">
        <f>SUM(D38:D38)</f>
        <v>0</v>
      </c>
      <c r="E39" s="21">
        <f>SUM(E38:E38)</f>
        <v>0</v>
      </c>
      <c r="F39" s="21">
        <f>SUM(F38:F38)</f>
        <v>0</v>
      </c>
      <c r="G39" s="21">
        <f>SUM(G38:G38)</f>
        <v>0</v>
      </c>
      <c r="H39" s="21">
        <f>SUM(H38:H38)</f>
        <v>0</v>
      </c>
      <c r="I39" s="12"/>
      <c r="J39" s="21">
        <f>SUM(J38:J38)</f>
        <v>0</v>
      </c>
    </row>
    <row r="40" spans="2:12" s="9" customFormat="1" x14ac:dyDescent="0.25">
      <c r="B40" s="29"/>
      <c r="C40" s="14" t="s">
        <v>19</v>
      </c>
      <c r="D40" s="82">
        <f>SUM(D19+D32+D36)</f>
        <v>445686.78384736821</v>
      </c>
      <c r="E40" s="82">
        <f t="shared" ref="E40:H40" si="10">SUM(E19+E32+E36)</f>
        <v>2515785.4751647655</v>
      </c>
      <c r="F40" s="82">
        <f t="shared" si="10"/>
        <v>1620575.439929676</v>
      </c>
      <c r="G40" s="82">
        <f t="shared" si="10"/>
        <v>410462.05406402983</v>
      </c>
      <c r="H40" s="82">
        <f t="shared" si="10"/>
        <v>0</v>
      </c>
      <c r="I40" s="83"/>
      <c r="J40" s="82">
        <f>SUM(D40:H40)</f>
        <v>4992509.7530058399</v>
      </c>
    </row>
    <row r="41" spans="2:12" s="9" customFormat="1" x14ac:dyDescent="0.25">
      <c r="B41" s="28"/>
      <c r="J41" s="9" t="s">
        <v>20</v>
      </c>
    </row>
    <row r="42" spans="2:12" s="9" customFormat="1" ht="30" x14ac:dyDescent="0.25">
      <c r="B42" s="78" t="s">
        <v>39</v>
      </c>
      <c r="C42" s="22" t="s">
        <v>39</v>
      </c>
      <c r="D42" s="23"/>
      <c r="E42" s="23"/>
      <c r="F42" s="23"/>
      <c r="G42" s="23"/>
      <c r="H42" s="23"/>
      <c r="J42" s="23" t="s">
        <v>20</v>
      </c>
    </row>
    <row r="43" spans="2:12" s="9" customFormat="1" x14ac:dyDescent="0.25">
      <c r="B43" s="27"/>
      <c r="C43" s="30"/>
      <c r="D43" s="18"/>
      <c r="E43" s="15"/>
      <c r="F43" s="15"/>
      <c r="G43" s="15"/>
      <c r="H43" s="15"/>
      <c r="I43" s="12"/>
      <c r="J43" s="20">
        <f t="shared" ref="J43:J44" si="11">SUM(D43:H43)</f>
        <v>0</v>
      </c>
    </row>
    <row r="44" spans="2:12" s="9" customFormat="1" x14ac:dyDescent="0.25">
      <c r="B44" s="29"/>
      <c r="C44" s="14" t="s">
        <v>21</v>
      </c>
      <c r="D44" s="21">
        <f>SUM(D43:D43)</f>
        <v>0</v>
      </c>
      <c r="E44" s="21">
        <f>SUM(E43:E43)</f>
        <v>0</v>
      </c>
      <c r="F44" s="21">
        <f>SUM(F43:F43)</f>
        <v>0</v>
      </c>
      <c r="G44" s="21">
        <f>SUM(G43:G43)</f>
        <v>0</v>
      </c>
      <c r="H44" s="21">
        <f>SUM(H43:H43)</f>
        <v>0</v>
      </c>
      <c r="I44" s="12"/>
      <c r="J44" s="21">
        <f t="shared" si="11"/>
        <v>0</v>
      </c>
    </row>
    <row r="45" spans="2:12" s="9" customFormat="1" ht="15.75" thickBot="1" x14ac:dyDescent="0.3">
      <c r="B45" s="28"/>
      <c r="J45" s="9" t="s">
        <v>20</v>
      </c>
    </row>
    <row r="46" spans="2:12" s="6" customFormat="1" ht="30.75" thickBot="1" x14ac:dyDescent="0.3">
      <c r="B46" s="24" t="s">
        <v>22</v>
      </c>
      <c r="C46" s="24"/>
      <c r="D46" s="84">
        <f t="shared" ref="D46:J46" si="12">SUM(D44,D40)</f>
        <v>445686.78384736821</v>
      </c>
      <c r="E46" s="84">
        <f t="shared" si="12"/>
        <v>2515785.4751647655</v>
      </c>
      <c r="F46" s="84">
        <f t="shared" si="12"/>
        <v>1620575.439929676</v>
      </c>
      <c r="G46" s="84">
        <f t="shared" si="12"/>
        <v>410462.05406402983</v>
      </c>
      <c r="H46" s="84">
        <f t="shared" si="12"/>
        <v>0</v>
      </c>
      <c r="I46" s="83">
        <f t="shared" si="12"/>
        <v>0</v>
      </c>
      <c r="J46" s="84">
        <f t="shared" si="12"/>
        <v>4992509.7530058399</v>
      </c>
    </row>
    <row r="47" spans="2:12" x14ac:dyDescent="0.25">
      <c r="B47" s="11"/>
    </row>
    <row r="48" spans="2:12" x14ac:dyDescent="0.25">
      <c r="B48" s="11"/>
    </row>
    <row r="49" spans="2:2" x14ac:dyDescent="0.25">
      <c r="B49" s="11"/>
    </row>
    <row r="50" spans="2:2" x14ac:dyDescent="0.25">
      <c r="B50" s="11"/>
    </row>
    <row r="51" spans="2:2" x14ac:dyDescent="0.25">
      <c r="B51" s="11"/>
    </row>
    <row r="52" spans="2:2" x14ac:dyDescent="0.25">
      <c r="B52" s="11"/>
    </row>
    <row r="53" spans="2:2" x14ac:dyDescent="0.25">
      <c r="B53" s="11"/>
    </row>
    <row r="54" spans="2:2" x14ac:dyDescent="0.25">
      <c r="B54" s="11"/>
    </row>
    <row r="55" spans="2:2" x14ac:dyDescent="0.25">
      <c r="B55" s="11"/>
    </row>
    <row r="56" spans="2:2" x14ac:dyDescent="0.25">
      <c r="B56" s="11"/>
    </row>
    <row r="57" spans="2:2" x14ac:dyDescent="0.25">
      <c r="B57" s="11"/>
    </row>
    <row r="58" spans="2:2" x14ac:dyDescent="0.25">
      <c r="B58" s="11"/>
    </row>
    <row r="59" spans="2:2" x14ac:dyDescent="0.25">
      <c r="B59" s="11"/>
    </row>
    <row r="60" spans="2:2" x14ac:dyDescent="0.25">
      <c r="B60" s="11"/>
    </row>
    <row r="61" spans="2:2" x14ac:dyDescent="0.25">
      <c r="B61" s="11"/>
    </row>
  </sheetData>
  <pageMargins left="0.7" right="0.7" top="0.75" bottom="0.75" header="0.3" footer="0.3"/>
  <pageSetup scale="89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3AE78E-C771-4161-8A17-7F0C5F0010C8}">
  <sheetPr>
    <tabColor rgb="FF00B050"/>
    <pageSetUpPr fitToPage="1"/>
  </sheetPr>
  <dimension ref="B2:AW68"/>
  <sheetViews>
    <sheetView showGridLines="0" zoomScale="128" zoomScaleNormal="85" workbookViewId="0">
      <pane xSplit="3" ySplit="6" topLeftCell="D25" activePane="bottomRight" state="frozen"/>
      <selection activeCell="R20" sqref="R20:W20"/>
      <selection pane="topRight" activeCell="R20" sqref="R20:W20"/>
      <selection pane="bottomLeft" activeCell="R20" sqref="R20:W20"/>
      <selection pane="bottomRight" activeCell="E41" sqref="E41"/>
    </sheetView>
  </sheetViews>
  <sheetFormatPr defaultColWidth="9.140625" defaultRowHeight="15" x14ac:dyDescent="0.25"/>
  <cols>
    <col min="1" max="1" width="3.140625" style="8" customWidth="1"/>
    <col min="2" max="2" width="9.7109375" style="8" customWidth="1"/>
    <col min="3" max="3" width="44.42578125" style="8" customWidth="1"/>
    <col min="4" max="4" width="12.85546875" style="11" customWidth="1"/>
    <col min="5" max="5" width="14.28515625" style="3" bestFit="1" customWidth="1"/>
    <col min="6" max="6" width="14.28515625" style="8" bestFit="1" customWidth="1"/>
    <col min="7" max="7" width="13.28515625" style="8" bestFit="1" customWidth="1"/>
    <col min="8" max="8" width="13.42578125" style="3" customWidth="1"/>
    <col min="9" max="9" width="0.85546875" style="12" customWidth="1"/>
    <col min="10" max="10" width="14.42578125" style="8" customWidth="1"/>
    <col min="11" max="11" width="9.140625" style="8"/>
    <col min="12" max="12" width="13.28515625" style="8" bestFit="1" customWidth="1"/>
    <col min="13" max="16384" width="9.140625" style="8"/>
  </cols>
  <sheetData>
    <row r="2" spans="2:49" ht="23.25" x14ac:dyDescent="0.35">
      <c r="B2" s="34" t="s">
        <v>29</v>
      </c>
    </row>
    <row r="3" spans="2:49" x14ac:dyDescent="0.25">
      <c r="B3" s="7" t="s">
        <v>40</v>
      </c>
    </row>
    <row r="4" spans="2:49" x14ac:dyDescent="0.25">
      <c r="B4" s="7"/>
    </row>
    <row r="5" spans="2:49" ht="18.75" x14ac:dyDescent="0.3">
      <c r="B5" s="40" t="s">
        <v>2</v>
      </c>
      <c r="C5" s="41"/>
      <c r="D5" s="41"/>
      <c r="E5" s="41"/>
      <c r="F5" s="41"/>
      <c r="G5" s="41"/>
      <c r="H5" s="41"/>
      <c r="I5" s="41"/>
      <c r="J5" s="4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</row>
    <row r="6" spans="2:49" ht="30" x14ac:dyDescent="0.25">
      <c r="B6" s="43" t="s">
        <v>3</v>
      </c>
      <c r="C6" s="43" t="s">
        <v>4</v>
      </c>
      <c r="D6" s="43" t="s">
        <v>5</v>
      </c>
      <c r="E6" s="44" t="s">
        <v>6</v>
      </c>
      <c r="F6" s="44" t="s">
        <v>7</v>
      </c>
      <c r="G6" s="44" t="s">
        <v>8</v>
      </c>
      <c r="H6" s="45" t="s">
        <v>9</v>
      </c>
      <c r="I6" s="46"/>
      <c r="J6" s="47" t="s">
        <v>10</v>
      </c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</row>
    <row r="7" spans="2:49" s="10" customFormat="1" x14ac:dyDescent="0.25">
      <c r="B7" s="26" t="s">
        <v>11</v>
      </c>
      <c r="C7" s="31" t="s">
        <v>30</v>
      </c>
      <c r="D7" s="15" t="s">
        <v>31</v>
      </c>
      <c r="E7" s="15" t="s">
        <v>31</v>
      </c>
      <c r="F7" s="15" t="s">
        <v>31</v>
      </c>
      <c r="G7" s="15"/>
      <c r="H7" s="15" t="s">
        <v>31</v>
      </c>
      <c r="I7" s="12"/>
      <c r="J7" s="13" t="s">
        <v>31</v>
      </c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</row>
    <row r="8" spans="2:49" s="9" customFormat="1" x14ac:dyDescent="0.25">
      <c r="B8" s="27"/>
      <c r="C8" s="32"/>
      <c r="D8" s="20"/>
      <c r="E8" s="16"/>
      <c r="F8" s="16"/>
      <c r="G8" s="16"/>
      <c r="H8" s="16"/>
      <c r="I8" s="12"/>
      <c r="J8" s="20">
        <f>SUM(D8:H8)</f>
        <v>0</v>
      </c>
    </row>
    <row r="9" spans="2:49" s="9" customFormat="1" x14ac:dyDescent="0.25">
      <c r="B9" s="27"/>
      <c r="C9" s="14" t="s">
        <v>12</v>
      </c>
      <c r="D9" s="21">
        <f t="shared" ref="D9:J9" si="0">SUM(D8:D8)</f>
        <v>0</v>
      </c>
      <c r="E9" s="21">
        <f t="shared" si="0"/>
        <v>0</v>
      </c>
      <c r="F9" s="21">
        <f t="shared" si="0"/>
        <v>0</v>
      </c>
      <c r="G9" s="21">
        <f t="shared" si="0"/>
        <v>0</v>
      </c>
      <c r="H9" s="21">
        <f t="shared" si="0"/>
        <v>0</v>
      </c>
      <c r="I9" s="12">
        <f t="shared" si="0"/>
        <v>0</v>
      </c>
      <c r="J9" s="21">
        <f t="shared" si="0"/>
        <v>0</v>
      </c>
    </row>
    <row r="10" spans="2:49" s="9" customFormat="1" x14ac:dyDescent="0.25">
      <c r="B10" s="27"/>
      <c r="C10" s="19" t="s">
        <v>32</v>
      </c>
      <c r="D10" s="18" t="s">
        <v>31</v>
      </c>
      <c r="E10" s="15"/>
      <c r="F10" s="15"/>
      <c r="G10" s="15"/>
      <c r="H10" s="15"/>
      <c r="I10" s="12"/>
      <c r="J10" s="13" t="s">
        <v>31</v>
      </c>
    </row>
    <row r="11" spans="2:49" s="9" customFormat="1" x14ac:dyDescent="0.25">
      <c r="B11" s="27"/>
      <c r="C11" s="15"/>
      <c r="D11" s="20"/>
      <c r="E11" s="16"/>
      <c r="F11" s="16"/>
      <c r="G11" s="16"/>
      <c r="H11" s="16"/>
      <c r="I11" s="12"/>
      <c r="J11" s="20">
        <f t="shared" ref="J11" si="1">SUM(D11:H11)</f>
        <v>0</v>
      </c>
    </row>
    <row r="12" spans="2:49" s="9" customFormat="1" x14ac:dyDescent="0.25">
      <c r="B12" s="27"/>
      <c r="C12" s="14" t="s">
        <v>13</v>
      </c>
      <c r="D12" s="21">
        <f t="shared" ref="D12:J12" si="2">SUM(D11:D11)</f>
        <v>0</v>
      </c>
      <c r="E12" s="21">
        <f t="shared" si="2"/>
        <v>0</v>
      </c>
      <c r="F12" s="21">
        <f t="shared" si="2"/>
        <v>0</v>
      </c>
      <c r="G12" s="21">
        <f t="shared" si="2"/>
        <v>0</v>
      </c>
      <c r="H12" s="21">
        <f t="shared" si="2"/>
        <v>0</v>
      </c>
      <c r="I12" s="12">
        <f t="shared" si="2"/>
        <v>0</v>
      </c>
      <c r="J12" s="21">
        <f t="shared" si="2"/>
        <v>0</v>
      </c>
    </row>
    <row r="13" spans="2:49" s="9" customFormat="1" x14ac:dyDescent="0.25">
      <c r="B13" s="27"/>
      <c r="C13" s="19" t="s">
        <v>33</v>
      </c>
      <c r="D13" s="18" t="s">
        <v>31</v>
      </c>
      <c r="E13" s="15"/>
      <c r="F13" s="15"/>
      <c r="G13" s="15"/>
      <c r="H13" s="15"/>
      <c r="I13" s="12"/>
      <c r="J13" s="13" t="s">
        <v>31</v>
      </c>
    </row>
    <row r="14" spans="2:49" s="9" customFormat="1" x14ac:dyDescent="0.25">
      <c r="B14" s="27"/>
      <c r="C14" s="30"/>
      <c r="D14" s="20"/>
      <c r="E14" s="20"/>
      <c r="F14" s="20"/>
      <c r="G14" s="20"/>
      <c r="H14" s="20"/>
      <c r="I14" s="39">
        <v>1638</v>
      </c>
      <c r="J14" s="20">
        <f t="shared" ref="J14" si="3">SUM(D14:H14)</f>
        <v>0</v>
      </c>
    </row>
    <row r="15" spans="2:49" s="9" customFormat="1" x14ac:dyDescent="0.25">
      <c r="B15" s="27"/>
      <c r="C15" s="14" t="s">
        <v>14</v>
      </c>
      <c r="D15" s="21">
        <f>SUM(D14:D14)</f>
        <v>0</v>
      </c>
      <c r="E15" s="21">
        <f>SUM(E14:E14)</f>
        <v>0</v>
      </c>
      <c r="F15" s="21">
        <f>SUM(F14:F14)</f>
        <v>0</v>
      </c>
      <c r="G15" s="21">
        <f>SUM(G14:G14)</f>
        <v>0</v>
      </c>
      <c r="H15" s="21">
        <f>SUM(H14:H14)</f>
        <v>0</v>
      </c>
      <c r="I15" s="12"/>
      <c r="J15" s="21">
        <f>SUM(J14:J14)</f>
        <v>0</v>
      </c>
    </row>
    <row r="16" spans="2:49" s="9" customFormat="1" x14ac:dyDescent="0.25">
      <c r="B16" s="27"/>
      <c r="C16" s="19" t="s">
        <v>34</v>
      </c>
      <c r="D16" s="20"/>
      <c r="E16" s="15"/>
      <c r="F16" s="15"/>
      <c r="G16" s="15"/>
      <c r="H16" s="15"/>
      <c r="I16" s="12"/>
      <c r="J16" s="20" t="s">
        <v>20</v>
      </c>
    </row>
    <row r="17" spans="2:10" s="9" customFormat="1" x14ac:dyDescent="0.25">
      <c r="B17" s="27"/>
      <c r="C17" s="15" t="s">
        <v>68</v>
      </c>
      <c r="D17" s="20"/>
      <c r="E17" s="80">
        <v>275000</v>
      </c>
      <c r="F17" s="15"/>
      <c r="G17" s="15"/>
      <c r="H17" s="15"/>
      <c r="I17" s="12"/>
      <c r="J17" s="80">
        <f t="shared" ref="J17:J22" si="4">SUM(D17:H17)</f>
        <v>275000</v>
      </c>
    </row>
    <row r="18" spans="2:10" s="9" customFormat="1" x14ac:dyDescent="0.25">
      <c r="B18" s="27"/>
      <c r="C18" s="15" t="s">
        <v>69</v>
      </c>
      <c r="D18" s="20"/>
      <c r="E18" s="80">
        <v>225000</v>
      </c>
      <c r="F18" s="15"/>
      <c r="G18" s="15"/>
      <c r="H18" s="15"/>
      <c r="I18" s="12"/>
      <c r="J18" s="80">
        <f t="shared" si="4"/>
        <v>225000</v>
      </c>
    </row>
    <row r="19" spans="2:10" s="9" customFormat="1" x14ac:dyDescent="0.25">
      <c r="B19" s="27"/>
      <c r="C19" s="15" t="s">
        <v>70</v>
      </c>
      <c r="D19" s="20"/>
      <c r="E19" s="80">
        <v>175000</v>
      </c>
      <c r="F19" s="15"/>
      <c r="G19" s="15"/>
      <c r="H19" s="15"/>
      <c r="I19" s="12"/>
      <c r="J19" s="80">
        <f t="shared" si="4"/>
        <v>175000</v>
      </c>
    </row>
    <row r="20" spans="2:10" s="9" customFormat="1" x14ac:dyDescent="0.25">
      <c r="B20" s="27"/>
      <c r="C20" s="15" t="s">
        <v>71</v>
      </c>
      <c r="D20" s="20"/>
      <c r="E20" s="80">
        <v>1950000</v>
      </c>
      <c r="F20" s="15"/>
      <c r="G20" s="15"/>
      <c r="H20" s="15"/>
      <c r="I20" s="12"/>
      <c r="J20" s="80">
        <f t="shared" si="4"/>
        <v>1950000</v>
      </c>
    </row>
    <row r="21" spans="2:10" s="9" customFormat="1" x14ac:dyDescent="0.25">
      <c r="B21" s="27"/>
      <c r="C21" s="15" t="s">
        <v>72</v>
      </c>
      <c r="D21" s="20"/>
      <c r="E21" s="80">
        <v>100000</v>
      </c>
      <c r="F21" s="15"/>
      <c r="G21" s="15"/>
      <c r="H21" s="15"/>
      <c r="I21" s="12"/>
      <c r="J21" s="80">
        <f t="shared" si="4"/>
        <v>100000</v>
      </c>
    </row>
    <row r="22" spans="2:10" s="9" customFormat="1" x14ac:dyDescent="0.25">
      <c r="B22" s="27"/>
      <c r="C22" s="15" t="s">
        <v>73</v>
      </c>
      <c r="D22" s="20"/>
      <c r="E22" s="80">
        <v>150000</v>
      </c>
      <c r="F22" s="15"/>
      <c r="G22" s="15"/>
      <c r="H22" s="15"/>
      <c r="I22" s="12"/>
      <c r="J22" s="80">
        <f t="shared" si="4"/>
        <v>150000</v>
      </c>
    </row>
    <row r="23" spans="2:10" s="9" customFormat="1" x14ac:dyDescent="0.25">
      <c r="B23" s="27"/>
      <c r="C23" s="15" t="s">
        <v>67</v>
      </c>
      <c r="D23" s="80"/>
      <c r="E23" s="80">
        <v>143750</v>
      </c>
      <c r="F23" s="15"/>
      <c r="G23" s="15"/>
      <c r="H23" s="15"/>
      <c r="I23" s="12"/>
      <c r="J23" s="80">
        <f t="shared" ref="J23" si="5">SUM(D23:H23)</f>
        <v>143750</v>
      </c>
    </row>
    <row r="24" spans="2:10" s="9" customFormat="1" x14ac:dyDescent="0.25">
      <c r="B24" s="27" t="s">
        <v>35</v>
      </c>
      <c r="C24" s="33" t="s">
        <v>35</v>
      </c>
      <c r="D24" s="18" t="s">
        <v>31</v>
      </c>
      <c r="E24" s="15"/>
      <c r="F24" s="15"/>
      <c r="G24" s="15"/>
      <c r="H24" s="15"/>
      <c r="I24" s="12"/>
      <c r="J24" s="20">
        <f t="shared" ref="J24:J45" si="6">SUM(D24:H24)</f>
        <v>0</v>
      </c>
    </row>
    <row r="25" spans="2:10" s="9" customFormat="1" x14ac:dyDescent="0.25">
      <c r="B25" s="27"/>
      <c r="C25" s="14" t="s">
        <v>15</v>
      </c>
      <c r="D25" s="95">
        <f>SUM(D24:D24)</f>
        <v>0</v>
      </c>
      <c r="E25" s="90">
        <f>SUM(E17:E23)</f>
        <v>3018750</v>
      </c>
      <c r="F25" s="17">
        <f>SUM(F24:F24)</f>
        <v>0</v>
      </c>
      <c r="G25" s="17">
        <f>SUM(G24:G24)</f>
        <v>0</v>
      </c>
      <c r="H25" s="17">
        <f>SUM(H24:H24)</f>
        <v>0</v>
      </c>
      <c r="I25" s="12"/>
      <c r="J25" s="82">
        <f>SUM(J17:J23)</f>
        <v>3018750</v>
      </c>
    </row>
    <row r="26" spans="2:10" s="9" customFormat="1" x14ac:dyDescent="0.25">
      <c r="B26" s="27"/>
      <c r="C26" s="19" t="s">
        <v>36</v>
      </c>
      <c r="D26" s="18" t="s">
        <v>31</v>
      </c>
      <c r="E26" s="15"/>
      <c r="F26" s="15"/>
      <c r="G26" s="15"/>
      <c r="H26" s="15"/>
      <c r="I26" s="12"/>
      <c r="J26" s="20"/>
    </row>
    <row r="27" spans="2:10" s="9" customFormat="1" x14ac:dyDescent="0.25">
      <c r="B27" s="27"/>
      <c r="C27" s="30"/>
      <c r="D27" s="20"/>
      <c r="E27" s="16"/>
      <c r="F27" s="16"/>
      <c r="G27" s="16"/>
      <c r="H27" s="16"/>
      <c r="I27" s="12"/>
      <c r="J27" s="20">
        <f t="shared" si="6"/>
        <v>0</v>
      </c>
    </row>
    <row r="28" spans="2:10" s="9" customFormat="1" x14ac:dyDescent="0.25">
      <c r="B28" s="27"/>
      <c r="C28" s="14" t="s">
        <v>16</v>
      </c>
      <c r="D28" s="21">
        <f>SUM(D27:D27)</f>
        <v>0</v>
      </c>
      <c r="E28" s="21">
        <f>SUM(E27:E27)</f>
        <v>0</v>
      </c>
      <c r="F28" s="21">
        <f>SUM(F27:F27)</f>
        <v>0</v>
      </c>
      <c r="G28" s="21">
        <f>SUM(G27:G27)</f>
        <v>0</v>
      </c>
      <c r="H28" s="21">
        <f>SUM(H27:H27)</f>
        <v>0</v>
      </c>
      <c r="I28" s="12"/>
      <c r="J28" s="21">
        <f>SUM(J27:J27)</f>
        <v>0</v>
      </c>
    </row>
    <row r="29" spans="2:10" s="9" customFormat="1" x14ac:dyDescent="0.25">
      <c r="B29" s="27"/>
      <c r="C29" s="19" t="s">
        <v>58</v>
      </c>
      <c r="D29" s="18" t="s">
        <v>31</v>
      </c>
      <c r="E29" s="15"/>
      <c r="F29" s="15"/>
      <c r="G29" s="15"/>
      <c r="H29" s="15"/>
      <c r="I29" s="12"/>
      <c r="J29" s="20"/>
    </row>
    <row r="30" spans="2:10" s="9" customFormat="1" x14ac:dyDescent="0.25">
      <c r="B30" s="27"/>
      <c r="C30" s="15" t="s">
        <v>61</v>
      </c>
      <c r="D30" s="18"/>
      <c r="E30" s="92">
        <f>(($J$25+$J$34+$J$35+$J$36)/24)*9*0.12</f>
        <v>228574.08984375</v>
      </c>
      <c r="F30" s="92">
        <f>(($J$25+$J$34)/24)*12*0.12</f>
        <v>232858.828125</v>
      </c>
      <c r="G30" s="92">
        <f>(($J$25+$J$34)/24)*3*0.12</f>
        <v>58214.70703125</v>
      </c>
      <c r="H30" s="15"/>
      <c r="I30" s="12"/>
      <c r="J30" s="80">
        <f>SUM(E30:G30)</f>
        <v>519647.625</v>
      </c>
    </row>
    <row r="31" spans="2:10" s="9" customFormat="1" x14ac:dyDescent="0.25">
      <c r="B31" s="27"/>
      <c r="C31" s="15" t="s">
        <v>62</v>
      </c>
      <c r="D31" s="18"/>
      <c r="E31" s="92">
        <f>(($J$25+$J$34+$J$35+$J$36+$J$30)/24)*9*0.1</f>
        <v>209965.19414062501</v>
      </c>
      <c r="F31" s="92">
        <f>(($J$25+$J$34+$J$35+$J$36+$J$30)/24)*12*0.1</f>
        <v>279953.59218750003</v>
      </c>
      <c r="G31" s="92">
        <f>(($J$25+$J$34+$J$35+$J$36+$J$30)/24)*3*0.1</f>
        <v>69988.398046875009</v>
      </c>
      <c r="H31" s="15"/>
      <c r="I31" s="12"/>
      <c r="J31" s="80">
        <f t="shared" ref="J31:J33" si="7">SUM(E31:G31)</f>
        <v>559907.18437500007</v>
      </c>
    </row>
    <row r="32" spans="2:10" s="9" customFormat="1" x14ac:dyDescent="0.25">
      <c r="B32" s="27"/>
      <c r="C32" s="15" t="s">
        <v>63</v>
      </c>
      <c r="D32" s="18"/>
      <c r="E32" s="92">
        <f>(($J$25+$J$34+$J$35+$J$36+$J$30+$J$31)/24)*9*0.03</f>
        <v>69288.514066406249</v>
      </c>
      <c r="F32" s="92">
        <f>(($J$25+$J$34+$J$35+$J$36+$J$30+$J$31)/24)*12*0.03</f>
        <v>92384.685421874994</v>
      </c>
      <c r="G32" s="92">
        <f>(($J$25+$J$34+$J$35+$J$36+$J$30+$J$31)/24)*3*0.03</f>
        <v>23096.171355468749</v>
      </c>
      <c r="H32" s="15"/>
      <c r="I32" s="12"/>
      <c r="J32" s="80">
        <f t="shared" si="7"/>
        <v>184769.37084374999</v>
      </c>
    </row>
    <row r="33" spans="2:12" s="9" customFormat="1" x14ac:dyDescent="0.25">
      <c r="B33" s="27"/>
      <c r="C33" s="15" t="s">
        <v>60</v>
      </c>
      <c r="D33" s="18"/>
      <c r="E33" s="92">
        <f>(($J$25+$J$34+$J$35+$J$36+$J$30+$J$31+$J$32)/24)*9*0.3</f>
        <v>713671.6948839844</v>
      </c>
      <c r="F33" s="92">
        <f>(($J$25+$J$34+$J$35+$J$36+$J$30+$J$31+$J$32)/24)*12*0.3</f>
        <v>951562.25984531257</v>
      </c>
      <c r="G33" s="92">
        <f>(($J$25+$J$34+$J$35+$J$36+$J$30+$J$31+$J$32)/24)*3*0.3</f>
        <v>237890.56496132814</v>
      </c>
      <c r="H33" s="15"/>
      <c r="I33" s="12"/>
      <c r="J33" s="80">
        <f t="shared" si="7"/>
        <v>1903124.5196906251</v>
      </c>
    </row>
    <row r="34" spans="2:12" s="9" customFormat="1" x14ac:dyDescent="0.25">
      <c r="B34" s="27"/>
      <c r="C34" s="89" t="s">
        <v>78</v>
      </c>
      <c r="D34" s="20"/>
      <c r="E34" s="80">
        <f>(283007.8125)*1.12</f>
        <v>316968.75000000006</v>
      </c>
      <c r="F34" s="80">
        <f>(377343.75)*1.15</f>
        <v>433945.31249999994</v>
      </c>
      <c r="G34" s="80">
        <f>(94335.9375)*1.18</f>
        <v>111316.40625</v>
      </c>
      <c r="H34" s="80"/>
      <c r="I34" s="81"/>
      <c r="J34" s="80">
        <f>SUM(D34:H34)</f>
        <v>862230.46875</v>
      </c>
      <c r="L34" s="93"/>
    </row>
    <row r="35" spans="2:12" s="9" customFormat="1" ht="30" x14ac:dyDescent="0.25">
      <c r="B35" s="27"/>
      <c r="C35" s="85" t="s">
        <v>41</v>
      </c>
      <c r="D35" s="20"/>
      <c r="E35" s="80">
        <f>867890.625*1.12</f>
        <v>972037.50000000012</v>
      </c>
      <c r="F35" s="80"/>
      <c r="G35" s="80"/>
      <c r="H35" s="80"/>
      <c r="I35" s="81"/>
      <c r="J35" s="80">
        <f t="shared" ref="J35:J41" si="8">SUM(D35:H35)</f>
        <v>972037.50000000012</v>
      </c>
      <c r="L35" s="93"/>
    </row>
    <row r="36" spans="2:12" s="9" customFormat="1" x14ac:dyDescent="0.25">
      <c r="B36" s="27"/>
      <c r="C36" s="85" t="s">
        <v>42</v>
      </c>
      <c r="D36" s="20"/>
      <c r="E36" s="80">
        <v>226406.25</v>
      </c>
      <c r="F36" s="80"/>
      <c r="G36" s="80"/>
      <c r="H36" s="80"/>
      <c r="I36" s="81"/>
      <c r="J36" s="80">
        <f t="shared" si="8"/>
        <v>226406.25</v>
      </c>
      <c r="L36" s="93"/>
    </row>
    <row r="37" spans="2:12" s="9" customFormat="1" x14ac:dyDescent="0.25">
      <c r="B37" s="27"/>
      <c r="C37" s="85"/>
      <c r="D37" s="20"/>
      <c r="E37" s="80"/>
      <c r="F37" s="80"/>
      <c r="G37" s="80"/>
      <c r="H37" s="80"/>
      <c r="I37" s="81"/>
      <c r="J37" s="20">
        <f t="shared" si="8"/>
        <v>0</v>
      </c>
      <c r="L37" s="93"/>
    </row>
    <row r="38" spans="2:12" s="9" customFormat="1" x14ac:dyDescent="0.25">
      <c r="B38" s="27"/>
      <c r="C38" s="14" t="s">
        <v>59</v>
      </c>
      <c r="D38" s="82">
        <f>SUM(D30:D36)</f>
        <v>0</v>
      </c>
      <c r="E38" s="82">
        <f t="shared" ref="E38:H38" si="9">SUM(E30:E36)</f>
        <v>2736911.9929347658</v>
      </c>
      <c r="F38" s="82">
        <f t="shared" si="9"/>
        <v>1990704.6780796875</v>
      </c>
      <c r="G38" s="82">
        <f t="shared" si="9"/>
        <v>500506.24764492188</v>
      </c>
      <c r="H38" s="82">
        <f t="shared" si="9"/>
        <v>0</v>
      </c>
      <c r="I38" s="12"/>
      <c r="J38" s="82">
        <f>SUM(J30:J36)</f>
        <v>5228122.918659375</v>
      </c>
      <c r="L38" s="93"/>
    </row>
    <row r="39" spans="2:12" s="9" customFormat="1" x14ac:dyDescent="0.25">
      <c r="B39" s="27"/>
      <c r="C39" s="19" t="s">
        <v>37</v>
      </c>
      <c r="D39" s="18" t="s">
        <v>31</v>
      </c>
      <c r="E39" s="15"/>
      <c r="F39" s="15"/>
      <c r="G39" s="15"/>
      <c r="H39" s="15"/>
      <c r="I39" s="12"/>
      <c r="J39" s="20"/>
      <c r="L39" s="93"/>
    </row>
    <row r="40" spans="2:12" s="9" customFormat="1" ht="45" x14ac:dyDescent="0.25">
      <c r="B40" s="27"/>
      <c r="C40" s="85" t="s">
        <v>43</v>
      </c>
      <c r="D40" s="80">
        <f>((J38+J25)*0.1)*1.09</f>
        <v>898909.14813387196</v>
      </c>
      <c r="E40" s="80">
        <f>((J38+J25)*0.1)*1.12</f>
        <v>923649.76688985014</v>
      </c>
      <c r="F40" s="80"/>
      <c r="G40" s="80"/>
      <c r="H40" s="80"/>
      <c r="I40" s="81"/>
      <c r="J40" s="80">
        <f t="shared" si="8"/>
        <v>1822558.9150237222</v>
      </c>
      <c r="L40" s="93"/>
    </row>
    <row r="41" spans="2:12" s="9" customFormat="1" x14ac:dyDescent="0.25">
      <c r="B41" s="27"/>
      <c r="C41" s="85" t="s">
        <v>75</v>
      </c>
      <c r="D41" s="20"/>
      <c r="E41" s="80">
        <v>3000000</v>
      </c>
      <c r="F41" s="80"/>
      <c r="G41" s="80"/>
      <c r="H41" s="80"/>
      <c r="I41" s="81"/>
      <c r="J41" s="80">
        <f t="shared" si="8"/>
        <v>3000000</v>
      </c>
      <c r="L41" s="93"/>
    </row>
    <row r="42" spans="2:12" s="9" customFormat="1" x14ac:dyDescent="0.25">
      <c r="B42" s="27"/>
      <c r="C42" s="79"/>
      <c r="D42" s="80"/>
      <c r="E42" s="85"/>
      <c r="F42" s="85"/>
      <c r="G42" s="85"/>
      <c r="H42" s="85"/>
      <c r="I42" s="83"/>
      <c r="J42" s="20">
        <f t="shared" ref="J42" si="10">SUM(D42:H42)</f>
        <v>0</v>
      </c>
      <c r="L42" s="93"/>
    </row>
    <row r="43" spans="2:12" s="9" customFormat="1" x14ac:dyDescent="0.25">
      <c r="B43" s="27"/>
      <c r="C43" s="14" t="s">
        <v>17</v>
      </c>
      <c r="D43" s="82">
        <f>SUM(D40:D41)</f>
        <v>898909.14813387196</v>
      </c>
      <c r="E43" s="82">
        <f t="shared" ref="E43:G43" si="11">SUM(E40:E41)</f>
        <v>3923649.7668898501</v>
      </c>
      <c r="F43" s="82">
        <f t="shared" si="11"/>
        <v>0</v>
      </c>
      <c r="G43" s="82">
        <f t="shared" si="11"/>
        <v>0</v>
      </c>
      <c r="H43" s="82">
        <f t="shared" ref="H43" si="12">SUM(H40:H41)</f>
        <v>0</v>
      </c>
      <c r="I43" s="83"/>
      <c r="J43" s="82">
        <f>SUM(J40:J41)</f>
        <v>4822558.9150237218</v>
      </c>
      <c r="L43" s="91"/>
    </row>
    <row r="44" spans="2:12" s="9" customFormat="1" x14ac:dyDescent="0.25">
      <c r="B44" s="27"/>
      <c r="C44" s="19" t="s">
        <v>38</v>
      </c>
      <c r="D44" s="18" t="s">
        <v>31</v>
      </c>
      <c r="E44" s="15"/>
      <c r="F44" s="15"/>
      <c r="G44" s="15"/>
      <c r="H44" s="15"/>
      <c r="I44" s="12"/>
      <c r="J44" s="20"/>
      <c r="L44" s="93"/>
    </row>
    <row r="45" spans="2:12" s="9" customFormat="1" x14ac:dyDescent="0.25">
      <c r="B45" s="27"/>
      <c r="C45" s="15"/>
      <c r="D45" s="20"/>
      <c r="E45" s="16"/>
      <c r="F45" s="16"/>
      <c r="G45" s="16"/>
      <c r="H45" s="16"/>
      <c r="I45" s="12"/>
      <c r="J45" s="20">
        <f t="shared" si="6"/>
        <v>0</v>
      </c>
      <c r="L45" s="93"/>
    </row>
    <row r="46" spans="2:12" s="9" customFormat="1" x14ac:dyDescent="0.25">
      <c r="B46" s="29"/>
      <c r="C46" s="14" t="s">
        <v>18</v>
      </c>
      <c r="D46" s="21">
        <f>SUM(D45:D45)</f>
        <v>0</v>
      </c>
      <c r="E46" s="21">
        <f>SUM(E45:E45)</f>
        <v>0</v>
      </c>
      <c r="F46" s="21">
        <f>SUM(F45:F45)</f>
        <v>0</v>
      </c>
      <c r="G46" s="21">
        <f>SUM(G45:G45)</f>
        <v>0</v>
      </c>
      <c r="H46" s="21">
        <f>SUM(H45:H45)</f>
        <v>0</v>
      </c>
      <c r="I46" s="12"/>
      <c r="J46" s="21">
        <f>SUM(J45:J45)</f>
        <v>0</v>
      </c>
      <c r="L46" s="93"/>
    </row>
    <row r="47" spans="2:12" s="9" customFormat="1" x14ac:dyDescent="0.25">
      <c r="B47" s="29"/>
      <c r="C47" s="14" t="s">
        <v>19</v>
      </c>
      <c r="D47" s="82">
        <f>D25+D38+D43</f>
        <v>898909.14813387196</v>
      </c>
      <c r="E47" s="82">
        <f t="shared" ref="E47:G47" si="13">E25+E38+E43</f>
        <v>9679311.759824615</v>
      </c>
      <c r="F47" s="82">
        <f t="shared" si="13"/>
        <v>1990704.6780796875</v>
      </c>
      <c r="G47" s="82">
        <f t="shared" si="13"/>
        <v>500506.24764492188</v>
      </c>
      <c r="H47" s="82">
        <f>SUM(H46,H43,H28,H25,H15,H12,H9)</f>
        <v>0</v>
      </c>
      <c r="I47" s="83"/>
      <c r="J47" s="82">
        <f>SUM(D47:H47)</f>
        <v>13069431.833683096</v>
      </c>
    </row>
    <row r="48" spans="2:12" s="9" customFormat="1" x14ac:dyDescent="0.25">
      <c r="B48" s="28"/>
      <c r="J48" s="9" t="s">
        <v>20</v>
      </c>
    </row>
    <row r="49" spans="2:10" s="9" customFormat="1" ht="30" x14ac:dyDescent="0.25">
      <c r="B49" s="78" t="s">
        <v>39</v>
      </c>
      <c r="C49" s="22" t="s">
        <v>39</v>
      </c>
      <c r="D49" s="23"/>
      <c r="E49" s="23"/>
      <c r="F49" s="23"/>
      <c r="G49" s="23"/>
      <c r="H49" s="23"/>
      <c r="J49" s="23" t="s">
        <v>20</v>
      </c>
    </row>
    <row r="50" spans="2:10" s="9" customFormat="1" x14ac:dyDescent="0.25">
      <c r="B50" s="27"/>
      <c r="C50" s="30"/>
      <c r="D50" s="18"/>
      <c r="E50" s="15"/>
      <c r="F50" s="15"/>
      <c r="G50" s="15"/>
      <c r="H50" s="15"/>
      <c r="I50" s="12"/>
      <c r="J50" s="20">
        <f t="shared" ref="J50:J51" si="14">SUM(D50:H50)</f>
        <v>0</v>
      </c>
    </row>
    <row r="51" spans="2:10" s="9" customFormat="1" x14ac:dyDescent="0.25">
      <c r="B51" s="29"/>
      <c r="C51" s="14" t="s">
        <v>21</v>
      </c>
      <c r="D51" s="21">
        <f>SUM(D50:D50)</f>
        <v>0</v>
      </c>
      <c r="E51" s="21">
        <f>SUM(E50:E50)</f>
        <v>0</v>
      </c>
      <c r="F51" s="21">
        <f>SUM(F50:F50)</f>
        <v>0</v>
      </c>
      <c r="G51" s="21">
        <f>SUM(G50:G50)</f>
        <v>0</v>
      </c>
      <c r="H51" s="21">
        <f>SUM(H50:H50)</f>
        <v>0</v>
      </c>
      <c r="I51" s="12"/>
      <c r="J51" s="21">
        <f t="shared" si="14"/>
        <v>0</v>
      </c>
    </row>
    <row r="52" spans="2:10" s="9" customFormat="1" ht="15.75" thickBot="1" x14ac:dyDescent="0.3">
      <c r="B52" s="28"/>
      <c r="J52" s="9" t="s">
        <v>20</v>
      </c>
    </row>
    <row r="53" spans="2:10" s="6" customFormat="1" ht="30.75" thickBot="1" x14ac:dyDescent="0.3">
      <c r="B53" s="24" t="s">
        <v>22</v>
      </c>
      <c r="C53" s="24"/>
      <c r="D53" s="84">
        <f t="shared" ref="D53:J53" si="15">SUM(D51,D47)</f>
        <v>898909.14813387196</v>
      </c>
      <c r="E53" s="84">
        <f t="shared" si="15"/>
        <v>9679311.759824615</v>
      </c>
      <c r="F53" s="84">
        <f t="shared" si="15"/>
        <v>1990704.6780796875</v>
      </c>
      <c r="G53" s="84">
        <f t="shared" si="15"/>
        <v>500506.24764492188</v>
      </c>
      <c r="H53" s="84">
        <f t="shared" si="15"/>
        <v>0</v>
      </c>
      <c r="I53" s="83">
        <f t="shared" si="15"/>
        <v>0</v>
      </c>
      <c r="J53" s="84">
        <f t="shared" si="15"/>
        <v>13069431.833683096</v>
      </c>
    </row>
    <row r="54" spans="2:10" x14ac:dyDescent="0.25">
      <c r="B54" s="11"/>
    </row>
    <row r="55" spans="2:10" x14ac:dyDescent="0.25">
      <c r="B55" s="11"/>
    </row>
    <row r="56" spans="2:10" x14ac:dyDescent="0.25">
      <c r="B56" s="11"/>
    </row>
    <row r="57" spans="2:10" x14ac:dyDescent="0.25">
      <c r="B57" s="11"/>
    </row>
    <row r="58" spans="2:10" x14ac:dyDescent="0.25">
      <c r="B58" s="11"/>
    </row>
    <row r="59" spans="2:10" x14ac:dyDescent="0.25">
      <c r="B59" s="11"/>
    </row>
    <row r="60" spans="2:10" x14ac:dyDescent="0.25">
      <c r="B60" s="11"/>
    </row>
    <row r="61" spans="2:10" x14ac:dyDescent="0.25">
      <c r="B61" s="11"/>
    </row>
    <row r="62" spans="2:10" x14ac:dyDescent="0.25">
      <c r="B62" s="11"/>
    </row>
    <row r="63" spans="2:10" x14ac:dyDescent="0.25">
      <c r="B63" s="11"/>
    </row>
    <row r="64" spans="2:10" x14ac:dyDescent="0.25">
      <c r="B64" s="11"/>
    </row>
    <row r="65" spans="2:2" x14ac:dyDescent="0.25">
      <c r="B65" s="11"/>
    </row>
    <row r="66" spans="2:2" x14ac:dyDescent="0.25">
      <c r="B66" s="11"/>
    </row>
    <row r="67" spans="2:2" x14ac:dyDescent="0.25">
      <c r="B67" s="11"/>
    </row>
    <row r="68" spans="2:2" x14ac:dyDescent="0.25">
      <c r="B68" s="11"/>
    </row>
  </sheetData>
  <pageMargins left="0.7" right="0.7" top="0.75" bottom="0.75" header="0.3" footer="0.3"/>
  <pageSetup scale="89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DF0F2E-83A6-4FA9-A5DB-9645AC999CD2}">
  <sheetPr>
    <tabColor rgb="FF00B050"/>
    <pageSetUpPr fitToPage="1"/>
  </sheetPr>
  <dimension ref="B2:AW65"/>
  <sheetViews>
    <sheetView showGridLines="0" zoomScale="128" zoomScaleNormal="85" workbookViewId="0">
      <pane xSplit="3" ySplit="6" topLeftCell="D24" activePane="bottomRight" state="frozen"/>
      <selection activeCell="R20" sqref="R20:W20"/>
      <selection pane="topRight" activeCell="R20" sqref="R20:W20"/>
      <selection pane="bottomLeft" activeCell="R20" sqref="R20:W20"/>
      <selection pane="bottomRight" activeCell="J38" sqref="J38"/>
    </sheetView>
  </sheetViews>
  <sheetFormatPr defaultColWidth="9.140625" defaultRowHeight="15" x14ac:dyDescent="0.25"/>
  <cols>
    <col min="1" max="1" width="3.140625" style="8" customWidth="1"/>
    <col min="2" max="2" width="9.7109375" style="8" customWidth="1"/>
    <col min="3" max="3" width="44.42578125" style="8" customWidth="1"/>
    <col min="4" max="4" width="12.85546875" style="11" customWidth="1"/>
    <col min="5" max="5" width="14.28515625" style="3" bestFit="1" customWidth="1"/>
    <col min="6" max="6" width="14.28515625" style="8" bestFit="1" customWidth="1"/>
    <col min="7" max="7" width="13.28515625" style="8" bestFit="1" customWidth="1"/>
    <col min="8" max="8" width="13.42578125" style="3" customWidth="1"/>
    <col min="9" max="9" width="0.85546875" style="12" customWidth="1"/>
    <col min="10" max="10" width="14.42578125" style="8" customWidth="1"/>
    <col min="11" max="11" width="9.140625" style="8"/>
    <col min="12" max="12" width="14.7109375" style="8" bestFit="1" customWidth="1"/>
    <col min="13" max="16384" width="9.140625" style="8"/>
  </cols>
  <sheetData>
    <row r="2" spans="2:49" ht="23.25" x14ac:dyDescent="0.35">
      <c r="B2" s="34" t="s">
        <v>29</v>
      </c>
    </row>
    <row r="3" spans="2:49" x14ac:dyDescent="0.25">
      <c r="B3" s="7" t="s">
        <v>40</v>
      </c>
    </row>
    <row r="4" spans="2:49" x14ac:dyDescent="0.25">
      <c r="B4" s="7"/>
    </row>
    <row r="5" spans="2:49" ht="18.75" x14ac:dyDescent="0.3">
      <c r="B5" s="40" t="s">
        <v>2</v>
      </c>
      <c r="C5" s="41"/>
      <c r="D5" s="41"/>
      <c r="E5" s="41"/>
      <c r="F5" s="41"/>
      <c r="G5" s="41"/>
      <c r="H5" s="41"/>
      <c r="I5" s="41"/>
      <c r="J5" s="4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</row>
    <row r="6" spans="2:49" ht="30" x14ac:dyDescent="0.25">
      <c r="B6" s="43" t="s">
        <v>3</v>
      </c>
      <c r="C6" s="43" t="s">
        <v>4</v>
      </c>
      <c r="D6" s="43" t="s">
        <v>5</v>
      </c>
      <c r="E6" s="44" t="s">
        <v>6</v>
      </c>
      <c r="F6" s="44" t="s">
        <v>7</v>
      </c>
      <c r="G6" s="44" t="s">
        <v>8</v>
      </c>
      <c r="H6" s="45" t="s">
        <v>9</v>
      </c>
      <c r="I6" s="46"/>
      <c r="J6" s="47" t="s">
        <v>10</v>
      </c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</row>
    <row r="7" spans="2:49" s="10" customFormat="1" x14ac:dyDescent="0.25">
      <c r="B7" s="26" t="s">
        <v>11</v>
      </c>
      <c r="C7" s="31" t="s">
        <v>30</v>
      </c>
      <c r="D7" s="15" t="s">
        <v>31</v>
      </c>
      <c r="E7" s="15" t="s">
        <v>31</v>
      </c>
      <c r="F7" s="15" t="s">
        <v>31</v>
      </c>
      <c r="G7" s="15"/>
      <c r="H7" s="15" t="s">
        <v>31</v>
      </c>
      <c r="I7" s="12"/>
      <c r="J7" s="13" t="s">
        <v>31</v>
      </c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</row>
    <row r="8" spans="2:49" s="9" customFormat="1" x14ac:dyDescent="0.25">
      <c r="B8" s="27"/>
      <c r="C8" s="32"/>
      <c r="D8" s="20"/>
      <c r="E8" s="16"/>
      <c r="F8" s="16"/>
      <c r="G8" s="16"/>
      <c r="H8" s="16"/>
      <c r="I8" s="12"/>
      <c r="J8" s="20">
        <f>SUM(D8:H8)</f>
        <v>0</v>
      </c>
    </row>
    <row r="9" spans="2:49" s="9" customFormat="1" x14ac:dyDescent="0.25">
      <c r="B9" s="27"/>
      <c r="C9" s="14" t="s">
        <v>12</v>
      </c>
      <c r="D9" s="21">
        <f t="shared" ref="D9:J9" si="0">SUM(D8:D8)</f>
        <v>0</v>
      </c>
      <c r="E9" s="21">
        <f t="shared" si="0"/>
        <v>0</v>
      </c>
      <c r="F9" s="21">
        <f t="shared" si="0"/>
        <v>0</v>
      </c>
      <c r="G9" s="21">
        <f t="shared" si="0"/>
        <v>0</v>
      </c>
      <c r="H9" s="21">
        <f t="shared" si="0"/>
        <v>0</v>
      </c>
      <c r="I9" s="12">
        <f t="shared" si="0"/>
        <v>0</v>
      </c>
      <c r="J9" s="21">
        <f t="shared" si="0"/>
        <v>0</v>
      </c>
    </row>
    <row r="10" spans="2:49" s="9" customFormat="1" x14ac:dyDescent="0.25">
      <c r="B10" s="27"/>
      <c r="C10" s="19" t="s">
        <v>32</v>
      </c>
      <c r="D10" s="18" t="s">
        <v>31</v>
      </c>
      <c r="E10" s="15"/>
      <c r="F10" s="15"/>
      <c r="G10" s="15"/>
      <c r="H10" s="15"/>
      <c r="I10" s="12"/>
      <c r="J10" s="13" t="s">
        <v>31</v>
      </c>
    </row>
    <row r="11" spans="2:49" s="9" customFormat="1" x14ac:dyDescent="0.25">
      <c r="B11" s="27"/>
      <c r="C11" s="15"/>
      <c r="D11" s="20"/>
      <c r="E11" s="16"/>
      <c r="F11" s="16"/>
      <c r="G11" s="16"/>
      <c r="H11" s="16"/>
      <c r="I11" s="12"/>
      <c r="J11" s="20">
        <f t="shared" ref="J11" si="1">SUM(D11:H11)</f>
        <v>0</v>
      </c>
    </row>
    <row r="12" spans="2:49" s="9" customFormat="1" x14ac:dyDescent="0.25">
      <c r="B12" s="27"/>
      <c r="C12" s="14" t="s">
        <v>13</v>
      </c>
      <c r="D12" s="21">
        <f t="shared" ref="D12:J12" si="2">SUM(D11:D11)</f>
        <v>0</v>
      </c>
      <c r="E12" s="21">
        <f t="shared" si="2"/>
        <v>0</v>
      </c>
      <c r="F12" s="21">
        <f t="shared" si="2"/>
        <v>0</v>
      </c>
      <c r="G12" s="21">
        <f t="shared" si="2"/>
        <v>0</v>
      </c>
      <c r="H12" s="21">
        <f t="shared" si="2"/>
        <v>0</v>
      </c>
      <c r="I12" s="12">
        <f t="shared" si="2"/>
        <v>0</v>
      </c>
      <c r="J12" s="21">
        <f t="shared" si="2"/>
        <v>0</v>
      </c>
    </row>
    <row r="13" spans="2:49" s="9" customFormat="1" x14ac:dyDescent="0.25">
      <c r="B13" s="27"/>
      <c r="C13" s="19" t="s">
        <v>33</v>
      </c>
      <c r="D13" s="18" t="s">
        <v>31</v>
      </c>
      <c r="E13" s="15"/>
      <c r="F13" s="15"/>
      <c r="G13" s="15"/>
      <c r="H13" s="15"/>
      <c r="I13" s="12"/>
      <c r="J13" s="13" t="s">
        <v>31</v>
      </c>
    </row>
    <row r="14" spans="2:49" s="9" customFormat="1" x14ac:dyDescent="0.25">
      <c r="B14" s="27"/>
      <c r="C14" s="30"/>
      <c r="D14" s="20"/>
      <c r="E14" s="20"/>
      <c r="F14" s="20"/>
      <c r="G14" s="20"/>
      <c r="H14" s="20"/>
      <c r="I14" s="39">
        <v>1638</v>
      </c>
      <c r="J14" s="20">
        <f t="shared" ref="J14" si="3">SUM(D14:H14)</f>
        <v>0</v>
      </c>
    </row>
    <row r="15" spans="2:49" s="9" customFormat="1" x14ac:dyDescent="0.25">
      <c r="B15" s="27"/>
      <c r="C15" s="14" t="s">
        <v>14</v>
      </c>
      <c r="D15" s="21">
        <f>SUM(D14:D14)</f>
        <v>0</v>
      </c>
      <c r="E15" s="21">
        <f>SUM(E14:E14)</f>
        <v>0</v>
      </c>
      <c r="F15" s="21">
        <f>SUM(F14:F14)</f>
        <v>0</v>
      </c>
      <c r="G15" s="21">
        <f>SUM(G14:G14)</f>
        <v>0</v>
      </c>
      <c r="H15" s="21">
        <f>SUM(H14:H14)</f>
        <v>0</v>
      </c>
      <c r="I15" s="12"/>
      <c r="J15" s="21">
        <f>SUM(J14:J14)</f>
        <v>0</v>
      </c>
    </row>
    <row r="16" spans="2:49" s="9" customFormat="1" x14ac:dyDescent="0.25">
      <c r="B16" s="27"/>
      <c r="C16" s="19" t="s">
        <v>34</v>
      </c>
      <c r="D16" s="20"/>
      <c r="E16" s="15"/>
      <c r="F16" s="15"/>
      <c r="G16" s="15"/>
      <c r="H16" s="15"/>
      <c r="I16" s="12"/>
      <c r="J16" s="20" t="s">
        <v>20</v>
      </c>
    </row>
    <row r="17" spans="2:12" s="9" customFormat="1" x14ac:dyDescent="0.25">
      <c r="B17" s="27"/>
      <c r="C17" s="15" t="s">
        <v>64</v>
      </c>
      <c r="D17" s="80"/>
      <c r="E17" s="80">
        <v>763547</v>
      </c>
      <c r="F17" s="15"/>
      <c r="G17" s="15"/>
      <c r="H17" s="15"/>
      <c r="I17" s="12"/>
      <c r="J17" s="80">
        <f>SUM(D17:H17)</f>
        <v>763547</v>
      </c>
    </row>
    <row r="18" spans="2:12" s="9" customFormat="1" x14ac:dyDescent="0.25">
      <c r="B18" s="27"/>
      <c r="C18" s="15" t="s">
        <v>76</v>
      </c>
      <c r="D18" s="80"/>
      <c r="E18" s="80">
        <v>303678</v>
      </c>
      <c r="F18" s="15"/>
      <c r="G18" s="15"/>
      <c r="H18" s="15"/>
      <c r="I18" s="12"/>
      <c r="J18" s="80">
        <f t="shared" ref="J18:J21" si="4">SUM(D18:H18)</f>
        <v>303678</v>
      </c>
    </row>
    <row r="19" spans="2:12" s="9" customFormat="1" x14ac:dyDescent="0.25">
      <c r="B19" s="27"/>
      <c r="C19" s="15" t="s">
        <v>65</v>
      </c>
      <c r="D19" s="80"/>
      <c r="E19" s="80">
        <v>55075</v>
      </c>
      <c r="F19" s="15"/>
      <c r="G19" s="15"/>
      <c r="H19" s="15"/>
      <c r="I19" s="12"/>
      <c r="J19" s="80">
        <f t="shared" si="4"/>
        <v>55075</v>
      </c>
    </row>
    <row r="20" spans="2:12" s="9" customFormat="1" x14ac:dyDescent="0.25">
      <c r="B20" s="27"/>
      <c r="C20" s="15" t="s">
        <v>66</v>
      </c>
      <c r="D20" s="80"/>
      <c r="E20" s="80">
        <v>19928</v>
      </c>
      <c r="F20" s="15"/>
      <c r="G20" s="15"/>
      <c r="H20" s="15"/>
      <c r="I20" s="12"/>
      <c r="J20" s="80">
        <f t="shared" si="4"/>
        <v>19928</v>
      </c>
    </row>
    <row r="21" spans="2:12" s="9" customFormat="1" x14ac:dyDescent="0.25">
      <c r="B21" s="27"/>
      <c r="C21" s="15" t="s">
        <v>57</v>
      </c>
      <c r="D21" s="80"/>
      <c r="E21" s="80">
        <v>106723</v>
      </c>
      <c r="F21" s="15"/>
      <c r="G21" s="15"/>
      <c r="H21" s="15"/>
      <c r="I21" s="12"/>
      <c r="J21" s="80">
        <f t="shared" si="4"/>
        <v>106723</v>
      </c>
    </row>
    <row r="22" spans="2:12" s="9" customFormat="1" x14ac:dyDescent="0.25">
      <c r="B22" s="27" t="s">
        <v>35</v>
      </c>
      <c r="C22" s="33" t="s">
        <v>35</v>
      </c>
      <c r="D22" s="18" t="s">
        <v>31</v>
      </c>
      <c r="E22" s="15"/>
      <c r="F22" s="15"/>
      <c r="G22" s="15"/>
      <c r="H22" s="15"/>
      <c r="I22" s="12"/>
      <c r="J22" s="20">
        <f t="shared" ref="J22:J42" si="5">SUM(D22:H22)</f>
        <v>0</v>
      </c>
    </row>
    <row r="23" spans="2:12" s="9" customFormat="1" x14ac:dyDescent="0.25">
      <c r="B23" s="27"/>
      <c r="C23" s="14" t="s">
        <v>15</v>
      </c>
      <c r="D23" s="95">
        <f>SUM(D22:D22)</f>
        <v>0</v>
      </c>
      <c r="E23" s="90">
        <f>SUM(E17:E21)</f>
        <v>1248951</v>
      </c>
      <c r="F23" s="17">
        <f>SUM(F22:F22)</f>
        <v>0</v>
      </c>
      <c r="G23" s="17">
        <f>SUM(G22:G22)</f>
        <v>0</v>
      </c>
      <c r="H23" s="17">
        <f>SUM(H22:H22)</f>
        <v>0</v>
      </c>
      <c r="I23" s="12"/>
      <c r="J23" s="82">
        <f>SUM(J17:J21)</f>
        <v>1248951</v>
      </c>
    </row>
    <row r="24" spans="2:12" s="9" customFormat="1" x14ac:dyDescent="0.25">
      <c r="B24" s="27"/>
      <c r="C24" s="19" t="s">
        <v>36</v>
      </c>
      <c r="D24" s="18" t="s">
        <v>31</v>
      </c>
      <c r="E24" s="15"/>
      <c r="F24" s="15"/>
      <c r="G24" s="15"/>
      <c r="H24" s="15"/>
      <c r="I24" s="12"/>
      <c r="J24" s="20"/>
    </row>
    <row r="25" spans="2:12" s="9" customFormat="1" x14ac:dyDescent="0.25">
      <c r="B25" s="27"/>
      <c r="C25" s="30"/>
      <c r="D25" s="20"/>
      <c r="E25" s="16"/>
      <c r="F25" s="16"/>
      <c r="G25" s="16"/>
      <c r="H25" s="16"/>
      <c r="I25" s="12"/>
      <c r="J25" s="20">
        <f t="shared" si="5"/>
        <v>0</v>
      </c>
    </row>
    <row r="26" spans="2:12" s="9" customFormat="1" x14ac:dyDescent="0.25">
      <c r="B26" s="27"/>
      <c r="C26" s="14" t="s">
        <v>16</v>
      </c>
      <c r="D26" s="21">
        <f>SUM(D25:D25)</f>
        <v>0</v>
      </c>
      <c r="E26" s="21">
        <f>SUM(E25:E25)</f>
        <v>0</v>
      </c>
      <c r="F26" s="21">
        <f>SUM(F25:F25)</f>
        <v>0</v>
      </c>
      <c r="G26" s="21">
        <f>SUM(G25:G25)</f>
        <v>0</v>
      </c>
      <c r="H26" s="21">
        <f>SUM(H25:H25)</f>
        <v>0</v>
      </c>
      <c r="I26" s="12"/>
      <c r="J26" s="21">
        <f>SUM(J25:J25)</f>
        <v>0</v>
      </c>
    </row>
    <row r="27" spans="2:12" s="9" customFormat="1" x14ac:dyDescent="0.25">
      <c r="B27" s="27"/>
      <c r="C27" s="19" t="s">
        <v>58</v>
      </c>
      <c r="D27" s="18" t="s">
        <v>31</v>
      </c>
      <c r="E27" s="15"/>
      <c r="F27" s="15"/>
      <c r="G27" s="15"/>
      <c r="H27" s="15"/>
      <c r="I27" s="12"/>
      <c r="J27" s="20"/>
    </row>
    <row r="28" spans="2:12" s="9" customFormat="1" x14ac:dyDescent="0.25">
      <c r="B28" s="27"/>
      <c r="C28" s="15" t="s">
        <v>61</v>
      </c>
      <c r="D28" s="18"/>
      <c r="E28" s="92">
        <f>(($J$23+$J$32+$J$33+$J$34)/24)*9*0.12</f>
        <v>264077.53743547288</v>
      </c>
      <c r="F28" s="92">
        <f>(($J$23+$J$32+$J$33+$J$34)/24)*12*0.12</f>
        <v>352103.38324729714</v>
      </c>
      <c r="G28" s="92">
        <f>(($J$23+$J$32+$J$33+$J$34)/24)*3*0.12</f>
        <v>88025.845811824285</v>
      </c>
      <c r="H28" s="15"/>
      <c r="I28" s="12"/>
      <c r="J28" s="80">
        <f>SUM(E28:G28)</f>
        <v>704206.76649459428</v>
      </c>
    </row>
    <row r="29" spans="2:12" s="9" customFormat="1" x14ac:dyDescent="0.25">
      <c r="B29" s="27"/>
      <c r="C29" s="15" t="s">
        <v>62</v>
      </c>
      <c r="D29" s="18"/>
      <c r="E29" s="92">
        <f>(($J$23+$J$32+$J$28+$J$33+$J$34)/24)*9*0.1</f>
        <v>246472.368273108</v>
      </c>
      <c r="F29" s="92">
        <f>(($J$23+$J$32+$J$28+$J$33+$J$34)/24)*12*0.1</f>
        <v>328629.82436414401</v>
      </c>
      <c r="G29" s="92">
        <f>(($J$23+$J$32+$J$28+$J$33+$J$34)/24)*3*0.1</f>
        <v>82157.456091036001</v>
      </c>
      <c r="H29" s="15"/>
      <c r="I29" s="12"/>
      <c r="J29" s="80">
        <f t="shared" ref="J29:J31" si="6">SUM(E29:G29)</f>
        <v>657259.64872828801</v>
      </c>
    </row>
    <row r="30" spans="2:12" s="9" customFormat="1" x14ac:dyDescent="0.25">
      <c r="B30" s="27"/>
      <c r="C30" s="15" t="s">
        <v>63</v>
      </c>
      <c r="D30" s="18"/>
      <c r="E30" s="92">
        <f>(($J$23+$J$32+$J$28+$J$29+$J$33+$J$34)/24)*9*0.03</f>
        <v>81335.88153012564</v>
      </c>
      <c r="F30" s="92">
        <f>(($J$23+$J$32+$J$28+$J$29+$J$33+$J$34)/24)*12*0.03</f>
        <v>108447.84204016752</v>
      </c>
      <c r="G30" s="92">
        <f>(($J$23+$J$32+$J$28+$J$29+$J$33+$J$34)/24)*3*0.03</f>
        <v>27111.960510041881</v>
      </c>
      <c r="H30" s="15"/>
      <c r="I30" s="12"/>
      <c r="J30" s="80">
        <f t="shared" si="6"/>
        <v>216895.68408033505</v>
      </c>
    </row>
    <row r="31" spans="2:12" s="9" customFormat="1" x14ac:dyDescent="0.25">
      <c r="B31" s="27"/>
      <c r="C31" s="15" t="s">
        <v>60</v>
      </c>
      <c r="D31" s="18"/>
      <c r="E31" s="92">
        <f>(($J$23+$J$32+$J$28+$J$29+$J$30+$J$33+$J$34)/24)*9*0.3</f>
        <v>837759.57976029406</v>
      </c>
      <c r="F31" s="92">
        <f>(($J$23+$J$32+$J$28+$J$29+$J$30+$J$33+$J$34)/24)*12*0.3</f>
        <v>1117012.7730137254</v>
      </c>
      <c r="G31" s="92">
        <f>(($J$23+$J$32+$J$28+$J$29+$J$30+$J$33+$J$34)/24)*3*0.3</f>
        <v>279253.19325343135</v>
      </c>
      <c r="H31" s="15"/>
      <c r="I31" s="12"/>
      <c r="J31" s="80">
        <f t="shared" si="6"/>
        <v>2234025.5460274508</v>
      </c>
    </row>
    <row r="32" spans="2:12" s="9" customFormat="1" x14ac:dyDescent="0.25">
      <c r="B32" s="27"/>
      <c r="C32" s="89" t="s">
        <v>44</v>
      </c>
      <c r="D32" s="20"/>
      <c r="E32" s="80">
        <f>(1084541.78220369)*1.12</f>
        <v>1214686.7960681329</v>
      </c>
      <c r="F32" s="80">
        <f>(1446055.70960492)*1.15</f>
        <v>1662964.0660456577</v>
      </c>
      <c r="G32" s="80">
        <f>(361513.92740123)*1.18</f>
        <v>426586.43433345133</v>
      </c>
      <c r="H32" s="80"/>
      <c r="I32" s="81"/>
      <c r="J32" s="80">
        <f>SUM(D32:H32)</f>
        <v>3304237.2964472417</v>
      </c>
      <c r="L32" s="93"/>
    </row>
    <row r="33" spans="2:12" s="9" customFormat="1" ht="30" x14ac:dyDescent="0.25">
      <c r="B33" s="27"/>
      <c r="C33" s="85" t="s">
        <v>41</v>
      </c>
      <c r="D33" s="20"/>
      <c r="E33" s="80">
        <f>(952444.356418263)*1.12</f>
        <v>1066737.6791884548</v>
      </c>
      <c r="F33" s="80"/>
      <c r="G33" s="80"/>
      <c r="H33" s="80"/>
      <c r="I33" s="81"/>
      <c r="J33" s="80">
        <f t="shared" ref="J33:J34" si="7">SUM(D33:H33)</f>
        <v>1066737.6791884548</v>
      </c>
      <c r="L33" s="93"/>
    </row>
    <row r="34" spans="2:12" s="9" customFormat="1" x14ac:dyDescent="0.25">
      <c r="B34" s="27"/>
      <c r="C34" s="85" t="s">
        <v>42</v>
      </c>
      <c r="D34" s="20"/>
      <c r="E34" s="80">
        <v>248463.74515259024</v>
      </c>
      <c r="F34" s="80"/>
      <c r="G34" s="80"/>
      <c r="H34" s="80"/>
      <c r="I34" s="81"/>
      <c r="J34" s="80">
        <f t="shared" si="7"/>
        <v>248463.74515259024</v>
      </c>
      <c r="L34" s="93"/>
    </row>
    <row r="35" spans="2:12" s="9" customFormat="1" x14ac:dyDescent="0.25">
      <c r="B35" s="27"/>
      <c r="C35" s="85"/>
      <c r="D35" s="20"/>
      <c r="E35" s="80"/>
      <c r="F35" s="80"/>
      <c r="G35" s="80"/>
      <c r="H35" s="80"/>
      <c r="I35" s="81"/>
      <c r="J35" s="20">
        <f t="shared" si="5"/>
        <v>0</v>
      </c>
      <c r="L35" s="93"/>
    </row>
    <row r="36" spans="2:12" s="9" customFormat="1" x14ac:dyDescent="0.25">
      <c r="B36" s="27"/>
      <c r="C36" s="14" t="s">
        <v>59</v>
      </c>
      <c r="D36" s="82">
        <f>SUM(D28:D34)</f>
        <v>0</v>
      </c>
      <c r="E36" s="82">
        <f t="shared" ref="E36:H36" si="8">SUM(E28:E34)</f>
        <v>3959533.587408178</v>
      </c>
      <c r="F36" s="82">
        <f t="shared" si="8"/>
        <v>3569157.8887109919</v>
      </c>
      <c r="G36" s="82">
        <f t="shared" si="8"/>
        <v>903134.88999978488</v>
      </c>
      <c r="H36" s="82">
        <f t="shared" si="8"/>
        <v>0</v>
      </c>
      <c r="I36" s="12"/>
      <c r="J36" s="82">
        <f>SUM(J28:J34)</f>
        <v>8431826.3661189545</v>
      </c>
      <c r="L36" s="93"/>
    </row>
    <row r="37" spans="2:12" s="9" customFormat="1" x14ac:dyDescent="0.25">
      <c r="B37" s="27"/>
      <c r="C37" s="19" t="s">
        <v>37</v>
      </c>
      <c r="D37" s="18" t="s">
        <v>31</v>
      </c>
      <c r="E37" s="15"/>
      <c r="F37" s="15"/>
      <c r="G37" s="15"/>
      <c r="H37" s="15"/>
      <c r="I37" s="12"/>
      <c r="J37" s="20"/>
      <c r="L37" s="93"/>
    </row>
    <row r="38" spans="2:12" s="9" customFormat="1" ht="45" x14ac:dyDescent="0.25">
      <c r="B38" s="27"/>
      <c r="C38" s="85" t="s">
        <v>43</v>
      </c>
      <c r="D38" s="80">
        <f>((J36+J23)*0.1)*1.09</f>
        <v>1055204.7329069662</v>
      </c>
      <c r="E38" s="80">
        <f>((J36+J23)*0.1)*1.12</f>
        <v>1084247.0650053232</v>
      </c>
      <c r="F38" s="80"/>
      <c r="G38" s="80"/>
      <c r="H38" s="80"/>
      <c r="I38" s="81"/>
      <c r="J38" s="80">
        <f>SUM(D38:H38)</f>
        <v>2139451.7979122894</v>
      </c>
      <c r="L38" s="93"/>
    </row>
    <row r="39" spans="2:12" s="9" customFormat="1" x14ac:dyDescent="0.25">
      <c r="B39" s="27"/>
      <c r="C39" s="79"/>
      <c r="D39" s="80"/>
      <c r="E39" s="85"/>
      <c r="F39" s="85"/>
      <c r="G39" s="85"/>
      <c r="H39" s="85"/>
      <c r="I39" s="83"/>
      <c r="J39" s="20">
        <f t="shared" ref="J39" si="9">SUM(D39:H39)</f>
        <v>0</v>
      </c>
      <c r="L39" s="93"/>
    </row>
    <row r="40" spans="2:12" s="9" customFormat="1" x14ac:dyDescent="0.25">
      <c r="B40" s="27"/>
      <c r="C40" s="14" t="s">
        <v>17</v>
      </c>
      <c r="D40" s="82">
        <f>SUM(D38)</f>
        <v>1055204.7329069662</v>
      </c>
      <c r="E40" s="82">
        <f t="shared" ref="E40:G40" si="10">SUM(E38)</f>
        <v>1084247.0650053232</v>
      </c>
      <c r="F40" s="82">
        <f t="shared" si="10"/>
        <v>0</v>
      </c>
      <c r="G40" s="82">
        <f t="shared" si="10"/>
        <v>0</v>
      </c>
      <c r="H40" s="82">
        <f>SUM(H32:H32)</f>
        <v>0</v>
      </c>
      <c r="I40" s="83"/>
      <c r="J40" s="82">
        <f>SUM(J38)</f>
        <v>2139451.7979122894</v>
      </c>
      <c r="L40" s="91"/>
    </row>
    <row r="41" spans="2:12" s="9" customFormat="1" x14ac:dyDescent="0.25">
      <c r="B41" s="27"/>
      <c r="C41" s="19" t="s">
        <v>38</v>
      </c>
      <c r="D41" s="18" t="s">
        <v>31</v>
      </c>
      <c r="E41" s="15"/>
      <c r="F41" s="15"/>
      <c r="G41" s="15"/>
      <c r="H41" s="15"/>
      <c r="I41" s="12"/>
      <c r="J41" s="20"/>
    </row>
    <row r="42" spans="2:12" s="9" customFormat="1" x14ac:dyDescent="0.25">
      <c r="B42" s="27"/>
      <c r="C42" s="15"/>
      <c r="D42" s="20"/>
      <c r="E42" s="16"/>
      <c r="F42" s="16"/>
      <c r="G42" s="16"/>
      <c r="H42" s="16"/>
      <c r="I42" s="12"/>
      <c r="J42" s="20">
        <f t="shared" si="5"/>
        <v>0</v>
      </c>
    </row>
    <row r="43" spans="2:12" s="9" customFormat="1" x14ac:dyDescent="0.25">
      <c r="B43" s="29"/>
      <c r="C43" s="14" t="s">
        <v>18</v>
      </c>
      <c r="D43" s="21">
        <f>SUM(D42:D42)</f>
        <v>0</v>
      </c>
      <c r="E43" s="21">
        <f>SUM(E42:E42)</f>
        <v>0</v>
      </c>
      <c r="F43" s="21">
        <f>SUM(F42:F42)</f>
        <v>0</v>
      </c>
      <c r="G43" s="21">
        <f>SUM(G42:G42)</f>
        <v>0</v>
      </c>
      <c r="H43" s="21">
        <f>SUM(H42:H42)</f>
        <v>0</v>
      </c>
      <c r="I43" s="12"/>
      <c r="J43" s="21">
        <f>SUM(J42:J42)</f>
        <v>0</v>
      </c>
    </row>
    <row r="44" spans="2:12" s="9" customFormat="1" x14ac:dyDescent="0.25">
      <c r="B44" s="29"/>
      <c r="C44" s="14" t="s">
        <v>19</v>
      </c>
      <c r="D44" s="82">
        <f>SUM(D23+D36+D40)</f>
        <v>1055204.7329069662</v>
      </c>
      <c r="E44" s="82">
        <f t="shared" ref="E44:H44" si="11">SUM(E23+E36+E40)</f>
        <v>6292731.6524135005</v>
      </c>
      <c r="F44" s="82">
        <f t="shared" si="11"/>
        <v>3569157.8887109919</v>
      </c>
      <c r="G44" s="82">
        <f t="shared" si="11"/>
        <v>903134.88999978488</v>
      </c>
      <c r="H44" s="82">
        <f t="shared" si="11"/>
        <v>0</v>
      </c>
      <c r="I44" s="83"/>
      <c r="J44" s="82">
        <f>SUM(D44:H44)</f>
        <v>11820229.164031243</v>
      </c>
    </row>
    <row r="45" spans="2:12" s="9" customFormat="1" x14ac:dyDescent="0.25">
      <c r="B45" s="28"/>
      <c r="J45" s="9" t="s">
        <v>20</v>
      </c>
    </row>
    <row r="46" spans="2:12" s="9" customFormat="1" ht="30" x14ac:dyDescent="0.25">
      <c r="B46" s="78" t="s">
        <v>39</v>
      </c>
      <c r="C46" s="22" t="s">
        <v>39</v>
      </c>
      <c r="D46" s="23"/>
      <c r="E46" s="23"/>
      <c r="F46" s="23"/>
      <c r="G46" s="23"/>
      <c r="H46" s="23"/>
      <c r="J46" s="23" t="s">
        <v>20</v>
      </c>
    </row>
    <row r="47" spans="2:12" s="9" customFormat="1" x14ac:dyDescent="0.25">
      <c r="B47" s="27"/>
      <c r="C47" s="30"/>
      <c r="D47" s="18"/>
      <c r="E47" s="15"/>
      <c r="F47" s="15"/>
      <c r="G47" s="15"/>
      <c r="H47" s="15"/>
      <c r="I47" s="12"/>
      <c r="J47" s="20">
        <f t="shared" ref="J47:J48" si="12">SUM(D47:H47)</f>
        <v>0</v>
      </c>
    </row>
    <row r="48" spans="2:12" s="9" customFormat="1" x14ac:dyDescent="0.25">
      <c r="B48" s="29"/>
      <c r="C48" s="14" t="s">
        <v>21</v>
      </c>
      <c r="D48" s="21">
        <f>SUM(D47:D47)</f>
        <v>0</v>
      </c>
      <c r="E48" s="21">
        <f>SUM(E47:E47)</f>
        <v>0</v>
      </c>
      <c r="F48" s="21">
        <f>SUM(F47:F47)</f>
        <v>0</v>
      </c>
      <c r="G48" s="21">
        <f>SUM(G47:G47)</f>
        <v>0</v>
      </c>
      <c r="H48" s="21">
        <f>SUM(H47:H47)</f>
        <v>0</v>
      </c>
      <c r="I48" s="12"/>
      <c r="J48" s="21">
        <f t="shared" si="12"/>
        <v>0</v>
      </c>
    </row>
    <row r="49" spans="2:10" s="9" customFormat="1" ht="15.75" thickBot="1" x14ac:dyDescent="0.3">
      <c r="B49" s="28"/>
      <c r="J49" s="9" t="s">
        <v>20</v>
      </c>
    </row>
    <row r="50" spans="2:10" s="6" customFormat="1" ht="30.75" thickBot="1" x14ac:dyDescent="0.3">
      <c r="B50" s="24" t="s">
        <v>22</v>
      </c>
      <c r="C50" s="24"/>
      <c r="D50" s="84">
        <f t="shared" ref="D50:J50" si="13">SUM(D48,D44)</f>
        <v>1055204.7329069662</v>
      </c>
      <c r="E50" s="84">
        <f t="shared" si="13"/>
        <v>6292731.6524135005</v>
      </c>
      <c r="F50" s="84">
        <f t="shared" si="13"/>
        <v>3569157.8887109919</v>
      </c>
      <c r="G50" s="84">
        <f t="shared" si="13"/>
        <v>903134.88999978488</v>
      </c>
      <c r="H50" s="84">
        <f t="shared" si="13"/>
        <v>0</v>
      </c>
      <c r="I50" s="83">
        <f t="shared" si="13"/>
        <v>0</v>
      </c>
      <c r="J50" s="84">
        <f t="shared" si="13"/>
        <v>11820229.164031243</v>
      </c>
    </row>
    <row r="51" spans="2:10" x14ac:dyDescent="0.25">
      <c r="B51" s="11"/>
    </row>
    <row r="52" spans="2:10" x14ac:dyDescent="0.25">
      <c r="B52" s="11"/>
    </row>
    <row r="53" spans="2:10" x14ac:dyDescent="0.25">
      <c r="B53" s="11"/>
    </row>
    <row r="54" spans="2:10" x14ac:dyDescent="0.25">
      <c r="B54" s="11"/>
    </row>
    <row r="55" spans="2:10" x14ac:dyDescent="0.25">
      <c r="B55" s="11"/>
    </row>
    <row r="56" spans="2:10" x14ac:dyDescent="0.25">
      <c r="B56" s="11"/>
    </row>
    <row r="57" spans="2:10" x14ac:dyDescent="0.25">
      <c r="B57" s="11"/>
    </row>
    <row r="58" spans="2:10" x14ac:dyDescent="0.25">
      <c r="B58" s="11"/>
    </row>
    <row r="59" spans="2:10" x14ac:dyDescent="0.25">
      <c r="B59" s="11"/>
    </row>
    <row r="60" spans="2:10" x14ac:dyDescent="0.25">
      <c r="B60" s="11"/>
    </row>
    <row r="61" spans="2:10" x14ac:dyDescent="0.25">
      <c r="B61" s="11"/>
    </row>
    <row r="62" spans="2:10" x14ac:dyDescent="0.25">
      <c r="B62" s="11"/>
    </row>
    <row r="63" spans="2:10" x14ac:dyDescent="0.25">
      <c r="B63" s="11"/>
    </row>
    <row r="64" spans="2:10" x14ac:dyDescent="0.25">
      <c r="B64" s="11"/>
    </row>
    <row r="65" spans="2:2" x14ac:dyDescent="0.25">
      <c r="B65" s="11"/>
    </row>
  </sheetData>
  <pageMargins left="0.7" right="0.7" top="0.75" bottom="0.75" header="0.3" footer="0.3"/>
  <pageSetup scale="89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BAB363-A072-4DE7-826E-71151E0C40BD}">
  <sheetPr>
    <tabColor rgb="FF00B050"/>
    <pageSetUpPr fitToPage="1"/>
  </sheetPr>
  <dimension ref="B2:AW70"/>
  <sheetViews>
    <sheetView showGridLines="0" zoomScale="128" zoomScaleNormal="85" workbookViewId="0">
      <pane xSplit="3" ySplit="6" topLeftCell="D31" activePane="bottomRight" state="frozen"/>
      <selection activeCell="R20" sqref="R20:W20"/>
      <selection pane="topRight" activeCell="R20" sqref="R20:W20"/>
      <selection pane="bottomLeft" activeCell="R20" sqref="R20:W20"/>
      <selection pane="bottomRight" activeCell="J43" sqref="J43"/>
    </sheetView>
  </sheetViews>
  <sheetFormatPr defaultColWidth="9.140625" defaultRowHeight="15" x14ac:dyDescent="0.25"/>
  <cols>
    <col min="1" max="1" width="3.140625" style="8" customWidth="1"/>
    <col min="2" max="2" width="9.7109375" style="8" customWidth="1"/>
    <col min="3" max="3" width="44.42578125" style="8" customWidth="1"/>
    <col min="4" max="4" width="12.85546875" style="11" customWidth="1"/>
    <col min="5" max="5" width="14.28515625" style="3" bestFit="1" customWidth="1"/>
    <col min="6" max="6" width="14.28515625" style="8" bestFit="1" customWidth="1"/>
    <col min="7" max="7" width="13.28515625" style="8" bestFit="1" customWidth="1"/>
    <col min="8" max="8" width="13.42578125" style="3" customWidth="1"/>
    <col min="9" max="9" width="0.85546875" style="12" customWidth="1"/>
    <col min="10" max="10" width="14.42578125" style="8" customWidth="1"/>
    <col min="11" max="11" width="9.140625" style="8"/>
    <col min="12" max="12" width="15.7109375" style="8" bestFit="1" customWidth="1"/>
    <col min="13" max="16384" width="9.140625" style="8"/>
  </cols>
  <sheetData>
    <row r="2" spans="2:49" ht="23.25" x14ac:dyDescent="0.35">
      <c r="B2" s="34" t="s">
        <v>29</v>
      </c>
    </row>
    <row r="3" spans="2:49" x14ac:dyDescent="0.25">
      <c r="B3" s="7" t="s">
        <v>40</v>
      </c>
    </row>
    <row r="4" spans="2:49" x14ac:dyDescent="0.25">
      <c r="B4" s="7"/>
    </row>
    <row r="5" spans="2:49" ht="18.75" x14ac:dyDescent="0.3">
      <c r="B5" s="40" t="s">
        <v>2</v>
      </c>
      <c r="C5" s="41"/>
      <c r="D5" s="41"/>
      <c r="E5" s="41"/>
      <c r="F5" s="41"/>
      <c r="G5" s="41"/>
      <c r="H5" s="41"/>
      <c r="I5" s="41"/>
      <c r="J5" s="4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</row>
    <row r="6" spans="2:49" ht="30" x14ac:dyDescent="0.25">
      <c r="B6" s="43" t="s">
        <v>3</v>
      </c>
      <c r="C6" s="43" t="s">
        <v>4</v>
      </c>
      <c r="D6" s="43" t="s">
        <v>5</v>
      </c>
      <c r="E6" s="44" t="s">
        <v>6</v>
      </c>
      <c r="F6" s="44" t="s">
        <v>7</v>
      </c>
      <c r="G6" s="44" t="s">
        <v>8</v>
      </c>
      <c r="H6" s="45" t="s">
        <v>9</v>
      </c>
      <c r="I6" s="46"/>
      <c r="J6" s="47" t="s">
        <v>10</v>
      </c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</row>
    <row r="7" spans="2:49" s="10" customFormat="1" x14ac:dyDescent="0.25">
      <c r="B7" s="26" t="s">
        <v>11</v>
      </c>
      <c r="C7" s="31" t="s">
        <v>30</v>
      </c>
      <c r="D7" s="15" t="s">
        <v>31</v>
      </c>
      <c r="E7" s="15" t="s">
        <v>31</v>
      </c>
      <c r="F7" s="15" t="s">
        <v>31</v>
      </c>
      <c r="G7" s="15"/>
      <c r="H7" s="15" t="s">
        <v>31</v>
      </c>
      <c r="I7" s="12"/>
      <c r="J7" s="13" t="s">
        <v>31</v>
      </c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</row>
    <row r="8" spans="2:49" s="9" customFormat="1" x14ac:dyDescent="0.25">
      <c r="B8" s="27"/>
      <c r="C8" s="32"/>
      <c r="D8" s="20"/>
      <c r="E8" s="16"/>
      <c r="F8" s="16"/>
      <c r="G8" s="16"/>
      <c r="H8" s="16"/>
      <c r="I8" s="12"/>
      <c r="J8" s="20">
        <f>SUM(D8:H8)</f>
        <v>0</v>
      </c>
    </row>
    <row r="9" spans="2:49" s="9" customFormat="1" x14ac:dyDescent="0.25">
      <c r="B9" s="27"/>
      <c r="C9" s="14" t="s">
        <v>12</v>
      </c>
      <c r="D9" s="21">
        <f t="shared" ref="D9:J9" si="0">SUM(D8:D8)</f>
        <v>0</v>
      </c>
      <c r="E9" s="21">
        <f t="shared" si="0"/>
        <v>0</v>
      </c>
      <c r="F9" s="21">
        <f t="shared" si="0"/>
        <v>0</v>
      </c>
      <c r="G9" s="21">
        <f t="shared" si="0"/>
        <v>0</v>
      </c>
      <c r="H9" s="21">
        <f t="shared" si="0"/>
        <v>0</v>
      </c>
      <c r="I9" s="12">
        <f t="shared" si="0"/>
        <v>0</v>
      </c>
      <c r="J9" s="21">
        <f t="shared" si="0"/>
        <v>0</v>
      </c>
    </row>
    <row r="10" spans="2:49" s="9" customFormat="1" x14ac:dyDescent="0.25">
      <c r="B10" s="27"/>
      <c r="C10" s="19" t="s">
        <v>32</v>
      </c>
      <c r="D10" s="18" t="s">
        <v>31</v>
      </c>
      <c r="E10" s="15"/>
      <c r="F10" s="15"/>
      <c r="G10" s="15"/>
      <c r="H10" s="15"/>
      <c r="I10" s="12"/>
      <c r="J10" s="13" t="s">
        <v>31</v>
      </c>
    </row>
    <row r="11" spans="2:49" s="9" customFormat="1" x14ac:dyDescent="0.25">
      <c r="B11" s="27"/>
      <c r="C11" s="15"/>
      <c r="D11" s="20"/>
      <c r="E11" s="16"/>
      <c r="F11" s="16"/>
      <c r="G11" s="16"/>
      <c r="H11" s="16"/>
      <c r="I11" s="12"/>
      <c r="J11" s="20">
        <f t="shared" ref="J11" si="1">SUM(D11:H11)</f>
        <v>0</v>
      </c>
    </row>
    <row r="12" spans="2:49" s="9" customFormat="1" x14ac:dyDescent="0.25">
      <c r="B12" s="27"/>
      <c r="C12" s="14" t="s">
        <v>13</v>
      </c>
      <c r="D12" s="21">
        <f t="shared" ref="D12:J12" si="2">SUM(D11:D11)</f>
        <v>0</v>
      </c>
      <c r="E12" s="21">
        <f t="shared" si="2"/>
        <v>0</v>
      </c>
      <c r="F12" s="21">
        <f t="shared" si="2"/>
        <v>0</v>
      </c>
      <c r="G12" s="21">
        <f t="shared" si="2"/>
        <v>0</v>
      </c>
      <c r="H12" s="21">
        <f t="shared" si="2"/>
        <v>0</v>
      </c>
      <c r="I12" s="12">
        <f t="shared" si="2"/>
        <v>0</v>
      </c>
      <c r="J12" s="21">
        <f t="shared" si="2"/>
        <v>0</v>
      </c>
    </row>
    <row r="13" spans="2:49" s="9" customFormat="1" x14ac:dyDescent="0.25">
      <c r="B13" s="27"/>
      <c r="C13" s="19" t="s">
        <v>33</v>
      </c>
      <c r="D13" s="18" t="s">
        <v>31</v>
      </c>
      <c r="E13" s="15"/>
      <c r="F13" s="15"/>
      <c r="G13" s="15"/>
      <c r="H13" s="15"/>
      <c r="I13" s="12"/>
      <c r="J13" s="13" t="s">
        <v>31</v>
      </c>
    </row>
    <row r="14" spans="2:49" s="9" customFormat="1" x14ac:dyDescent="0.25">
      <c r="B14" s="27"/>
      <c r="C14" s="30"/>
      <c r="D14" s="20"/>
      <c r="E14" s="20"/>
      <c r="F14" s="20"/>
      <c r="G14" s="20"/>
      <c r="H14" s="20"/>
      <c r="I14" s="39">
        <v>1638</v>
      </c>
      <c r="J14" s="20">
        <f t="shared" ref="J14" si="3">SUM(D14:H14)</f>
        <v>0</v>
      </c>
    </row>
    <row r="15" spans="2:49" s="9" customFormat="1" x14ac:dyDescent="0.25">
      <c r="B15" s="27"/>
      <c r="C15" s="14" t="s">
        <v>14</v>
      </c>
      <c r="D15" s="21">
        <f>SUM(D14:D14)</f>
        <v>0</v>
      </c>
      <c r="E15" s="21">
        <f>SUM(E14:E14)</f>
        <v>0</v>
      </c>
      <c r="F15" s="21">
        <f>SUM(F14:F14)</f>
        <v>0</v>
      </c>
      <c r="G15" s="21">
        <f>SUM(G14:G14)</f>
        <v>0</v>
      </c>
      <c r="H15" s="21">
        <f>SUM(H14:H14)</f>
        <v>0</v>
      </c>
      <c r="I15" s="12"/>
      <c r="J15" s="21">
        <f>SUM(J14:J14)</f>
        <v>0</v>
      </c>
    </row>
    <row r="16" spans="2:49" s="9" customFormat="1" x14ac:dyDescent="0.25">
      <c r="B16" s="27"/>
      <c r="C16" s="19" t="s">
        <v>34</v>
      </c>
      <c r="D16" s="20"/>
      <c r="E16" s="15"/>
      <c r="F16" s="15"/>
      <c r="G16" s="15"/>
      <c r="H16" s="15"/>
      <c r="I16" s="12"/>
      <c r="J16" s="20" t="s">
        <v>20</v>
      </c>
    </row>
    <row r="17" spans="2:10" s="9" customFormat="1" x14ac:dyDescent="0.25">
      <c r="B17" s="27"/>
      <c r="C17" s="15" t="s">
        <v>48</v>
      </c>
      <c r="D17" s="80"/>
      <c r="E17" s="80">
        <v>961620</v>
      </c>
      <c r="F17" s="15"/>
      <c r="G17" s="15"/>
      <c r="H17" s="15"/>
      <c r="I17" s="12"/>
      <c r="J17" s="80">
        <f>SUM(D17:H17)</f>
        <v>961620</v>
      </c>
    </row>
    <row r="18" spans="2:10" s="9" customFormat="1" x14ac:dyDescent="0.25">
      <c r="B18" s="27"/>
      <c r="C18" s="15" t="s">
        <v>49</v>
      </c>
      <c r="D18" s="80"/>
      <c r="E18" s="80">
        <v>120397</v>
      </c>
      <c r="F18" s="15"/>
      <c r="G18" s="15"/>
      <c r="H18" s="15"/>
      <c r="I18" s="12"/>
      <c r="J18" s="80">
        <f t="shared" ref="J18:J26" si="4">SUM(D18:H18)</f>
        <v>120397</v>
      </c>
    </row>
    <row r="19" spans="2:10" s="9" customFormat="1" x14ac:dyDescent="0.25">
      <c r="B19" s="27"/>
      <c r="C19" s="15" t="s">
        <v>50</v>
      </c>
      <c r="D19" s="80"/>
      <c r="E19" s="80">
        <v>120397.35972344021</v>
      </c>
      <c r="F19" s="15"/>
      <c r="G19" s="15"/>
      <c r="H19" s="15"/>
      <c r="I19" s="12"/>
      <c r="J19" s="80">
        <f t="shared" si="4"/>
        <v>120397.35972344021</v>
      </c>
    </row>
    <row r="20" spans="2:10" s="9" customFormat="1" x14ac:dyDescent="0.25">
      <c r="B20" s="27"/>
      <c r="C20" s="15" t="s">
        <v>51</v>
      </c>
      <c r="D20" s="80"/>
      <c r="E20" s="80">
        <v>927793.2</v>
      </c>
      <c r="F20" s="15"/>
      <c r="G20" s="15"/>
      <c r="H20" s="15"/>
      <c r="I20" s="12"/>
      <c r="J20" s="80">
        <f t="shared" si="4"/>
        <v>927793.2</v>
      </c>
    </row>
    <row r="21" spans="2:10" s="9" customFormat="1" x14ac:dyDescent="0.25">
      <c r="B21" s="27"/>
      <c r="C21" s="15" t="s">
        <v>52</v>
      </c>
      <c r="D21" s="80"/>
      <c r="E21" s="80">
        <v>32805.003010820372</v>
      </c>
      <c r="F21" s="15"/>
      <c r="G21" s="15"/>
      <c r="H21" s="15"/>
      <c r="I21" s="12"/>
      <c r="J21" s="80">
        <f t="shared" si="4"/>
        <v>32805.003010820372</v>
      </c>
    </row>
    <row r="22" spans="2:10" s="9" customFormat="1" x14ac:dyDescent="0.25">
      <c r="B22" s="27"/>
      <c r="C22" s="88" t="s">
        <v>53</v>
      </c>
      <c r="D22" s="80"/>
      <c r="E22" s="80">
        <v>32805.003010820372</v>
      </c>
      <c r="F22" s="15"/>
      <c r="G22" s="15"/>
      <c r="H22" s="15"/>
      <c r="I22" s="12"/>
      <c r="J22" s="80">
        <f t="shared" si="4"/>
        <v>32805.003010820372</v>
      </c>
    </row>
    <row r="23" spans="2:10" s="9" customFormat="1" x14ac:dyDescent="0.25">
      <c r="B23" s="27"/>
      <c r="C23" s="88" t="s">
        <v>54</v>
      </c>
      <c r="D23" s="80"/>
      <c r="E23" s="80">
        <v>93773.443210019876</v>
      </c>
      <c r="F23" s="15"/>
      <c r="G23" s="15"/>
      <c r="H23" s="15"/>
      <c r="I23" s="12"/>
      <c r="J23" s="80">
        <f t="shared" si="4"/>
        <v>93773.443210019876</v>
      </c>
    </row>
    <row r="24" spans="2:10" s="9" customFormat="1" x14ac:dyDescent="0.25">
      <c r="B24" s="27"/>
      <c r="C24" s="89" t="s">
        <v>55</v>
      </c>
      <c r="D24" s="80"/>
      <c r="E24" s="80">
        <v>3713.8595936401343</v>
      </c>
      <c r="F24" s="15"/>
      <c r="G24" s="15"/>
      <c r="H24" s="15"/>
      <c r="I24" s="12"/>
      <c r="J24" s="80">
        <f t="shared" si="4"/>
        <v>3713.8595936401343</v>
      </c>
    </row>
    <row r="25" spans="2:10" s="9" customFormat="1" x14ac:dyDescent="0.25">
      <c r="B25" s="27"/>
      <c r="C25" s="15" t="s">
        <v>56</v>
      </c>
      <c r="D25" s="80"/>
      <c r="E25" s="80">
        <v>60949</v>
      </c>
      <c r="F25" s="15"/>
      <c r="G25" s="15"/>
      <c r="H25" s="15"/>
      <c r="I25" s="12"/>
      <c r="J25" s="80">
        <f t="shared" si="4"/>
        <v>60949</v>
      </c>
    </row>
    <row r="26" spans="2:10" s="9" customFormat="1" x14ac:dyDescent="0.25">
      <c r="B26" s="27"/>
      <c r="C26" s="15" t="s">
        <v>57</v>
      </c>
      <c r="D26" s="80"/>
      <c r="E26" s="80">
        <v>235425</v>
      </c>
      <c r="F26" s="15"/>
      <c r="G26" s="15"/>
      <c r="H26" s="15"/>
      <c r="I26" s="12"/>
      <c r="J26" s="80">
        <f t="shared" si="4"/>
        <v>235425</v>
      </c>
    </row>
    <row r="27" spans="2:10" s="9" customFormat="1" x14ac:dyDescent="0.25">
      <c r="B27" s="27" t="s">
        <v>35</v>
      </c>
      <c r="C27" s="33" t="s">
        <v>35</v>
      </c>
      <c r="D27" s="18" t="s">
        <v>31</v>
      </c>
      <c r="E27" s="15"/>
      <c r="F27" s="15"/>
      <c r="G27" s="15"/>
      <c r="H27" s="15"/>
      <c r="I27" s="12"/>
      <c r="J27" s="20">
        <f t="shared" ref="J27:J47" si="5">SUM(D27:H27)</f>
        <v>0</v>
      </c>
    </row>
    <row r="28" spans="2:10" s="9" customFormat="1" x14ac:dyDescent="0.25">
      <c r="B28" s="27"/>
      <c r="C28" s="14" t="s">
        <v>15</v>
      </c>
      <c r="D28" s="95">
        <f>SUM(D27:D27)</f>
        <v>0</v>
      </c>
      <c r="E28" s="90">
        <f>SUM(E17:E26)</f>
        <v>2589678.8685487411</v>
      </c>
      <c r="F28" s="17">
        <f>SUM(F27:F27)</f>
        <v>0</v>
      </c>
      <c r="G28" s="17">
        <f>SUM(G27:G27)</f>
        <v>0</v>
      </c>
      <c r="H28" s="17">
        <f>SUM(H27:H27)</f>
        <v>0</v>
      </c>
      <c r="I28" s="12"/>
      <c r="J28" s="82">
        <f>SUM(J17:J26)</f>
        <v>2589678.8685487411</v>
      </c>
    </row>
    <row r="29" spans="2:10" s="9" customFormat="1" x14ac:dyDescent="0.25">
      <c r="B29" s="27"/>
      <c r="C29" s="19" t="s">
        <v>36</v>
      </c>
      <c r="D29" s="18" t="s">
        <v>31</v>
      </c>
      <c r="E29" s="15"/>
      <c r="F29" s="15"/>
      <c r="G29" s="15"/>
      <c r="H29" s="15"/>
      <c r="I29" s="12"/>
      <c r="J29" s="20"/>
    </row>
    <row r="30" spans="2:10" s="9" customFormat="1" x14ac:dyDescent="0.25">
      <c r="B30" s="27"/>
      <c r="C30" s="30"/>
      <c r="D30" s="20"/>
      <c r="E30" s="16"/>
      <c r="F30" s="16"/>
      <c r="G30" s="16"/>
      <c r="H30" s="16"/>
      <c r="I30" s="12"/>
      <c r="J30" s="20">
        <f t="shared" si="5"/>
        <v>0</v>
      </c>
    </row>
    <row r="31" spans="2:10" s="9" customFormat="1" x14ac:dyDescent="0.25">
      <c r="B31" s="27"/>
      <c r="C31" s="14" t="s">
        <v>16</v>
      </c>
      <c r="D31" s="21">
        <f>SUM(D30:D30)</f>
        <v>0</v>
      </c>
      <c r="E31" s="21">
        <f>SUM(E30:E30)</f>
        <v>0</v>
      </c>
      <c r="F31" s="21">
        <f>SUM(F30:F30)</f>
        <v>0</v>
      </c>
      <c r="G31" s="21">
        <f>SUM(G30:G30)</f>
        <v>0</v>
      </c>
      <c r="H31" s="21">
        <f>SUM(H30:H30)</f>
        <v>0</v>
      </c>
      <c r="I31" s="12"/>
      <c r="J31" s="21">
        <f>SUM(J30:J30)</f>
        <v>0</v>
      </c>
    </row>
    <row r="32" spans="2:10" s="9" customFormat="1" x14ac:dyDescent="0.25">
      <c r="B32" s="27"/>
      <c r="C32" s="19" t="s">
        <v>58</v>
      </c>
      <c r="D32" s="18" t="s">
        <v>31</v>
      </c>
      <c r="E32" s="15"/>
      <c r="F32" s="15"/>
      <c r="G32" s="15"/>
      <c r="H32" s="15"/>
      <c r="I32" s="12"/>
      <c r="J32" s="20"/>
    </row>
    <row r="33" spans="2:12" s="9" customFormat="1" x14ac:dyDescent="0.25">
      <c r="B33" s="27"/>
      <c r="C33" s="15" t="s">
        <v>61</v>
      </c>
      <c r="D33" s="18"/>
      <c r="E33" s="92">
        <f>(($J$28+$J$37+$J$38+$J$39)/24)*9*0.12</f>
        <v>552316.44811670075</v>
      </c>
      <c r="F33" s="92">
        <f>(($J$28+$J$37+$J$38+$J$39)/24)*12*0.12</f>
        <v>736421.93082226766</v>
      </c>
      <c r="G33" s="92">
        <f>(($J$28+$J$37+$J$38+$J$39)/24)*3*0.12</f>
        <v>184105.48270556692</v>
      </c>
      <c r="H33" s="15"/>
      <c r="I33" s="12"/>
      <c r="J33" s="80">
        <f>SUM(E33:G33)</f>
        <v>1472843.8616445353</v>
      </c>
    </row>
    <row r="34" spans="2:12" s="9" customFormat="1" x14ac:dyDescent="0.25">
      <c r="B34" s="27"/>
      <c r="C34" s="15" t="s">
        <v>62</v>
      </c>
      <c r="D34" s="18"/>
      <c r="E34" s="92">
        <f>(($J$28+$J$37+$J$33+$J$38+$J$39)/24)*9*0.1</f>
        <v>515495.35157558735</v>
      </c>
      <c r="F34" s="92">
        <f>(($J$28+$J$37+$J$33+$J$38+$J$39)/24)*12*0.1</f>
        <v>687327.13543411647</v>
      </c>
      <c r="G34" s="92">
        <f>(($J$28+$J$37+$J$33+$J$38+$J$39)/24)*3*0.1</f>
        <v>171831.78385852912</v>
      </c>
      <c r="H34" s="15"/>
      <c r="I34" s="12"/>
      <c r="J34" s="80">
        <f t="shared" ref="J34:J36" si="6">SUM(E34:G34)</f>
        <v>1374654.2708682329</v>
      </c>
    </row>
    <row r="35" spans="2:12" s="9" customFormat="1" x14ac:dyDescent="0.25">
      <c r="B35" s="27"/>
      <c r="C35" s="15" t="s">
        <v>63</v>
      </c>
      <c r="D35" s="18"/>
      <c r="E35" s="92">
        <f>(($J$28+$J$37+$J$33+$J$34+$J$38+$J$39)/24)*9*0.03</f>
        <v>170113.46601994382</v>
      </c>
      <c r="F35" s="92">
        <f>(($J$28+$J$37+$J$33+$J$34+$J$38+$J$39)/24)*12*0.03</f>
        <v>226817.95469325842</v>
      </c>
      <c r="G35" s="92">
        <f>(($J$28+$J$37+$J$33+$J$34+$J$38+$J$39)/24)*3*0.03</f>
        <v>56704.488673314605</v>
      </c>
      <c r="H35" s="15"/>
      <c r="I35" s="12"/>
      <c r="J35" s="80">
        <f t="shared" si="6"/>
        <v>453635.90938651684</v>
      </c>
    </row>
    <row r="36" spans="2:12" s="9" customFormat="1" x14ac:dyDescent="0.25">
      <c r="B36" s="27"/>
      <c r="C36" s="15" t="s">
        <v>60</v>
      </c>
      <c r="D36" s="18"/>
      <c r="E36" s="92">
        <f>(($J$28+$J$37+$J$33+$J$34+$J$35+$J$38+$J$39)/24)*9*0.3</f>
        <v>1752168.7000054212</v>
      </c>
      <c r="F36" s="92">
        <f>(($J$28+$J$37+$J$33+$J$34+$J$35+$J$38+$J$39)/24)*12*0.3</f>
        <v>2336224.9333405616</v>
      </c>
      <c r="G36" s="92">
        <f>(($J$28+$J$37+$J$33+$J$34+$J$35+$J$38+$J$39)/24)*3*0.3</f>
        <v>584056.23333514039</v>
      </c>
      <c r="H36" s="15"/>
      <c r="I36" s="12"/>
      <c r="J36" s="80">
        <f t="shared" si="6"/>
        <v>4672449.8666811232</v>
      </c>
    </row>
    <row r="37" spans="2:12" s="9" customFormat="1" x14ac:dyDescent="0.25">
      <c r="B37" s="27"/>
      <c r="C37" s="89" t="s">
        <v>45</v>
      </c>
      <c r="D37" s="20"/>
      <c r="E37" s="80">
        <f>(2275924.07279586)*1.12</f>
        <v>2549034.9615313634</v>
      </c>
      <c r="F37" s="80">
        <f>(3034565.43039449)*1.15</f>
        <v>3489750.2449536631</v>
      </c>
      <c r="G37" s="80">
        <f>(758641.357598621)*1.18</f>
        <v>895196.80196637276</v>
      </c>
      <c r="H37" s="80"/>
      <c r="I37" s="81"/>
      <c r="J37" s="80">
        <f>SUM(D37:H37)</f>
        <v>6933982.0084513994</v>
      </c>
      <c r="L37" s="93"/>
    </row>
    <row r="38" spans="2:12" s="9" customFormat="1" ht="30" x14ac:dyDescent="0.25">
      <c r="B38" s="27"/>
      <c r="C38" s="85" t="s">
        <v>41</v>
      </c>
      <c r="D38" s="20"/>
      <c r="E38" s="80">
        <f>1991526.23774767*1.12</f>
        <v>2230509.3862773906</v>
      </c>
      <c r="F38" s="80"/>
      <c r="G38" s="80"/>
      <c r="H38" s="80"/>
      <c r="I38" s="81"/>
      <c r="J38" s="80">
        <f t="shared" ref="J38:J43" si="7">SUM(D38:H38)</f>
        <v>2230509.3862773906</v>
      </c>
      <c r="L38" s="93"/>
    </row>
    <row r="39" spans="2:12" s="9" customFormat="1" x14ac:dyDescent="0.25">
      <c r="B39" s="27"/>
      <c r="C39" s="85" t="s">
        <v>42</v>
      </c>
      <c r="D39" s="20"/>
      <c r="E39" s="80">
        <v>519528.58376026276</v>
      </c>
      <c r="F39" s="80"/>
      <c r="G39" s="80"/>
      <c r="H39" s="80"/>
      <c r="I39" s="81"/>
      <c r="J39" s="80">
        <f t="shared" si="7"/>
        <v>519528.58376026276</v>
      </c>
      <c r="L39" s="93"/>
    </row>
    <row r="40" spans="2:12" s="9" customFormat="1" x14ac:dyDescent="0.25">
      <c r="B40" s="27"/>
      <c r="C40" s="85"/>
      <c r="D40" s="20"/>
      <c r="E40" s="80"/>
      <c r="F40" s="80"/>
      <c r="G40" s="80"/>
      <c r="H40" s="80"/>
      <c r="I40" s="81"/>
      <c r="J40" s="20">
        <f t="shared" si="5"/>
        <v>0</v>
      </c>
      <c r="L40" s="93"/>
    </row>
    <row r="41" spans="2:12" s="9" customFormat="1" x14ac:dyDescent="0.25">
      <c r="B41" s="27"/>
      <c r="C41" s="14" t="s">
        <v>59</v>
      </c>
      <c r="D41" s="82">
        <f>SUM(D33:D39)</f>
        <v>0</v>
      </c>
      <c r="E41" s="82">
        <f>SUM(E33:E39)</f>
        <v>8289166.8972866694</v>
      </c>
      <c r="F41" s="82">
        <f t="shared" ref="F41:H41" si="8">SUM(F33:F39)</f>
        <v>7476542.1992438678</v>
      </c>
      <c r="G41" s="82">
        <f t="shared" si="8"/>
        <v>1891894.7905389238</v>
      </c>
      <c r="H41" s="82">
        <f t="shared" si="8"/>
        <v>0</v>
      </c>
      <c r="I41" s="12"/>
      <c r="J41" s="82">
        <f>SUM(J33:J39)</f>
        <v>17657603.88706946</v>
      </c>
      <c r="L41" s="93"/>
    </row>
    <row r="42" spans="2:12" s="9" customFormat="1" x14ac:dyDescent="0.25">
      <c r="B42" s="27"/>
      <c r="C42" s="19" t="s">
        <v>37</v>
      </c>
      <c r="D42" s="18" t="s">
        <v>31</v>
      </c>
      <c r="E42" s="15"/>
      <c r="F42" s="15"/>
      <c r="G42" s="15"/>
      <c r="H42" s="15"/>
      <c r="I42" s="12"/>
      <c r="J42" s="20"/>
      <c r="L42" s="93"/>
    </row>
    <row r="43" spans="2:12" s="9" customFormat="1" ht="45" x14ac:dyDescent="0.25">
      <c r="B43" s="27"/>
      <c r="C43" s="85" t="s">
        <v>43</v>
      </c>
      <c r="D43" s="80">
        <f>((J41+J28)*0.1)*1.09</f>
        <v>2206953.820362384</v>
      </c>
      <c r="E43" s="80">
        <f>((J41+J28)*0.1)*1.12</f>
        <v>2267695.6686292388</v>
      </c>
      <c r="F43" s="80"/>
      <c r="G43" s="80"/>
      <c r="H43" s="80"/>
      <c r="I43" s="81"/>
      <c r="J43" s="80">
        <f t="shared" si="7"/>
        <v>4474649.4889916228</v>
      </c>
    </row>
    <row r="44" spans="2:12" s="9" customFormat="1" x14ac:dyDescent="0.25">
      <c r="B44" s="27"/>
      <c r="C44" s="79"/>
      <c r="D44" s="80"/>
      <c r="E44" s="85"/>
      <c r="F44" s="85"/>
      <c r="G44" s="85"/>
      <c r="H44" s="85"/>
      <c r="I44" s="83"/>
      <c r="J44" s="20">
        <f t="shared" ref="J44" si="9">SUM(D44:H44)</f>
        <v>0</v>
      </c>
      <c r="L44" s="93"/>
    </row>
    <row r="45" spans="2:12" s="9" customFormat="1" x14ac:dyDescent="0.25">
      <c r="B45" s="27"/>
      <c r="C45" s="14" t="s">
        <v>17</v>
      </c>
      <c r="D45" s="82">
        <f>SUM(D43)</f>
        <v>2206953.820362384</v>
      </c>
      <c r="E45" s="82">
        <f t="shared" ref="E45:H45" si="10">SUM(E43)</f>
        <v>2267695.6686292388</v>
      </c>
      <c r="F45" s="82">
        <f t="shared" si="10"/>
        <v>0</v>
      </c>
      <c r="G45" s="82">
        <f t="shared" si="10"/>
        <v>0</v>
      </c>
      <c r="H45" s="82">
        <f t="shared" si="10"/>
        <v>0</v>
      </c>
      <c r="I45" s="83"/>
      <c r="J45" s="82">
        <f>SUM(J43)</f>
        <v>4474649.4889916228</v>
      </c>
      <c r="L45" s="93"/>
    </row>
    <row r="46" spans="2:12" s="9" customFormat="1" x14ac:dyDescent="0.25">
      <c r="B46" s="27"/>
      <c r="C46" s="19" t="s">
        <v>38</v>
      </c>
      <c r="D46" s="18" t="s">
        <v>31</v>
      </c>
      <c r="E46" s="15"/>
      <c r="F46" s="15"/>
      <c r="G46" s="15"/>
      <c r="H46" s="15"/>
      <c r="I46" s="12"/>
      <c r="J46" s="20"/>
    </row>
    <row r="47" spans="2:12" s="9" customFormat="1" x14ac:dyDescent="0.25">
      <c r="B47" s="27"/>
      <c r="C47" s="15"/>
      <c r="D47" s="20"/>
      <c r="E47" s="16"/>
      <c r="F47" s="16"/>
      <c r="G47" s="16"/>
      <c r="H47" s="16"/>
      <c r="I47" s="12"/>
      <c r="J47" s="20">
        <f t="shared" si="5"/>
        <v>0</v>
      </c>
    </row>
    <row r="48" spans="2:12" s="9" customFormat="1" x14ac:dyDescent="0.25">
      <c r="B48" s="29"/>
      <c r="C48" s="14" t="s">
        <v>18</v>
      </c>
      <c r="D48" s="21">
        <f>SUM(D47:D47)</f>
        <v>0</v>
      </c>
      <c r="E48" s="21">
        <f>SUM(E47:E47)</f>
        <v>0</v>
      </c>
      <c r="F48" s="21">
        <f>SUM(F47:F47)</f>
        <v>0</v>
      </c>
      <c r="G48" s="21">
        <f>SUM(G47:G47)</f>
        <v>0</v>
      </c>
      <c r="H48" s="21">
        <f>SUM(H47:H47)</f>
        <v>0</v>
      </c>
      <c r="I48" s="12"/>
      <c r="J48" s="21">
        <f>SUM(J47:J47)</f>
        <v>0</v>
      </c>
    </row>
    <row r="49" spans="2:10" s="9" customFormat="1" x14ac:dyDescent="0.25">
      <c r="B49" s="29"/>
      <c r="C49" s="14" t="s">
        <v>19</v>
      </c>
      <c r="D49" s="82">
        <f>SUM(D28+D41+D45)</f>
        <v>2206953.820362384</v>
      </c>
      <c r="E49" s="82">
        <f t="shared" ref="E49:G49" si="11">SUM(E28+E41+E45)</f>
        <v>13146541.434464648</v>
      </c>
      <c r="F49" s="82">
        <f t="shared" si="11"/>
        <v>7476542.1992438678</v>
      </c>
      <c r="G49" s="82">
        <f t="shared" si="11"/>
        <v>1891894.7905389238</v>
      </c>
      <c r="H49" s="82">
        <f>SUM(H48,H45,H31,H28,H15,H12,H9)</f>
        <v>0</v>
      </c>
      <c r="I49" s="83"/>
      <c r="J49" s="82">
        <f>SUM(D49:H49)</f>
        <v>24721932.244609825</v>
      </c>
    </row>
    <row r="50" spans="2:10" s="9" customFormat="1" x14ac:dyDescent="0.25">
      <c r="B50" s="28"/>
      <c r="J50" s="9" t="s">
        <v>20</v>
      </c>
    </row>
    <row r="51" spans="2:10" s="9" customFormat="1" ht="30" x14ac:dyDescent="0.25">
      <c r="B51" s="78" t="s">
        <v>39</v>
      </c>
      <c r="C51" s="22" t="s">
        <v>39</v>
      </c>
      <c r="D51" s="23"/>
      <c r="E51" s="23"/>
      <c r="F51" s="23"/>
      <c r="G51" s="23"/>
      <c r="H51" s="23"/>
      <c r="J51" s="23" t="s">
        <v>20</v>
      </c>
    </row>
    <row r="52" spans="2:10" s="9" customFormat="1" x14ac:dyDescent="0.25">
      <c r="B52" s="27"/>
      <c r="C52" s="30"/>
      <c r="D52" s="18"/>
      <c r="E52" s="15"/>
      <c r="F52" s="15"/>
      <c r="G52" s="15"/>
      <c r="H52" s="15"/>
      <c r="I52" s="12"/>
      <c r="J52" s="20">
        <f t="shared" ref="J52:J53" si="12">SUM(D52:H52)</f>
        <v>0</v>
      </c>
    </row>
    <row r="53" spans="2:10" s="9" customFormat="1" x14ac:dyDescent="0.25">
      <c r="B53" s="29"/>
      <c r="C53" s="14" t="s">
        <v>21</v>
      </c>
      <c r="D53" s="21">
        <f>SUM(D52:D52)</f>
        <v>0</v>
      </c>
      <c r="E53" s="21">
        <f>SUM(E52:E52)</f>
        <v>0</v>
      </c>
      <c r="F53" s="21">
        <f>SUM(F52:F52)</f>
        <v>0</v>
      </c>
      <c r="G53" s="21">
        <f>SUM(G52:G52)</f>
        <v>0</v>
      </c>
      <c r="H53" s="21">
        <f>SUM(H52:H52)</f>
        <v>0</v>
      </c>
      <c r="I53" s="12"/>
      <c r="J53" s="21">
        <f t="shared" si="12"/>
        <v>0</v>
      </c>
    </row>
    <row r="54" spans="2:10" s="9" customFormat="1" ht="15.75" thickBot="1" x14ac:dyDescent="0.3">
      <c r="B54" s="28"/>
      <c r="J54" s="9" t="s">
        <v>20</v>
      </c>
    </row>
    <row r="55" spans="2:10" s="6" customFormat="1" ht="30.75" thickBot="1" x14ac:dyDescent="0.3">
      <c r="B55" s="24" t="s">
        <v>22</v>
      </c>
      <c r="C55" s="24"/>
      <c r="D55" s="84">
        <f t="shared" ref="D55:J55" si="13">SUM(D53,D49)</f>
        <v>2206953.820362384</v>
      </c>
      <c r="E55" s="84">
        <f t="shared" si="13"/>
        <v>13146541.434464648</v>
      </c>
      <c r="F55" s="84">
        <f t="shared" si="13"/>
        <v>7476542.1992438678</v>
      </c>
      <c r="G55" s="84">
        <f t="shared" si="13"/>
        <v>1891894.7905389238</v>
      </c>
      <c r="H55" s="84">
        <f t="shared" si="13"/>
        <v>0</v>
      </c>
      <c r="I55" s="83">
        <f t="shared" si="13"/>
        <v>0</v>
      </c>
      <c r="J55" s="84">
        <f t="shared" si="13"/>
        <v>24721932.244609825</v>
      </c>
    </row>
    <row r="56" spans="2:10" x14ac:dyDescent="0.25">
      <c r="B56" s="11"/>
    </row>
    <row r="57" spans="2:10" x14ac:dyDescent="0.25">
      <c r="B57" s="11"/>
    </row>
    <row r="58" spans="2:10" x14ac:dyDescent="0.25">
      <c r="B58" s="11"/>
    </row>
    <row r="59" spans="2:10" x14ac:dyDescent="0.25">
      <c r="B59" s="11"/>
    </row>
    <row r="60" spans="2:10" x14ac:dyDescent="0.25">
      <c r="B60" s="11"/>
    </row>
    <row r="61" spans="2:10" x14ac:dyDescent="0.25">
      <c r="B61" s="11"/>
    </row>
    <row r="62" spans="2:10" x14ac:dyDescent="0.25">
      <c r="B62" s="11"/>
    </row>
    <row r="63" spans="2:10" x14ac:dyDescent="0.25">
      <c r="B63" s="11"/>
    </row>
    <row r="64" spans="2:10" x14ac:dyDescent="0.25">
      <c r="B64" s="11"/>
    </row>
    <row r="65" spans="2:2" x14ac:dyDescent="0.25">
      <c r="B65" s="11"/>
    </row>
    <row r="66" spans="2:2" x14ac:dyDescent="0.25">
      <c r="B66" s="11"/>
    </row>
    <row r="67" spans="2:2" x14ac:dyDescent="0.25">
      <c r="B67" s="11"/>
    </row>
    <row r="68" spans="2:2" x14ac:dyDescent="0.25">
      <c r="B68" s="11"/>
    </row>
    <row r="69" spans="2:2" x14ac:dyDescent="0.25">
      <c r="B69" s="11"/>
    </row>
    <row r="70" spans="2:2" x14ac:dyDescent="0.25">
      <c r="B70" s="11"/>
    </row>
  </sheetData>
  <pageMargins left="0.7" right="0.7" top="0.75" bottom="0.75" header="0.3" footer="0.3"/>
  <pageSetup scale="89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ce22818e-228e-41de-8fce-3bec8c6c0e23" xsi:nil="true"/>
    <lcf76f155ced4ddcb4097134ff3c332f xmlns="e39f0d9c-b34e-4355-b814-1b604e1fa824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5CD0F92237EF8488BC464CA4C6CB542" ma:contentTypeVersion="11" ma:contentTypeDescription="Create a new document." ma:contentTypeScope="" ma:versionID="2e18fe084ccd569729352ac7993c1839">
  <xsd:schema xmlns:xsd="http://www.w3.org/2001/XMLSchema" xmlns:xs="http://www.w3.org/2001/XMLSchema" xmlns:p="http://schemas.microsoft.com/office/2006/metadata/properties" xmlns:ns2="e39f0d9c-b34e-4355-b814-1b604e1fa824" xmlns:ns3="ce22818e-228e-41de-8fce-3bec8c6c0e23" targetNamespace="http://schemas.microsoft.com/office/2006/metadata/properties" ma:root="true" ma:fieldsID="3ea0b335764eb498b991fdb46ebd071a" ns2:_="" ns3:_="">
    <xsd:import namespace="e39f0d9c-b34e-4355-b814-1b604e1fa824"/>
    <xsd:import namespace="ce22818e-228e-41de-8fce-3bec8c6c0e2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SearchPropertie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39f0d9c-b34e-4355-b814-1b604e1fa82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ddafd165-6beb-44bd-9039-5187b9f5b6e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e22818e-228e-41de-8fce-3bec8c6c0e23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ee79755e-ee71-4e9e-b5e6-6ffc420c1577}" ma:internalName="TaxCatchAll" ma:showField="CatchAllData" ma:web="ce22818e-228e-41de-8fce-3bec8c6c0e2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��< ? x m l   v e r s i o n = " 1 . 0 "   e n c o d i n g = " u t f - 1 6 " ? > < D a t a M a s h u p   x m l n s = " h t t p : / / s c h e m a s . m i c r o s o f t . c o m / D a t a M a s h u p " > A A A A A B Q D A A B Q S w M E F A A C A A g A x H l R V m / 8 c y u k A A A A 9 g A A A B I A H A B D b 2 5 m a W c v U G F j a 2 F n Z S 5 4 b W w g o h g A K K A U A A A A A A A A A A A A A A A A A A A A A A A A A A A A h Y 9 B D o I w F E S v Q r q n L Z g Y J J + y c C u J C d G 4 J a V C I 3 w M L Z a 7 u f B I X k G M o u 5 c z p u 3 m L l f b 5 C O b e N d V G 9 0 h w k J K C e e Q t m V G q u E D P b o R y Q V s C 3 k q a i U N 8 l o 4 t G U C a m t P c e M O e e o W 9 C u r 1 j I e c A O 2 S a X t W o L 8 p H 1 f 9 n X a G y B U h E B + 9 c Y E d K A R 3 Q V L S k H N k P I N H 6 F c N r 7 b H 8 g r I f G D r 0 S C v 1 d D m y O w N 4 f x A N Q S w M E F A A C A A g A x H l R V g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M R 5 U V Y o i k e 4 D g A A A B E A A A A T A B w A R m 9 y b X V s Y X M v U 2 V j d G l v b j E u b S C i G A A o o B Q A A A A A A A A A A A A A A A A A A A A A A A A A A A A r T k 0 u y c z P U w i G 0 I b W A F B L A Q I t A B Q A A g A I A M R 5 U V Z v / H M r p A A A A P Y A A A A S A A A A A A A A A A A A A A A A A A A A A A B D b 2 5 m a W c v U G F j a 2 F n Z S 5 4 b W x Q S w E C L Q A U A A I A C A D E e V F W D 8 r p q 6 Q A A A D p A A A A E w A A A A A A A A A A A A A A A A D w A A A A W 0 N v b n R l b n R f V H l w Z X N d L n h t b F B L A Q I t A B Q A A g A I A M R 5 U V Y o i k e 4 D g A A A B E A A A A T A A A A A A A A A A A A A A A A A O E B A A B G b 3 J t d W x h c y 9 T Z W N 0 a W 9 u M S 5 t U E s F B g A A A A A D A A M A w g A A A D w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B f + N u s U B N x T Y 4 1 b J H D j Y h A A A A A A A I A A A A A A A N m A A D A A A A A E A A A A D 3 I C z P r m s s 1 a Z + f U 6 Z F X X I A A A A A B I A A A K A A A A A Q A A A A + a n v P 3 N Y 9 B 1 F F r z y Q p n F P l A A A A D R f B j M 7 8 t N w t H M s R 9 u G t K H 0 + f M g 1 w Z h O B R N h e m y m j O a D A 7 5 E R m t b z L 1 h A V m S k H v v I j x n i M l U + T 6 K 5 E H M Z 8 Q C 1 A s l U i m P + 1 l r j C g l s C s j C 3 N B Q A A A C 2 O U D u 4 O I x F g Z j 3 L 0 s 0 t 1 3 k 5 J 0 o w = = < / D a t a M a s h u p > 
</file>

<file path=customXml/itemProps1.xml><?xml version="1.0" encoding="utf-8"?>
<ds:datastoreItem xmlns:ds="http://schemas.openxmlformats.org/officeDocument/2006/customXml" ds:itemID="{68222176-22B4-47AB-AB9E-BB248AC3A7F3}">
  <ds:schemaRefs>
    <ds:schemaRef ds:uri="http://schemas.microsoft.com/office/2006/metadata/properties"/>
    <ds:schemaRef ds:uri="http://schemas.microsoft.com/office/infopath/2007/PartnerControls"/>
    <ds:schemaRef ds:uri="http://purl.org/dc/terms/"/>
    <ds:schemaRef ds:uri="ce22818e-228e-41de-8fce-3bec8c6c0e23"/>
    <ds:schemaRef ds:uri="http://purl.org/dc/elements/1.1/"/>
    <ds:schemaRef ds:uri="e39f0d9c-b34e-4355-b814-1b604e1fa824"/>
    <ds:schemaRef ds:uri="http://schemas.microsoft.com/office/2006/documentManagement/types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E61D5935-F179-4A89-95E0-C99AE243BFA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18559EB-E370-43DA-A11A-6D92E3D9BD7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39f0d9c-b34e-4355-b814-1b604e1fa824"/>
    <ds:schemaRef ds:uri="ce22818e-228e-41de-8fce-3bec8c6c0e2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5A2572C9-94E8-4C6B-8BD4-9D0B9DF7E5AC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Overview</vt:lpstr>
      <vt:lpstr>Consolidated Budget</vt:lpstr>
      <vt:lpstr>HSOW Component</vt:lpstr>
      <vt:lpstr>RNG Component</vt:lpstr>
      <vt:lpstr>Centrifuge Component</vt:lpstr>
      <vt:lpstr>Silo AnDig Component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2023-09-19T16:36:01Z</dcterms:created>
  <dcterms:modified xsi:type="dcterms:W3CDTF">2024-04-01T21:50:33Z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Keyword">
    <vt:lpwstr/>
  </property>
  <property fmtid="{D5CDD505-2E9C-101B-9397-08002B2CF9AE}" pid="3" name="MediaServiceImageTags">
    <vt:lpwstr/>
  </property>
  <property fmtid="{D5CDD505-2E9C-101B-9397-08002B2CF9AE}" pid="4" name="ContentTypeId">
    <vt:lpwstr>0x01010005CD0F92237EF8488BC464CA4C6CB542</vt:lpwstr>
  </property>
  <property fmtid="{D5CDD505-2E9C-101B-9397-08002B2CF9AE}" pid="5" name="e3f09c3df709400db2417a7161762d62">
    <vt:lpwstr/>
  </property>
  <property fmtid="{D5CDD505-2E9C-101B-9397-08002B2CF9AE}" pid="6" name="EPA Subject">
    <vt:lpwstr/>
  </property>
  <property fmtid="{D5CDD505-2E9C-101B-9397-08002B2CF9AE}" pid="7" name="Document Type">
    <vt:lpwstr/>
  </property>
</Properties>
</file>