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W:\B&amp;F Office\Grant\"/>
    </mc:Choice>
  </mc:AlternateContent>
  <xr:revisionPtr revIDLastSave="0" documentId="8_{3969D3F5-6E3E-4C80-9D03-C101D03054F7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SourceData" sheetId="1" r:id="rId1"/>
    <sheet name="GHG Reduction" sheetId="2" r:id="rId2"/>
    <sheet name="Table 2 input for narrati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F13" i="3"/>
  <c r="F6" i="3"/>
  <c r="F5" i="3"/>
  <c r="E6" i="3"/>
  <c r="E5" i="3"/>
  <c r="E4" i="3"/>
  <c r="C5" i="3"/>
  <c r="F9" i="2" l="1"/>
  <c r="D5" i="2"/>
  <c r="D6" i="2"/>
  <c r="D7" i="2"/>
  <c r="F8" i="2"/>
  <c r="E20" i="2"/>
  <c r="H25" i="1"/>
  <c r="I25" i="1"/>
  <c r="G25" i="1"/>
  <c r="G24" i="1"/>
  <c r="H24" i="1"/>
  <c r="I24" i="1"/>
  <c r="I11" i="1" l="1"/>
  <c r="H11" i="1"/>
  <c r="G11" i="1"/>
  <c r="I9" i="1"/>
  <c r="H9" i="1"/>
  <c r="G9" i="1"/>
  <c r="E25" i="1" l="1"/>
  <c r="C25" i="1"/>
  <c r="G39" i="2" l="1"/>
  <c r="G38" i="2"/>
  <c r="E39" i="2"/>
  <c r="E38" i="2"/>
  <c r="D39" i="2"/>
  <c r="F39" i="2" s="1"/>
  <c r="D38" i="2"/>
  <c r="F38" i="2" s="1"/>
  <c r="D37" i="2"/>
  <c r="E35" i="2"/>
  <c r="F89" i="1"/>
  <c r="F88" i="1"/>
  <c r="F87" i="1"/>
  <c r="B89" i="1"/>
  <c r="B88" i="1"/>
  <c r="B87" i="1"/>
  <c r="E40" i="2" l="1"/>
  <c r="F37" i="2"/>
  <c r="G31" i="2" l="1"/>
  <c r="G30" i="2"/>
  <c r="F84" i="1"/>
  <c r="F82" i="1"/>
  <c r="F13" i="2"/>
  <c r="G13" i="2" s="1"/>
  <c r="F12" i="2"/>
  <c r="G8" i="2"/>
  <c r="G32" i="1"/>
  <c r="I32" i="1" s="1"/>
  <c r="G31" i="1"/>
  <c r="I31" i="1" s="1"/>
  <c r="F17" i="1"/>
  <c r="D17" i="1"/>
  <c r="D12" i="2"/>
  <c r="E12" i="2" s="1"/>
  <c r="G16" i="1"/>
  <c r="I16" i="1" s="1"/>
  <c r="K54" i="2"/>
  <c r="L54" i="2"/>
  <c r="J54" i="2"/>
  <c r="K55" i="2"/>
  <c r="L55" i="2"/>
  <c r="J55" i="2"/>
  <c r="K27" i="2"/>
  <c r="L27" i="2"/>
  <c r="D54" i="2"/>
  <c r="D55" i="2"/>
  <c r="E31" i="2"/>
  <c r="E30" i="2"/>
  <c r="D31" i="2"/>
  <c r="F31" i="2" s="1"/>
  <c r="D30" i="2"/>
  <c r="F30" i="2" s="1"/>
  <c r="D29" i="2"/>
  <c r="F29" i="2" s="1"/>
  <c r="F80" i="1"/>
  <c r="F79" i="1"/>
  <c r="F81" i="1"/>
  <c r="F83" i="1"/>
  <c r="F78" i="1"/>
  <c r="J27" i="2"/>
  <c r="H16" i="1" l="1"/>
  <c r="G12" i="2"/>
  <c r="G81" i="1"/>
  <c r="G82" i="1" s="1"/>
  <c r="E55" i="2"/>
  <c r="D28" i="2"/>
  <c r="D36" i="2" s="1"/>
  <c r="D40" i="2" s="1"/>
  <c r="E41" i="2" s="1"/>
  <c r="E54" i="2"/>
  <c r="E56" i="2" s="1"/>
  <c r="D32" i="2" l="1"/>
  <c r="F28" i="2"/>
  <c r="F32" i="2" l="1"/>
  <c r="F36" i="2"/>
  <c r="F40" i="2" s="1"/>
  <c r="E30" i="1"/>
  <c r="E31" i="1"/>
  <c r="E29" i="1"/>
  <c r="E15" i="1" l="1"/>
  <c r="D11" i="2" s="1"/>
  <c r="F11" i="2" s="1"/>
  <c r="C15" i="1"/>
  <c r="E11" i="1"/>
  <c r="D10" i="2" s="1"/>
  <c r="C11" i="1"/>
  <c r="E33" i="1"/>
  <c r="E32" i="1"/>
  <c r="G20" i="2" l="1"/>
  <c r="G10" i="2"/>
  <c r="F10" i="2"/>
  <c r="F14" i="2" s="1"/>
  <c r="E11" i="2"/>
  <c r="G11" i="2"/>
  <c r="E10" i="2"/>
  <c r="E14" i="2" s="1"/>
  <c r="D14" i="2"/>
  <c r="J24" i="1"/>
  <c r="F24" i="1"/>
  <c r="F23" i="1"/>
  <c r="F22" i="1"/>
  <c r="D24" i="1"/>
  <c r="D23" i="1"/>
  <c r="D22" i="1"/>
  <c r="F9" i="1"/>
  <c r="F10" i="1"/>
  <c r="F12" i="1"/>
  <c r="F13" i="1"/>
  <c r="F14" i="1"/>
  <c r="F16" i="1"/>
  <c r="F8" i="1"/>
  <c r="F11" i="1" s="1"/>
  <c r="D9" i="1"/>
  <c r="D10" i="1"/>
  <c r="D12" i="1"/>
  <c r="D13" i="1"/>
  <c r="D14" i="1"/>
  <c r="D16" i="1"/>
  <c r="D8" i="1"/>
  <c r="C65" i="1"/>
  <c r="G7" i="2" l="1"/>
  <c r="F7" i="2"/>
  <c r="G14" i="2"/>
  <c r="D15" i="1"/>
  <c r="D11" i="1"/>
  <c r="F5" i="2" s="1"/>
  <c r="E7" i="2"/>
  <c r="D18" i="2"/>
  <c r="F18" i="2" s="1"/>
  <c r="F15" i="1"/>
  <c r="C66" i="1"/>
  <c r="C63" i="1"/>
  <c r="E24" i="2" s="1"/>
  <c r="C62" i="1"/>
  <c r="E23" i="2" s="1"/>
  <c r="C61" i="1"/>
  <c r="E22" i="2" s="1"/>
  <c r="G24" i="2" l="1"/>
  <c r="G6" i="2"/>
  <c r="F6" i="2"/>
  <c r="E6" i="2"/>
  <c r="D17" i="2"/>
  <c r="F17" i="2" s="1"/>
  <c r="D16" i="2"/>
  <c r="F16" i="2" s="1"/>
  <c r="G5" i="2"/>
  <c r="D9" i="2"/>
  <c r="E25" i="2"/>
  <c r="E5" i="2"/>
  <c r="C64" i="1"/>
  <c r="G9" i="2" l="1"/>
  <c r="G19" i="2" s="1"/>
  <c r="E27" i="2"/>
  <c r="E32" i="2" s="1"/>
  <c r="E33" i="2" s="1"/>
  <c r="N7" i="2" s="1"/>
  <c r="N5" i="2" s="1"/>
  <c r="E9" i="2"/>
  <c r="G23" i="2" s="1"/>
  <c r="E19" i="2" l="1"/>
  <c r="G22" i="2"/>
  <c r="G25" i="2" s="1"/>
  <c r="G27" i="2" s="1"/>
  <c r="G32" i="2" l="1"/>
  <c r="G33" i="2" s="1"/>
  <c r="N11" i="2" s="1"/>
  <c r="N12" i="2" s="1"/>
  <c r="N9" i="2" s="1"/>
  <c r="G35" i="2"/>
  <c r="G40" i="2" s="1"/>
  <c r="G41" i="2" s="1"/>
</calcChain>
</file>

<file path=xl/sharedStrings.xml><?xml version="1.0" encoding="utf-8"?>
<sst xmlns="http://schemas.openxmlformats.org/spreadsheetml/2006/main" count="302" uniqueCount="192">
  <si>
    <t>Design basis and assumptions</t>
  </si>
  <si>
    <t>Brewery waste</t>
  </si>
  <si>
    <t>N</t>
  </si>
  <si>
    <t>P</t>
  </si>
  <si>
    <t>Seafood waste</t>
  </si>
  <si>
    <t>Septage</t>
  </si>
  <si>
    <t>&gt; applied to farmland/livetock seasonally (assume 50% land application &amp; 50% to landfill)</t>
  </si>
  <si>
    <t>Future digestion facility</t>
  </si>
  <si>
    <t>Electricity use</t>
  </si>
  <si>
    <t>HSOW screening</t>
  </si>
  <si>
    <t>Dewatering (centrifuge)</t>
  </si>
  <si>
    <t>Digester design criteria</t>
  </si>
  <si>
    <t>VSr</t>
  </si>
  <si>
    <t>Digester gas production</t>
  </si>
  <si>
    <t>cf/lb VS destroyed</t>
  </si>
  <si>
    <t>scfm</t>
  </si>
  <si>
    <t>range</t>
  </si>
  <si>
    <t>avg</t>
  </si>
  <si>
    <t>Biogas utilization - CHP vs RNG</t>
  </si>
  <si>
    <t>CHP option includes NG top up - this would result in additional GHG emission</t>
  </si>
  <si>
    <t>RNG option based on PSA (&gt;97% CH4 capture) - this is a bit ambiguous; 3% CH4 slip is still significant and can negative the positive impact from biogas energy recovery; 3-stage membrane system can achieve 99.5% capture - best practice from GHG perspective)</t>
  </si>
  <si>
    <t>VS/TS ratio</t>
  </si>
  <si>
    <t>Digested biosolids</t>
  </si>
  <si>
    <t>lbs/d</t>
  </si>
  <si>
    <t>(Table 2-10 &amp; 2-17; final report)</t>
  </si>
  <si>
    <t>Sidestream ammonia load</t>
  </si>
  <si>
    <t>kWh/y</t>
  </si>
  <si>
    <t>kW and</t>
  </si>
  <si>
    <t>h/y operation</t>
  </si>
  <si>
    <t>(&gt; Final report, Appendix F)</t>
  </si>
  <si>
    <t>Cogen</t>
  </si>
  <si>
    <t xml:space="preserve">Thermophilic digester </t>
  </si>
  <si>
    <t>RNG</t>
  </si>
  <si>
    <t>&gt;This will determine the cumulative GHG reductions from 2025-2030 and the estimated cost effectiveness ($/tonne)</t>
  </si>
  <si>
    <t>&gt;This will determine the cunulative GHG reductions from 2025 -2050.</t>
  </si>
  <si>
    <t>GHG reduction to be quantified</t>
  </si>
  <si>
    <t>Diversion from landfill</t>
  </si>
  <si>
    <t>Haulage</t>
  </si>
  <si>
    <t>x</t>
  </si>
  <si>
    <t>x 
(50%)</t>
  </si>
  <si>
    <t>x 
(100% - future baseline)</t>
  </si>
  <si>
    <t>x 
(distance &amp; volume reduction)</t>
  </si>
  <si>
    <t>Class B biosolids</t>
  </si>
  <si>
    <t>GHG Emission Factors</t>
  </si>
  <si>
    <t>natural gas</t>
  </si>
  <si>
    <t>electricity</t>
  </si>
  <si>
    <t>gCO2e/m3</t>
  </si>
  <si>
    <t>(USEPA GHG EF Hub 2023)</t>
  </si>
  <si>
    <t>gCO2e/kWh</t>
  </si>
  <si>
    <t>(eGRID - NWPP)</t>
  </si>
  <si>
    <t>Sum - excl. biogas utilization</t>
  </si>
  <si>
    <t>tonne CO2e/y</t>
  </si>
  <si>
    <t>&gt; exclude this from the grant application since biogas utilization is undermined.</t>
  </si>
  <si>
    <t>Seafood processing - liquid</t>
  </si>
  <si>
    <t>Seafood processing - stick water</t>
  </si>
  <si>
    <t>Seafood residuals</t>
  </si>
  <si>
    <t>Brewery side stream</t>
  </si>
  <si>
    <t>Brewery spent grain</t>
  </si>
  <si>
    <t>Brewery process water</t>
  </si>
  <si>
    <t>Daily avg quantity</t>
  </si>
  <si>
    <t>m3/d</t>
  </si>
  <si>
    <t>Daily avg VS</t>
  </si>
  <si>
    <t>kg/d</t>
  </si>
  <si>
    <t>C</t>
  </si>
  <si>
    <t>%</t>
  </si>
  <si>
    <t>Future digester site</t>
  </si>
  <si>
    <t>Round-trip haulage distance (miles)</t>
  </si>
  <si>
    <t>Baseline management options</t>
  </si>
  <si>
    <t>Min</t>
  </si>
  <si>
    <t>Max</t>
  </si>
  <si>
    <t>Average</t>
  </si>
  <si>
    <t>Flow</t>
  </si>
  <si>
    <t>gpd</t>
  </si>
  <si>
    <t>VS loading</t>
  </si>
  <si>
    <t>TS</t>
  </si>
  <si>
    <t>Projected characteristics of combined HSOWs for future digesters (Final report, Table 2-4; C/N/P based on literature)</t>
  </si>
  <si>
    <t>&gt; discharge under NPDES now, but may start to go to landfill with future NPDES renewal - assume 100% to landfill as future baseline</t>
  </si>
  <si>
    <r>
      <t xml:space="preserve">&gt; hauled to WWTP (out of county); </t>
    </r>
    <r>
      <rPr>
        <i/>
        <sz val="10"/>
        <color rgb="FFFF0000"/>
        <rFont val="Jacobs Chronos"/>
        <family val="2"/>
      </rPr>
      <t>is there AD at the WWTP now? Energy recovery?</t>
    </r>
    <r>
      <rPr>
        <sz val="10"/>
        <color theme="1"/>
        <rFont val="Jacobs Chronos"/>
        <family val="2"/>
      </rPr>
      <t xml:space="preserve"> </t>
    </r>
    <r>
      <rPr>
        <i/>
        <sz val="10"/>
        <color rgb="FFFF0000"/>
        <rFont val="Jacobs Chronos"/>
        <family val="2"/>
      </rPr>
      <t>What do they do with the solids at the WWTP?</t>
    </r>
  </si>
  <si>
    <t>&gt; high in BOD, TSS and FOG</t>
  </si>
  <si>
    <t>&gt; low BOD</t>
  </si>
  <si>
    <t>&gt; high BOD</t>
  </si>
  <si>
    <t>Seafood waste combined</t>
  </si>
  <si>
    <t>Brewery waste combined</t>
  </si>
  <si>
    <t>Baseline end user</t>
  </si>
  <si>
    <t>within county?</t>
  </si>
  <si>
    <t>m3/d (wt/d)</t>
  </si>
  <si>
    <t>Summary of GHG Reductions</t>
  </si>
  <si>
    <t>No.</t>
  </si>
  <si>
    <t>Parameter</t>
  </si>
  <si>
    <t>Unit</t>
  </si>
  <si>
    <t>HSOWs Digestion</t>
  </si>
  <si>
    <t>Source &amp; Quantity of HSOWs</t>
  </si>
  <si>
    <t>wt/d (m3/d)</t>
  </si>
  <si>
    <t>Management/Treatment of HSOWs</t>
  </si>
  <si>
    <t>Landfill</t>
  </si>
  <si>
    <t>Farmland - unprocessed</t>
  </si>
  <si>
    <t>Anaerobic digestion</t>
  </si>
  <si>
    <t>Farmland - digested biosolids (Class B)</t>
  </si>
  <si>
    <t>&gt; assume dewatered to</t>
  </si>
  <si>
    <t>Haulage to out of county WWTPs</t>
  </si>
  <si>
    <t>&gt; 50% brewery waste (seasonal)</t>
  </si>
  <si>
    <t>Electricity Requirement for Future Digester Site</t>
  </si>
  <si>
    <t>HSOW processing</t>
  </si>
  <si>
    <t>Thermophilic digestion</t>
  </si>
  <si>
    <t>Centrifuge dewatering</t>
  </si>
  <si>
    <t>Total electricity consumption</t>
  </si>
  <si>
    <t>&gt; round-trip 100 miles</t>
  </si>
  <si>
    <t>Electricity consumption</t>
  </si>
  <si>
    <t>&gt; emission factor =</t>
  </si>
  <si>
    <t xml:space="preserve">Landfill </t>
  </si>
  <si>
    <t>TS and 120-d storage (to manage seasonal land application)</t>
  </si>
  <si>
    <t>Septage haulage (out of county)</t>
  </si>
  <si>
    <t>Land application - emissions</t>
  </si>
  <si>
    <t>Land application - offsets</t>
  </si>
  <si>
    <t>&gt; BEAM2022</t>
  </si>
  <si>
    <t>GHG reduction from baseline</t>
  </si>
  <si>
    <t>Net GHG emissions</t>
  </si>
  <si>
    <t>BEAM 2022 Output</t>
  </si>
  <si>
    <t>Scope 1</t>
  </si>
  <si>
    <t>Scope 2</t>
  </si>
  <si>
    <t>Scope 3</t>
  </si>
  <si>
    <t>Total</t>
  </si>
  <si>
    <t>Baseline - septage haulage</t>
  </si>
  <si>
    <t>Baseline - seafood waste (landfill)</t>
  </si>
  <si>
    <t>Baseline - brewery waste (landfill)</t>
  </si>
  <si>
    <t>Baseline - brewery waste (land application)</t>
  </si>
  <si>
    <t>Not included in assessment</t>
  </si>
  <si>
    <t>Biogas energy recovery - to be determined; CHP or RNG</t>
  </si>
  <si>
    <t>Adequate CHP heat for digester heating</t>
  </si>
  <si>
    <t>CHP electricity output</t>
  </si>
  <si>
    <t>Natural gas demand</t>
  </si>
  <si>
    <t>m3/y</t>
  </si>
  <si>
    <t>GHG Emissions, tonne CO2e/y</t>
  </si>
  <si>
    <t>Net GHG impact</t>
  </si>
  <si>
    <t>If CHP is selected (Final report Table 2-11, avg day condition) - expected to result in a small net-positive GHG emission</t>
  </si>
  <si>
    <t>If RNG is selected - GHG impact will depend on contract terms (revenue versus environmental attributes)</t>
  </si>
  <si>
    <t xml:space="preserve">Haulage (organic waste, Class B biosolids) within county - expected to be very small relative to the other components </t>
  </si>
  <si>
    <t>Septage treatment out of county (other WWTPs - info not available to quantify GHG impact if septage is diverted away)</t>
  </si>
  <si>
    <t xml:space="preserve">Septage </t>
  </si>
  <si>
    <t>(https://www.epa.gov/sites/default/files/2018-11/documents/guide-septage-treatment-disposal.pdf)</t>
  </si>
  <si>
    <t>BEAM2022 organic carbon as a% of TVS =</t>
  </si>
  <si>
    <t>Seafood waste (Tay et al. 2006; Seafood processing wastewater treatment)</t>
  </si>
  <si>
    <t>lbs-VS/d</t>
  </si>
  <si>
    <t>Combined HSOWs</t>
  </si>
  <si>
    <r>
      <t xml:space="preserve">&gt; limited N&amp;P data in literature; </t>
    </r>
    <r>
      <rPr>
        <i/>
        <sz val="10"/>
        <color rgb="FFC00000"/>
        <rFont val="Jacobs Chronos"/>
        <family val="2"/>
      </rPr>
      <t>suggest could be high due to protein</t>
    </r>
  </si>
  <si>
    <t>&gt; C&amp;N reference Subramanian 2022, WEFTEC)</t>
  </si>
  <si>
    <t>Commercial food waste</t>
  </si>
  <si>
    <t>Source/type of HSOW (Final report, Table 2-2 &amp; Table 2-3; C/N/P based on literature)</t>
  </si>
  <si>
    <t xml:space="preserve">&gt; N&amp;P reference: https://www.sciencedirect.com/science/article/abs/pii/S0960852415002035 </t>
  </si>
  <si>
    <t>Additonal AD with food waste</t>
  </si>
  <si>
    <t>Sidestream NH3 management - additional aeration energy use and N2O risk</t>
  </si>
  <si>
    <t>Baseline (without project)</t>
  </si>
  <si>
    <t>&gt; Assume more stringent NPDES discharge requirements will drive seafood waste (100%) to landfill; brewery waste 50/50 split between landfill/farmland (seasonal); food waste 100% to landfill</t>
  </si>
  <si>
    <t>Scenario 1</t>
  </si>
  <si>
    <t>Scenario 2</t>
  </si>
  <si>
    <t>HSOWs Digestion (incl. FW)</t>
  </si>
  <si>
    <t>Baseline - food waste (landfill)</t>
  </si>
  <si>
    <t xml:space="preserve">Future - Class B biosolids land application </t>
  </si>
  <si>
    <t>Future - Class B biosolids land application (incl. FW)</t>
  </si>
  <si>
    <t>When will the project be online? Jan 2028</t>
  </si>
  <si>
    <t>Projection of HSOW over time?  No expansion</t>
  </si>
  <si>
    <t>Land application with old C-sequestration default</t>
  </si>
  <si>
    <t>Annual GHG Emissions - previous default C sequestration factor</t>
  </si>
  <si>
    <t>Annual GHG Emissions - current default C sequestration factor</t>
  </si>
  <si>
    <t>Cumulative reduction from 2025-2030</t>
  </si>
  <si>
    <t>Assume initial operation under Scenario 1</t>
  </si>
  <si>
    <t>years of operation</t>
  </si>
  <si>
    <t xml:space="preserve">Assume operation starts Jan 2028 </t>
  </si>
  <si>
    <t>tonne CO2e/y reduction</t>
  </si>
  <si>
    <t>tonne CO2e reduction</t>
  </si>
  <si>
    <t>Cumulative reduction from 2025-2050</t>
  </si>
  <si>
    <t xml:space="preserve">Assume no increase in production </t>
  </si>
  <si>
    <t>Assume Scenario 2 starting 2031</t>
  </si>
  <si>
    <t>years of operation from 2031 to 2050</t>
  </si>
  <si>
    <t>tonne CO2e reduction from 2031 to 2050</t>
  </si>
  <si>
    <t>&gt; about  6% in solids, high BOD and high in salinity; Email from Bing Brackeen Mar.27, 2024 (C/N/P)</t>
  </si>
  <si>
    <t>Appendix D: Clatsop County Organic Matter Recovery &amp; Bioenergy Project GHG Assessment</t>
  </si>
  <si>
    <t>For Table 2 of the Narrative</t>
  </si>
  <si>
    <t>Optimization Item</t>
  </si>
  <si>
    <t>Without Project</t>
  </si>
  <si>
    <t>With Project</t>
  </si>
  <si>
    <t>Table 2 of GHG emission reduction</t>
  </si>
  <si>
    <t>None</t>
  </si>
  <si>
    <r>
      <t>Measure 1: 6,300 tonne CO2e/year (1</t>
    </r>
    <r>
      <rPr>
        <vertAlign val="superscript"/>
        <sz val="11"/>
        <color theme="1"/>
        <rFont val="Calibri"/>
        <family val="2"/>
      </rPr>
      <t>st</t>
    </r>
    <r>
      <rPr>
        <sz val="11"/>
        <color theme="1"/>
        <rFont val="Calibri"/>
        <family val="2"/>
      </rPr>
      <t xml:space="preserve"> 3 years)</t>
    </r>
  </si>
  <si>
    <t>Measure 2: 8,600 tonne CO2O2e/year (2031 through 2050)</t>
  </si>
  <si>
    <t>Diversion of HSOW from landfill</t>
  </si>
  <si>
    <r>
      <t>Measure 1; ____ wet tonne per year</t>
    </r>
    <r>
      <rPr>
        <sz val="8"/>
        <color theme="1"/>
        <rFont val="Calibri"/>
        <family val="2"/>
      </rPr>
      <t> </t>
    </r>
    <r>
      <rPr>
        <sz val="11"/>
        <color theme="1"/>
        <rFont val="Calibri"/>
        <family val="2"/>
      </rPr>
      <t xml:space="preserve"> (1</t>
    </r>
    <r>
      <rPr>
        <vertAlign val="superscript"/>
        <sz val="11"/>
        <color theme="1"/>
        <rFont val="Calibri"/>
        <family val="2"/>
      </rPr>
      <t>st</t>
    </r>
    <r>
      <rPr>
        <sz val="11"/>
        <color theme="1"/>
        <rFont val="Calibri"/>
        <family val="2"/>
      </rPr>
      <t xml:space="preserve"> 3 years)</t>
    </r>
  </si>
  <si>
    <r>
      <t>Measure 2; ____ wet tonne per year</t>
    </r>
    <r>
      <rPr>
        <sz val="8"/>
        <color theme="1"/>
        <rFont val="Calibri"/>
        <family val="2"/>
      </rPr>
      <t> </t>
    </r>
    <r>
      <rPr>
        <sz val="11"/>
        <color theme="1"/>
        <rFont val="Calibri"/>
        <family val="2"/>
      </rPr>
      <t xml:space="preserve"> (1</t>
    </r>
    <r>
      <rPr>
        <vertAlign val="superscript"/>
        <sz val="11"/>
        <color theme="1"/>
        <rFont val="Calibri"/>
        <family val="2"/>
      </rPr>
      <t>st</t>
    </r>
    <r>
      <rPr>
        <sz val="11"/>
        <color theme="1"/>
        <rFont val="Calibri"/>
        <family val="2"/>
      </rPr>
      <t xml:space="preserve"> 3 years)</t>
    </r>
  </si>
  <si>
    <r>
      <t> </t>
    </r>
    <r>
      <rPr>
        <sz val="10"/>
        <color theme="1"/>
        <rFont val="Calibri"/>
        <family val="2"/>
        <scheme val="minor"/>
      </rPr>
      <t>Do we have these values?</t>
    </r>
  </si>
  <si>
    <t>this is for measure 1 (scenario 1)</t>
  </si>
  <si>
    <t>this is for measure 2 (scenario 2)</t>
  </si>
  <si>
    <t>wet tonnes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</si>
</sst>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%"/>
    <numFmt numFmtId="166" formatCode="#,##0_ ;\-#,##0\ "/>
    <numFmt numFmtId="167" formatCode="0.00000000000000%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Jacobs Chronos"/>
      <family val="2"/>
    </font>
    <font>
      <b/>
      <sz val="11"/>
      <color theme="1"/>
      <name val="Jacobs Chronos"/>
      <family val="2"/>
    </font>
    <font>
      <b/>
      <sz val="12"/>
      <color theme="1"/>
      <name val="Jacobs Chronos"/>
      <family val="2"/>
    </font>
    <font>
      <sz val="11"/>
      <color theme="1"/>
      <name val="Calibri"/>
      <family val="2"/>
      <scheme val="minor"/>
    </font>
    <font>
      <sz val="10"/>
      <color theme="1"/>
      <name val="Jacobs Chronos"/>
      <family val="2"/>
    </font>
    <font>
      <sz val="12"/>
      <color theme="1"/>
      <name val="Jacobs Chronos"/>
      <family val="2"/>
    </font>
    <font>
      <b/>
      <sz val="10"/>
      <color theme="1"/>
      <name val="Jacobs Chronos"/>
      <family val="2"/>
    </font>
    <font>
      <i/>
      <sz val="10"/>
      <color rgb="FFFF0000"/>
      <name val="Jacobs Chronos"/>
      <family val="2"/>
    </font>
    <font>
      <sz val="10"/>
      <color rgb="FFFF0000"/>
      <name val="Jacobs Chronos"/>
      <family val="2"/>
    </font>
    <font>
      <i/>
      <sz val="10"/>
      <color theme="1"/>
      <name val="Jacobs Chronos"/>
      <family val="2"/>
    </font>
    <font>
      <b/>
      <i/>
      <sz val="10"/>
      <color theme="1"/>
      <name val="Jacobs Chronos"/>
      <family val="2"/>
    </font>
    <font>
      <sz val="10"/>
      <color rgb="FFC00000"/>
      <name val="Jacobs Chronos"/>
      <family val="2"/>
    </font>
    <font>
      <i/>
      <sz val="10"/>
      <color rgb="FFC00000"/>
      <name val="Jacobs Chronos"/>
      <family val="2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50B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50B8"/>
      </left>
      <right style="medium">
        <color rgb="FF0050B8"/>
      </right>
      <top/>
      <bottom style="medium">
        <color rgb="FF0050B8"/>
      </bottom>
      <diagonal/>
    </border>
    <border>
      <left/>
      <right style="medium">
        <color rgb="FF0050B8"/>
      </right>
      <top/>
      <bottom style="medium">
        <color rgb="FF0050B8"/>
      </bottom>
      <diagonal/>
    </border>
    <border>
      <left style="medium">
        <color rgb="FF0050B8"/>
      </left>
      <right style="medium">
        <color rgb="FF0050B8"/>
      </right>
      <top/>
      <bottom/>
      <diagonal/>
    </border>
    <border>
      <left/>
      <right style="medium">
        <color rgb="FF0050B8"/>
      </right>
      <top/>
      <bottom/>
      <diagonal/>
    </border>
    <border>
      <left style="medium">
        <color rgb="FF0050B8"/>
      </left>
      <right style="medium">
        <color rgb="FF0050B8"/>
      </right>
      <top style="medium">
        <color rgb="FF0050B8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3" fontId="5" fillId="0" borderId="0" xfId="0" applyNumberFormat="1" applyFont="1"/>
    <xf numFmtId="0" fontId="5" fillId="0" borderId="0" xfId="0" applyFont="1"/>
    <xf numFmtId="164" fontId="5" fillId="0" borderId="0" xfId="0" applyNumberFormat="1" applyFont="1"/>
    <xf numFmtId="1" fontId="5" fillId="0" borderId="0" xfId="0" applyNumberFormat="1" applyFont="1"/>
    <xf numFmtId="0" fontId="3" fillId="0" borderId="0" xfId="0" applyFont="1" applyAlignment="1">
      <alignment horizontal="right"/>
    </xf>
    <xf numFmtId="0" fontId="6" fillId="0" borderId="0" xfId="0" applyFont="1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/>
    <xf numFmtId="0" fontId="5" fillId="0" borderId="0" xfId="0" applyFont="1" applyAlignment="1">
      <alignment horizontal="right"/>
    </xf>
    <xf numFmtId="1" fontId="5" fillId="0" borderId="1" xfId="0" applyNumberFormat="1" applyFont="1" applyBorder="1"/>
    <xf numFmtId="9" fontId="5" fillId="0" borderId="1" xfId="0" applyNumberFormat="1" applyFont="1" applyBorder="1"/>
    <xf numFmtId="3" fontId="7" fillId="0" borderId="1" xfId="0" applyNumberFormat="1" applyFont="1" applyBorder="1"/>
    <xf numFmtId="1" fontId="7" fillId="0" borderId="1" xfId="0" applyNumberFormat="1" applyFont="1" applyBorder="1"/>
    <xf numFmtId="165" fontId="7" fillId="0" borderId="1" xfId="0" applyNumberFormat="1" applyFont="1" applyBorder="1"/>
    <xf numFmtId="9" fontId="7" fillId="0" borderId="1" xfId="0" applyNumberFormat="1" applyFont="1" applyBorder="1"/>
    <xf numFmtId="9" fontId="5" fillId="0" borderId="0" xfId="0" applyNumberFormat="1" applyFont="1"/>
    <xf numFmtId="0" fontId="8" fillId="0" borderId="0" xfId="0" applyFont="1"/>
    <xf numFmtId="0" fontId="9" fillId="0" borderId="0" xfId="0" applyFont="1" applyAlignme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10" fillId="0" borderId="0" xfId="0" applyFont="1"/>
    <xf numFmtId="3" fontId="7" fillId="0" borderId="0" xfId="0" applyNumberFormat="1" applyFont="1"/>
    <xf numFmtId="0" fontId="5" fillId="2" borderId="0" xfId="0" applyFont="1" applyFill="1"/>
    <xf numFmtId="0" fontId="10" fillId="2" borderId="0" xfId="0" applyFont="1" applyFill="1"/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3" fontId="5" fillId="2" borderId="1" xfId="0" applyNumberFormat="1" applyFont="1" applyFill="1" applyBorder="1"/>
    <xf numFmtId="0" fontId="7" fillId="3" borderId="1" xfId="0" applyFont="1" applyFill="1" applyBorder="1" applyAlignment="1">
      <alignment horizontal="right"/>
    </xf>
    <xf numFmtId="3" fontId="7" fillId="3" borderId="1" xfId="0" applyNumberFormat="1" applyFont="1" applyFill="1" applyBorder="1"/>
    <xf numFmtId="164" fontId="7" fillId="3" borderId="1" xfId="0" applyNumberFormat="1" applyFont="1" applyFill="1" applyBorder="1"/>
    <xf numFmtId="0" fontId="8" fillId="2" borderId="1" xfId="0" applyFont="1" applyFill="1" applyBorder="1"/>
    <xf numFmtId="0" fontId="5" fillId="0" borderId="1" xfId="0" applyFont="1" applyFill="1" applyBorder="1" applyAlignment="1">
      <alignment horizontal="center" wrapText="1"/>
    </xf>
    <xf numFmtId="0" fontId="11" fillId="4" borderId="0" xfId="0" applyFont="1" applyFill="1"/>
    <xf numFmtId="3" fontId="11" fillId="4" borderId="0" xfId="0" applyNumberFormat="1" applyFont="1" applyFill="1"/>
    <xf numFmtId="166" fontId="11" fillId="4" borderId="0" xfId="0" applyNumberFormat="1" applyFont="1" applyFill="1"/>
    <xf numFmtId="0" fontId="10" fillId="0" borderId="0" xfId="0" applyFont="1" applyAlignment="1">
      <alignment horizontal="left"/>
    </xf>
    <xf numFmtId="9" fontId="5" fillId="0" borderId="1" xfId="1" applyFont="1" applyBorder="1"/>
    <xf numFmtId="165" fontId="7" fillId="3" borderId="1" xfId="1" applyNumberFormat="1" applyFont="1" applyFill="1" applyBorder="1"/>
    <xf numFmtId="9" fontId="5" fillId="0" borderId="0" xfId="1" applyFont="1"/>
    <xf numFmtId="167" fontId="1" fillId="0" borderId="0" xfId="0" applyNumberFormat="1" applyFont="1"/>
    <xf numFmtId="0" fontId="12" fillId="0" borderId="0" xfId="0" applyFont="1"/>
    <xf numFmtId="9" fontId="12" fillId="0" borderId="0" xfId="0" applyNumberFormat="1" applyFont="1"/>
    <xf numFmtId="9" fontId="7" fillId="2" borderId="1" xfId="1" applyFont="1" applyFill="1" applyBorder="1"/>
    <xf numFmtId="3" fontId="12" fillId="0" borderId="1" xfId="0" applyNumberFormat="1" applyFont="1" applyBorder="1"/>
    <xf numFmtId="0" fontId="12" fillId="0" borderId="1" xfId="0" applyFont="1" applyBorder="1"/>
    <xf numFmtId="168" fontId="7" fillId="0" borderId="0" xfId="0" applyNumberFormat="1" applyFont="1"/>
    <xf numFmtId="0" fontId="12" fillId="0" borderId="0" xfId="0" applyFont="1" applyAlignment="1">
      <alignment horizontal="right"/>
    </xf>
    <xf numFmtId="3" fontId="12" fillId="0" borderId="0" xfId="0" applyNumberFormat="1" applyFont="1"/>
    <xf numFmtId="1" fontId="12" fillId="0" borderId="0" xfId="0" applyNumberFormat="1" applyFont="1"/>
    <xf numFmtId="166" fontId="5" fillId="0" borderId="0" xfId="0" applyNumberFormat="1" applyFont="1"/>
    <xf numFmtId="166" fontId="7" fillId="3" borderId="0" xfId="0" applyNumberFormat="1" applyFont="1" applyFill="1"/>
    <xf numFmtId="9" fontId="1" fillId="0" borderId="0" xfId="1" applyFont="1"/>
    <xf numFmtId="165" fontId="5" fillId="0" borderId="1" xfId="1" applyNumberFormat="1" applyFont="1" applyBorder="1"/>
    <xf numFmtId="9" fontId="7" fillId="0" borderId="1" xfId="1" applyFont="1" applyFill="1" applyBorder="1"/>
    <xf numFmtId="165" fontId="7" fillId="0" borderId="1" xfId="1" applyNumberFormat="1" applyFont="1" applyFill="1" applyBorder="1"/>
    <xf numFmtId="165" fontId="7" fillId="0" borderId="1" xfId="1" applyNumberFormat="1" applyFont="1" applyBorder="1"/>
    <xf numFmtId="165" fontId="5" fillId="0" borderId="0" xfId="1" applyNumberFormat="1" applyFont="1"/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14" fillId="5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164" fontId="0" fillId="0" borderId="0" xfId="0" applyNumberFormat="1"/>
    <xf numFmtId="3" fontId="0" fillId="0" borderId="0" xfId="0" applyNumberFormat="1"/>
    <xf numFmtId="3" fontId="15" fillId="0" borderId="0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6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69477</xdr:colOff>
      <xdr:row>2</xdr:row>
      <xdr:rowOff>14007</xdr:rowOff>
    </xdr:from>
    <xdr:to>
      <xdr:col>21</xdr:col>
      <xdr:colOff>35187</xdr:colOff>
      <xdr:row>27</xdr:row>
      <xdr:rowOff>33980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6B33DB1-5619-5CC7-02D7-77EE69E9D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79624" y="406213"/>
          <a:ext cx="3592606" cy="4225765"/>
        </a:xfrm>
        <a:prstGeom prst="rect">
          <a:avLst/>
        </a:prstGeom>
      </xdr:spPr>
    </xdr:pic>
    <xdr:clientData/>
  </xdr:twoCellAnchor>
  <xdr:twoCellAnchor editAs="oneCell">
    <xdr:from>
      <xdr:col>25</xdr:col>
      <xdr:colOff>56030</xdr:colOff>
      <xdr:row>2</xdr:row>
      <xdr:rowOff>100853</xdr:rowOff>
    </xdr:from>
    <xdr:to>
      <xdr:col>34</xdr:col>
      <xdr:colOff>72365</xdr:colOff>
      <xdr:row>37</xdr:row>
      <xdr:rowOff>42426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B239DC-78A3-FB53-A724-809B54754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17354" y="493059"/>
          <a:ext cx="6476190" cy="573333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0"/>
  <sheetViews>
    <sheetView tabSelected="1" zoomScale="115" zoomScaleNormal="115" workbookViewId="0">
      <selection activeCell="D8" sqref="D8"/>
    </sheetView>
  </sheetViews>
  <sheetFormatPr defaultColWidth="9.140625" defaultRowHeight="14.25"/>
  <cols>
    <col min="1" max="1" width="9.140625" style="1"/>
    <col min="2" max="2" width="40.5703125" style="3" customWidth="1"/>
    <col min="3" max="3" width="12.7109375" style="1" customWidth="1"/>
    <col min="4" max="4" width="12.28515625" style="1" customWidth="1"/>
    <col min="5" max="5" width="11.85546875" style="1" customWidth="1"/>
    <col min="6" max="6" width="9.140625" style="1"/>
    <col min="7" max="7" width="10.28515625" style="1" bestFit="1" customWidth="1"/>
    <col min="8" max="8" width="11" style="1" customWidth="1"/>
    <col min="9" max="10" width="9.140625" style="1"/>
    <col min="11" max="11" width="13.140625" style="1" customWidth="1"/>
    <col min="12" max="12" width="9.140625" style="1"/>
    <col min="13" max="13" width="13.7109375" style="1" bestFit="1" customWidth="1"/>
    <col min="14" max="25" width="9.140625" style="1"/>
    <col min="26" max="26" width="24.5703125" style="1" bestFit="1" customWidth="1"/>
    <col min="27" max="16384" width="9.140625" style="1"/>
  </cols>
  <sheetData>
    <row r="1" spans="1:26" ht="15.75">
      <c r="A1" s="4" t="s">
        <v>176</v>
      </c>
    </row>
    <row r="2" spans="1:26" ht="15">
      <c r="O2" s="30" t="s">
        <v>138</v>
      </c>
      <c r="P2" s="6" t="s">
        <v>139</v>
      </c>
      <c r="Z2" s="2" t="s">
        <v>141</v>
      </c>
    </row>
    <row r="3" spans="1:26" ht="15.75">
      <c r="B3" s="4" t="s">
        <v>0</v>
      </c>
    </row>
    <row r="4" spans="1:26" ht="15">
      <c r="B4" s="10"/>
    </row>
    <row r="5" spans="1:26" ht="15.75">
      <c r="B5" s="4" t="s">
        <v>147</v>
      </c>
    </row>
    <row r="6" spans="1:26" s="6" customFormat="1" ht="12.75">
      <c r="B6" s="11"/>
      <c r="C6" s="83" t="s">
        <v>59</v>
      </c>
      <c r="D6" s="83"/>
      <c r="E6" s="83" t="s">
        <v>61</v>
      </c>
      <c r="F6" s="83"/>
      <c r="G6" s="12" t="s">
        <v>63</v>
      </c>
      <c r="H6" s="12" t="s">
        <v>2</v>
      </c>
      <c r="I6" s="12" t="s">
        <v>3</v>
      </c>
    </row>
    <row r="7" spans="1:26" s="6" customFormat="1" ht="12.75">
      <c r="B7" s="11"/>
      <c r="C7" s="12" t="s">
        <v>72</v>
      </c>
      <c r="D7" s="12" t="s">
        <v>85</v>
      </c>
      <c r="E7" s="12" t="s">
        <v>23</v>
      </c>
      <c r="F7" s="12" t="s">
        <v>62</v>
      </c>
      <c r="G7" s="12" t="s">
        <v>64</v>
      </c>
      <c r="H7" s="12" t="s">
        <v>64</v>
      </c>
      <c r="I7" s="12" t="s">
        <v>64</v>
      </c>
    </row>
    <row r="8" spans="1:26" s="6" customFormat="1" ht="12.75">
      <c r="B8" s="13" t="s">
        <v>53</v>
      </c>
      <c r="C8" s="14">
        <v>1479</v>
      </c>
      <c r="D8" s="15">
        <f>C8*0.003785</f>
        <v>5.5980150000000002</v>
      </c>
      <c r="E8" s="14">
        <v>570</v>
      </c>
      <c r="F8" s="14">
        <f>E8*0.453592</f>
        <v>258.54743999999999</v>
      </c>
      <c r="G8" s="52"/>
      <c r="H8" s="52"/>
      <c r="I8" s="52"/>
      <c r="J8" s="31" t="s">
        <v>78</v>
      </c>
      <c r="L8" s="17"/>
    </row>
    <row r="9" spans="1:26" s="6" customFormat="1" ht="12.75">
      <c r="B9" s="13" t="s">
        <v>54</v>
      </c>
      <c r="C9" s="14">
        <v>34002</v>
      </c>
      <c r="D9" s="15">
        <f t="shared" ref="D9:D17" si="0">C9*0.003785</f>
        <v>128.69757000000001</v>
      </c>
      <c r="E9" s="14">
        <v>10451</v>
      </c>
      <c r="F9" s="14">
        <f t="shared" ref="F9:F17" si="1">E9*0.453592</f>
        <v>4740.4899919999998</v>
      </c>
      <c r="G9" s="52">
        <f>2/6</f>
        <v>0.33333333333333331</v>
      </c>
      <c r="H9" s="52">
        <f>0.6/6</f>
        <v>9.9999999999999992E-2</v>
      </c>
      <c r="I9" s="68">
        <f>0.07/6</f>
        <v>1.1666666666666667E-2</v>
      </c>
      <c r="J9" s="31" t="s">
        <v>175</v>
      </c>
      <c r="L9" s="17"/>
    </row>
    <row r="10" spans="1:26" s="6" customFormat="1" ht="12.75">
      <c r="B10" s="13" t="s">
        <v>55</v>
      </c>
      <c r="C10" s="14">
        <v>1043</v>
      </c>
      <c r="D10" s="15">
        <f t="shared" si="0"/>
        <v>3.9477550000000003</v>
      </c>
      <c r="E10" s="14">
        <v>2051</v>
      </c>
      <c r="F10" s="14">
        <f t="shared" si="1"/>
        <v>930.31719199999998</v>
      </c>
      <c r="G10" s="52"/>
      <c r="H10" s="52"/>
      <c r="I10" s="52"/>
      <c r="J10" s="31"/>
      <c r="L10" s="17"/>
    </row>
    <row r="11" spans="1:26" s="6" customFormat="1" ht="12.75">
      <c r="B11" s="43" t="s">
        <v>81</v>
      </c>
      <c r="C11" s="44">
        <f>SUM(C8:C10)</f>
        <v>36524</v>
      </c>
      <c r="D11" s="44">
        <f t="shared" ref="D11:F11" si="2">SUM(D8:D10)</f>
        <v>138.24334000000002</v>
      </c>
      <c r="E11" s="44">
        <f t="shared" si="2"/>
        <v>13072</v>
      </c>
      <c r="F11" s="44">
        <f t="shared" si="2"/>
        <v>5929.3546239999996</v>
      </c>
      <c r="G11" s="53">
        <f>G9</f>
        <v>0.33333333333333331</v>
      </c>
      <c r="H11" s="69">
        <f>H9</f>
        <v>9.9999999999999992E-2</v>
      </c>
      <c r="I11" s="70">
        <f>I9</f>
        <v>1.1666666666666667E-2</v>
      </c>
      <c r="J11" s="31" t="s">
        <v>144</v>
      </c>
      <c r="L11" s="17"/>
    </row>
    <row r="12" spans="1:26" s="6" customFormat="1" ht="12.75">
      <c r="B12" s="13" t="s">
        <v>56</v>
      </c>
      <c r="C12" s="14">
        <v>3617</v>
      </c>
      <c r="D12" s="15">
        <f t="shared" si="0"/>
        <v>13.690345000000001</v>
      </c>
      <c r="E12" s="14">
        <v>1370</v>
      </c>
      <c r="F12" s="14">
        <f t="shared" si="1"/>
        <v>621.42103999999995</v>
      </c>
      <c r="G12" s="52"/>
      <c r="H12" s="52"/>
      <c r="I12" s="52"/>
      <c r="J12" s="31" t="s">
        <v>80</v>
      </c>
      <c r="L12" s="17"/>
    </row>
    <row r="13" spans="1:26" s="6" customFormat="1" ht="12.75">
      <c r="B13" s="13" t="s">
        <v>57</v>
      </c>
      <c r="C13" s="14">
        <v>530</v>
      </c>
      <c r="D13" s="15">
        <f t="shared" si="0"/>
        <v>2.0060500000000001</v>
      </c>
      <c r="E13" s="14">
        <v>770</v>
      </c>
      <c r="F13" s="14">
        <f t="shared" si="1"/>
        <v>349.26583999999997</v>
      </c>
      <c r="G13" s="52"/>
      <c r="H13" s="52"/>
      <c r="I13" s="52"/>
      <c r="J13" s="31"/>
      <c r="L13" s="17"/>
    </row>
    <row r="14" spans="1:26" s="6" customFormat="1" ht="12.75">
      <c r="B14" s="13" t="s">
        <v>58</v>
      </c>
      <c r="C14" s="14">
        <v>10960</v>
      </c>
      <c r="D14" s="15">
        <f t="shared" si="0"/>
        <v>41.483600000000003</v>
      </c>
      <c r="E14" s="14">
        <v>525</v>
      </c>
      <c r="F14" s="14">
        <f t="shared" si="1"/>
        <v>238.13579999999999</v>
      </c>
      <c r="G14" s="52"/>
      <c r="H14" s="52"/>
      <c r="I14" s="52"/>
      <c r="J14" s="31" t="s">
        <v>79</v>
      </c>
      <c r="L14" s="17"/>
    </row>
    <row r="15" spans="1:26" s="6" customFormat="1" ht="12.75">
      <c r="B15" s="43" t="s">
        <v>82</v>
      </c>
      <c r="C15" s="44">
        <f>SUM(C12:C14)</f>
        <v>15107</v>
      </c>
      <c r="D15" s="44">
        <f t="shared" ref="D15" si="3">SUM(D12:D14)</f>
        <v>57.179995000000005</v>
      </c>
      <c r="E15" s="44">
        <f t="shared" ref="E15" si="4">SUM(E12:E14)</f>
        <v>2665</v>
      </c>
      <c r="F15" s="44">
        <f t="shared" ref="F15" si="5">SUM(F12:F14)</f>
        <v>1208.82268</v>
      </c>
      <c r="G15" s="53">
        <v>0.46</v>
      </c>
      <c r="H15" s="53">
        <v>0.02</v>
      </c>
      <c r="I15" s="58"/>
      <c r="J15" s="31" t="s">
        <v>145</v>
      </c>
      <c r="L15" s="17"/>
      <c r="Z15" s="54"/>
    </row>
    <row r="16" spans="1:26" s="6" customFormat="1" ht="12.75">
      <c r="B16" s="43" t="s">
        <v>5</v>
      </c>
      <c r="C16" s="44">
        <v>3830</v>
      </c>
      <c r="D16" s="45">
        <f t="shared" si="0"/>
        <v>14.496550000000001</v>
      </c>
      <c r="E16" s="44">
        <v>600</v>
      </c>
      <c r="F16" s="44">
        <f t="shared" si="1"/>
        <v>272.15519999999998</v>
      </c>
      <c r="G16" s="53">
        <f>(23100/34106)*S31</f>
        <v>0.37928810180026978</v>
      </c>
      <c r="H16" s="53">
        <f>G16*588/6480</f>
        <v>3.4416883311505962E-2</v>
      </c>
      <c r="I16" s="53">
        <f>G16*210/6480</f>
        <v>1.2291744039823558E-2</v>
      </c>
      <c r="L16" s="17"/>
      <c r="Z16" s="24"/>
    </row>
    <row r="17" spans="2:26" s="6" customFormat="1" ht="12.75">
      <c r="B17" s="43" t="s">
        <v>146</v>
      </c>
      <c r="C17" s="44">
        <v>2130</v>
      </c>
      <c r="D17" s="45">
        <f t="shared" si="0"/>
        <v>8.062050000000001</v>
      </c>
      <c r="E17" s="44">
        <v>2100</v>
      </c>
      <c r="F17" s="44">
        <f t="shared" si="1"/>
        <v>952.54319999999996</v>
      </c>
      <c r="G17" s="53">
        <v>0.53</v>
      </c>
      <c r="H17" s="53">
        <v>2.5000000000000001E-2</v>
      </c>
      <c r="I17" s="53">
        <v>1.2999999999999999E-2</v>
      </c>
      <c r="J17" s="31" t="s">
        <v>148</v>
      </c>
      <c r="L17" s="17"/>
      <c r="Z17" s="24"/>
    </row>
    <row r="18" spans="2:26">
      <c r="Z18" s="55"/>
    </row>
    <row r="19" spans="2:26" ht="15.75">
      <c r="B19" s="4" t="s">
        <v>75</v>
      </c>
    </row>
    <row r="20" spans="2:26" s="6" customFormat="1" ht="12.75">
      <c r="B20" s="11"/>
      <c r="C20" s="12" t="s">
        <v>71</v>
      </c>
      <c r="D20" s="12"/>
      <c r="E20" s="12" t="s">
        <v>73</v>
      </c>
      <c r="F20" s="12"/>
      <c r="G20" s="12" t="s">
        <v>63</v>
      </c>
      <c r="H20" s="12" t="s">
        <v>2</v>
      </c>
      <c r="I20" s="12" t="s">
        <v>3</v>
      </c>
      <c r="J20" s="12" t="s">
        <v>74</v>
      </c>
      <c r="K20" s="12" t="s">
        <v>21</v>
      </c>
    </row>
    <row r="21" spans="2:26" s="6" customFormat="1" ht="12.75">
      <c r="B21" s="11"/>
      <c r="C21" s="12" t="s">
        <v>72</v>
      </c>
      <c r="D21" s="12" t="s">
        <v>85</v>
      </c>
      <c r="E21" s="12" t="s">
        <v>23</v>
      </c>
      <c r="F21" s="12" t="s">
        <v>62</v>
      </c>
      <c r="G21" s="12" t="s">
        <v>64</v>
      </c>
      <c r="H21" s="12" t="s">
        <v>64</v>
      </c>
      <c r="I21" s="12" t="s">
        <v>64</v>
      </c>
      <c r="J21" s="12" t="s">
        <v>64</v>
      </c>
      <c r="K21" s="12" t="s">
        <v>64</v>
      </c>
    </row>
    <row r="22" spans="2:26" s="6" customFormat="1" ht="12.75">
      <c r="B22" s="13" t="s">
        <v>68</v>
      </c>
      <c r="C22" s="14">
        <v>19088</v>
      </c>
      <c r="D22" s="18">
        <f t="shared" ref="D22:D24" si="6">C22*0.003785</f>
        <v>72.248080000000002</v>
      </c>
      <c r="E22" s="14">
        <v>4020</v>
      </c>
      <c r="F22" s="14">
        <f t="shared" ref="F22:F24" si="7">E22*0.453592</f>
        <v>1823.43984</v>
      </c>
      <c r="G22" s="16"/>
      <c r="H22" s="16"/>
      <c r="I22" s="16"/>
      <c r="J22" s="19">
        <v>0.03</v>
      </c>
      <c r="K22" s="16"/>
    </row>
    <row r="23" spans="2:26" s="6" customFormat="1" ht="12.75">
      <c r="B23" s="13" t="s">
        <v>69</v>
      </c>
      <c r="C23" s="14">
        <v>108738</v>
      </c>
      <c r="D23" s="18">
        <f t="shared" si="6"/>
        <v>411.57333</v>
      </c>
      <c r="E23" s="14">
        <v>35736</v>
      </c>
      <c r="F23" s="14">
        <f t="shared" si="7"/>
        <v>16209.563711999999</v>
      </c>
      <c r="G23" s="16"/>
      <c r="H23" s="16"/>
      <c r="I23" s="16"/>
      <c r="J23" s="19">
        <v>0.04</v>
      </c>
      <c r="K23" s="16"/>
    </row>
    <row r="24" spans="2:26" s="6" customFormat="1" ht="12.75">
      <c r="B24" s="11" t="s">
        <v>70</v>
      </c>
      <c r="C24" s="20">
        <v>55452</v>
      </c>
      <c r="D24" s="21">
        <f t="shared" si="6"/>
        <v>209.88582</v>
      </c>
      <c r="E24" s="20">
        <v>16331</v>
      </c>
      <c r="F24" s="20">
        <f t="shared" si="7"/>
        <v>7407.610952</v>
      </c>
      <c r="G24" s="71">
        <f>(SUMPRODUCT($C$15:$C$16,G15:G16)+$C11*G11)/$C$24</f>
        <v>0.3710697557628525</v>
      </c>
      <c r="H24" s="71">
        <f t="shared" ref="H24:I24" si="8">(SUMPRODUCT($C$15:$C$16,H15:H16)+$C11*H11)/$C$24</f>
        <v>7.3691781416054744E-2</v>
      </c>
      <c r="I24" s="71">
        <f t="shared" si="8"/>
        <v>8.5333389779603547E-3</v>
      </c>
      <c r="J24" s="22">
        <f>AVERAGE(J22:J23)</f>
        <v>3.5000000000000003E-2</v>
      </c>
      <c r="K24" s="23">
        <v>0.9</v>
      </c>
    </row>
    <row r="25" spans="2:26">
      <c r="C25" s="67">
        <f>C16/C24</f>
        <v>6.9068744139075239E-2</v>
      </c>
      <c r="E25" s="67">
        <f>E16/E24</f>
        <v>3.6739942440756845E-2</v>
      </c>
      <c r="G25" s="72">
        <f>(SUMPRODUCT($C$15:$C$17,G15:G17)+$C11*G11)/($C$24+$C$17)</f>
        <v>0.37694870092323468</v>
      </c>
      <c r="H25" s="72">
        <f t="shared" ref="H25:I25" si="9">(SUMPRODUCT($C$15:$C$17,H15:H17)+$C11*H11)/($C$24+$C$17)</f>
        <v>7.1890637058161705E-2</v>
      </c>
      <c r="I25" s="72">
        <f t="shared" si="9"/>
        <v>8.6985640131613615E-3</v>
      </c>
    </row>
    <row r="26" spans="2:26" ht="15.75">
      <c r="B26" s="4" t="s">
        <v>11</v>
      </c>
      <c r="C26" s="2" t="s">
        <v>24</v>
      </c>
    </row>
    <row r="27" spans="2:26" s="6" customFormat="1" ht="12.75">
      <c r="B27" s="13" t="s">
        <v>12</v>
      </c>
      <c r="C27" s="19">
        <v>0.8</v>
      </c>
      <c r="D27" s="16"/>
      <c r="E27" s="16"/>
      <c r="F27" s="16"/>
      <c r="G27" s="56" t="s">
        <v>149</v>
      </c>
      <c r="H27" s="56"/>
      <c r="I27" s="56"/>
      <c r="J27" s="56"/>
    </row>
    <row r="28" spans="2:26" s="6" customFormat="1" ht="12.75">
      <c r="B28" s="13" t="s">
        <v>13</v>
      </c>
      <c r="C28" s="16">
        <v>15</v>
      </c>
      <c r="D28" s="16" t="s">
        <v>14</v>
      </c>
      <c r="E28" s="16"/>
      <c r="F28" s="16"/>
      <c r="G28" s="56"/>
      <c r="H28" s="56"/>
      <c r="I28" s="56"/>
      <c r="J28" s="56"/>
    </row>
    <row r="29" spans="2:26" s="6" customFormat="1" ht="12.75">
      <c r="B29" s="13" t="s">
        <v>16</v>
      </c>
      <c r="C29" s="16">
        <v>30</v>
      </c>
      <c r="D29" s="16" t="s">
        <v>15</v>
      </c>
      <c r="E29" s="14">
        <f>C29*40.78</f>
        <v>1223.4000000000001</v>
      </c>
      <c r="F29" s="16" t="s">
        <v>60</v>
      </c>
      <c r="G29" s="56"/>
      <c r="H29" s="56"/>
      <c r="I29" s="56"/>
      <c r="J29" s="56"/>
    </row>
    <row r="30" spans="2:26" s="6" customFormat="1" ht="12.75">
      <c r="B30" s="13"/>
      <c r="C30" s="16">
        <v>250</v>
      </c>
      <c r="D30" s="16" t="s">
        <v>15</v>
      </c>
      <c r="E30" s="14">
        <f t="shared" ref="E30:E31" si="10">C30*40.78</f>
        <v>10195</v>
      </c>
      <c r="F30" s="16" t="s">
        <v>60</v>
      </c>
      <c r="G30" s="56"/>
      <c r="H30" s="56"/>
      <c r="I30" s="56"/>
      <c r="J30" s="56"/>
    </row>
    <row r="31" spans="2:26" s="6" customFormat="1" ht="12.75">
      <c r="B31" s="13" t="s">
        <v>17</v>
      </c>
      <c r="C31" s="16">
        <v>125</v>
      </c>
      <c r="D31" s="16" t="s">
        <v>15</v>
      </c>
      <c r="E31" s="14">
        <f t="shared" si="10"/>
        <v>5097.5</v>
      </c>
      <c r="F31" s="16" t="s">
        <v>60</v>
      </c>
      <c r="G31" s="60">
        <f>E17*C27*C28/(24*60)</f>
        <v>17.5</v>
      </c>
      <c r="H31" s="60" t="s">
        <v>15</v>
      </c>
      <c r="I31" s="59">
        <f t="shared" ref="I31" si="11">G31*40.78</f>
        <v>713.65</v>
      </c>
      <c r="J31" s="60" t="s">
        <v>60</v>
      </c>
      <c r="O31" s="56" t="s">
        <v>140</v>
      </c>
      <c r="P31" s="56"/>
      <c r="Q31" s="56"/>
      <c r="R31" s="56"/>
      <c r="S31" s="57">
        <v>0.56000000000000005</v>
      </c>
    </row>
    <row r="32" spans="2:26" s="6" customFormat="1" ht="12.75">
      <c r="B32" s="13" t="s">
        <v>22</v>
      </c>
      <c r="C32" s="14">
        <v>3630</v>
      </c>
      <c r="D32" s="16" t="s">
        <v>23</v>
      </c>
      <c r="E32" s="14">
        <f>C32*0.453592</f>
        <v>1646.5389600000001</v>
      </c>
      <c r="F32" s="16" t="s">
        <v>62</v>
      </c>
      <c r="G32" s="60">
        <f>E17*K24*(1-C27)+E17*(1-K24)</f>
        <v>587.99999999999989</v>
      </c>
      <c r="H32" s="60" t="s">
        <v>23</v>
      </c>
      <c r="I32" s="59">
        <f>G32*0.453592</f>
        <v>266.71209599999992</v>
      </c>
      <c r="J32" s="60" t="s">
        <v>62</v>
      </c>
    </row>
    <row r="33" spans="2:8" s="6" customFormat="1" ht="12.75">
      <c r="B33" s="13" t="s">
        <v>25</v>
      </c>
      <c r="C33" s="14">
        <v>1250</v>
      </c>
      <c r="D33" s="16" t="s">
        <v>23</v>
      </c>
      <c r="E33" s="14">
        <f>C33*0.453592</f>
        <v>566.99</v>
      </c>
      <c r="F33" s="16" t="s">
        <v>62</v>
      </c>
      <c r="H33" s="25"/>
    </row>
    <row r="34" spans="2:8" s="6" customFormat="1" ht="12.75">
      <c r="B34" s="17"/>
    </row>
    <row r="35" spans="2:8" s="6" customFormat="1" ht="12.75">
      <c r="B35" s="17" t="s">
        <v>18</v>
      </c>
      <c r="C35" s="6" t="s">
        <v>52</v>
      </c>
    </row>
    <row r="36" spans="2:8" s="6" customFormat="1" ht="12.75">
      <c r="B36" s="17"/>
      <c r="C36" s="6" t="s">
        <v>19</v>
      </c>
    </row>
    <row r="37" spans="2:8" s="6" customFormat="1" ht="12.75">
      <c r="B37" s="17"/>
      <c r="C37" s="6" t="s">
        <v>20</v>
      </c>
    </row>
    <row r="38" spans="2:8" s="6" customFormat="1" ht="12.75">
      <c r="B38" s="17"/>
    </row>
    <row r="39" spans="2:8" s="6" customFormat="1" ht="12.75">
      <c r="B39" s="17"/>
    </row>
    <row r="40" spans="2:8" s="6" customFormat="1" ht="12.75">
      <c r="B40" s="26" t="s">
        <v>159</v>
      </c>
      <c r="C40" s="6" t="s">
        <v>33</v>
      </c>
    </row>
    <row r="41" spans="2:8" s="6" customFormat="1" ht="12.75">
      <c r="B41" s="26" t="s">
        <v>160</v>
      </c>
      <c r="C41" s="6" t="s">
        <v>34</v>
      </c>
    </row>
    <row r="43" spans="2:8" ht="16.5" customHeight="1">
      <c r="B43" s="27" t="s">
        <v>67</v>
      </c>
    </row>
    <row r="44" spans="2:8" s="6" customFormat="1" ht="12.75">
      <c r="B44" s="17" t="s">
        <v>1</v>
      </c>
      <c r="C44" s="6" t="s">
        <v>6</v>
      </c>
    </row>
    <row r="45" spans="2:8" s="6" customFormat="1" ht="12.75">
      <c r="B45" s="17" t="s">
        <v>4</v>
      </c>
      <c r="C45" s="6" t="s">
        <v>76</v>
      </c>
    </row>
    <row r="46" spans="2:8" s="6" customFormat="1" ht="15.75" customHeight="1">
      <c r="B46" s="17" t="s">
        <v>5</v>
      </c>
      <c r="C46" s="6" t="s">
        <v>77</v>
      </c>
    </row>
    <row r="47" spans="2:8" s="6" customFormat="1" ht="12.75">
      <c r="B47" s="17"/>
    </row>
    <row r="48" spans="2:8" s="6" customFormat="1" ht="25.5">
      <c r="B48" s="35" t="s">
        <v>66</v>
      </c>
      <c r="C48" s="36" t="s">
        <v>83</v>
      </c>
      <c r="D48" s="36" t="s">
        <v>65</v>
      </c>
    </row>
    <row r="49" spans="2:10" s="6" customFormat="1" ht="12.75">
      <c r="B49" s="13" t="s">
        <v>1</v>
      </c>
      <c r="C49" s="46" t="s">
        <v>84</v>
      </c>
      <c r="D49" s="37"/>
    </row>
    <row r="50" spans="2:10" s="6" customFormat="1" ht="12.75">
      <c r="B50" s="13" t="s">
        <v>4</v>
      </c>
      <c r="C50" s="46" t="s">
        <v>84</v>
      </c>
      <c r="D50" s="37"/>
    </row>
    <row r="51" spans="2:10" s="6" customFormat="1" ht="12.75">
      <c r="B51" s="13" t="s">
        <v>5</v>
      </c>
      <c r="C51" s="37">
        <v>100</v>
      </c>
      <c r="D51" s="37"/>
    </row>
    <row r="52" spans="2:10" s="6" customFormat="1" ht="12.75">
      <c r="B52" s="17"/>
    </row>
    <row r="53" spans="2:10" ht="25.5">
      <c r="B53" s="11" t="s">
        <v>35</v>
      </c>
      <c r="C53" s="38" t="s">
        <v>1</v>
      </c>
      <c r="D53" s="38" t="s">
        <v>4</v>
      </c>
      <c r="E53" s="12" t="s">
        <v>5</v>
      </c>
    </row>
    <row r="54" spans="2:10" s="6" customFormat="1" ht="51">
      <c r="B54" s="13" t="s">
        <v>36</v>
      </c>
      <c r="C54" s="39" t="s">
        <v>39</v>
      </c>
      <c r="D54" s="39" t="s">
        <v>40</v>
      </c>
      <c r="E54" s="40"/>
    </row>
    <row r="55" spans="2:10" s="6" customFormat="1" ht="51">
      <c r="B55" s="13" t="s">
        <v>37</v>
      </c>
      <c r="C55" s="47"/>
      <c r="D55" s="40"/>
      <c r="E55" s="39" t="s">
        <v>41</v>
      </c>
    </row>
    <row r="56" spans="2:10" s="6" customFormat="1" ht="25.5">
      <c r="B56" s="13" t="s">
        <v>42</v>
      </c>
      <c r="C56" s="39" t="s">
        <v>39</v>
      </c>
      <c r="D56" s="40" t="s">
        <v>38</v>
      </c>
      <c r="E56" s="16"/>
    </row>
    <row r="59" spans="2:10" ht="15.75">
      <c r="B59" s="9" t="s">
        <v>7</v>
      </c>
    </row>
    <row r="60" spans="2:10" s="6" customFormat="1" ht="12.75">
      <c r="B60" s="11" t="s">
        <v>8</v>
      </c>
      <c r="C60" s="16"/>
      <c r="D60" s="16"/>
      <c r="E60" s="16"/>
      <c r="F60" s="16"/>
      <c r="G60" s="16"/>
      <c r="H60" s="16"/>
      <c r="I60" s="16"/>
    </row>
    <row r="61" spans="2:10" s="6" customFormat="1" ht="12.75">
      <c r="B61" s="13" t="s">
        <v>9</v>
      </c>
      <c r="C61" s="14">
        <f>E61*G61</f>
        <v>104400</v>
      </c>
      <c r="D61" s="16" t="s">
        <v>26</v>
      </c>
      <c r="E61" s="16">
        <v>52.2</v>
      </c>
      <c r="F61" s="16" t="s">
        <v>27</v>
      </c>
      <c r="G61" s="14">
        <v>2000</v>
      </c>
      <c r="H61" s="16" t="s">
        <v>28</v>
      </c>
      <c r="I61" s="16"/>
      <c r="J61" s="31" t="s">
        <v>29</v>
      </c>
    </row>
    <row r="62" spans="2:10" s="6" customFormat="1" ht="12.75">
      <c r="B62" s="13" t="s">
        <v>31</v>
      </c>
      <c r="C62" s="14">
        <f>E62*G62</f>
        <v>1076000</v>
      </c>
      <c r="D62" s="16" t="s">
        <v>26</v>
      </c>
      <c r="E62" s="16">
        <v>538</v>
      </c>
      <c r="F62" s="16" t="s">
        <v>27</v>
      </c>
      <c r="G62" s="14">
        <v>2000</v>
      </c>
      <c r="H62" s="16" t="s">
        <v>28</v>
      </c>
      <c r="I62" s="16"/>
      <c r="J62" s="31" t="s">
        <v>29</v>
      </c>
    </row>
    <row r="63" spans="2:10" s="6" customFormat="1" ht="12.75">
      <c r="B63" s="13" t="s">
        <v>10</v>
      </c>
      <c r="C63" s="14">
        <f>E63*G63</f>
        <v>158000</v>
      </c>
      <c r="D63" s="16" t="s">
        <v>26</v>
      </c>
      <c r="E63" s="16">
        <v>79</v>
      </c>
      <c r="F63" s="16" t="s">
        <v>27</v>
      </c>
      <c r="G63" s="14">
        <v>2000</v>
      </c>
      <c r="H63" s="16" t="s">
        <v>28</v>
      </c>
      <c r="I63" s="16"/>
      <c r="J63" s="31" t="s">
        <v>29</v>
      </c>
    </row>
    <row r="64" spans="2:10" s="6" customFormat="1" ht="12.75">
      <c r="B64" s="11" t="s">
        <v>50</v>
      </c>
      <c r="C64" s="20">
        <f>SUM(C61:C63)</f>
        <v>1338400</v>
      </c>
      <c r="D64" s="12" t="s">
        <v>26</v>
      </c>
      <c r="E64" s="16"/>
      <c r="F64" s="16"/>
      <c r="G64" s="14"/>
      <c r="H64" s="16"/>
      <c r="I64" s="16"/>
      <c r="J64" s="31"/>
    </row>
    <row r="65" spans="2:12" s="6" customFormat="1" ht="12.75">
      <c r="B65" s="41" t="s">
        <v>30</v>
      </c>
      <c r="C65" s="42">
        <f t="shared" ref="C65:C66" si="12">E65*G65</f>
        <v>0</v>
      </c>
      <c r="D65" s="37" t="s">
        <v>26</v>
      </c>
      <c r="E65" s="37"/>
      <c r="F65" s="37" t="s">
        <v>27</v>
      </c>
      <c r="G65" s="42">
        <v>2000</v>
      </c>
      <c r="H65" s="37" t="s">
        <v>28</v>
      </c>
      <c r="I65" s="37"/>
      <c r="J65" s="34" t="s">
        <v>29</v>
      </c>
      <c r="K65" s="33"/>
      <c r="L65" s="33"/>
    </row>
    <row r="66" spans="2:12" s="6" customFormat="1" ht="12.75">
      <c r="B66" s="41" t="s">
        <v>32</v>
      </c>
      <c r="C66" s="42">
        <f t="shared" si="12"/>
        <v>1206690</v>
      </c>
      <c r="D66" s="37" t="s">
        <v>26</v>
      </c>
      <c r="E66" s="37">
        <v>145</v>
      </c>
      <c r="F66" s="37" t="s">
        <v>27</v>
      </c>
      <c r="G66" s="42">
        <v>8322</v>
      </c>
      <c r="H66" s="37" t="s">
        <v>28</v>
      </c>
      <c r="I66" s="37"/>
      <c r="J66" s="34" t="s">
        <v>29</v>
      </c>
      <c r="K66" s="33"/>
      <c r="L66" s="33"/>
    </row>
    <row r="67" spans="2:12" s="6" customFormat="1" ht="12.75">
      <c r="B67" s="17"/>
    </row>
    <row r="68" spans="2:12" s="6" customFormat="1" ht="12.75">
      <c r="B68" s="17"/>
    </row>
    <row r="69" spans="2:12" s="6" customFormat="1" ht="12.75">
      <c r="B69" s="17"/>
    </row>
    <row r="70" spans="2:12" s="6" customFormat="1" ht="15.75">
      <c r="B70" s="9" t="s">
        <v>43</v>
      </c>
    </row>
    <row r="71" spans="2:12" s="6" customFormat="1" ht="12.75">
      <c r="B71" s="13" t="s">
        <v>44</v>
      </c>
      <c r="C71" s="14">
        <v>1924.5869801672507</v>
      </c>
      <c r="D71" s="16" t="s">
        <v>46</v>
      </c>
      <c r="E71" s="25" t="s">
        <v>47</v>
      </c>
    </row>
    <row r="72" spans="2:12" s="6" customFormat="1" ht="12.75">
      <c r="B72" s="13" t="s">
        <v>45</v>
      </c>
      <c r="C72" s="18">
        <v>287.85000000000002</v>
      </c>
      <c r="D72" s="16" t="s">
        <v>48</v>
      </c>
      <c r="E72" s="25" t="s">
        <v>49</v>
      </c>
    </row>
    <row r="76" spans="2:12" ht="15.75">
      <c r="B76" s="9" t="s">
        <v>117</v>
      </c>
    </row>
    <row r="77" spans="2:12" s="6" customFormat="1" ht="12.75">
      <c r="B77" s="28"/>
      <c r="C77" s="30" t="s">
        <v>118</v>
      </c>
      <c r="D77" s="30" t="s">
        <v>119</v>
      </c>
      <c r="E77" s="30" t="s">
        <v>120</v>
      </c>
      <c r="F77" s="30" t="s">
        <v>121</v>
      </c>
    </row>
    <row r="78" spans="2:12" s="6" customFormat="1" ht="12.75">
      <c r="B78" s="17" t="s">
        <v>123</v>
      </c>
      <c r="C78" s="5">
        <v>5940.9532273834884</v>
      </c>
      <c r="D78" s="5">
        <v>-72.204134884990381</v>
      </c>
      <c r="E78" s="5">
        <v>0</v>
      </c>
      <c r="F78" s="5">
        <f>SUM(C78:E78)</f>
        <v>5868.7490924984977</v>
      </c>
    </row>
    <row r="79" spans="2:12" s="6" customFormat="1" ht="12.75">
      <c r="B79" s="17" t="s">
        <v>124</v>
      </c>
      <c r="C79" s="5">
        <v>883.10504179179839</v>
      </c>
      <c r="D79" s="5">
        <v>-14.398276985514242</v>
      </c>
      <c r="E79" s="5">
        <v>0</v>
      </c>
      <c r="F79" s="5">
        <f t="shared" ref="F79:F84" si="13">SUM(C79:E79)</f>
        <v>868.70676480628413</v>
      </c>
    </row>
    <row r="80" spans="2:12" s="6" customFormat="1" ht="12.75">
      <c r="B80" s="17" t="s">
        <v>125</v>
      </c>
      <c r="C80" s="5">
        <v>11.185567241156129</v>
      </c>
      <c r="D80" s="5">
        <v>0</v>
      </c>
      <c r="E80" s="5">
        <v>-39.976939655172416</v>
      </c>
      <c r="F80" s="5">
        <f t="shared" si="13"/>
        <v>-28.791372414016287</v>
      </c>
    </row>
    <row r="81" spans="2:7" s="6" customFormat="1" ht="12.75">
      <c r="B81" s="17" t="s">
        <v>122</v>
      </c>
      <c r="C81" s="5">
        <v>37.538574904138862</v>
      </c>
      <c r="D81" s="5">
        <v>0</v>
      </c>
      <c r="E81" s="5">
        <v>0</v>
      </c>
      <c r="F81" s="5">
        <f t="shared" si="13"/>
        <v>37.538574904138862</v>
      </c>
      <c r="G81" s="5">
        <f>SUM(F78:F81)</f>
        <v>6746.2030597949042</v>
      </c>
    </row>
    <row r="82" spans="2:7" s="6" customFormat="1" ht="12.75">
      <c r="B82" s="17" t="s">
        <v>156</v>
      </c>
      <c r="C82" s="5">
        <v>2376.2997577132883</v>
      </c>
      <c r="D82" s="5">
        <v>-38.43054983044351</v>
      </c>
      <c r="E82" s="5">
        <v>0</v>
      </c>
      <c r="F82" s="5">
        <f t="shared" si="13"/>
        <v>2337.8692078828449</v>
      </c>
      <c r="G82" s="5">
        <f>G81+F82</f>
        <v>9084.0722676777496</v>
      </c>
    </row>
    <row r="83" spans="2:7" s="6" customFormat="1" ht="12.75">
      <c r="B83" s="17" t="s">
        <v>157</v>
      </c>
      <c r="C83" s="5">
        <v>242</v>
      </c>
      <c r="D83" s="5">
        <v>0</v>
      </c>
      <c r="E83" s="5">
        <v>-189</v>
      </c>
      <c r="F83" s="5">
        <f t="shared" si="13"/>
        <v>53</v>
      </c>
    </row>
    <row r="84" spans="2:7" s="6" customFormat="1" ht="12.75">
      <c r="B84" s="17" t="s">
        <v>158</v>
      </c>
      <c r="C84" s="5">
        <v>274</v>
      </c>
      <c r="D84" s="5">
        <v>0</v>
      </c>
      <c r="E84" s="5">
        <v>-214</v>
      </c>
      <c r="F84" s="5">
        <f t="shared" si="13"/>
        <v>60</v>
      </c>
    </row>
    <row r="85" spans="2:7" s="6" customFormat="1" ht="12.75">
      <c r="B85" s="17"/>
      <c r="C85" s="5"/>
      <c r="D85" s="5"/>
      <c r="E85" s="5"/>
      <c r="F85" s="5"/>
    </row>
    <row r="86" spans="2:7" s="6" customFormat="1" ht="12.75" hidden="1">
      <c r="B86" s="62" t="s">
        <v>161</v>
      </c>
      <c r="C86" s="63"/>
      <c r="D86" s="63"/>
      <c r="E86" s="63"/>
      <c r="F86" s="63"/>
    </row>
    <row r="87" spans="2:7" s="6" customFormat="1" ht="12.75" hidden="1">
      <c r="B87" s="62" t="str">
        <f>B80</f>
        <v>Baseline - brewery waste (land application)</v>
      </c>
      <c r="C87" s="63">
        <v>-174.16206206918872</v>
      </c>
      <c r="D87" s="63">
        <v>0</v>
      </c>
      <c r="E87" s="63">
        <v>-39.976939655172416</v>
      </c>
      <c r="F87" s="63">
        <f>SUM(C87:E87)</f>
        <v>-214.13900172436115</v>
      </c>
    </row>
    <row r="88" spans="2:7" hidden="1">
      <c r="B88" s="62" t="str">
        <f>B83</f>
        <v xml:space="preserve">Future - Class B biosolids land application </v>
      </c>
      <c r="C88" s="64">
        <v>-157.13113349750293</v>
      </c>
      <c r="D88" s="64">
        <v>0</v>
      </c>
      <c r="E88" s="64">
        <v>-143.07489000000001</v>
      </c>
      <c r="F88" s="63">
        <f t="shared" ref="F88:F89" si="14">SUM(C88:E88)</f>
        <v>-300.20602349750294</v>
      </c>
      <c r="G88" s="6"/>
    </row>
    <row r="89" spans="2:7" hidden="1">
      <c r="B89" s="62" t="str">
        <f>B84</f>
        <v>Future - Class B biosolids land application (incl. FW)</v>
      </c>
      <c r="C89" s="64">
        <v>-183.17654906812731</v>
      </c>
      <c r="D89" s="64">
        <v>0</v>
      </c>
      <c r="E89" s="64">
        <v>-166.79040000000001</v>
      </c>
      <c r="F89" s="63">
        <f t="shared" si="14"/>
        <v>-349.96694906812729</v>
      </c>
      <c r="G89" s="6"/>
    </row>
    <row r="90" spans="2:7">
      <c r="F90" s="5"/>
    </row>
  </sheetData>
  <mergeCells count="2">
    <mergeCell ref="C6:D6"/>
    <mergeCell ref="E6:F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858-14D4-4C26-8CD0-ED89045F90B3}">
  <dimension ref="A1:O57"/>
  <sheetViews>
    <sheetView zoomScale="85" zoomScaleNormal="85" workbookViewId="0">
      <selection activeCell="D5" sqref="D5"/>
    </sheetView>
  </sheetViews>
  <sheetFormatPr defaultColWidth="9.140625" defaultRowHeight="12.75"/>
  <cols>
    <col min="1" max="1" width="9.140625" style="6"/>
    <col min="2" max="2" width="34.42578125" style="6" customWidth="1"/>
    <col min="3" max="3" width="14.42578125" style="6" customWidth="1"/>
    <col min="4" max="4" width="12.42578125" style="6" customWidth="1"/>
    <col min="5" max="5" width="15.28515625" style="6" customWidth="1"/>
    <col min="6" max="6" width="11.140625" style="6" customWidth="1"/>
    <col min="7" max="7" width="15.42578125" style="6" customWidth="1"/>
    <col min="8" max="8" width="9.140625" style="6"/>
    <col min="9" max="9" width="11.7109375" style="6" customWidth="1"/>
    <col min="10" max="10" width="9.140625" style="6"/>
    <col min="11" max="11" width="11.5703125" style="6" customWidth="1"/>
    <col min="12" max="12" width="9.140625" style="6"/>
    <col min="13" max="13" width="14.85546875" style="6" customWidth="1"/>
    <col min="14" max="16384" width="9.140625" style="6"/>
  </cols>
  <sheetData>
    <row r="1" spans="1:15" ht="15.75">
      <c r="A1" s="4" t="s">
        <v>86</v>
      </c>
    </row>
    <row r="2" spans="1:15">
      <c r="D2" s="84" t="s">
        <v>153</v>
      </c>
      <c r="E2" s="84"/>
      <c r="F2" s="84" t="s">
        <v>154</v>
      </c>
      <c r="G2" s="84"/>
    </row>
    <row r="3" spans="1:15" s="30" customFormat="1" ht="38.25">
      <c r="A3" s="30" t="s">
        <v>87</v>
      </c>
      <c r="B3" s="30" t="s">
        <v>88</v>
      </c>
      <c r="C3" s="30" t="s">
        <v>89</v>
      </c>
      <c r="D3" s="29" t="s">
        <v>151</v>
      </c>
      <c r="E3" s="29" t="s">
        <v>90</v>
      </c>
      <c r="F3" s="29" t="s">
        <v>151</v>
      </c>
      <c r="G3" s="29" t="s">
        <v>155</v>
      </c>
    </row>
    <row r="4" spans="1:15">
      <c r="A4" s="6">
        <v>1</v>
      </c>
      <c r="B4" s="30" t="s">
        <v>91</v>
      </c>
    </row>
    <row r="5" spans="1:15">
      <c r="A5" s="6">
        <v>2</v>
      </c>
      <c r="B5" s="6" t="s">
        <v>4</v>
      </c>
      <c r="C5" s="6" t="s">
        <v>92</v>
      </c>
      <c r="D5" s="7">
        <f>SourceData!D11</f>
        <v>138.24334000000002</v>
      </c>
      <c r="E5" s="7">
        <f>D5</f>
        <v>138.24334000000002</v>
      </c>
      <c r="F5" s="7">
        <f>D5</f>
        <v>138.24334000000002</v>
      </c>
      <c r="G5" s="7">
        <f>D5</f>
        <v>138.24334000000002</v>
      </c>
      <c r="K5" s="30" t="s">
        <v>164</v>
      </c>
      <c r="N5" s="66">
        <f>N6*N7</f>
        <v>18900</v>
      </c>
      <c r="O5" s="30" t="s">
        <v>169</v>
      </c>
    </row>
    <row r="6" spans="1:15">
      <c r="A6" s="6">
        <v>3</v>
      </c>
      <c r="B6" s="6" t="s">
        <v>1</v>
      </c>
      <c r="C6" s="6" t="s">
        <v>92</v>
      </c>
      <c r="D6" s="7">
        <f>SourceData!D15</f>
        <v>57.179995000000005</v>
      </c>
      <c r="E6" s="7">
        <f>D6</f>
        <v>57.179995000000005</v>
      </c>
      <c r="F6" s="7">
        <f t="shared" ref="F6:F7" si="0">D6</f>
        <v>57.179995000000005</v>
      </c>
      <c r="G6" s="7">
        <f t="shared" ref="G6:G7" si="1">D6</f>
        <v>57.179995000000005</v>
      </c>
      <c r="K6" s="6" t="s">
        <v>167</v>
      </c>
      <c r="N6" s="6">
        <v>3</v>
      </c>
      <c r="O6" s="6" t="s">
        <v>166</v>
      </c>
    </row>
    <row r="7" spans="1:15">
      <c r="A7" s="6">
        <v>4</v>
      </c>
      <c r="B7" s="6" t="s">
        <v>5</v>
      </c>
      <c r="C7" s="6" t="s">
        <v>92</v>
      </c>
      <c r="D7" s="7">
        <f>SourceData!D16</f>
        <v>14.496550000000001</v>
      </c>
      <c r="E7" s="7">
        <f t="shared" ref="E7" si="2">D7</f>
        <v>14.496550000000001</v>
      </c>
      <c r="F7" s="7">
        <f t="shared" si="0"/>
        <v>14.496550000000001</v>
      </c>
      <c r="G7" s="7">
        <f t="shared" si="1"/>
        <v>14.496550000000001</v>
      </c>
      <c r="K7" s="6" t="s">
        <v>165</v>
      </c>
      <c r="N7" s="65">
        <f>-E33</f>
        <v>6300</v>
      </c>
      <c r="O7" s="6" t="s">
        <v>168</v>
      </c>
    </row>
    <row r="8" spans="1:15">
      <c r="A8" s="6">
        <v>5</v>
      </c>
      <c r="B8" s="6" t="s">
        <v>146</v>
      </c>
      <c r="C8" s="6" t="s">
        <v>92</v>
      </c>
      <c r="E8" s="7"/>
      <c r="F8" s="7">
        <f>SourceData!D17</f>
        <v>8.062050000000001</v>
      </c>
      <c r="G8" s="7">
        <f>F8</f>
        <v>8.062050000000001</v>
      </c>
    </row>
    <row r="9" spans="1:15">
      <c r="A9" s="6">
        <v>6</v>
      </c>
      <c r="B9" s="30" t="s">
        <v>143</v>
      </c>
      <c r="C9" s="30" t="s">
        <v>92</v>
      </c>
      <c r="D9" s="61">
        <f>SUM(D5:D8)</f>
        <v>209.91988500000002</v>
      </c>
      <c r="E9" s="61">
        <f t="shared" ref="E9" si="3">SUM(E5:E8)</f>
        <v>209.91988500000002</v>
      </c>
      <c r="F9" s="32">
        <f>SUM(F5:F8)</f>
        <v>217.98193500000002</v>
      </c>
      <c r="G9" s="61">
        <f>SUM(G5:G8)</f>
        <v>217.98193500000002</v>
      </c>
      <c r="K9" s="30" t="s">
        <v>170</v>
      </c>
      <c r="N9" s="66">
        <f>N5+N12</f>
        <v>190900</v>
      </c>
      <c r="O9" s="30" t="s">
        <v>169</v>
      </c>
    </row>
    <row r="10" spans="1:15">
      <c r="A10" s="6">
        <v>7</v>
      </c>
      <c r="B10" s="6" t="s">
        <v>4</v>
      </c>
      <c r="C10" s="6" t="s">
        <v>142</v>
      </c>
      <c r="D10" s="5">
        <f>SourceData!E11</f>
        <v>13072</v>
      </c>
      <c r="E10" s="5">
        <f>D10</f>
        <v>13072</v>
      </c>
      <c r="F10" s="5">
        <f>D10</f>
        <v>13072</v>
      </c>
      <c r="G10" s="5">
        <f>D10</f>
        <v>13072</v>
      </c>
      <c r="K10" s="6" t="s">
        <v>171</v>
      </c>
      <c r="N10" s="6">
        <v>20</v>
      </c>
      <c r="O10" s="6" t="s">
        <v>173</v>
      </c>
    </row>
    <row r="11" spans="1:15">
      <c r="A11" s="6">
        <v>8</v>
      </c>
      <c r="B11" s="6" t="s">
        <v>1</v>
      </c>
      <c r="C11" s="6" t="s">
        <v>142</v>
      </c>
      <c r="D11" s="5">
        <f>SourceData!E15</f>
        <v>2665</v>
      </c>
      <c r="E11" s="5">
        <f>D11</f>
        <v>2665</v>
      </c>
      <c r="F11" s="5">
        <f t="shared" ref="F11:F12" si="4">D11</f>
        <v>2665</v>
      </c>
      <c r="G11" s="5">
        <f t="shared" ref="G11:G12" si="5">D11</f>
        <v>2665</v>
      </c>
      <c r="K11" s="6" t="s">
        <v>172</v>
      </c>
      <c r="N11" s="65">
        <f>-G33</f>
        <v>8600</v>
      </c>
      <c r="O11" s="6" t="s">
        <v>168</v>
      </c>
    </row>
    <row r="12" spans="1:15">
      <c r="A12" s="6">
        <v>9</v>
      </c>
      <c r="B12" s="6" t="s">
        <v>5</v>
      </c>
      <c r="C12" s="6" t="s">
        <v>142</v>
      </c>
      <c r="D12" s="5">
        <f>SourceData!E16</f>
        <v>600</v>
      </c>
      <c r="E12" s="5">
        <f>D12</f>
        <v>600</v>
      </c>
      <c r="F12" s="5">
        <f t="shared" si="4"/>
        <v>600</v>
      </c>
      <c r="G12" s="5">
        <f t="shared" si="5"/>
        <v>600</v>
      </c>
      <c r="N12" s="65">
        <f>N10*N11</f>
        <v>172000</v>
      </c>
      <c r="O12" s="6" t="s">
        <v>174</v>
      </c>
    </row>
    <row r="13" spans="1:15">
      <c r="A13" s="6">
        <v>10</v>
      </c>
      <c r="B13" s="6" t="s">
        <v>146</v>
      </c>
      <c r="C13" s="6" t="s">
        <v>142</v>
      </c>
      <c r="E13" s="5"/>
      <c r="F13" s="5">
        <f>SourceData!E17</f>
        <v>2100</v>
      </c>
      <c r="G13" s="5">
        <f>F13</f>
        <v>2100</v>
      </c>
    </row>
    <row r="14" spans="1:15">
      <c r="A14" s="6">
        <v>11</v>
      </c>
      <c r="B14" s="30" t="s">
        <v>143</v>
      </c>
      <c r="C14" s="30" t="s">
        <v>142</v>
      </c>
      <c r="D14" s="32">
        <f>SUM(D10:D12)</f>
        <v>16337</v>
      </c>
      <c r="E14" s="32">
        <f>SUM(E10:E12)</f>
        <v>16337</v>
      </c>
      <c r="F14" s="32">
        <f>SUM(F10:F13)</f>
        <v>18437</v>
      </c>
      <c r="G14" s="32">
        <f>SUM(G10:G13)</f>
        <v>18437</v>
      </c>
    </row>
    <row r="15" spans="1:15">
      <c r="A15" s="6">
        <v>12</v>
      </c>
      <c r="B15" s="30" t="s">
        <v>93</v>
      </c>
    </row>
    <row r="16" spans="1:15">
      <c r="A16" s="6">
        <v>13</v>
      </c>
      <c r="B16" s="6" t="s">
        <v>94</v>
      </c>
      <c r="C16" s="6" t="s">
        <v>92</v>
      </c>
      <c r="D16" s="7">
        <f>D5+D6*0.5</f>
        <v>166.83333750000003</v>
      </c>
      <c r="E16" s="7"/>
      <c r="F16" s="7">
        <f>D16+F8</f>
        <v>174.89538750000003</v>
      </c>
      <c r="G16" s="7"/>
      <c r="H16" s="6" t="s">
        <v>152</v>
      </c>
    </row>
    <row r="17" spans="1:12">
      <c r="A17" s="6">
        <v>14</v>
      </c>
      <c r="B17" s="6" t="s">
        <v>95</v>
      </c>
      <c r="C17" s="6" t="s">
        <v>92</v>
      </c>
      <c r="D17" s="7">
        <f>D6*0.5</f>
        <v>28.589997500000003</v>
      </c>
      <c r="E17" s="7"/>
      <c r="F17" s="7">
        <f>D17</f>
        <v>28.589997500000003</v>
      </c>
      <c r="G17" s="7"/>
      <c r="H17" s="6" t="s">
        <v>100</v>
      </c>
    </row>
    <row r="18" spans="1:12">
      <c r="A18" s="6">
        <v>15</v>
      </c>
      <c r="B18" s="6" t="s">
        <v>99</v>
      </c>
      <c r="C18" s="6" t="s">
        <v>92</v>
      </c>
      <c r="D18" s="7">
        <f>D7</f>
        <v>14.496550000000001</v>
      </c>
      <c r="E18" s="7"/>
      <c r="F18" s="7">
        <f>D18</f>
        <v>14.496550000000001</v>
      </c>
      <c r="G18" s="7"/>
      <c r="H18" s="6" t="s">
        <v>106</v>
      </c>
    </row>
    <row r="19" spans="1:12">
      <c r="A19" s="6">
        <v>16</v>
      </c>
      <c r="B19" s="6" t="s">
        <v>96</v>
      </c>
      <c r="C19" s="6" t="s">
        <v>92</v>
      </c>
      <c r="D19" s="7"/>
      <c r="E19" s="5">
        <f>E9</f>
        <v>209.91988500000002</v>
      </c>
      <c r="F19" s="5"/>
      <c r="G19" s="5">
        <f>G9</f>
        <v>217.98193500000002</v>
      </c>
    </row>
    <row r="20" spans="1:12">
      <c r="A20" s="6">
        <v>17</v>
      </c>
      <c r="B20" s="6" t="s">
        <v>97</v>
      </c>
      <c r="C20" s="6" t="s">
        <v>92</v>
      </c>
      <c r="D20" s="7"/>
      <c r="E20" s="7">
        <f>SourceData!E32/(1000*J20)</f>
        <v>8.2326948000000009</v>
      </c>
      <c r="F20" s="7"/>
      <c r="G20" s="7">
        <f>(SourceData!E32+SourceData!I32)/(1000*J20)</f>
        <v>9.56625528</v>
      </c>
      <c r="H20" s="6" t="s">
        <v>98</v>
      </c>
      <c r="J20" s="24">
        <v>0.2</v>
      </c>
      <c r="K20" s="6" t="s">
        <v>110</v>
      </c>
    </row>
    <row r="21" spans="1:12">
      <c r="A21" s="6">
        <v>18</v>
      </c>
      <c r="B21" s="30" t="s">
        <v>101</v>
      </c>
    </row>
    <row r="22" spans="1:12">
      <c r="A22" s="6">
        <v>19</v>
      </c>
      <c r="B22" s="6" t="s">
        <v>102</v>
      </c>
      <c r="C22" s="6" t="s">
        <v>26</v>
      </c>
      <c r="E22" s="5">
        <f>SourceData!C61</f>
        <v>104400</v>
      </c>
      <c r="F22" s="5"/>
      <c r="G22" s="5">
        <f>ROUND(E22*$G$9/$E$9,-2)</f>
        <v>108400</v>
      </c>
    </row>
    <row r="23" spans="1:12">
      <c r="A23" s="6">
        <v>20</v>
      </c>
      <c r="B23" s="6" t="s">
        <v>103</v>
      </c>
      <c r="C23" s="6" t="s">
        <v>26</v>
      </c>
      <c r="E23" s="5">
        <f>SourceData!C62</f>
        <v>1076000</v>
      </c>
      <c r="F23" s="5"/>
      <c r="G23" s="5">
        <f t="shared" ref="G23" si="6">ROUND(E23*$G$9/$E$9,-2)</f>
        <v>1117300</v>
      </c>
    </row>
    <row r="24" spans="1:12">
      <c r="A24" s="6">
        <v>21</v>
      </c>
      <c r="B24" s="6" t="s">
        <v>104</v>
      </c>
      <c r="C24" s="6" t="s">
        <v>26</v>
      </c>
      <c r="E24" s="5">
        <f>SourceData!C63</f>
        <v>158000</v>
      </c>
      <c r="F24" s="5"/>
      <c r="G24" s="5">
        <f>ROUND(E24*$G$14/$E$14,-2)</f>
        <v>178300</v>
      </c>
    </row>
    <row r="25" spans="1:12">
      <c r="A25" s="6">
        <v>22</v>
      </c>
      <c r="B25" s="6" t="s">
        <v>105</v>
      </c>
      <c r="C25" s="6" t="s">
        <v>26</v>
      </c>
      <c r="E25" s="5">
        <f>SUM(E22:E24)</f>
        <v>1338400</v>
      </c>
      <c r="F25" s="5"/>
      <c r="G25" s="5">
        <f>SUM(G22:G24)</f>
        <v>1404000</v>
      </c>
    </row>
    <row r="26" spans="1:12">
      <c r="A26" s="6">
        <v>23</v>
      </c>
      <c r="B26" s="30" t="s">
        <v>163</v>
      </c>
    </row>
    <row r="27" spans="1:12">
      <c r="A27" s="6">
        <v>24</v>
      </c>
      <c r="B27" s="6" t="s">
        <v>107</v>
      </c>
      <c r="C27" s="6" t="s">
        <v>51</v>
      </c>
      <c r="D27" s="5"/>
      <c r="E27" s="5">
        <f>E25*$J27/1000000</f>
        <v>385.25844000000006</v>
      </c>
      <c r="F27" s="5"/>
      <c r="G27" s="5">
        <f>G25*$J27/1000000</f>
        <v>404.14140000000003</v>
      </c>
      <c r="H27" s="6" t="s">
        <v>108</v>
      </c>
      <c r="J27" s="8">
        <f>SourceData!C72</f>
        <v>287.85000000000002</v>
      </c>
      <c r="K27" s="8" t="str">
        <f>SourceData!D72</f>
        <v>gCO2e/kWh</v>
      </c>
      <c r="L27" s="8" t="str">
        <f>SourceData!E72</f>
        <v>(eGRID - NWPP)</v>
      </c>
    </row>
    <row r="28" spans="1:12">
      <c r="A28" s="6">
        <v>25</v>
      </c>
      <c r="B28" s="6" t="s">
        <v>109</v>
      </c>
      <c r="C28" s="6" t="s">
        <v>51</v>
      </c>
      <c r="D28" s="5">
        <f>SUM(SourceData!F78:F79)</f>
        <v>6737.4558573047816</v>
      </c>
      <c r="E28" s="5"/>
      <c r="F28" s="5">
        <f>D28+SourceData!F82</f>
        <v>9075.325065187626</v>
      </c>
      <c r="G28" s="5"/>
      <c r="H28" s="6" t="s">
        <v>114</v>
      </c>
    </row>
    <row r="29" spans="1:12">
      <c r="A29" s="6">
        <v>26</v>
      </c>
      <c r="B29" s="6" t="s">
        <v>111</v>
      </c>
      <c r="C29" s="6" t="s">
        <v>51</v>
      </c>
      <c r="D29" s="5">
        <f>SourceData!C81</f>
        <v>37.538574904138862</v>
      </c>
      <c r="E29" s="5"/>
      <c r="F29" s="5">
        <f>D29</f>
        <v>37.538574904138862</v>
      </c>
      <c r="G29" s="5"/>
      <c r="H29" s="6" t="s">
        <v>114</v>
      </c>
    </row>
    <row r="30" spans="1:12">
      <c r="A30" s="6">
        <v>27</v>
      </c>
      <c r="B30" s="6" t="s">
        <v>112</v>
      </c>
      <c r="C30" s="6" t="s">
        <v>51</v>
      </c>
      <c r="D30" s="5">
        <f>SourceData!C80</f>
        <v>11.185567241156129</v>
      </c>
      <c r="E30" s="5">
        <f>SourceData!C83</f>
        <v>242</v>
      </c>
      <c r="F30" s="5">
        <f>D30</f>
        <v>11.185567241156129</v>
      </c>
      <c r="G30" s="5">
        <f>SourceData!C84</f>
        <v>274</v>
      </c>
      <c r="H30" s="6" t="s">
        <v>114</v>
      </c>
    </row>
    <row r="31" spans="1:12">
      <c r="A31" s="6">
        <v>28</v>
      </c>
      <c r="B31" s="6" t="s">
        <v>113</v>
      </c>
      <c r="C31" s="6" t="s">
        <v>51</v>
      </c>
      <c r="D31" s="5">
        <f>SourceData!E80</f>
        <v>-39.976939655172416</v>
      </c>
      <c r="E31" s="5">
        <f>SourceData!E83</f>
        <v>-189</v>
      </c>
      <c r="F31" s="5">
        <f>D31</f>
        <v>-39.976939655172416</v>
      </c>
      <c r="G31" s="5">
        <f>SourceData!E84</f>
        <v>-214</v>
      </c>
      <c r="H31" s="6" t="s">
        <v>114</v>
      </c>
    </row>
    <row r="32" spans="1:12">
      <c r="A32" s="6">
        <v>29</v>
      </c>
      <c r="B32" s="30" t="s">
        <v>116</v>
      </c>
      <c r="C32" s="30" t="s">
        <v>51</v>
      </c>
      <c r="D32" s="32">
        <f>SUM(D27:D31)</f>
        <v>6746.2030597949033</v>
      </c>
      <c r="E32" s="32">
        <f>SUM(E27:E31)</f>
        <v>438.25844000000006</v>
      </c>
      <c r="F32" s="32">
        <f>SUM(F27:F31)</f>
        <v>9084.0722676777496</v>
      </c>
      <c r="G32" s="32">
        <f>SUM(G27:G31)</f>
        <v>464.14139999999998</v>
      </c>
    </row>
    <row r="33" spans="1:7">
      <c r="A33" s="6">
        <v>30</v>
      </c>
      <c r="B33" s="48" t="s">
        <v>115</v>
      </c>
      <c r="C33" s="48" t="s">
        <v>51</v>
      </c>
      <c r="D33" s="49"/>
      <c r="E33" s="50">
        <f>ROUND((E32-D32),-2)</f>
        <v>-6300</v>
      </c>
      <c r="F33" s="49"/>
      <c r="G33" s="50">
        <f>ROUND((G32-F32),-2)</f>
        <v>-8600</v>
      </c>
    </row>
    <row r="34" spans="1:7" hidden="1">
      <c r="B34" s="30" t="s">
        <v>162</v>
      </c>
    </row>
    <row r="35" spans="1:7" hidden="1">
      <c r="B35" s="6" t="s">
        <v>107</v>
      </c>
      <c r="C35" s="6" t="s">
        <v>51</v>
      </c>
      <c r="D35" s="5"/>
      <c r="E35" s="5">
        <f>E27</f>
        <v>385.25844000000006</v>
      </c>
      <c r="F35" s="5"/>
      <c r="G35" s="5">
        <f>G27</f>
        <v>404.14140000000003</v>
      </c>
    </row>
    <row r="36" spans="1:7" hidden="1">
      <c r="B36" s="6" t="s">
        <v>109</v>
      </c>
      <c r="C36" s="6" t="s">
        <v>51</v>
      </c>
      <c r="D36" s="5">
        <f>D28</f>
        <v>6737.4558573047816</v>
      </c>
      <c r="E36" s="5"/>
      <c r="F36" s="5">
        <f>F28</f>
        <v>9075.325065187626</v>
      </c>
      <c r="G36" s="5"/>
    </row>
    <row r="37" spans="1:7" hidden="1">
      <c r="B37" s="6" t="s">
        <v>111</v>
      </c>
      <c r="C37" s="6" t="s">
        <v>51</v>
      </c>
      <c r="D37" s="5">
        <f>D29</f>
        <v>37.538574904138862</v>
      </c>
      <c r="E37" s="5"/>
      <c r="F37" s="5">
        <f>D37</f>
        <v>37.538574904138862</v>
      </c>
      <c r="G37" s="5"/>
    </row>
    <row r="38" spans="1:7" hidden="1">
      <c r="B38" s="6" t="s">
        <v>112</v>
      </c>
      <c r="C38" s="6" t="s">
        <v>51</v>
      </c>
      <c r="D38" s="5">
        <f>SourceData!C87</f>
        <v>-174.16206206918872</v>
      </c>
      <c r="E38" s="5">
        <f>SourceData!C88</f>
        <v>-157.13113349750293</v>
      </c>
      <c r="F38" s="5">
        <f>D38</f>
        <v>-174.16206206918872</v>
      </c>
      <c r="G38" s="5">
        <f>SourceData!C89</f>
        <v>-183.17654906812731</v>
      </c>
    </row>
    <row r="39" spans="1:7" hidden="1">
      <c r="B39" s="6" t="s">
        <v>113</v>
      </c>
      <c r="C39" s="6" t="s">
        <v>51</v>
      </c>
      <c r="D39" s="5">
        <f>SourceData!E87</f>
        <v>-39.976939655172416</v>
      </c>
      <c r="E39" s="5">
        <f>SourceData!E88</f>
        <v>-143.07489000000001</v>
      </c>
      <c r="F39" s="5">
        <f>D39</f>
        <v>-39.976939655172416</v>
      </c>
      <c r="G39" s="5">
        <f>SourceData!E89</f>
        <v>-166.79040000000001</v>
      </c>
    </row>
    <row r="40" spans="1:7" hidden="1">
      <c r="B40" s="30" t="s">
        <v>116</v>
      </c>
      <c r="C40" s="30" t="s">
        <v>51</v>
      </c>
      <c r="D40" s="32">
        <f>SUM(D35:D39)</f>
        <v>6560.8554304845593</v>
      </c>
      <c r="E40" s="32">
        <f>SUM(E35:E39)</f>
        <v>85.052416502497124</v>
      </c>
      <c r="F40" s="32">
        <f>SUM(F35:F39)</f>
        <v>8898.7246383674046</v>
      </c>
      <c r="G40" s="32">
        <f>SUM(G35:G39)</f>
        <v>54.174450931872713</v>
      </c>
    </row>
    <row r="41" spans="1:7" hidden="1">
      <c r="B41" s="48" t="s">
        <v>115</v>
      </c>
      <c r="C41" s="48" t="s">
        <v>51</v>
      </c>
      <c r="D41" s="49"/>
      <c r="E41" s="50">
        <f>ROUND((E40-D40),-2)</f>
        <v>-6500</v>
      </c>
      <c r="F41" s="49"/>
      <c r="G41" s="50">
        <f>ROUND((G40-F40),-2)</f>
        <v>-8800</v>
      </c>
    </row>
    <row r="46" spans="1:7">
      <c r="B46" s="30" t="s">
        <v>126</v>
      </c>
    </row>
    <row r="47" spans="1:7">
      <c r="B47" s="6" t="s">
        <v>136</v>
      </c>
    </row>
    <row r="48" spans="1:7">
      <c r="B48" s="6" t="s">
        <v>137</v>
      </c>
    </row>
    <row r="49" spans="2:12">
      <c r="B49" s="6" t="s">
        <v>150</v>
      </c>
    </row>
    <row r="51" spans="2:12">
      <c r="B51" s="6" t="s">
        <v>127</v>
      </c>
    </row>
    <row r="52" spans="2:12">
      <c r="B52" s="51" t="s">
        <v>134</v>
      </c>
    </row>
    <row r="53" spans="2:12">
      <c r="B53" s="6" t="s">
        <v>128</v>
      </c>
      <c r="E53" s="6" t="s">
        <v>132</v>
      </c>
    </row>
    <row r="54" spans="2:12">
      <c r="B54" s="6" t="s">
        <v>129</v>
      </c>
      <c r="C54" s="6" t="s">
        <v>26</v>
      </c>
      <c r="D54" s="5">
        <f>-450*2000</f>
        <v>-900000</v>
      </c>
      <c r="E54" s="5">
        <f>D54*J54/1000000</f>
        <v>-259.06500000000005</v>
      </c>
      <c r="F54" s="5"/>
      <c r="G54" s="5"/>
      <c r="H54" s="6" t="s">
        <v>108</v>
      </c>
      <c r="J54" s="8">
        <f>SourceData!C72</f>
        <v>287.85000000000002</v>
      </c>
      <c r="K54" s="8" t="str">
        <f>SourceData!D72</f>
        <v>gCO2e/kWh</v>
      </c>
      <c r="L54" s="8" t="str">
        <f>SourceData!E72</f>
        <v>(eGRID - NWPP)</v>
      </c>
    </row>
    <row r="55" spans="2:12">
      <c r="B55" s="6" t="s">
        <v>130</v>
      </c>
      <c r="C55" s="6" t="s">
        <v>131</v>
      </c>
      <c r="D55" s="5">
        <f>40.78*365*7</f>
        <v>104192.90000000001</v>
      </c>
      <c r="E55" s="5">
        <f>D55*J55/1000000</f>
        <v>200.52829876586833</v>
      </c>
      <c r="F55" s="5"/>
      <c r="G55" s="5"/>
      <c r="H55" s="6" t="s">
        <v>108</v>
      </c>
      <c r="J55" s="5">
        <f>SourceData!C71</f>
        <v>1924.5869801672507</v>
      </c>
      <c r="K55" s="5" t="str">
        <f>SourceData!D71</f>
        <v>gCO2e/m3</v>
      </c>
      <c r="L55" s="5" t="str">
        <f>SourceData!E71</f>
        <v>(USEPA GHG EF Hub 2023)</v>
      </c>
    </row>
    <row r="56" spans="2:12">
      <c r="D56" s="28" t="s">
        <v>133</v>
      </c>
      <c r="E56" s="32">
        <f>E54+E55</f>
        <v>-58.536701234131726</v>
      </c>
      <c r="F56" s="32"/>
      <c r="G56" s="32"/>
      <c r="H56" s="30" t="s">
        <v>51</v>
      </c>
    </row>
    <row r="57" spans="2:12">
      <c r="B57" s="31" t="s">
        <v>135</v>
      </c>
    </row>
  </sheetData>
  <mergeCells count="2">
    <mergeCell ref="D2:E2"/>
    <mergeCell ref="F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0DB7-2048-4650-A346-4B3C6D302D30}">
  <dimension ref="A1:G17"/>
  <sheetViews>
    <sheetView workbookViewId="0">
      <selection activeCell="C2" sqref="C2"/>
    </sheetView>
  </sheetViews>
  <sheetFormatPr defaultRowHeight="15"/>
  <cols>
    <col min="3" max="3" width="30.5703125" customWidth="1"/>
    <col min="4" max="4" width="25.85546875" customWidth="1"/>
    <col min="5" max="6" width="28.5703125" customWidth="1"/>
  </cols>
  <sheetData>
    <row r="1" spans="1:7">
      <c r="A1" t="s">
        <v>177</v>
      </c>
    </row>
    <row r="4" spans="1:7">
      <c r="E4" t="str">
        <f>'GHG Reduction'!$C$9</f>
        <v>wt/d (m3/d)</v>
      </c>
      <c r="F4" t="s">
        <v>191</v>
      </c>
    </row>
    <row r="5" spans="1:7">
      <c r="C5" t="str">
        <f>'GHG Reduction'!$B$9</f>
        <v>Combined HSOWs</v>
      </c>
      <c r="E5" s="80">
        <f>'GHG Reduction'!$E$9</f>
        <v>209.91988500000002</v>
      </c>
      <c r="F5" s="81">
        <f>E5*365</f>
        <v>76620.758025000003</v>
      </c>
      <c r="G5" t="s">
        <v>189</v>
      </c>
    </row>
    <row r="6" spans="1:7">
      <c r="E6" s="80">
        <f>'GHG Reduction'!$G$9</f>
        <v>217.98193500000002</v>
      </c>
      <c r="F6" s="81">
        <f>E6*365</f>
        <v>79563.406275000001</v>
      </c>
      <c r="G6" t="s">
        <v>190</v>
      </c>
    </row>
    <row r="9" spans="1:7" ht="15.75" thickBot="1">
      <c r="C9" s="73" t="s">
        <v>178</v>
      </c>
      <c r="D9" s="74" t="s">
        <v>179</v>
      </c>
      <c r="E9" s="74" t="s">
        <v>180</v>
      </c>
      <c r="F9" s="78"/>
    </row>
    <row r="10" spans="1:7" ht="32.25">
      <c r="C10" s="85" t="s">
        <v>181</v>
      </c>
      <c r="D10" s="88" t="s">
        <v>182</v>
      </c>
      <c r="E10" s="75" t="s">
        <v>183</v>
      </c>
      <c r="F10" s="79"/>
    </row>
    <row r="11" spans="1:7">
      <c r="C11" s="86"/>
      <c r="D11" s="89"/>
      <c r="E11" s="75"/>
      <c r="F11" s="79"/>
    </row>
    <row r="12" spans="1:7" ht="45.75" thickBot="1">
      <c r="C12" s="87"/>
      <c r="D12" s="90"/>
      <c r="E12" s="76" t="s">
        <v>184</v>
      </c>
      <c r="F12" s="79"/>
    </row>
    <row r="13" spans="1:7" ht="32.25">
      <c r="C13" s="85" t="s">
        <v>185</v>
      </c>
      <c r="D13" s="88" t="s">
        <v>182</v>
      </c>
      <c r="E13" s="75" t="s">
        <v>186</v>
      </c>
      <c r="F13" s="82">
        <f>F5</f>
        <v>76620.758025000003</v>
      </c>
    </row>
    <row r="14" spans="1:7" ht="32.25">
      <c r="C14" s="86"/>
      <c r="D14" s="89"/>
      <c r="E14" s="75" t="s">
        <v>187</v>
      </c>
      <c r="F14" s="82">
        <f>F6</f>
        <v>79563.406275000001</v>
      </c>
    </row>
    <row r="15" spans="1:7" ht="15.75" thickBot="1">
      <c r="C15" s="87"/>
      <c r="D15" s="90"/>
      <c r="E15" s="76"/>
      <c r="F15" s="79"/>
    </row>
    <row r="16" spans="1:7">
      <c r="C16" s="77" t="s">
        <v>188</v>
      </c>
    </row>
    <row r="17" spans="3:3">
      <c r="C17" s="77" t="s">
        <v>188</v>
      </c>
    </row>
  </sheetData>
  <mergeCells count="4">
    <mergeCell ref="C10:C12"/>
    <mergeCell ref="D10:D12"/>
    <mergeCell ref="C13:C15"/>
    <mergeCell ref="D13:D1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22818e-228e-41de-8fce-3bec8c6c0e23" xsi:nil="true"/>
    <lcf76f155ced4ddcb4097134ff3c332f xmlns="e39f0d9c-b34e-4355-b814-1b604e1fa82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D0F92237EF8488BC464CA4C6CB542" ma:contentTypeVersion="11" ma:contentTypeDescription="Create a new document." ma:contentTypeScope="" ma:versionID="2e18fe084ccd569729352ac7993c1839">
  <xsd:schema xmlns:xsd="http://www.w3.org/2001/XMLSchema" xmlns:xs="http://www.w3.org/2001/XMLSchema" xmlns:p="http://schemas.microsoft.com/office/2006/metadata/properties" xmlns:ns2="e39f0d9c-b34e-4355-b814-1b604e1fa824" xmlns:ns3="ce22818e-228e-41de-8fce-3bec8c6c0e23" targetNamespace="http://schemas.microsoft.com/office/2006/metadata/properties" ma:root="true" ma:fieldsID="3ea0b335764eb498b991fdb46ebd071a" ns2:_="" ns3:_="">
    <xsd:import namespace="e39f0d9c-b34e-4355-b814-1b604e1fa824"/>
    <xsd:import namespace="ce22818e-228e-41de-8fce-3bec8c6c0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f0d9c-b34e-4355-b814-1b604e1fa8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22818e-228e-41de-8fce-3bec8c6c0e2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79755e-ee71-4e9e-b5e6-6ffc420c1577}" ma:internalName="TaxCatchAll" ma:showField="CatchAllData" ma:web="ce22818e-228e-41de-8fce-3bec8c6c0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715D8E-97B6-44AA-8AE1-F1A465D0A7B5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ce22818e-228e-41de-8fce-3bec8c6c0e23"/>
    <ds:schemaRef ds:uri="e39f0d9c-b34e-4355-b814-1b604e1fa824"/>
  </ds:schemaRefs>
</ds:datastoreItem>
</file>

<file path=customXml/itemProps2.xml><?xml version="1.0" encoding="utf-8"?>
<ds:datastoreItem xmlns:ds="http://schemas.openxmlformats.org/officeDocument/2006/customXml" ds:itemID="{2CE0B20A-53F1-4916-91E5-2564E9B80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9f0d9c-b34e-4355-b814-1b604e1fa824"/>
    <ds:schemaRef ds:uri="ce22818e-228e-41de-8fce-3bec8c6c0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883AE4-10CA-42D0-8090-C00D7D63B1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SourceData</vt:lpstr>
      <vt:lpstr>GHG Reduction</vt:lpstr>
      <vt:lpstr>Table 2 input for narrative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Shen, Emma</dc:creator>
  <cp:lastModifiedBy>Sandy Meshke</cp:lastModifiedBy>
  <dcterms:created xsi:type="dcterms:W3CDTF">2015-06-05T18:17:20Z</dcterms:created>
  <dcterms:modified xsi:type="dcterms:W3CDTF">2024-04-01T21:51:26Z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0x01010005CD0F92237EF8488BC464CA4C6CB542</vt:lpwstr>
  </property>
</Properties>
</file>