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xplanatory Narrative" sheetId="1" r:id="rId4"/>
    <sheet state="visible" name="emissions breakout " sheetId="2" r:id="rId5"/>
    <sheet state="visible" name="Emission Reduction Estimates" sheetId="3" r:id="rId6"/>
    <sheet state="visible" name="carbon management calcs" sheetId="4" r:id="rId7"/>
    <sheet state="visible" name="Hydrogen" sheetId="5" r:id="rId8"/>
    <sheet state="visible" name="Methane" sheetId="6" r:id="rId9"/>
    <sheet state="hidden" name="Copy of 2. Measure Breakout" sheetId="7" r:id="rId10"/>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0">
      <text>
        <t xml:space="preserve">Need this table
	-Maria Eisemann - CEO</t>
      </text>
    </comment>
  </commentList>
</comments>
</file>

<file path=xl/sharedStrings.xml><?xml version="1.0" encoding="utf-8"?>
<sst xmlns="http://schemas.openxmlformats.org/spreadsheetml/2006/main" count="1317" uniqueCount="363">
  <si>
    <t>This document describes the following:</t>
  </si>
  <si>
    <t>· The makeup of and greenhouse gas (GHG) emissions associated with the coalition</t>
  </si>
  <si>
    <t>· Decarbonization levers that are available to industry</t>
  </si>
  <si>
    <t>· The estimated cost to utilize a certain lever to reduce GHG emissions 1 metric ton (marginal abatement cost curve)</t>
  </si>
  <si>
    <t>· Methodology used to make estimates and uncertainties</t>
  </si>
  <si>
    <t>State-specific GHG emissions by industrial subsector[WM1]</t>
  </si>
  <si>
    <t>Sub-sector</t>
  </si>
  <si>
    <t>State</t>
  </si>
  <si>
    <t>GHGs (MT CO2e)</t>
  </si>
  <si>
    <t>% of total industrial emissions</t>
  </si>
  <si>
    <t>Petroleum &amp; Natural Gas</t>
  </si>
  <si>
    <t>CO</t>
  </si>
  <si>
    <t>OK</t>
  </si>
  <si>
    <t>TX</t>
  </si>
  <si>
    <t>LA</t>
  </si>
  <si>
    <t>Minerals</t>
  </si>
  <si>
    <t>Refineries</t>
  </si>
  <si>
    <t>Chemicals</t>
  </si>
  <si>
    <t>Metals</t>
  </si>
  <si>
    <t>Electronics Manufacturing</t>
  </si>
  <si>
    <t>-</t>
  </si>
  <si>
    <t>Underground Coal Mines</t>
  </si>
  <si>
    <t>Pulp &amp; Paper</t>
  </si>
  <si>
    <t>Decarbonization levers available by subsector[WM2]</t>
  </si>
  <si>
    <t>Decarbonization Levers</t>
  </si>
  <si>
    <t>Carbon Management at compressor stations</t>
  </si>
  <si>
    <t>Energy efficiency</t>
  </si>
  <si>
    <t>Leak detection</t>
  </si>
  <si>
    <t>electrification</t>
  </si>
  <si>
    <t>Energy Efficiency &amp; Alternative fuel switching (coal to natural gas or hydrogen utilization)</t>
  </si>
  <si>
    <t>Raw Material Substitutions</t>
  </si>
  <si>
    <t>Carbon Management</t>
  </si>
  <si>
    <t>Industrial Electrification</t>
  </si>
  <si>
    <t>Energy Efficiency &amp; Alternative fuel switching</t>
  </si>
  <si>
    <t>Hydrogen utilization</t>
  </si>
  <si>
    <t>Energy Efficiency</t>
  </si>
  <si>
    <t>Energy Efficiency &amp; raw material substitutitions</t>
  </si>
  <si>
    <t>carbon management</t>
  </si>
  <si>
    <t>Methane capture &amp; destruction</t>
  </si>
  <si>
    <t>energy efficiency</t>
  </si>
  <si>
    <t>State-specific decarbonization lever marginal abatement cost curves[WM3]  &amp; lever prioritization given state-specific industrial subsector makeup, implementation timeline, lever lifespan, and abatement costs</t>
  </si>
  <si>
    <t>Decarbonization lever</t>
  </si>
  <si>
    <t>Abatement Cost ($/MT CO2e , 2030)</t>
  </si>
  <si>
    <t>Project Implementation timeline</t>
  </si>
  <si>
    <t>Est. In-service project lifespan (years)</t>
  </si>
  <si>
    <t>Prioritization</t>
  </si>
  <si>
    <t>Colorado</t>
  </si>
  <si>
    <t>Electrification + Hydrogen</t>
  </si>
  <si>
    <t>High</t>
  </si>
  <si>
    <t>25[WM4]</t>
  </si>
  <si>
    <t>Low/Medium</t>
  </si>
  <si>
    <t>10[WM5]</t>
  </si>
  <si>
    <t>Methane Capture &amp; destruction</t>
  </si>
  <si>
    <t>15[WM6]</t>
  </si>
  <si>
    <t>Medium</t>
  </si>
  <si>
    <t>Oklahoma</t>
  </si>
  <si>
    <t>Medium/High</t>
  </si>
  <si>
    <t>Carbon management</t>
  </si>
  <si>
    <t>Low</t>
  </si>
  <si>
    <t>Methane Capture &amp; Destruction</t>
  </si>
  <si>
    <t>medium</t>
  </si>
  <si>
    <t>Louisiana</t>
  </si>
  <si>
    <t>Carbon management*</t>
  </si>
  <si>
    <t>Medium/high</t>
  </si>
  <si>
    <t>N2O destruction</t>
  </si>
  <si>
    <t>Texas</t>
  </si>
  <si>
    <t>Low/medium</t>
  </si>
  <si>
    <t>*numerous class VI well permits applied for in these states, which is a time-intensive process, making these states more likely to engage / award carbon management projects. Louisiana also has primacy which speeds up the class VI permit process.</t>
  </si>
  <si>
    <t>It is important to note that each project application submitted will be scored by a review committee based on how well the project meets specific criteria. Therefore, though specific project types may be prioritized at the outset of the program, final project type award determinations are contingent upon lever-type applications submitted and alignment with scoring criteria. The criteria each project will be scored on are as follows:</t>
  </si>
  <si>
    <t>· Estimated scope 1 GHG emissions reduced (exceptions provided for direct air capture, pyrolysis-based carbon management and abandoned coal mine projects);</t>
  </si>
  <si>
    <t>· Significantly reduce other pollutions, especially reductions that benefit LIDAC and/or improve nonattainment areas</t>
  </si>
  <si>
    <t>· Co-benefits provided</t>
  </si>
  <si>
    <t>· Project Readiness</t>
  </si>
  <si>
    <t>· Innovative in nature</t>
  </si>
  <si>
    <t>· Demonstrated need for grant funding (i.e., payback threshold);</t>
  </si>
  <si>
    <t>· Project location (implemented in a LIDAC or non-attainment area)</t>
  </si>
  <si>
    <t>· Small disadvantaged business classification</t>
  </si>
  <si>
    <t>Rationale</t>
  </si>
  <si>
    <t xml:space="preserve">As outlined in the table above, all coalition members have identified electrification + hydrogen and energy efficiency project types as medium or high priority decarbonization levers for the state to initially focus CPRG funding on.  Electrification can substitute fossil fuels to drive lower process heating requirement processes &amp; energy efficiency are common decarbonization opportunities across industrial subsectors, with energy efficiency the lowest hanging fruit given lower abatement costs and established technology alternatives. These project types can also be implemented relatively quickly given the aorementioned established alternatives and more straightforward implementation process which is a key consideration given the five year project spend timeline the coalition will be given if awarded funding. Given the industrial emission makeup of Louisiana and N2O's high global warming potential, the State finds CPRG funding as providing a great opportunity to drive N2O emission reducttions from its chemicals subsector. Additionally, hydrogen utilization has been deemed a technology of prioritization given it's ability to meet the high input heat reqirements of many industrial facilities across the coalition. The fuel will require some equipment customization and certain considerations, but these considerations industry are ready for when compared to carbon management project implementation. Carbon management has been deemed an area of low prioritization in Oklahoma given its industrial subsector makeup while the three other coalition members find this technology or medium to high importance given its ability to effectively mitigate emissions from hard to decarbonize processes with process-related emissions and given adequate storage in Texas, class VI primacy and adequate storage in Louisiana, and industrial subsector makeup in Colorado along with the state's rapidly advancing carbon management legislative landscape. Given the oil &amp; gas and coalmine makeup of the coalition, though not highly prioritized, methane capture and destrution is an established technology that can play an important roll in industrial sector decarbonization due to methane's high global warming potential. Though certainly under consideration for funding, each state finds the previously outlined decarbonization levers as broadly impactful and able to further drive economies of scale for innovative technologies that can maximize CPRG funding through real world early-of-its-kind demonstration. </t>
  </si>
  <si>
    <t>GHG impact of projects implemented per state given full $500 million funding. Please see attached Excel workbook for calculation details.</t>
  </si>
  <si>
    <t>Total project funding amount ($)</t>
  </si>
  <si>
    <t>Annual MT CO2e Emissions avoided[WM7]</t>
  </si>
  <si>
    <t>Total</t>
  </si>
  <si>
    <t>[WM1]EPA 2022 from GPI</t>
  </si>
  <si>
    <t>[WM2]DOE Pathways to Commercial liftoff and internal research</t>
  </si>
  <si>
    <t>[WM3]Via RMI’s energy policy simulator + internal project verification</t>
  </si>
  <si>
    <t>[WM4]7Fahs, R. et al., Pathways to Commercial Liftoff: Carbon Management, DOE, 2023. https://liftoff.energy.gov/wpcontent/uploads/2023/04/20230424-Liftoff-Carbon-Management-vPUB_update.pdf</t>
  </si>
  <si>
    <t>[WM5]Average of very short life &amp; very long life measures in https://www.aceee.org/sites/default/files/publications/researchreports/u1902.pdf</t>
  </si>
  <si>
    <t>[WM6]Clean Air Program Data and analysis</t>
  </si>
  <si>
    <t>[WM7]Dependent on state allocation %.</t>
  </si>
  <si>
    <t xml:space="preserve">Indirect emission reduction capabilities - On top of the emission reductions estimated above, the coalition understands that investing in these levers will provide key longterm benefits which will accelerate industrial decarbonization and directly impact private sector uptake outside of direct CPRG funding support. By prioritizing innovation, CPRG will be commercializing early of their kind tehcnologies. Such realworld implementation will demonstrate technology applicability in the maanufacturing environment and derisk promising lever-specific technologies, leading to greater economies of scale and implementation price decreases.   </t>
  </si>
  <si>
    <t>metric tons</t>
  </si>
  <si>
    <r>
      <rPr>
        <rFont val="Calibri, sans-serif"/>
        <color rgb="FF000000"/>
        <sz val="11.0"/>
      </rPr>
      <t xml:space="preserve">Breakdown of Emissions by Sector for SwSX, GHGs </t>
    </r>
    <r>
      <rPr>
        <rFont val="Calibri, sans-serif"/>
        <strike/>
        <color rgb="FF000000"/>
        <sz val="11.0"/>
      </rPr>
      <t>excluding Power Plants</t>
    </r>
    <r>
      <rPr>
        <rFont val="Calibri, sans-serif"/>
        <color rgb="FF000000"/>
        <sz val="11.0"/>
      </rPr>
      <t xml:space="preserve"> (2022 EPA Data)</t>
    </r>
  </si>
  <si>
    <t>All States Combined</t>
  </si>
  <si>
    <t>Million Metric Tons CO2e</t>
  </si>
  <si>
    <t>Sector</t>
  </si>
  <si>
    <t>GHG Emissions</t>
  </si>
  <si>
    <t>% by Sector</t>
  </si>
  <si>
    <t>Power Plants</t>
  </si>
  <si>
    <t>Petroleum and Natural Gas Systems</t>
  </si>
  <si>
    <t>Waste</t>
  </si>
  <si>
    <t>Misc. Combustion</t>
  </si>
  <si>
    <t>Miscellaneous Combustion</t>
  </si>
  <si>
    <t>Non-Fluorinated Chemicals</t>
  </si>
  <si>
    <t>Pulp and Paper</t>
  </si>
  <si>
    <t>Fluorinated Chemicals</t>
  </si>
  <si>
    <t>Transportation *</t>
  </si>
  <si>
    <t>*2023 CO GHG Inventory Report (https://drive.google.com/file/d/1l3r_urNEVffgd2byD959DyN6BOITQs_b/view)</t>
  </si>
  <si>
    <t>total GHG listed</t>
  </si>
  <si>
    <t>power plants listed</t>
  </si>
  <si>
    <t>non-power plants emissions</t>
  </si>
  <si>
    <t>Source: RMI energy policy simulator</t>
  </si>
  <si>
    <t>Project $</t>
  </si>
  <si>
    <t>Abatement option</t>
  </si>
  <si>
    <t>Lever lifecycle (years)</t>
  </si>
  <si>
    <t>Abatement Cost [$/MT CO2e]</t>
  </si>
  <si>
    <t>Prioritization given industrial subsector makeup</t>
  </si>
  <si>
    <t>average project installation time</t>
  </si>
  <si>
    <t>total $ % to this abatement mechanism</t>
  </si>
  <si>
    <t>% cost coverage provided</t>
  </si>
  <si>
    <t>total $ to this abatement mechanism</t>
  </si>
  <si>
    <t>CO2e reduction estimates (MTCO2e)</t>
  </si>
  <si>
    <t>Transportation</t>
  </si>
  <si>
    <t>Hydrogen</t>
  </si>
  <si>
    <t xml:space="preserve">Total Annual CO2e Avoided MT CO2e </t>
  </si>
  <si>
    <t>Assessment estimates</t>
  </si>
  <si>
    <t># of assessments (cost range 25k -  35k per assessment)</t>
  </si>
  <si>
    <t>therms identified (range, medium sized manufacturer)</t>
  </si>
  <si>
    <t>est 1</t>
  </si>
  <si>
    <t>est 2</t>
  </si>
  <si>
    <t>CO2e (MT)  est. 1</t>
  </si>
  <si>
    <t>CO2e (MT) est. 2</t>
  </si>
  <si>
    <t>emission factor - NG</t>
  </si>
  <si>
    <t>5.31 kg/therm</t>
  </si>
  <si>
    <t>lbs CO2e/therm</t>
  </si>
  <si>
    <t>N2O abatement CO2e</t>
  </si>
  <si>
    <t xml:space="preserve"> project abatement estimates (based on project data)</t>
  </si>
  <si>
    <t>MT</t>
  </si>
  <si>
    <t>total cost</t>
  </si>
  <si>
    <t>MT Co2e abated</t>
  </si>
  <si>
    <t>50 - 200 projects assumed</t>
  </si>
  <si>
    <t xml:space="preserve">OK </t>
  </si>
  <si>
    <t>per OK rep</t>
  </si>
  <si>
    <t>est.</t>
  </si>
  <si>
    <t>Source: NETL</t>
  </si>
  <si>
    <t>https://netl.doe.gov/projects/files/CostofCapturingCO2fromIndustrialSources_071522.pdf</t>
  </si>
  <si>
    <t>Project</t>
  </si>
  <si>
    <t>Ammonia</t>
  </si>
  <si>
    <t>conversions:</t>
  </si>
  <si>
    <t>Assumption: CO2 used for EOR</t>
  </si>
  <si>
    <t>FINAL</t>
  </si>
  <si>
    <t>TASC</t>
  </si>
  <si>
    <t>2018 dollars to today (feb. 2024)</t>
  </si>
  <si>
    <t xml:space="preserve">Estimated Average Cost Per MT CO2 captured by State assuming equal opportunity for project implementation </t>
  </si>
  <si>
    <t>Capital costs ($/MT/yr)</t>
  </si>
  <si>
    <t xml:space="preserve">O&amp;M </t>
  </si>
  <si>
    <r>
      <rPr/>
      <t xml:space="preserve">source: </t>
    </r>
    <r>
      <rPr>
        <color rgb="FF1155CC"/>
        <u/>
      </rPr>
      <t>https://data.bls.gov/cgi-bin/cpicalc.pl?cost1=1&amp;year1=201801&amp;year2=202402</t>
    </r>
  </si>
  <si>
    <t>Cost of CO2 capture (COC)</t>
  </si>
  <si>
    <t>potential project locations</t>
  </si>
  <si>
    <t>Louisiana, Texas</t>
  </si>
  <si>
    <t>Ethylene Oxide  greenfield site</t>
  </si>
  <si>
    <t>$/tonne/yr. (CO2)</t>
  </si>
  <si>
    <t>la</t>
  </si>
  <si>
    <t>220,000 TONNE/YEAR SITE, 275,000 TONNE/YEAR SITE, 770,000 TONNE/YEAR SITE 420,000TONNE/YEAR SITE</t>
  </si>
  <si>
    <t>tx</t>
  </si>
  <si>
    <t>430,000 , 105,000, 250,000, 460,000 , 360,000 , 355,000</t>
  </si>
  <si>
    <t>COC</t>
  </si>
  <si>
    <t>Ethanol</t>
  </si>
  <si>
    <t>Colorado, Texas</t>
  </si>
  <si>
    <t>Natural Gas Processing</t>
  </si>
  <si>
    <t>Colorado, Louisiana, Texas</t>
  </si>
  <si>
    <t>Refinery Hydrogen (99% capture &amp; 90%)</t>
  </si>
  <si>
    <t>COC (retrofit)</t>
  </si>
  <si>
    <t>COC (greenfield)</t>
  </si>
  <si>
    <t>Colorado, Texas, Oklahoma</t>
  </si>
  <si>
    <t>Cement (99% capture , 90% capture)</t>
  </si>
  <si>
    <t>1.3 million tonnes/year</t>
  </si>
  <si>
    <t>Colorado, Oklahoma, Texas</t>
  </si>
  <si>
    <t>Cement with FDG &amp; SCR (99% and (90% capture rate)</t>
  </si>
  <si>
    <t>COC (base)</t>
  </si>
  <si>
    <t>COC (rFDG + SCR)</t>
  </si>
  <si>
    <t>Iron &amp; Steel (99% capture &amp; 90%)</t>
  </si>
  <si>
    <t>2.4 million tonnes/year</t>
  </si>
  <si>
    <t>None in coalition states</t>
  </si>
  <si>
    <t>need ~2.5x the volume of hydrogen to equal NG equivalent</t>
  </si>
  <si>
    <t xml:space="preserve"> Inputs</t>
  </si>
  <si>
    <t xml:space="preserve">Input </t>
  </si>
  <si>
    <t>Units</t>
  </si>
  <si>
    <t>Value</t>
  </si>
  <si>
    <t>Equipment Lifetime</t>
  </si>
  <si>
    <t>yr</t>
  </si>
  <si>
    <t>Discount Rate</t>
  </si>
  <si>
    <t>%</t>
  </si>
  <si>
    <t>price per MMBTU (Dec. 2023 via https://www.eia.gov/dnav/ng/hist/n3035tx3m.htm)</t>
  </si>
  <si>
    <t>Natural Gas Price</t>
  </si>
  <si>
    <t>$/MMBtu</t>
  </si>
  <si>
    <t>euro to US dollars coversion rate</t>
  </si>
  <si>
    <t>Clean Hydrogen Price (Current)</t>
  </si>
  <si>
    <t>via DOE's Hydrogen shot</t>
  </si>
  <si>
    <t>Clean Hydrogen Price ( 2030 target)</t>
  </si>
  <si>
    <t>Hydrogen Storage and Delivery Cost</t>
  </si>
  <si>
    <t>$/MMBTU</t>
  </si>
  <si>
    <r>
      <rPr>
        <rFont val="Calibri, Arial"/>
        <sz val="11.0"/>
      </rPr>
      <t xml:space="preserve">via Front. Energy Res., 27 May 2022
Sec. Hydrogen Storage and Production
Volume 10 - 2022 | </t>
    </r>
    <r>
      <rPr>
        <rFont val="Calibri, Arial"/>
        <color rgb="FF1155CC"/>
        <sz val="11.0"/>
        <u/>
      </rPr>
      <t>https://doi.org/10.3389/fenrg.2022.909298</t>
    </r>
  </si>
  <si>
    <t>Industrial Boiler Inputs</t>
  </si>
  <si>
    <t>Input</t>
  </si>
  <si>
    <t>Hydrogen Boiler (Current)</t>
  </si>
  <si>
    <t>Hydrogen Boiler (2030 target)</t>
  </si>
  <si>
    <t xml:space="preserve">NG </t>
  </si>
  <si>
    <t>MMBTU</t>
  </si>
  <si>
    <t>kg CO2e</t>
  </si>
  <si>
    <t>Natural Gas Boiler Pice</t>
  </si>
  <si>
    <t>$</t>
  </si>
  <si>
    <t>H2 Boiler Price</t>
  </si>
  <si>
    <t>assume H2 boiler is 2x expensive as NG, https://assets.publishing.service.gov.uk/media/6396e004e90e0769be9ba60c/Hydrogen-ready_industrial_boiler_equipment_governement_response.pdf</t>
  </si>
  <si>
    <t>H2 Boiler Efficiency</t>
  </si>
  <si>
    <t>Hourly Service Demand</t>
  </si>
  <si>
    <t>MMBtu/hr</t>
  </si>
  <si>
    <t>Annual Operating Hours</t>
  </si>
  <si>
    <t>hr/yr</t>
  </si>
  <si>
    <t>Annual Service Demand</t>
  </si>
  <si>
    <t>MMBtu/yr</t>
  </si>
  <si>
    <t>Calculations</t>
  </si>
  <si>
    <t>Industrial Boiler Results</t>
  </si>
  <si>
    <t>Category</t>
  </si>
  <si>
    <t>Conservative</t>
  </si>
  <si>
    <t>Optimistic</t>
  </si>
  <si>
    <t>Annualized Incremental Capital Costs</t>
  </si>
  <si>
    <t>$/year</t>
  </si>
  <si>
    <t>Annual H2 Fuel Cost</t>
  </si>
  <si>
    <t>Avoided Natural Gas Costs</t>
  </si>
  <si>
    <t>Annual Avoided Combustion Emissions</t>
  </si>
  <si>
    <t>tCO2e/yr</t>
  </si>
  <si>
    <t>Marginal Abatement Cost</t>
  </si>
  <si>
    <t>$/tCO2e</t>
  </si>
  <si>
    <r>
      <rPr/>
      <t xml:space="preserve">source: </t>
    </r>
    <r>
      <rPr>
        <color rgb="FF1155CC"/>
        <u/>
      </rPr>
      <t>https://www.iea.org/reports/methane-tracker-2020/methane-abatement-options</t>
    </r>
  </si>
  <si>
    <t>O &amp; G abatement potential</t>
  </si>
  <si>
    <t>estimted emissions (2023)</t>
  </si>
  <si>
    <t>tonnes</t>
  </si>
  <si>
    <t>technical abatement potential</t>
  </si>
  <si>
    <t>average annual spending needed</t>
  </si>
  <si>
    <t>estimated abatement potential</t>
  </si>
  <si>
    <t>$/MT of methane</t>
  </si>
  <si>
    <t>$/MT of CO2e</t>
  </si>
  <si>
    <t>https://www.eia.gov/environment/emissions/co2_vol_mass.php</t>
  </si>
  <si>
    <t>key</t>
  </si>
  <si>
    <t>O &amp; G - 2023 dollars</t>
  </si>
  <si>
    <t>pounds CO2/MMbtu</t>
  </si>
  <si>
    <t>region</t>
  </si>
  <si>
    <t>source</t>
  </si>
  <si>
    <t>segment</t>
  </si>
  <si>
    <t>type</t>
  </si>
  <si>
    <t>abatement</t>
  </si>
  <si>
    <t>savings (kt)</t>
  </si>
  <si>
    <t>savings metric tonnes0</t>
  </si>
  <si>
    <t>cost (Mbtu)</t>
  </si>
  <si>
    <t>cost ($/MT CO2)</t>
  </si>
  <si>
    <t>North America</t>
  </si>
  <si>
    <t>Onshore conventional gas</t>
  </si>
  <si>
    <t>Upstream</t>
  </si>
  <si>
    <t>Gas</t>
  </si>
  <si>
    <t>Upstream LDAR</t>
  </si>
  <si>
    <t>MT CO2 / Mbtu</t>
  </si>
  <si>
    <t>Unconventional gas</t>
  </si>
  <si>
    <t>Onshore conventional oil</t>
  </si>
  <si>
    <t>Oil</t>
  </si>
  <si>
    <t>1kt =</t>
  </si>
  <si>
    <t>Unconventional oil</t>
  </si>
  <si>
    <t>Satellite - upstream</t>
  </si>
  <si>
    <t>MMBTU/MTCO2</t>
  </si>
  <si>
    <t>Blowdown capture</t>
  </si>
  <si>
    <t>Satellite - downstream</t>
  </si>
  <si>
    <t>Downstream</t>
  </si>
  <si>
    <t>Downstream LDAR</t>
  </si>
  <si>
    <t xml:space="preserve">removed all costs &gt;1000 per ton </t>
  </si>
  <si>
    <t>Offshore oil</t>
  </si>
  <si>
    <t>Offshore gas</t>
  </si>
  <si>
    <t>$/MT CO2 abated</t>
  </si>
  <si>
    <t>assumptions</t>
  </si>
  <si>
    <t>Downstream gas</t>
  </si>
  <si>
    <t>removed offshore and outlers ($8k projects)</t>
  </si>
  <si>
    <t>Downstream oil</t>
  </si>
  <si>
    <t>removed outliers</t>
  </si>
  <si>
    <t>Replace with instrument air systems</t>
  </si>
  <si>
    <t>TX &amp; LA (onshore + offshore wells)</t>
  </si>
  <si>
    <t>CO &amp; OK (onshore wells only)</t>
  </si>
  <si>
    <t>average</t>
  </si>
  <si>
    <t>standard deviation</t>
  </si>
  <si>
    <t>SD</t>
  </si>
  <si>
    <t>Replace compressor seal or rod</t>
  </si>
  <si>
    <t>sample size</t>
  </si>
  <si>
    <t>95% confidence interval</t>
  </si>
  <si>
    <t>Upper bound</t>
  </si>
  <si>
    <t>95% confidence</t>
  </si>
  <si>
    <t>95% confidence level</t>
  </si>
  <si>
    <t>lower bound</t>
  </si>
  <si>
    <t>95% CI</t>
  </si>
  <si>
    <t>Improve flaring</t>
  </si>
  <si>
    <t>Replace with electric motor</t>
  </si>
  <si>
    <t>Replace pumps</t>
  </si>
  <si>
    <t>Vapour recovery units</t>
  </si>
  <si>
    <t>N66+T.INV(0.95,91-1)*(N67/SQRT(91)</t>
  </si>
  <si>
    <t>Tinv(1-0.95,N68-1)*N67/sqrt(N68)</t>
  </si>
  <si>
    <t>I50,I51,I52,I53,I54,I55,I56,I57,I60,I61,I62,I63,I64,I67,I69,I70,I72,I73,I74,I75,I76,I77,I78,I80,I81,I82,I83,I85,I87,I91,I92,I93,I94,I95,I96,I99,I100,I101,I104,I105,I106,I107,I108,I109,I110,I112,I114,I113,I116,I117,I118,I119,I120,I121,I122,I123,I124,I125,I126,I127,I128,I129,I131,I132,I133,I134,I135,I136)</t>
  </si>
  <si>
    <t>Other</t>
  </si>
  <si>
    <t>Install plunger</t>
  </si>
  <si>
    <t>average cost if all abatement measures considered</t>
  </si>
  <si>
    <t>Mining abatement</t>
  </si>
  <si>
    <t>NG</t>
  </si>
  <si>
    <t>Operation type</t>
  </si>
  <si>
    <t>Measure seeking funding</t>
  </si>
  <si>
    <t>Existing Equipment remaining life</t>
  </si>
  <si>
    <t>Remaining life &gt; 3 years</t>
  </si>
  <si>
    <t>CAP payment requested ($)</t>
  </si>
  <si>
    <t>% of cost coverage sought</t>
  </si>
  <si>
    <t>Current NG energy use (MMBtu/yr)</t>
  </si>
  <si>
    <t>Energy Savings (MMBtu/yr)</t>
  </si>
  <si>
    <t>% energy savings</t>
  </si>
  <si>
    <t>CO2e savings (MT/yr)</t>
  </si>
  <si>
    <t>Other air pollutants saved annually (MT/yr)</t>
  </si>
  <si>
    <t>air pollutant savings per CAP dollar requested (lb/$)</t>
  </si>
  <si>
    <t xml:space="preserve"> air pollutant savings per CAP dollar requested (MT/$)</t>
  </si>
  <si>
    <t>ptoject spend per MT reduced</t>
  </si>
  <si>
    <t>Eligible Installed Cost ($)</t>
  </si>
  <si>
    <t>Energy Cost Savings ($/yr)</t>
  </si>
  <si>
    <t>Payback (Years)</t>
  </si>
  <si>
    <t>Net Present Value w/ grant</t>
  </si>
  <si>
    <t>Payback criteria met?</t>
  </si>
  <si>
    <t>Measure life cycle (Years)</t>
  </si>
  <si>
    <t>Water Consumption Avoided (gal)</t>
  </si>
  <si>
    <t>Avoided Waste Products</t>
  </si>
  <si>
    <t>Carbon Capture System</t>
  </si>
  <si>
    <t>N/A</t>
  </si>
  <si>
    <t>Yes</t>
  </si>
  <si>
    <t>Food &amp; Beverage</t>
  </si>
  <si>
    <t>air pollutant savings per CAP dollar requested (MT/$)</t>
  </si>
  <si>
    <t>spend per MT reduced</t>
  </si>
  <si>
    <t>Net Present Value</t>
  </si>
  <si>
    <t>Ammonia Heat Pumps</t>
  </si>
  <si>
    <t>NA</t>
  </si>
  <si>
    <t>Simmer and Strip</t>
  </si>
  <si>
    <t>Big Wort Cooler</t>
  </si>
  <si>
    <t>Utilize Ethanol</t>
  </si>
  <si>
    <t>0-10</t>
  </si>
  <si>
    <t>No</t>
  </si>
  <si>
    <t>Degasifier System Replacement</t>
  </si>
  <si>
    <t>Nitrogen Generation System</t>
  </si>
  <si>
    <t>Current energy use (MMBtu/yr)</t>
  </si>
  <si>
    <t>Other air pollutants saved annually</t>
  </si>
  <si>
    <t>Carbon Capture &amp; reuse</t>
  </si>
  <si>
    <t>Installed Cost ($)</t>
  </si>
  <si>
    <t>Carbon capture &amp; reuse</t>
  </si>
  <si>
    <t>Mining</t>
  </si>
  <si>
    <t>mining</t>
  </si>
  <si>
    <t>Air pollutant savings per CAP dollar requested (MT/$)</t>
  </si>
  <si>
    <t>Ethanol Production</t>
  </si>
  <si>
    <t>Solar</t>
  </si>
  <si>
    <t>Annual air pollutant savings per CAP dollar requested ($/Lb)</t>
  </si>
  <si>
    <t>Life cycle &gt; payback</t>
  </si>
  <si>
    <t>Steam generating Heat Pump</t>
  </si>
  <si>
    <t>&gt;$1,000,000</t>
  </si>
  <si>
    <t>Semiconductors</t>
  </si>
  <si>
    <t>heat pump chiller - building 2</t>
  </si>
  <si>
    <t>heat pump chiller building 4</t>
  </si>
</sst>
</file>

<file path=xl/styles.xml><?xml version="1.0" encoding="utf-8"?>
<styleSheet xmlns="http://schemas.openxmlformats.org/spreadsheetml/2006/main" xmlns:x14ac="http://schemas.microsoft.com/office/spreadsheetml/2009/9/ac" xmlns:mc="http://schemas.openxmlformats.org/markup-compatibility/2006">
  <numFmts count="10">
    <numFmt numFmtId="164" formatCode="&quot;$&quot;#,##0"/>
    <numFmt numFmtId="165" formatCode="&quot;$&quot;#,##0.00"/>
    <numFmt numFmtId="166" formatCode="0.0"/>
    <numFmt numFmtId="167" formatCode="_(* #,##0.0_);_(* \(#,##0.0\);_(* &quot;-&quot;??_);_(@_)"/>
    <numFmt numFmtId="168" formatCode="#,##0.0_);\(#,##0.0\)"/>
    <numFmt numFmtId="169" formatCode="_(&quot;$&quot;* #,##0_);_(&quot;$&quot;* \(#,##0\);_(&quot;$&quot;* &quot;-&quot;??_);_(@_)"/>
    <numFmt numFmtId="170" formatCode="_(#,##0.0_);(#,##0.0)"/>
    <numFmt numFmtId="171" formatCode="#,##0.000_);\(#,##0.000\)"/>
    <numFmt numFmtId="172" formatCode="_(&quot;$&quot;* #,##0.00_);_(&quot;$&quot;* \(#,##0.00\);_(&quot;$&quot;* &quot;-&quot;??.00_);_(@_)"/>
    <numFmt numFmtId="173" formatCode="0_);[Red]\(0\)"/>
  </numFmts>
  <fonts count="100">
    <font>
      <sz val="10.0"/>
      <color rgb="FF000000"/>
      <name val="Arial"/>
      <scheme val="minor"/>
    </font>
    <font>
      <sz val="11.0"/>
      <color rgb="FF000000"/>
      <name val="Arial"/>
    </font>
    <font>
      <sz val="12.0"/>
      <color rgb="FF000000"/>
      <name val="&quot;Times New Roman&quot;"/>
    </font>
    <font>
      <u/>
      <sz val="11.0"/>
      <color rgb="FF000000"/>
      <name val="Arial"/>
    </font>
    <font>
      <u/>
      <sz val="12.0"/>
      <color rgb="FF000000"/>
      <name val="&quot;Times New Roman&quot;"/>
    </font>
    <font>
      <b/>
      <u/>
      <sz val="11.0"/>
      <color rgb="FF000000"/>
      <name val="Calibri"/>
    </font>
    <font>
      <b/>
      <u/>
      <sz val="11.0"/>
      <color rgb="FF000000"/>
      <name val="Calibri"/>
    </font>
    <font>
      <b/>
      <u/>
      <sz val="11.0"/>
      <color rgb="FF000000"/>
      <name val="Calibri"/>
    </font>
    <font>
      <u/>
      <sz val="11.0"/>
      <color rgb="FF000000"/>
      <name val="Calibri"/>
    </font>
    <font>
      <b/>
      <u/>
      <sz val="11.0"/>
      <color rgb="FF000000"/>
      <name val="Calibri"/>
    </font>
    <font>
      <u/>
      <sz val="11.0"/>
      <color rgb="FF000000"/>
      <name val="Arial"/>
    </font>
    <font>
      <b/>
      <u/>
      <sz val="11.0"/>
      <color rgb="FF000000"/>
      <name val="Calibri"/>
    </font>
    <font/>
    <font>
      <b/>
      <u/>
      <sz val="11.0"/>
      <color rgb="FF000000"/>
      <name val="Calibri"/>
    </font>
    <font>
      <u/>
      <sz val="11.0"/>
      <color rgb="FF000000"/>
      <name val="Arial"/>
    </font>
    <font>
      <b/>
      <u/>
      <sz val="11.0"/>
      <color rgb="FF000000"/>
      <name val="Calibri"/>
    </font>
    <font>
      <b/>
      <u/>
      <sz val="11.0"/>
      <color rgb="FF000000"/>
      <name val="Calibri"/>
    </font>
    <font>
      <u/>
      <sz val="11.0"/>
      <color rgb="FF000000"/>
      <name val="Arial"/>
    </font>
    <font>
      <b/>
      <u/>
      <sz val="11.0"/>
      <color rgb="FF000000"/>
      <name val="Calibri"/>
    </font>
    <font>
      <b/>
      <u/>
      <sz val="11.0"/>
      <color rgb="FF000000"/>
      <name val="Calibri"/>
    </font>
    <font>
      <u/>
      <sz val="11.0"/>
      <color rgb="FF000000"/>
      <name val="Arial"/>
    </font>
    <font>
      <u/>
      <sz val="11.0"/>
      <color rgb="FF000000"/>
      <name val="Calibri"/>
    </font>
    <font>
      <u/>
      <sz val="11.0"/>
      <color rgb="FF000000"/>
      <name val="Calibri"/>
    </font>
    <font>
      <u/>
      <sz val="11.0"/>
      <color rgb="FF000000"/>
      <name val="Arial"/>
    </font>
    <font>
      <u/>
      <sz val="11.0"/>
      <color rgb="FF000000"/>
      <name val="Calibri"/>
    </font>
    <font>
      <u/>
      <sz val="11.0"/>
      <color rgb="FF000000"/>
      <name val="Calibri"/>
    </font>
    <font>
      <u/>
      <sz val="11.0"/>
      <color rgb="FF000000"/>
      <name val="Calibri"/>
    </font>
    <font>
      <u/>
      <sz val="11.0"/>
      <color rgb="FF000000"/>
      <name val="Calibri"/>
    </font>
    <font>
      <u/>
      <sz val="11.0"/>
      <color rgb="FF000000"/>
      <name val="Calibri"/>
    </font>
    <font>
      <u/>
      <sz val="11.0"/>
      <color rgb="FF000000"/>
      <name val="Calibri"/>
    </font>
    <font>
      <u/>
      <sz val="11.0"/>
      <color rgb="FF000000"/>
      <name val="Arial"/>
    </font>
    <font>
      <u/>
      <sz val="11.0"/>
      <color rgb="FF000000"/>
      <name val="Calibri"/>
    </font>
    <font>
      <u/>
      <sz val="11.0"/>
      <color rgb="FF000000"/>
      <name val="Calibri"/>
    </font>
    <font>
      <u/>
      <sz val="11.0"/>
      <color rgb="FF000000"/>
      <name val="Arial"/>
    </font>
    <font>
      <u/>
      <sz val="11.0"/>
      <color rgb="FF000000"/>
      <name val="Calibri"/>
    </font>
    <font>
      <b/>
      <u/>
      <sz val="8.0"/>
      <color rgb="FF0563C1"/>
      <name val="Calibri"/>
    </font>
    <font>
      <b/>
      <u/>
      <sz val="8.0"/>
      <color rgb="FF0563C1"/>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8.0"/>
      <color rgb="FF0563C1"/>
      <name val="Calibri"/>
    </font>
    <font>
      <b/>
      <u/>
      <sz val="8.0"/>
      <color rgb="FF0563C1"/>
      <name val="Calibri"/>
    </font>
    <font>
      <b/>
      <u/>
      <sz val="8.0"/>
      <color rgb="FF0563C1"/>
      <name val="Calibri"/>
    </font>
    <font>
      <b/>
      <u/>
      <sz val="11.0"/>
      <color rgb="FF0563C1"/>
      <name val="Calibri"/>
    </font>
    <font>
      <b/>
      <u/>
      <sz val="11.0"/>
      <color rgb="FFFFFFFF"/>
      <name val="Calibri"/>
    </font>
    <font>
      <b/>
      <u/>
      <sz val="11.0"/>
      <color rgb="FFFFFFFF"/>
      <name val="Calibri"/>
    </font>
    <font>
      <b/>
      <u/>
      <sz val="11.0"/>
      <color rgb="FFFFFFFF"/>
      <name val="Calibri"/>
    </font>
    <font>
      <b/>
      <u/>
      <sz val="11.0"/>
      <color rgb="FF0563C1"/>
      <name val="Calibri"/>
    </font>
    <font>
      <b/>
      <u/>
      <sz val="11.0"/>
      <color rgb="FF0563C1"/>
      <name val="Calibri"/>
    </font>
    <font>
      <b/>
      <u/>
      <sz val="8.0"/>
      <color rgb="FF0563C1"/>
      <name val="Calibri"/>
    </font>
    <font>
      <b/>
      <u/>
      <sz val="11.0"/>
      <color rgb="FF0563C1"/>
      <name val="Calibri"/>
    </font>
    <font>
      <b/>
      <u/>
      <sz val="11.0"/>
      <color rgb="FF0563C1"/>
      <name val="Calibri"/>
    </font>
    <font>
      <b/>
      <u/>
      <sz val="8.0"/>
      <color rgb="FF0563C1"/>
      <name val="Calibri"/>
    </font>
    <font>
      <b/>
      <u/>
      <sz val="11.0"/>
      <color rgb="FF0563C1"/>
      <name val="Calibri"/>
    </font>
    <font>
      <b/>
      <u/>
      <sz val="11.0"/>
      <color rgb="FF0563C1"/>
      <name val="Calibri"/>
    </font>
    <font>
      <b/>
      <u/>
      <sz val="11.0"/>
      <color rgb="FF0563C1"/>
      <name val="Calibri"/>
    </font>
    <font>
      <b/>
      <u/>
      <sz val="12.0"/>
      <color rgb="FF0563C1"/>
      <name val="&quot;Times New Roman&quot;"/>
    </font>
    <font>
      <b/>
      <u/>
      <sz val="11.0"/>
      <color rgb="FF000000"/>
      <name val="Calibri"/>
    </font>
    <font>
      <b/>
      <u/>
      <sz val="12.0"/>
      <color rgb="FF000000"/>
      <name val="&quot;Times New Roman&quot;"/>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sz val="11.0"/>
      <color rgb="FF000000"/>
      <name val="Calibri"/>
    </font>
    <font>
      <b/>
      <u/>
      <color rgb="FF000000"/>
      <name val="Calibri"/>
    </font>
    <font>
      <b/>
      <u/>
      <sz val="8.0"/>
      <color rgb="FF0563C1"/>
      <name val="Calibri"/>
    </font>
    <font>
      <b/>
      <u/>
      <color rgb="FF0563C1"/>
      <name val="Calibri"/>
    </font>
    <font>
      <color theme="1"/>
      <name val="Arial"/>
      <scheme val="minor"/>
    </font>
    <font>
      <sz val="11.0"/>
      <color rgb="FF000000"/>
      <name val="Calibri"/>
    </font>
    <font>
      <b/>
      <sz val="11.0"/>
      <color rgb="FF000000"/>
      <name val="Calibri"/>
    </font>
    <font>
      <sz val="6.0"/>
      <color rgb="FF000000"/>
      <name val="Calibri"/>
    </font>
    <font>
      <sz val="9.0"/>
      <color rgb="FF000000"/>
      <name val="Calibri"/>
    </font>
    <font>
      <b/>
      <color theme="1"/>
      <name val="Arial"/>
      <scheme val="minor"/>
    </font>
    <font>
      <b/>
      <i/>
      <sz val="11.0"/>
      <color rgb="FF000000"/>
      <name val="Calibri"/>
    </font>
    <font>
      <sz val="11.0"/>
      <color rgb="FF1F1F1F"/>
      <name val="&quot;Google Sans&quot;"/>
    </font>
    <font>
      <u/>
      <color rgb="FF0000FF"/>
    </font>
    <font>
      <u/>
      <color rgb="FF0000FF"/>
    </font>
    <font>
      <color theme="1"/>
      <name val="Arial"/>
    </font>
    <font>
      <b/>
      <sz val="11.0"/>
      <color theme="1"/>
      <name val="Calibri"/>
    </font>
    <font>
      <sz val="11.0"/>
      <color theme="1"/>
      <name val="Calibri"/>
    </font>
    <font>
      <u/>
      <sz val="11.0"/>
      <color rgb="FF0000FF"/>
      <name val="Calibri"/>
    </font>
    <font>
      <b/>
      <sz val="11.0"/>
      <color rgb="FFFFFFFF"/>
      <name val="Calibri"/>
    </font>
    <font>
      <u/>
      <sz val="11.0"/>
      <color rgb="FF000000"/>
      <name val="Calibri"/>
    </font>
    <font>
      <b/>
      <u/>
      <color theme="1"/>
      <name val="Arial"/>
      <scheme val="minor"/>
    </font>
    <font>
      <b/>
      <u/>
      <color theme="1"/>
      <name val="Arial"/>
      <scheme val="minor"/>
    </font>
    <font>
      <b/>
      <u/>
      <color theme="1"/>
      <name val="Arial"/>
      <scheme val="minor"/>
    </font>
    <font>
      <sz val="9.0"/>
      <color rgb="FF000000"/>
      <name val="&quot;Google Sans Mono&quot;"/>
    </font>
    <font>
      <sz val="11.0"/>
      <color rgb="FF3F3F76"/>
      <name val="Calibri"/>
    </font>
    <font>
      <i/>
      <sz val="11.0"/>
      <color theme="1"/>
      <name val="Calibri"/>
    </font>
    <font>
      <i/>
      <sz val="11.0"/>
      <color rgb="FF3F3F76"/>
      <name val="Calibri"/>
    </font>
  </fonts>
  <fills count="23">
    <fill>
      <patternFill patternType="none"/>
    </fill>
    <fill>
      <patternFill patternType="lightGray"/>
    </fill>
    <fill>
      <patternFill patternType="solid">
        <fgColor rgb="FFE7E6E6"/>
        <bgColor rgb="FFE7E6E6"/>
      </patternFill>
    </fill>
    <fill>
      <patternFill patternType="solid">
        <fgColor rgb="FFD6DCE4"/>
        <bgColor rgb="FFD6DCE4"/>
      </patternFill>
    </fill>
    <fill>
      <patternFill patternType="solid">
        <fgColor rgb="FFFCE4D6"/>
        <bgColor rgb="FFFCE4D6"/>
      </patternFill>
    </fill>
    <fill>
      <patternFill patternType="solid">
        <fgColor rgb="FFA9D08E"/>
        <bgColor rgb="FFA9D08E"/>
      </patternFill>
    </fill>
    <fill>
      <patternFill patternType="solid">
        <fgColor rgb="FF5B9BD5"/>
        <bgColor rgb="FF5B9BD5"/>
      </patternFill>
    </fill>
    <fill>
      <patternFill patternType="solid">
        <fgColor rgb="FFFFFFFF"/>
        <bgColor rgb="FFFFFFFF"/>
      </patternFill>
    </fill>
    <fill>
      <patternFill patternType="solid">
        <fgColor rgb="FFFFF2CC"/>
        <bgColor rgb="FFFFF2CC"/>
      </patternFill>
    </fill>
    <fill>
      <patternFill patternType="solid">
        <fgColor rgb="FFE06666"/>
        <bgColor rgb="FFE06666"/>
      </patternFill>
    </fill>
    <fill>
      <patternFill patternType="solid">
        <fgColor rgb="FFEA9999"/>
        <bgColor rgb="FFEA9999"/>
      </patternFill>
    </fill>
    <fill>
      <patternFill patternType="solid">
        <fgColor rgb="FFFFFF00"/>
        <bgColor rgb="FFFFFF00"/>
      </patternFill>
    </fill>
    <fill>
      <patternFill patternType="solid">
        <fgColor rgb="FFFCE5CD"/>
        <bgColor rgb="FFFCE5CD"/>
      </patternFill>
    </fill>
    <fill>
      <patternFill patternType="solid">
        <fgColor rgb="FF315361"/>
        <bgColor rgb="FF315361"/>
      </patternFill>
    </fill>
    <fill>
      <patternFill patternType="solid">
        <fgColor rgb="FFB0E6FD"/>
        <bgColor rgb="FFB0E6FD"/>
      </patternFill>
    </fill>
    <fill>
      <patternFill patternType="solid">
        <fgColor rgb="FFEAD1DC"/>
        <bgColor rgb="FFEAD1DC"/>
      </patternFill>
    </fill>
    <fill>
      <patternFill patternType="solid">
        <fgColor rgb="FFD9D2E9"/>
        <bgColor rgb="FFD9D2E9"/>
      </patternFill>
    </fill>
    <fill>
      <patternFill patternType="solid">
        <fgColor rgb="FFCFE2F3"/>
        <bgColor rgb="FFCFE2F3"/>
      </patternFill>
    </fill>
    <fill>
      <patternFill patternType="solid">
        <fgColor rgb="FFF4CCCC"/>
        <bgColor rgb="FFF4CCCC"/>
      </patternFill>
    </fill>
    <fill>
      <patternFill patternType="solid">
        <fgColor rgb="FFFF0000"/>
        <bgColor rgb="FFFF0000"/>
      </patternFill>
    </fill>
    <fill>
      <patternFill patternType="solid">
        <fgColor rgb="FFF3F3F3"/>
        <bgColor rgb="FFF3F3F3"/>
      </patternFill>
    </fill>
    <fill>
      <patternFill patternType="solid">
        <fgColor rgb="FFC9DAF8"/>
        <bgColor rgb="FFC9DAF8"/>
      </patternFill>
    </fill>
    <fill>
      <patternFill patternType="solid">
        <fgColor rgb="FF000000"/>
        <bgColor rgb="FF000000"/>
      </patternFill>
    </fill>
  </fills>
  <borders count="34">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5B9BD5"/>
      </left>
      <top style="thin">
        <color rgb="FF5B9BD5"/>
      </top>
    </border>
    <border>
      <right style="thin">
        <color rgb="FF5B9BD5"/>
      </right>
      <top style="thin">
        <color rgb="FF5B9BD5"/>
      </top>
    </border>
    <border>
      <right style="thin">
        <color rgb="FF5B9BD5"/>
      </right>
      <top style="thin">
        <color rgb="FF5B9BD5"/>
      </top>
      <bottom style="thin">
        <color rgb="FF5B9BD5"/>
      </bottom>
    </border>
    <border>
      <left style="thin">
        <color rgb="FF5B9BD5"/>
      </left>
    </border>
    <border>
      <right style="thin">
        <color rgb="FF5B9BD5"/>
      </right>
    </border>
    <border>
      <left style="thin">
        <color rgb="FF5B9BD5"/>
      </left>
      <bottom style="thin">
        <color rgb="FF5B9BD5"/>
      </bottom>
    </border>
    <border>
      <top style="thin">
        <color rgb="FF5B9BD5"/>
      </top>
    </border>
    <border>
      <top style="thin">
        <color rgb="FF5B9BD5"/>
      </top>
      <bottom style="thin">
        <color rgb="FF5B9BD5"/>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bottom style="double">
        <color rgb="FF000000"/>
      </bottom>
    </border>
    <border>
      <left style="double">
        <color rgb="FF000000"/>
      </left>
      <top style="double">
        <color rgb="FF000000"/>
      </top>
    </border>
    <border>
      <top style="double">
        <color rgb="FF000000"/>
      </top>
    </border>
    <border>
      <right style="double">
        <color rgb="FF000000"/>
      </right>
    </border>
    <border>
      <left style="double">
        <color rgb="FF000000"/>
      </left>
    </border>
    <border>
      <left style="double">
        <color rgb="FF000000"/>
      </left>
      <bottom style="double">
        <color rgb="FF000000"/>
      </bottom>
    </border>
    <border>
      <right style="double">
        <color rgb="FF000000"/>
      </right>
      <bottom style="double">
        <color rgb="FF000000"/>
      </bottom>
    </border>
    <border>
      <right style="double">
        <color rgb="FF000000"/>
      </right>
      <top style="double">
        <color rgb="FF000000"/>
      </top>
    </border>
    <border>
      <top style="thin">
        <color rgb="FF315361"/>
      </top>
    </border>
    <border>
      <bottom style="thin">
        <color rgb="FFB2B2B2"/>
      </bottom>
    </border>
    <border>
      <right style="thin">
        <color rgb="FFB2B2B2"/>
      </right>
    </border>
    <border>
      <right style="thin">
        <color rgb="FFB2B2B2"/>
      </right>
      <bottom style="thin">
        <color rgb="FFB2B2B2"/>
      </bottom>
    </border>
    <border>
      <top style="thin">
        <color rgb="FF000000"/>
      </top>
    </border>
    <border>
      <right style="thin">
        <color rgb="FF000000"/>
      </right>
      <top style="thin">
        <color rgb="FF000000"/>
      </top>
    </border>
  </borders>
  <cellStyleXfs count="1">
    <xf borderId="0" fillId="0" fontId="0" numFmtId="0" applyAlignment="1" applyFont="1"/>
  </cellStyleXfs>
  <cellXfs count="575">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Font="1"/>
    <xf borderId="0" fillId="0" fontId="3" numFmtId="0" xfId="0" applyAlignment="1" applyFont="1">
      <alignment readingOrder="0"/>
    </xf>
    <xf borderId="0" fillId="0" fontId="4" numFmtId="0" xfId="0" applyFont="1"/>
    <xf borderId="1" fillId="2" fontId="5" numFmtId="0" xfId="0" applyAlignment="1" applyBorder="1" applyFill="1" applyFont="1">
      <alignment readingOrder="0" vertical="bottom"/>
    </xf>
    <xf borderId="2" fillId="2" fontId="6" numFmtId="0" xfId="0" applyAlignment="1" applyBorder="1" applyFont="1">
      <alignment readingOrder="0" vertical="bottom"/>
    </xf>
    <xf borderId="3" fillId="2" fontId="7" numFmtId="0" xfId="0" applyAlignment="1" applyBorder="1" applyFont="1">
      <alignment readingOrder="0" vertical="bottom"/>
    </xf>
    <xf borderId="4" fillId="0" fontId="8" numFmtId="0" xfId="0" applyAlignment="1" applyBorder="1" applyFont="1">
      <alignment horizontal="center" readingOrder="0" vertical="bottom"/>
    </xf>
    <xf borderId="0" fillId="3" fontId="9" numFmtId="0" xfId="0" applyAlignment="1" applyFill="1" applyFont="1">
      <alignment readingOrder="0" vertical="bottom"/>
    </xf>
    <xf borderId="0" fillId="3" fontId="10" numFmtId="3" xfId="0" applyAlignment="1" applyFont="1" applyNumberFormat="1">
      <alignment readingOrder="0" vertical="bottom"/>
    </xf>
    <xf borderId="5" fillId="3" fontId="11" numFmtId="9" xfId="0" applyAlignment="1" applyBorder="1" applyFont="1" applyNumberFormat="1">
      <alignment horizontal="right" readingOrder="0" vertical="bottom"/>
    </xf>
    <xf borderId="4" fillId="0" fontId="12" numFmtId="0" xfId="0" applyBorder="1" applyFont="1"/>
    <xf borderId="0" fillId="4" fontId="13" numFmtId="0" xfId="0" applyAlignment="1" applyFill="1" applyFont="1">
      <alignment readingOrder="0" vertical="bottom"/>
    </xf>
    <xf borderId="0" fillId="4" fontId="14" numFmtId="4" xfId="0" applyAlignment="1" applyFont="1" applyNumberFormat="1">
      <alignment readingOrder="0" vertical="bottom"/>
    </xf>
    <xf borderId="5" fillId="4" fontId="15" numFmtId="9" xfId="0" applyAlignment="1" applyBorder="1" applyFont="1" applyNumberFormat="1">
      <alignment horizontal="right" readingOrder="0" vertical="bottom"/>
    </xf>
    <xf borderId="0" fillId="5" fontId="16" numFmtId="0" xfId="0" applyAlignment="1" applyFill="1" applyFont="1">
      <alignment readingOrder="0" vertical="bottom"/>
    </xf>
    <xf borderId="0" fillId="5" fontId="17" numFmtId="3" xfId="0" applyAlignment="1" applyFont="1" applyNumberFormat="1">
      <alignment readingOrder="0" vertical="bottom"/>
    </xf>
    <xf borderId="5" fillId="5" fontId="18" numFmtId="9" xfId="0" applyAlignment="1" applyBorder="1" applyFont="1" applyNumberFormat="1">
      <alignment horizontal="right" readingOrder="0" vertical="bottom"/>
    </xf>
    <xf borderId="6" fillId="0" fontId="12" numFmtId="0" xfId="0" applyBorder="1" applyFont="1"/>
    <xf borderId="7" fillId="0" fontId="19" numFmtId="0" xfId="0" applyAlignment="1" applyBorder="1" applyFont="1">
      <alignment readingOrder="0" vertical="bottom"/>
    </xf>
    <xf borderId="7" fillId="0" fontId="20" numFmtId="3" xfId="0" applyAlignment="1" applyBorder="1" applyFont="1" applyNumberFormat="1">
      <alignment readingOrder="0" vertical="bottom"/>
    </xf>
    <xf borderId="8" fillId="0" fontId="21" numFmtId="9" xfId="0" applyAlignment="1" applyBorder="1" applyFont="1" applyNumberFormat="1">
      <alignment horizontal="right" readingOrder="0" vertical="bottom"/>
    </xf>
    <xf borderId="0" fillId="3" fontId="22" numFmtId="9" xfId="0" applyAlignment="1" applyFont="1" applyNumberFormat="1">
      <alignment horizontal="right" readingOrder="0" vertical="bottom"/>
    </xf>
    <xf borderId="0" fillId="4" fontId="23" numFmtId="3" xfId="0" applyAlignment="1" applyFont="1" applyNumberFormat="1">
      <alignment readingOrder="0" vertical="bottom"/>
    </xf>
    <xf borderId="0" fillId="4" fontId="24" numFmtId="9" xfId="0" applyAlignment="1" applyFont="1" applyNumberFormat="1">
      <alignment horizontal="right" readingOrder="0" vertical="bottom"/>
    </xf>
    <xf borderId="0" fillId="5" fontId="25" numFmtId="9" xfId="0" applyAlignment="1" applyFont="1" applyNumberFormat="1">
      <alignment horizontal="right" readingOrder="0" vertical="bottom"/>
    </xf>
    <xf borderId="7" fillId="0" fontId="26" numFmtId="9" xfId="0" applyAlignment="1" applyBorder="1" applyFont="1" applyNumberFormat="1">
      <alignment horizontal="right" readingOrder="0" vertical="bottom"/>
    </xf>
    <xf borderId="5" fillId="3" fontId="27" numFmtId="9" xfId="0" applyAlignment="1" applyBorder="1" applyFont="1" applyNumberFormat="1">
      <alignment horizontal="right" readingOrder="0" vertical="bottom"/>
    </xf>
    <xf borderId="5" fillId="4" fontId="28" numFmtId="9" xfId="0" applyAlignment="1" applyBorder="1" applyFont="1" applyNumberFormat="1">
      <alignment horizontal="right" readingOrder="0" vertical="bottom"/>
    </xf>
    <xf borderId="5" fillId="5" fontId="29" numFmtId="9" xfId="0" applyAlignment="1" applyBorder="1" applyFont="1" applyNumberFormat="1">
      <alignment horizontal="right" readingOrder="0" vertical="bottom"/>
    </xf>
    <xf borderId="0" fillId="4" fontId="30" numFmtId="0" xfId="0" applyAlignment="1" applyFont="1">
      <alignment readingOrder="0" vertical="bottom"/>
    </xf>
    <xf borderId="7" fillId="0" fontId="31" numFmtId="0" xfId="0" applyAlignment="1" applyBorder="1" applyFont="1">
      <alignment horizontal="right" readingOrder="0" vertical="bottom"/>
    </xf>
    <xf borderId="0" fillId="4" fontId="32" numFmtId="0" xfId="0" applyAlignment="1" applyFont="1">
      <alignment horizontal="right" readingOrder="0" vertical="bottom"/>
    </xf>
    <xf borderId="0" fillId="5" fontId="33" numFmtId="0" xfId="0" applyAlignment="1" applyFont="1">
      <alignment readingOrder="0" vertical="bottom"/>
    </xf>
    <xf borderId="0" fillId="3" fontId="34" numFmtId="0" xfId="0" applyAlignment="1" applyFont="1">
      <alignment horizontal="right" readingOrder="0" vertical="bottom"/>
    </xf>
    <xf borderId="0" fillId="0" fontId="35" numFmtId="0" xfId="0" applyAlignment="1" applyFont="1">
      <alignment readingOrder="0"/>
    </xf>
    <xf borderId="0" fillId="0" fontId="36" numFmtId="0" xfId="0" applyFont="1"/>
    <xf borderId="9" fillId="6" fontId="37" numFmtId="0" xfId="0" applyAlignment="1" applyBorder="1" applyFill="1" applyFont="1">
      <alignment readingOrder="0" vertical="top"/>
    </xf>
    <xf borderId="10" fillId="6" fontId="38" numFmtId="0" xfId="0" applyAlignment="1" applyBorder="1" applyFont="1">
      <alignment readingOrder="0" vertical="top"/>
    </xf>
    <xf borderId="9" fillId="7" fontId="39" numFmtId="0" xfId="0" applyAlignment="1" applyBorder="1" applyFill="1" applyFont="1">
      <alignment horizontal="center" readingOrder="0" shrinkToFit="0" vertical="top" wrapText="1"/>
    </xf>
    <xf borderId="11" fillId="0" fontId="40" numFmtId="0" xfId="0" applyAlignment="1" applyBorder="1" applyFont="1">
      <alignment readingOrder="0" vertical="top"/>
    </xf>
    <xf borderId="12" fillId="0" fontId="12" numFmtId="0" xfId="0" applyBorder="1" applyFont="1"/>
    <xf borderId="13" fillId="0" fontId="41" numFmtId="0" xfId="0" applyAlignment="1" applyBorder="1" applyFont="1">
      <alignment readingOrder="0" vertical="top"/>
    </xf>
    <xf borderId="9" fillId="7" fontId="42" numFmtId="0" xfId="0" applyAlignment="1" applyBorder="1" applyFont="1">
      <alignment horizontal="center" readingOrder="0" vertical="top"/>
    </xf>
    <xf borderId="11" fillId="0" fontId="43" numFmtId="0" xfId="0" applyAlignment="1" applyBorder="1" applyFont="1">
      <alignment vertical="top"/>
    </xf>
    <xf borderId="13" fillId="0" fontId="44" numFmtId="0" xfId="0" applyAlignment="1" applyBorder="1" applyFont="1">
      <alignment vertical="top"/>
    </xf>
    <xf borderId="14" fillId="0" fontId="12" numFmtId="0" xfId="0" applyBorder="1" applyFont="1"/>
    <xf borderId="12" fillId="7" fontId="45" numFmtId="0" xfId="0" applyAlignment="1" applyBorder="1" applyFont="1">
      <alignment readingOrder="0" vertical="top"/>
    </xf>
    <xf borderId="0" fillId="0" fontId="46" numFmtId="0" xfId="0" applyFont="1"/>
    <xf borderId="9" fillId="6" fontId="47" numFmtId="0" xfId="0" applyAlignment="1" applyBorder="1" applyFont="1">
      <alignment horizontal="center" readingOrder="0" vertical="top"/>
    </xf>
    <xf borderId="15" fillId="6" fontId="48" numFmtId="0" xfId="0" applyAlignment="1" applyBorder="1" applyFont="1">
      <alignment horizontal="center" readingOrder="0" vertical="top"/>
    </xf>
    <xf borderId="10" fillId="6" fontId="49" numFmtId="0" xfId="0" applyAlignment="1" applyBorder="1" applyFont="1">
      <alignment horizontal="center" readingOrder="0" vertical="top"/>
    </xf>
    <xf borderId="9" fillId="7" fontId="50" numFmtId="0" xfId="0" applyAlignment="1" applyBorder="1" applyFont="1">
      <alignment horizontal="center" readingOrder="0" vertical="top"/>
    </xf>
    <xf borderId="16" fillId="0" fontId="51" numFmtId="0" xfId="0" applyAlignment="1" applyBorder="1" applyFont="1">
      <alignment horizontal="center" readingOrder="0" vertical="top"/>
    </xf>
    <xf borderId="16" fillId="0" fontId="52" numFmtId="0" xfId="0" applyAlignment="1" applyBorder="1" applyFont="1">
      <alignment vertical="top"/>
    </xf>
    <xf borderId="11" fillId="0" fontId="53" numFmtId="0" xfId="0" applyAlignment="1" applyBorder="1" applyFont="1">
      <alignment horizontal="center" readingOrder="0" vertical="top"/>
    </xf>
    <xf borderId="0" fillId="0" fontId="54" numFmtId="0" xfId="0" applyAlignment="1" applyFont="1">
      <alignment horizontal="center" readingOrder="0" vertical="top"/>
    </xf>
    <xf borderId="0" fillId="0" fontId="55" numFmtId="0" xfId="0" applyAlignment="1" applyFont="1">
      <alignment vertical="top"/>
    </xf>
    <xf borderId="13" fillId="0" fontId="56" numFmtId="0" xfId="0" applyAlignment="1" applyBorder="1" applyFont="1">
      <alignment horizontal="center" readingOrder="0" vertical="top"/>
    </xf>
    <xf borderId="12" fillId="7" fontId="57" numFmtId="0" xfId="0" applyAlignment="1" applyBorder="1" applyFont="1">
      <alignment horizontal="center" readingOrder="0" vertical="top"/>
    </xf>
    <xf borderId="0" fillId="0" fontId="58" numFmtId="0" xfId="0" applyAlignment="1" applyFont="1">
      <alignment readingOrder="0"/>
    </xf>
    <xf borderId="0" fillId="0" fontId="59" numFmtId="0" xfId="0" applyFont="1"/>
    <xf borderId="0" fillId="0" fontId="60" numFmtId="0" xfId="0" applyAlignment="1" applyFont="1">
      <alignment readingOrder="0"/>
    </xf>
    <xf borderId="0" fillId="0" fontId="61" numFmtId="0" xfId="0" applyFont="1"/>
    <xf borderId="0" fillId="0" fontId="62" numFmtId="0" xfId="0" applyFont="1"/>
    <xf borderId="0" fillId="0" fontId="63" numFmtId="0" xfId="0" applyAlignment="1" applyFont="1">
      <alignment readingOrder="0" shrinkToFit="0" wrapText="1"/>
    </xf>
    <xf borderId="17" fillId="0" fontId="64" numFmtId="0" xfId="0" applyAlignment="1" applyBorder="1" applyFont="1">
      <alignment readingOrder="0" vertical="top"/>
    </xf>
    <xf borderId="3" fillId="0" fontId="65" numFmtId="0" xfId="0" applyAlignment="1" applyBorder="1" applyFont="1">
      <alignment readingOrder="0" vertical="top"/>
    </xf>
    <xf borderId="18" fillId="0" fontId="66" numFmtId="0" xfId="0" applyAlignment="1" applyBorder="1" applyFont="1">
      <alignment readingOrder="0" vertical="top"/>
    </xf>
    <xf borderId="5" fillId="0" fontId="67" numFmtId="164" xfId="0" applyAlignment="1" applyBorder="1" applyFont="1" applyNumberFormat="1">
      <alignment readingOrder="0" vertical="top"/>
    </xf>
    <xf borderId="8" fillId="0" fontId="68" numFmtId="0" xfId="0" applyAlignment="1" applyBorder="1" applyFont="1">
      <alignment readingOrder="0" vertical="top"/>
    </xf>
    <xf borderId="8" fillId="0" fontId="69" numFmtId="0" xfId="0" applyAlignment="1" applyBorder="1" applyFont="1">
      <alignment vertical="top"/>
    </xf>
    <xf borderId="18" fillId="0" fontId="12" numFmtId="0" xfId="0" applyBorder="1" applyFont="1"/>
    <xf borderId="5" fillId="0" fontId="12" numFmtId="0" xfId="0" applyBorder="1" applyFont="1"/>
    <xf borderId="19" fillId="0" fontId="12" numFmtId="0" xfId="0" applyBorder="1" applyFont="1"/>
    <xf borderId="8" fillId="0" fontId="12" numFmtId="0" xfId="0" applyBorder="1" applyFont="1"/>
    <xf borderId="8" fillId="0" fontId="70" numFmtId="164" xfId="0" applyAlignment="1" applyBorder="1" applyFont="1" applyNumberFormat="1">
      <alignment readingOrder="0" vertical="top"/>
    </xf>
    <xf borderId="19" fillId="0" fontId="71" numFmtId="0" xfId="0" applyAlignment="1" applyBorder="1" applyFont="1">
      <alignment readingOrder="0" vertical="top"/>
    </xf>
    <xf borderId="19" fillId="0" fontId="72" numFmtId="0" xfId="0" applyAlignment="1" applyBorder="1" applyFont="1">
      <alignment vertical="top"/>
    </xf>
    <xf borderId="6" fillId="0" fontId="73" numFmtId="0" xfId="0" applyAlignment="1" applyBorder="1" applyFont="1">
      <alignment readingOrder="0" vertical="top"/>
    </xf>
    <xf borderId="7" fillId="0" fontId="12" numFmtId="0" xfId="0" applyBorder="1" applyFont="1"/>
    <xf borderId="0" fillId="0" fontId="74" numFmtId="0" xfId="0" applyAlignment="1" applyFont="1">
      <alignment horizontal="left"/>
    </xf>
    <xf borderId="0" fillId="0" fontId="75" numFmtId="0" xfId="0" applyAlignment="1" applyFont="1">
      <alignment horizontal="left" readingOrder="0"/>
    </xf>
    <xf borderId="0" fillId="0" fontId="76" numFmtId="0" xfId="0" applyAlignment="1" applyFont="1">
      <alignment horizontal="left"/>
    </xf>
    <xf borderId="0" fillId="0" fontId="77" numFmtId="0" xfId="0" applyAlignment="1" applyFont="1">
      <alignment readingOrder="0" shrinkToFit="0" wrapText="1"/>
    </xf>
    <xf borderId="0" fillId="0" fontId="78" numFmtId="0" xfId="0" applyAlignment="1" applyFont="1">
      <alignment readingOrder="0" shrinkToFit="0" vertical="bottom" wrapText="0"/>
    </xf>
    <xf borderId="0" fillId="0" fontId="78" numFmtId="0" xfId="0" applyAlignment="1" applyFont="1">
      <alignment shrinkToFit="0" vertical="bottom" wrapText="0"/>
    </xf>
    <xf borderId="0" fillId="8" fontId="78" numFmtId="0" xfId="0" applyAlignment="1" applyFill="1" applyFont="1">
      <alignment readingOrder="0" shrinkToFit="0" vertical="bottom" wrapText="0"/>
    </xf>
    <xf borderId="0" fillId="0" fontId="79" numFmtId="0" xfId="0" applyAlignment="1" applyFont="1">
      <alignment readingOrder="0" shrinkToFit="0" vertical="bottom" wrapText="0"/>
    </xf>
    <xf borderId="0" fillId="0" fontId="79" numFmtId="0" xfId="0" applyAlignment="1" applyFont="1">
      <alignment shrinkToFit="0" vertical="bottom" wrapText="0"/>
    </xf>
    <xf borderId="0" fillId="0" fontId="80" numFmtId="0" xfId="0" applyAlignment="1" applyFont="1">
      <alignment readingOrder="0" shrinkToFit="0" vertical="bottom" wrapText="0"/>
    </xf>
    <xf borderId="0" fillId="0" fontId="78" numFmtId="3" xfId="0" applyAlignment="1" applyFont="1" applyNumberFormat="1">
      <alignment horizontal="right" readingOrder="0" shrinkToFit="0" vertical="bottom" wrapText="0"/>
    </xf>
    <xf borderId="0" fillId="0" fontId="78" numFmtId="9" xfId="0" applyAlignment="1" applyFont="1" applyNumberFormat="1">
      <alignment horizontal="right" readingOrder="0" shrinkToFit="0" vertical="bottom" wrapText="0"/>
    </xf>
    <xf borderId="0" fillId="0" fontId="78" numFmtId="4" xfId="0" applyAlignment="1" applyFont="1" applyNumberFormat="1">
      <alignment horizontal="right" readingOrder="0" shrinkToFit="0" vertical="bottom" wrapText="0"/>
    </xf>
    <xf borderId="0" fillId="9" fontId="78" numFmtId="9" xfId="0" applyAlignment="1" applyFill="1" applyFont="1" applyNumberFormat="1">
      <alignment horizontal="right" readingOrder="0" shrinkToFit="0" vertical="bottom" wrapText="0"/>
    </xf>
    <xf borderId="0" fillId="9" fontId="78" numFmtId="0" xfId="0" applyAlignment="1" applyFont="1">
      <alignment shrinkToFit="0" vertical="bottom" wrapText="0"/>
    </xf>
    <xf borderId="0" fillId="10" fontId="78" numFmtId="3" xfId="0" applyAlignment="1" applyFill="1" applyFont="1" applyNumberFormat="1">
      <alignment readingOrder="0" shrinkToFit="0" vertical="bottom" wrapText="0"/>
    </xf>
    <xf borderId="0" fillId="0" fontId="81" numFmtId="0" xfId="0" applyAlignment="1" applyFont="1">
      <alignment readingOrder="0" shrinkToFit="0" vertical="bottom" wrapText="0"/>
    </xf>
    <xf borderId="0" fillId="0" fontId="79" numFmtId="10" xfId="0" applyAlignment="1" applyFont="1" applyNumberFormat="1">
      <alignment shrinkToFit="0" vertical="bottom" wrapText="0"/>
    </xf>
    <xf borderId="0" fillId="0" fontId="82" numFmtId="0" xfId="0" applyFont="1"/>
    <xf borderId="0" fillId="0" fontId="78" numFmtId="10" xfId="0" applyAlignment="1" applyFont="1" applyNumberFormat="1">
      <alignment shrinkToFit="0" vertical="bottom" wrapText="0"/>
    </xf>
    <xf borderId="0" fillId="9" fontId="78" numFmtId="3" xfId="0" applyAlignment="1" applyFont="1" applyNumberFormat="1">
      <alignment horizontal="right" readingOrder="0" shrinkToFit="0" vertical="bottom" wrapText="0"/>
    </xf>
    <xf borderId="0" fillId="0" fontId="79" numFmtId="0" xfId="0" applyAlignment="1" applyFont="1">
      <alignment readingOrder="0" shrinkToFit="0" vertical="bottom" wrapText="1"/>
    </xf>
    <xf borderId="0" fillId="0" fontId="78" numFmtId="0" xfId="0" applyAlignment="1" applyFont="1">
      <alignment horizontal="right" readingOrder="0" shrinkToFit="0" vertical="bottom" wrapText="0"/>
    </xf>
    <xf borderId="0" fillId="0" fontId="78" numFmtId="4" xfId="0" applyAlignment="1" applyFont="1" applyNumberFormat="1">
      <alignment horizontal="center" readingOrder="0" shrinkToFit="0" vertical="bottom" wrapText="0"/>
    </xf>
    <xf borderId="0" fillId="0" fontId="78" numFmtId="165" xfId="0" applyAlignment="1" applyFont="1" applyNumberFormat="1">
      <alignment horizontal="right" readingOrder="0" shrinkToFit="0" vertical="bottom" wrapText="0"/>
    </xf>
    <xf borderId="0" fillId="0" fontId="78" numFmtId="165" xfId="0" applyAlignment="1" applyFont="1" applyNumberFormat="1">
      <alignment horizontal="center" readingOrder="0" shrinkToFit="0" vertical="bottom" wrapText="0"/>
    </xf>
    <xf borderId="0" fillId="0" fontId="78" numFmtId="164" xfId="0" applyAlignment="1" applyFont="1" applyNumberFormat="1">
      <alignment shrinkToFit="0" vertical="bottom" wrapText="0"/>
    </xf>
    <xf borderId="0" fillId="0" fontId="78" numFmtId="9" xfId="0" applyAlignment="1" applyFont="1" applyNumberFormat="1">
      <alignment readingOrder="0" shrinkToFit="0" vertical="bottom" wrapText="0"/>
    </xf>
    <xf borderId="20" fillId="11" fontId="79" numFmtId="0" xfId="0" applyAlignment="1" applyBorder="1" applyFill="1" applyFont="1">
      <alignment horizontal="center" readingOrder="0" shrinkToFit="0" vertical="bottom" wrapText="0"/>
    </xf>
    <xf borderId="21" fillId="0" fontId="78" numFmtId="0" xfId="0" applyAlignment="1" applyBorder="1" applyFont="1">
      <alignment readingOrder="0" shrinkToFit="0" vertical="bottom" wrapText="1"/>
    </xf>
    <xf borderId="22" fillId="0" fontId="78" numFmtId="0" xfId="0" applyAlignment="1" applyBorder="1" applyFont="1">
      <alignment readingOrder="0" shrinkToFit="0" vertical="bottom" wrapText="1"/>
    </xf>
    <xf borderId="22" fillId="0" fontId="78" numFmtId="0" xfId="0" applyAlignment="1" applyBorder="1" applyFont="1">
      <alignment readingOrder="0" shrinkToFit="0" vertical="bottom" wrapText="0"/>
    </xf>
    <xf borderId="22" fillId="0" fontId="78" numFmtId="0" xfId="0" applyAlignment="1" applyBorder="1" applyFont="1">
      <alignment shrinkToFit="0" vertical="bottom" wrapText="0"/>
    </xf>
    <xf borderId="22" fillId="0" fontId="78" numFmtId="0" xfId="0" applyAlignment="1" applyBorder="1" applyFont="1">
      <alignment horizontal="right" readingOrder="0" shrinkToFit="0" vertical="bottom" wrapText="0"/>
    </xf>
    <xf borderId="23" fillId="0" fontId="78" numFmtId="0" xfId="0" applyAlignment="1" applyBorder="1" applyFont="1">
      <alignment horizontal="center" readingOrder="0" shrinkToFit="0" vertical="bottom" wrapText="0"/>
    </xf>
    <xf borderId="24" fillId="0" fontId="78" numFmtId="0" xfId="0" applyAlignment="1" applyBorder="1" applyFont="1">
      <alignment shrinkToFit="0" vertical="bottom" wrapText="0"/>
    </xf>
    <xf borderId="0" fillId="0" fontId="78" numFmtId="1" xfId="0" applyAlignment="1" applyFont="1" applyNumberFormat="1">
      <alignment shrinkToFit="0" vertical="bottom" wrapText="0"/>
    </xf>
    <xf borderId="0" fillId="0" fontId="78" numFmtId="3" xfId="0" applyAlignment="1" applyFont="1" applyNumberFormat="1">
      <alignment readingOrder="0" shrinkToFit="0" vertical="bottom" wrapText="0"/>
    </xf>
    <xf borderId="0" fillId="0" fontId="78" numFmtId="3" xfId="0" applyAlignment="1" applyFont="1" applyNumberFormat="1">
      <alignment shrinkToFit="0" vertical="bottom" wrapText="0"/>
    </xf>
    <xf borderId="0" fillId="0" fontId="83" numFmtId="2" xfId="0" applyAlignment="1" applyFont="1" applyNumberFormat="1">
      <alignment shrinkToFit="0" vertical="bottom" wrapText="0"/>
    </xf>
    <xf borderId="23" fillId="0" fontId="83" numFmtId="0" xfId="0" applyAlignment="1" applyBorder="1" applyFont="1">
      <alignment readingOrder="0" shrinkToFit="0" vertical="bottom" wrapText="0"/>
    </xf>
    <xf borderId="25" fillId="0" fontId="78" numFmtId="0" xfId="0" applyAlignment="1" applyBorder="1" applyFont="1">
      <alignment shrinkToFit="0" vertical="bottom" wrapText="0"/>
    </xf>
    <xf borderId="20" fillId="0" fontId="78" numFmtId="1" xfId="0" applyAlignment="1" applyBorder="1" applyFont="1" applyNumberFormat="1">
      <alignment shrinkToFit="0" vertical="bottom" wrapText="0"/>
    </xf>
    <xf borderId="20" fillId="0" fontId="78" numFmtId="3" xfId="0" applyAlignment="1" applyBorder="1" applyFont="1" applyNumberFormat="1">
      <alignment readingOrder="0" shrinkToFit="0" vertical="bottom" wrapText="0"/>
    </xf>
    <xf borderId="20" fillId="0" fontId="78" numFmtId="0" xfId="0" applyAlignment="1" applyBorder="1" applyFont="1">
      <alignment shrinkToFit="0" vertical="bottom" wrapText="0"/>
    </xf>
    <xf borderId="20" fillId="0" fontId="78" numFmtId="3" xfId="0" applyAlignment="1" applyBorder="1" applyFont="1" applyNumberFormat="1">
      <alignment shrinkToFit="0" vertical="bottom" wrapText="0"/>
    </xf>
    <xf borderId="26" fillId="0" fontId="78" numFmtId="0" xfId="0" applyAlignment="1" applyBorder="1" applyFont="1">
      <alignment shrinkToFit="0" vertical="bottom" wrapText="0"/>
    </xf>
    <xf borderId="0" fillId="7" fontId="84" numFmtId="0" xfId="0" applyAlignment="1" applyFont="1">
      <alignment readingOrder="0"/>
    </xf>
    <xf borderId="21" fillId="0" fontId="77" numFmtId="0" xfId="0" applyAlignment="1" applyBorder="1" applyFont="1">
      <alignment readingOrder="0" shrinkToFit="0" wrapText="1"/>
    </xf>
    <xf borderId="27" fillId="0" fontId="77" numFmtId="4" xfId="0" applyBorder="1" applyFont="1" applyNumberFormat="1"/>
    <xf borderId="0" fillId="0" fontId="77" numFmtId="0" xfId="0" applyAlignment="1" applyFont="1">
      <alignment readingOrder="0"/>
    </xf>
    <xf borderId="24" fillId="0" fontId="77" numFmtId="0" xfId="0" applyAlignment="1" applyBorder="1" applyFont="1">
      <alignment readingOrder="0"/>
    </xf>
    <xf borderId="23" fillId="0" fontId="77" numFmtId="165" xfId="0" applyAlignment="1" applyBorder="1" applyFont="1" applyNumberFormat="1">
      <alignment readingOrder="0"/>
    </xf>
    <xf borderId="25" fillId="0" fontId="77" numFmtId="0" xfId="0" applyBorder="1" applyFont="1"/>
    <xf borderId="26" fillId="0" fontId="77" numFmtId="165" xfId="0" applyBorder="1" applyFont="1" applyNumberFormat="1"/>
    <xf borderId="0" fillId="11" fontId="77" numFmtId="0" xfId="0" applyAlignment="1" applyFont="1">
      <alignment readingOrder="0"/>
    </xf>
    <xf borderId="0" fillId="11" fontId="77" numFmtId="0" xfId="0" applyFont="1"/>
    <xf borderId="0" fillId="0" fontId="82" numFmtId="0" xfId="0" applyAlignment="1" applyFont="1">
      <alignment readingOrder="0"/>
    </xf>
    <xf borderId="0" fillId="0" fontId="85" numFmtId="0" xfId="0" applyAlignment="1" applyFont="1">
      <alignment readingOrder="0"/>
    </xf>
    <xf borderId="21" fillId="0" fontId="82" numFmtId="0" xfId="0" applyAlignment="1" applyBorder="1" applyFont="1">
      <alignment readingOrder="0"/>
    </xf>
    <xf borderId="27" fillId="0" fontId="82" numFmtId="0" xfId="0" applyBorder="1" applyFont="1"/>
    <xf borderId="24" fillId="0" fontId="82" numFmtId="0" xfId="0" applyAlignment="1" applyBorder="1" applyFont="1">
      <alignment readingOrder="0" shrinkToFit="0" wrapText="1"/>
    </xf>
    <xf borderId="23" fillId="0" fontId="12" numFmtId="0" xfId="0" applyBorder="1" applyFont="1"/>
    <xf borderId="0" fillId="0" fontId="77" numFmtId="165" xfId="0" applyAlignment="1" applyFont="1" applyNumberFormat="1">
      <alignment readingOrder="0"/>
    </xf>
    <xf borderId="24" fillId="0" fontId="82" numFmtId="0" xfId="0" applyAlignment="1" applyBorder="1" applyFont="1">
      <alignment readingOrder="0"/>
    </xf>
    <xf borderId="23" fillId="0" fontId="82" numFmtId="164" xfId="0" applyBorder="1" applyFont="1" applyNumberFormat="1"/>
    <xf borderId="0" fillId="0" fontId="86" numFmtId="0" xfId="0" applyAlignment="1" applyFont="1">
      <alignment readingOrder="0"/>
    </xf>
    <xf borderId="23" fillId="0" fontId="82" numFmtId="165" xfId="0" applyBorder="1" applyFont="1" applyNumberFormat="1"/>
    <xf borderId="25" fillId="0" fontId="82" numFmtId="0" xfId="0" applyAlignment="1" applyBorder="1" applyFont="1">
      <alignment readingOrder="0"/>
    </xf>
    <xf borderId="26" fillId="0" fontId="82" numFmtId="165" xfId="0" applyBorder="1" applyFont="1" applyNumberFormat="1"/>
    <xf borderId="0" fillId="0" fontId="77" numFmtId="164" xfId="0" applyAlignment="1" applyFont="1" applyNumberFormat="1">
      <alignment readingOrder="0"/>
    </xf>
    <xf borderId="27" fillId="0" fontId="78" numFmtId="0" xfId="0" applyAlignment="1" applyBorder="1" applyFont="1">
      <alignment horizontal="center" readingOrder="0" shrinkToFit="0" vertical="bottom" wrapText="0"/>
    </xf>
    <xf borderId="0" fillId="0" fontId="77" numFmtId="165" xfId="0" applyFont="1" applyNumberFormat="1"/>
    <xf borderId="0" fillId="0" fontId="87" numFmtId="0" xfId="0" applyAlignment="1" applyFont="1">
      <alignment shrinkToFit="0" vertical="bottom" wrapText="0"/>
    </xf>
    <xf borderId="28" fillId="0" fontId="87" numFmtId="0" xfId="0" applyAlignment="1" applyBorder="1" applyFont="1">
      <alignment vertical="bottom"/>
    </xf>
    <xf borderId="0" fillId="0" fontId="87" numFmtId="0" xfId="0" applyAlignment="1" applyFont="1">
      <alignment vertical="bottom"/>
    </xf>
    <xf borderId="0" fillId="0" fontId="87" numFmtId="0" xfId="0" applyAlignment="1" applyFont="1">
      <alignment vertical="bottom"/>
    </xf>
    <xf borderId="29" fillId="0" fontId="88" numFmtId="0" xfId="0" applyAlignment="1" applyBorder="1" applyFont="1">
      <alignment vertical="bottom"/>
    </xf>
    <xf borderId="29" fillId="0" fontId="87" numFmtId="0" xfId="0" applyAlignment="1" applyBorder="1" applyFont="1">
      <alignment vertical="bottom"/>
    </xf>
    <xf borderId="28" fillId="0" fontId="78" numFmtId="0" xfId="0" applyAlignment="1" applyBorder="1" applyFont="1">
      <alignment shrinkToFit="0" vertical="bottom" wrapText="0"/>
    </xf>
    <xf borderId="30" fillId="0" fontId="87" numFmtId="0" xfId="0" applyAlignment="1" applyBorder="1" applyFont="1">
      <alignment vertical="bottom"/>
    </xf>
    <xf borderId="31" fillId="12" fontId="88" numFmtId="0" xfId="0" applyAlignment="1" applyBorder="1" applyFill="1" applyFont="1">
      <alignment vertical="bottom"/>
    </xf>
    <xf borderId="31" fillId="12" fontId="89" numFmtId="0" xfId="0" applyAlignment="1" applyBorder="1" applyFont="1">
      <alignment vertical="bottom"/>
    </xf>
    <xf borderId="31" fillId="12" fontId="89" numFmtId="0" xfId="0" applyAlignment="1" applyBorder="1" applyFont="1">
      <alignment vertical="bottom"/>
    </xf>
    <xf borderId="31" fillId="12" fontId="89" numFmtId="0" xfId="0" applyAlignment="1" applyBorder="1" applyFont="1">
      <alignment horizontal="right" vertical="bottom"/>
    </xf>
    <xf borderId="31" fillId="12" fontId="89" numFmtId="9" xfId="0" applyAlignment="1" applyBorder="1" applyFont="1" applyNumberFormat="1">
      <alignment horizontal="right" vertical="bottom"/>
    </xf>
    <xf borderId="0" fillId="0" fontId="89" numFmtId="0" xfId="0" applyAlignment="1" applyFont="1">
      <alignment vertical="bottom"/>
    </xf>
    <xf borderId="31" fillId="12" fontId="89" numFmtId="165" xfId="0" applyAlignment="1" applyBorder="1" applyFont="1" applyNumberFormat="1">
      <alignment horizontal="right" vertical="bottom"/>
    </xf>
    <xf borderId="0" fillId="0" fontId="89" numFmtId="165" xfId="0" applyAlignment="1" applyFont="1" applyNumberFormat="1">
      <alignment horizontal="right" vertical="bottom"/>
    </xf>
    <xf borderId="31" fillId="12" fontId="87" numFmtId="0" xfId="0" applyAlignment="1" applyBorder="1" applyFont="1">
      <alignment vertical="bottom"/>
    </xf>
    <xf borderId="31" fillId="12" fontId="87" numFmtId="9" xfId="0" applyAlignment="1" applyBorder="1" applyFont="1" applyNumberFormat="1">
      <alignment vertical="bottom"/>
    </xf>
    <xf borderId="0" fillId="0" fontId="89" numFmtId="0" xfId="0" applyAlignment="1" applyFont="1">
      <alignment vertical="bottom"/>
    </xf>
    <xf borderId="31" fillId="12" fontId="87" numFmtId="165" xfId="0" applyAlignment="1" applyBorder="1" applyFont="1" applyNumberFormat="1">
      <alignment vertical="bottom"/>
    </xf>
    <xf borderId="31" fillId="12" fontId="89" numFmtId="164" xfId="0" applyAlignment="1" applyBorder="1" applyFont="1" applyNumberFormat="1">
      <alignment horizontal="right" vertical="bottom"/>
    </xf>
    <xf borderId="0" fillId="0" fontId="89" numFmtId="0" xfId="0" applyAlignment="1" applyFont="1">
      <alignment horizontal="right" vertical="bottom"/>
    </xf>
    <xf borderId="0" fillId="0" fontId="90" numFmtId="0" xfId="0" applyAlignment="1" applyFont="1">
      <alignment vertical="bottom"/>
    </xf>
    <xf borderId="0" fillId="0" fontId="87" numFmtId="165" xfId="0" applyAlignment="1" applyFont="1" applyNumberFormat="1">
      <alignment vertical="bottom"/>
    </xf>
    <xf borderId="29" fillId="0" fontId="88" numFmtId="0" xfId="0" applyAlignment="1" applyBorder="1" applyFont="1">
      <alignment vertical="bottom"/>
    </xf>
    <xf borderId="29" fillId="0" fontId="87" numFmtId="0" xfId="0" applyAlignment="1" applyBorder="1" applyFont="1">
      <alignment vertical="bottom"/>
    </xf>
    <xf borderId="29" fillId="0" fontId="87" numFmtId="164" xfId="0" applyAlignment="1" applyBorder="1" applyFont="1" applyNumberFormat="1">
      <alignment vertical="bottom"/>
    </xf>
    <xf borderId="0" fillId="0" fontId="89" numFmtId="0" xfId="0" applyAlignment="1" applyFont="1">
      <alignment shrinkToFit="0" vertical="bottom" wrapText="0"/>
    </xf>
    <xf borderId="31" fillId="12" fontId="89" numFmtId="3" xfId="0" applyAlignment="1" applyBorder="1" applyFont="1" applyNumberFormat="1">
      <alignment horizontal="right" vertical="bottom"/>
    </xf>
    <xf borderId="7" fillId="0" fontId="87" numFmtId="0" xfId="0" applyAlignment="1" applyBorder="1" applyFont="1">
      <alignment vertical="bottom"/>
    </xf>
    <xf borderId="7" fillId="0" fontId="87" numFmtId="0" xfId="0" applyAlignment="1" applyBorder="1" applyFont="1">
      <alignment vertical="bottom"/>
    </xf>
    <xf borderId="7" fillId="0" fontId="87" numFmtId="3" xfId="0" applyAlignment="1" applyBorder="1" applyFont="1" applyNumberFormat="1">
      <alignment vertical="bottom"/>
    </xf>
    <xf borderId="0" fillId="0" fontId="88" numFmtId="0" xfId="0" applyAlignment="1" applyFont="1">
      <alignment vertical="bottom"/>
    </xf>
    <xf borderId="0" fillId="0" fontId="87" numFmtId="3" xfId="0" applyAlignment="1" applyFont="1" applyNumberFormat="1">
      <alignment vertical="bottom"/>
    </xf>
    <xf borderId="0" fillId="11" fontId="89" numFmtId="0" xfId="0" applyAlignment="1" applyFont="1">
      <alignment vertical="bottom"/>
    </xf>
    <xf borderId="0" fillId="11" fontId="88" numFmtId="0" xfId="0" applyAlignment="1" applyFont="1">
      <alignment vertical="bottom"/>
    </xf>
    <xf borderId="0" fillId="13" fontId="91" numFmtId="0" xfId="0" applyAlignment="1" applyFill="1" applyFont="1">
      <alignment vertical="bottom"/>
    </xf>
    <xf borderId="32" fillId="0" fontId="78" numFmtId="0" xfId="0" applyAlignment="1" applyBorder="1" applyFont="1">
      <alignment shrinkToFit="0" vertical="bottom" wrapText="0"/>
    </xf>
    <xf borderId="0" fillId="11" fontId="87" numFmtId="0" xfId="0" applyAlignment="1" applyFont="1">
      <alignment vertical="bottom"/>
    </xf>
    <xf borderId="0" fillId="11" fontId="89" numFmtId="0" xfId="0" applyAlignment="1" applyFont="1">
      <alignment vertical="bottom"/>
    </xf>
    <xf borderId="0" fillId="11" fontId="89" numFmtId="164" xfId="0" applyAlignment="1" applyFont="1" applyNumberFormat="1">
      <alignment horizontal="right" vertical="bottom"/>
    </xf>
    <xf borderId="0" fillId="0" fontId="89" numFmtId="164" xfId="0" applyAlignment="1" applyFont="1" applyNumberFormat="1">
      <alignment horizontal="right" vertical="bottom"/>
    </xf>
    <xf borderId="0" fillId="11" fontId="87" numFmtId="0" xfId="0" applyAlignment="1" applyFont="1">
      <alignment vertical="bottom"/>
    </xf>
    <xf borderId="7" fillId="11" fontId="89" numFmtId="0" xfId="0" applyAlignment="1" applyBorder="1" applyFont="1">
      <alignment vertical="bottom"/>
    </xf>
    <xf borderId="7" fillId="11" fontId="89" numFmtId="1" xfId="0" applyAlignment="1" applyBorder="1" applyFont="1" applyNumberFormat="1">
      <alignment horizontal="right" vertical="bottom"/>
    </xf>
    <xf borderId="7" fillId="0" fontId="89" numFmtId="0" xfId="0" applyAlignment="1" applyBorder="1" applyFont="1">
      <alignment vertical="bottom"/>
    </xf>
    <xf borderId="7" fillId="0" fontId="89" numFmtId="1" xfId="0" applyAlignment="1" applyBorder="1" applyFont="1" applyNumberFormat="1">
      <alignment horizontal="right" vertical="bottom"/>
    </xf>
    <xf borderId="0" fillId="11" fontId="88" numFmtId="0" xfId="0" applyAlignment="1" applyFont="1">
      <alignment vertical="bottom"/>
    </xf>
    <xf borderId="0" fillId="11" fontId="88" numFmtId="164" xfId="0" applyAlignment="1" applyFont="1" applyNumberFormat="1">
      <alignment horizontal="right" vertical="bottom"/>
    </xf>
    <xf borderId="0" fillId="14" fontId="88" numFmtId="0" xfId="0" applyAlignment="1" applyFill="1" applyFont="1">
      <alignment vertical="bottom"/>
    </xf>
    <xf borderId="0" fillId="14" fontId="88" numFmtId="164" xfId="0" applyAlignment="1" applyFont="1" applyNumberFormat="1">
      <alignment horizontal="right" vertical="bottom"/>
    </xf>
    <xf borderId="0" fillId="0" fontId="87" numFmtId="1" xfId="0" applyAlignment="1" applyFont="1" applyNumberFormat="1">
      <alignment vertical="bottom"/>
    </xf>
    <xf borderId="0" fillId="0" fontId="87" numFmtId="164" xfId="0" applyAlignment="1" applyFont="1" applyNumberFormat="1">
      <alignment vertical="bottom"/>
    </xf>
    <xf borderId="0" fillId="13" fontId="91" numFmtId="0" xfId="0" applyAlignment="1" applyFont="1">
      <alignment vertical="bottom"/>
    </xf>
    <xf borderId="0" fillId="0" fontId="77" numFmtId="9" xfId="0" applyAlignment="1" applyFont="1" applyNumberFormat="1">
      <alignment readingOrder="0"/>
    </xf>
    <xf borderId="0" fillId="0" fontId="77" numFmtId="0" xfId="0" applyFont="1"/>
    <xf borderId="0" fillId="0" fontId="82" numFmtId="165" xfId="0" applyFont="1" applyNumberFormat="1"/>
    <xf borderId="0" fillId="0" fontId="92" numFmtId="0" xfId="0" applyAlignment="1" applyFont="1">
      <alignment readingOrder="0" shrinkToFit="0" vertical="bottom" wrapText="0"/>
    </xf>
    <xf borderId="0" fillId="11" fontId="78" numFmtId="165" xfId="0" applyAlignment="1" applyFont="1" applyNumberFormat="1">
      <alignment horizontal="right" readingOrder="0" shrinkToFit="0" vertical="bottom" wrapText="0"/>
    </xf>
    <xf borderId="21" fillId="0" fontId="93" numFmtId="0" xfId="0" applyAlignment="1" applyBorder="1" applyFont="1">
      <alignment readingOrder="0"/>
    </xf>
    <xf borderId="22" fillId="0" fontId="94" numFmtId="0" xfId="0" applyAlignment="1" applyBorder="1" applyFont="1">
      <alignment readingOrder="0"/>
    </xf>
    <xf borderId="27" fillId="0" fontId="95" numFmtId="0" xfId="0" applyAlignment="1" applyBorder="1" applyFont="1">
      <alignment readingOrder="0"/>
    </xf>
    <xf borderId="23" fillId="0" fontId="77" numFmtId="0" xfId="0" applyAlignment="1" applyBorder="1" applyFont="1">
      <alignment readingOrder="0"/>
    </xf>
    <xf borderId="25" fillId="0" fontId="77" numFmtId="0" xfId="0" applyAlignment="1" applyBorder="1" applyFont="1">
      <alignment readingOrder="0"/>
    </xf>
    <xf borderId="20" fillId="0" fontId="77" numFmtId="165" xfId="0" applyBorder="1" applyFont="1" applyNumberFormat="1"/>
    <xf borderId="26" fillId="0" fontId="77" numFmtId="0" xfId="0" applyAlignment="1" applyBorder="1" applyFont="1">
      <alignment readingOrder="0"/>
    </xf>
    <xf borderId="0" fillId="0" fontId="82" numFmtId="0" xfId="0" applyAlignment="1" applyFont="1">
      <alignment horizontal="center" readingOrder="0"/>
    </xf>
    <xf borderId="0" fillId="0" fontId="77" numFmtId="166" xfId="0" applyFont="1" applyNumberFormat="1"/>
    <xf borderId="0" fillId="8" fontId="77" numFmtId="165" xfId="0" applyFont="1" applyNumberFormat="1"/>
    <xf borderId="0" fillId="7" fontId="96" numFmtId="0" xfId="0" applyAlignment="1" applyFont="1">
      <alignment horizontal="left" readingOrder="0"/>
    </xf>
    <xf borderId="0" fillId="7" fontId="96" numFmtId="0" xfId="0" applyAlignment="1" applyFont="1">
      <alignment readingOrder="0"/>
    </xf>
    <xf borderId="0" fillId="0" fontId="77" numFmtId="4" xfId="0" applyFont="1" applyNumberFormat="1"/>
    <xf borderId="32" fillId="15" fontId="89" numFmtId="0" xfId="0" applyAlignment="1" applyBorder="1" applyFill="1" applyFont="1">
      <alignment readingOrder="0" vertical="bottom"/>
    </xf>
    <xf borderId="32" fillId="15" fontId="89" numFmtId="0" xfId="0" applyAlignment="1" applyBorder="1" applyFont="1">
      <alignment vertical="bottom"/>
    </xf>
    <xf borderId="32" fillId="0" fontId="12" numFmtId="0" xfId="0" applyBorder="1" applyFont="1"/>
    <xf borderId="32" fillId="15" fontId="77" numFmtId="0" xfId="0" applyBorder="1" applyFont="1"/>
    <xf borderId="33" fillId="15" fontId="89" numFmtId="0" xfId="0" applyAlignment="1" applyBorder="1" applyFont="1">
      <alignment vertical="bottom"/>
    </xf>
    <xf borderId="4" fillId="15" fontId="89" numFmtId="0" xfId="0" applyAlignment="1" applyBorder="1" applyFont="1">
      <alignment horizontal="center" readingOrder="0" shrinkToFit="0" wrapText="1"/>
    </xf>
    <xf borderId="0" fillId="15" fontId="89" numFmtId="0" xfId="0" applyAlignment="1" applyFont="1">
      <alignment horizontal="center" readingOrder="0" shrinkToFit="0" wrapText="1"/>
    </xf>
    <xf borderId="0" fillId="15" fontId="89" numFmtId="0" xfId="0" applyAlignment="1" applyFont="1">
      <alignment horizontal="center" shrinkToFit="0" wrapText="1"/>
    </xf>
    <xf borderId="0" fillId="15" fontId="89" numFmtId="10" xfId="0" applyAlignment="1" applyFont="1" applyNumberFormat="1">
      <alignment horizontal="center" readingOrder="0" shrinkToFit="0" wrapText="1"/>
    </xf>
    <xf borderId="0" fillId="15" fontId="89" numFmtId="165" xfId="0" applyAlignment="1" applyFont="1" applyNumberFormat="1">
      <alignment horizontal="center" readingOrder="0" shrinkToFit="0" wrapText="1"/>
    </xf>
    <xf borderId="0" fillId="15" fontId="89" numFmtId="165" xfId="0" applyAlignment="1" applyFont="1" applyNumberFormat="1">
      <alignment horizontal="center" shrinkToFit="0" wrapText="1"/>
    </xf>
    <xf borderId="5" fillId="15" fontId="89" numFmtId="0" xfId="0" applyAlignment="1" applyBorder="1" applyFont="1">
      <alignment horizontal="center" readingOrder="0" shrinkToFit="0" wrapText="1"/>
    </xf>
    <xf borderId="4" fillId="15" fontId="89" numFmtId="0" xfId="0" applyAlignment="1" applyBorder="1" applyFont="1">
      <alignment readingOrder="0" vertical="bottom"/>
    </xf>
    <xf borderId="0" fillId="15" fontId="89" numFmtId="167" xfId="0" applyAlignment="1" applyFont="1" applyNumberFormat="1">
      <alignment horizontal="right" readingOrder="0" vertical="bottom"/>
    </xf>
    <xf borderId="0" fillId="15" fontId="89" numFmtId="165" xfId="0" applyAlignment="1" applyFont="1" applyNumberFormat="1">
      <alignment horizontal="right" readingOrder="0" vertical="bottom"/>
    </xf>
    <xf borderId="0" fillId="15" fontId="89" numFmtId="10" xfId="0" applyAlignment="1" applyFont="1" applyNumberFormat="1">
      <alignment horizontal="right" vertical="bottom"/>
    </xf>
    <xf borderId="0" fillId="15" fontId="89" numFmtId="167" xfId="0" applyAlignment="1" applyFont="1" applyNumberFormat="1">
      <alignment horizontal="right" vertical="bottom"/>
    </xf>
    <xf borderId="0" fillId="15" fontId="89" numFmtId="0" xfId="0" applyAlignment="1" applyFont="1">
      <alignment horizontal="right" readingOrder="0" vertical="bottom"/>
    </xf>
    <xf borderId="0" fillId="15" fontId="89" numFmtId="4" xfId="0" applyAlignment="1" applyFont="1" applyNumberFormat="1">
      <alignment horizontal="right" readingOrder="0" vertical="bottom"/>
    </xf>
    <xf borderId="0" fillId="15" fontId="89" numFmtId="4" xfId="0" applyAlignment="1" applyFont="1" applyNumberFormat="1">
      <alignment horizontal="right" vertical="bottom"/>
    </xf>
    <xf borderId="0" fillId="15" fontId="89" numFmtId="168" xfId="0" applyAlignment="1" applyFont="1" applyNumberFormat="1">
      <alignment horizontal="right" readingOrder="0" vertical="bottom"/>
    </xf>
    <xf borderId="0" fillId="15" fontId="97" numFmtId="165" xfId="0" applyAlignment="1" applyFont="1" applyNumberFormat="1">
      <alignment horizontal="right" vertical="bottom"/>
    </xf>
    <xf borderId="0" fillId="15" fontId="97" numFmtId="0" xfId="0" applyAlignment="1" applyFont="1">
      <alignment horizontal="right" readingOrder="0" vertical="bottom"/>
    </xf>
    <xf borderId="0" fillId="15" fontId="89" numFmtId="3" xfId="0" applyAlignment="1" applyFont="1" applyNumberFormat="1">
      <alignment readingOrder="0" vertical="bottom"/>
    </xf>
    <xf borderId="5" fillId="15" fontId="89" numFmtId="0" xfId="0" applyAlignment="1" applyBorder="1" applyFont="1">
      <alignment readingOrder="0" vertical="bottom"/>
    </xf>
    <xf borderId="0" fillId="15" fontId="89" numFmtId="166" xfId="0" applyAlignment="1" applyFont="1" applyNumberFormat="1">
      <alignment horizontal="right" readingOrder="0" vertical="bottom"/>
    </xf>
    <xf borderId="0" fillId="15" fontId="89" numFmtId="10" xfId="0" applyAlignment="1" applyFont="1" applyNumberFormat="1">
      <alignment horizontal="right" readingOrder="0" vertical="bottom"/>
    </xf>
    <xf borderId="0" fillId="15" fontId="89" numFmtId="165" xfId="0" applyAlignment="1" applyFont="1" applyNumberFormat="1">
      <alignment horizontal="right" vertical="bottom"/>
    </xf>
    <xf borderId="0" fillId="15" fontId="97" numFmtId="165" xfId="0" applyAlignment="1" applyFont="1" applyNumberFormat="1">
      <alignment horizontal="right" readingOrder="0" vertical="bottom"/>
    </xf>
    <xf borderId="0" fillId="15" fontId="97" numFmtId="0" xfId="0" applyAlignment="1" applyFont="1">
      <alignment horizontal="right" vertical="bottom"/>
    </xf>
    <xf borderId="0" fillId="15" fontId="89" numFmtId="4" xfId="0" applyAlignment="1" applyFont="1" applyNumberFormat="1">
      <alignment readingOrder="0" vertical="bottom"/>
    </xf>
    <xf borderId="4" fillId="15" fontId="89" numFmtId="0" xfId="0" applyAlignment="1" applyBorder="1" applyFont="1">
      <alignment vertical="bottom"/>
    </xf>
    <xf borderId="0" fillId="15" fontId="89" numFmtId="166" xfId="0" applyAlignment="1" applyFont="1" applyNumberFormat="1">
      <alignment horizontal="right" vertical="bottom"/>
    </xf>
    <xf borderId="0" fillId="15" fontId="89" numFmtId="169" xfId="0" applyAlignment="1" applyFont="1" applyNumberFormat="1">
      <alignment horizontal="right" vertical="bottom"/>
    </xf>
    <xf borderId="0" fillId="15" fontId="89" numFmtId="168" xfId="0" applyAlignment="1" applyFont="1" applyNumberFormat="1">
      <alignment horizontal="right" vertical="bottom"/>
    </xf>
    <xf borderId="0" fillId="15" fontId="89" numFmtId="0" xfId="0" applyAlignment="1" applyFont="1">
      <alignment vertical="bottom"/>
    </xf>
    <xf borderId="5" fillId="15" fontId="89" numFmtId="0" xfId="0" applyAlignment="1" applyBorder="1" applyFont="1">
      <alignment vertical="bottom"/>
    </xf>
    <xf borderId="6" fillId="15" fontId="88" numFmtId="0" xfId="0" applyAlignment="1" applyBorder="1" applyFont="1">
      <alignment vertical="bottom"/>
    </xf>
    <xf borderId="7" fillId="15" fontId="88" numFmtId="37" xfId="0" applyAlignment="1" applyBorder="1" applyFont="1" applyNumberFormat="1">
      <alignment horizontal="right" vertical="bottom"/>
    </xf>
    <xf borderId="7" fillId="15" fontId="88" numFmtId="165" xfId="0" applyAlignment="1" applyBorder="1" applyFont="1" applyNumberFormat="1">
      <alignment horizontal="right" vertical="bottom"/>
    </xf>
    <xf borderId="7" fillId="15" fontId="88" numFmtId="10" xfId="0" applyAlignment="1" applyBorder="1" applyFont="1" applyNumberFormat="1">
      <alignment horizontal="right" vertical="bottom"/>
    </xf>
    <xf borderId="7" fillId="15" fontId="88" numFmtId="170" xfId="0" applyAlignment="1" applyBorder="1" applyFont="1" applyNumberFormat="1">
      <alignment horizontal="right" vertical="bottom"/>
    </xf>
    <xf borderId="7" fillId="15" fontId="88" numFmtId="4" xfId="0" applyAlignment="1" applyBorder="1" applyFont="1" applyNumberFormat="1">
      <alignment horizontal="right" vertical="bottom"/>
    </xf>
    <xf borderId="7" fillId="15" fontId="88" numFmtId="168" xfId="0" applyAlignment="1" applyBorder="1" applyFont="1" applyNumberFormat="1">
      <alignment horizontal="right" vertical="bottom"/>
    </xf>
    <xf borderId="7" fillId="15" fontId="88" numFmtId="0" xfId="0" applyAlignment="1" applyBorder="1" applyFont="1">
      <alignment vertical="bottom"/>
    </xf>
    <xf borderId="32" fillId="16" fontId="89" numFmtId="0" xfId="0" applyAlignment="1" applyBorder="1" applyFill="1" applyFont="1">
      <alignment readingOrder="0" vertical="bottom"/>
    </xf>
    <xf borderId="32" fillId="16" fontId="89" numFmtId="0" xfId="0" applyAlignment="1" applyBorder="1" applyFont="1">
      <alignment vertical="bottom"/>
    </xf>
    <xf borderId="32" fillId="16" fontId="77" numFmtId="0" xfId="0" applyBorder="1" applyFont="1"/>
    <xf borderId="33" fillId="16" fontId="89" numFmtId="0" xfId="0" applyAlignment="1" applyBorder="1" applyFont="1">
      <alignment vertical="bottom"/>
    </xf>
    <xf borderId="4" fillId="16" fontId="89" numFmtId="0" xfId="0" applyAlignment="1" applyBorder="1" applyFont="1">
      <alignment horizontal="center" readingOrder="0" shrinkToFit="0" wrapText="1"/>
    </xf>
    <xf borderId="0" fillId="16" fontId="89" numFmtId="0" xfId="0" applyAlignment="1" applyFont="1">
      <alignment horizontal="center" readingOrder="0" shrinkToFit="0" wrapText="1"/>
    </xf>
    <xf borderId="0" fillId="16" fontId="89" numFmtId="0" xfId="0" applyAlignment="1" applyFont="1">
      <alignment horizontal="center" shrinkToFit="0" wrapText="1"/>
    </xf>
    <xf borderId="0" fillId="16" fontId="89" numFmtId="165" xfId="0" applyAlignment="1" applyFont="1" applyNumberFormat="1">
      <alignment horizontal="center" readingOrder="0" shrinkToFit="0" wrapText="1"/>
    </xf>
    <xf borderId="0" fillId="16" fontId="89" numFmtId="0" xfId="0" applyAlignment="1" applyFont="1">
      <alignment horizontal="center" readingOrder="0" shrinkToFit="0" wrapText="1"/>
    </xf>
    <xf borderId="5" fillId="16" fontId="89" numFmtId="0" xfId="0" applyAlignment="1" applyBorder="1" applyFont="1">
      <alignment horizontal="center" readingOrder="0" shrinkToFit="0" wrapText="1"/>
    </xf>
    <xf borderId="4" fillId="16" fontId="98" numFmtId="0" xfId="0" applyAlignment="1" applyBorder="1" applyFont="1">
      <alignment readingOrder="0" vertical="bottom"/>
    </xf>
    <xf borderId="0" fillId="16" fontId="98" numFmtId="167" xfId="0" applyAlignment="1" applyFont="1" applyNumberFormat="1">
      <alignment horizontal="right" readingOrder="0" vertical="bottom"/>
    </xf>
    <xf borderId="0" fillId="16" fontId="98" numFmtId="165" xfId="0" applyAlignment="1" applyFont="1" applyNumberFormat="1">
      <alignment horizontal="right" readingOrder="0" vertical="bottom"/>
    </xf>
    <xf borderId="0" fillId="16" fontId="98" numFmtId="10" xfId="0" applyAlignment="1" applyFont="1" applyNumberFormat="1">
      <alignment horizontal="right" vertical="bottom"/>
    </xf>
    <xf borderId="0" fillId="16" fontId="98" numFmtId="4" xfId="0" applyAlignment="1" applyFont="1" applyNumberFormat="1">
      <alignment horizontal="right" readingOrder="0" vertical="bottom"/>
    </xf>
    <xf borderId="0" fillId="16" fontId="98" numFmtId="4" xfId="0" applyAlignment="1" applyFont="1" applyNumberFormat="1">
      <alignment horizontal="right" vertical="bottom"/>
    </xf>
    <xf borderId="0" fillId="16" fontId="98" numFmtId="10" xfId="0" applyAlignment="1" applyFont="1" applyNumberFormat="1">
      <alignment horizontal="right" readingOrder="0" vertical="bottom"/>
    </xf>
    <xf borderId="0" fillId="16" fontId="98" numFmtId="171" xfId="0" applyAlignment="1" applyFont="1" applyNumberFormat="1">
      <alignment horizontal="right" readingOrder="0" vertical="bottom"/>
    </xf>
    <xf borderId="0" fillId="16" fontId="99" numFmtId="165" xfId="0" applyAlignment="1" applyFont="1" applyNumberFormat="1">
      <alignment horizontal="right" readingOrder="0" vertical="bottom"/>
    </xf>
    <xf borderId="0" fillId="16" fontId="99" numFmtId="0" xfId="0" applyAlignment="1" applyFont="1">
      <alignment horizontal="right" vertical="bottom"/>
    </xf>
    <xf borderId="0" fillId="16" fontId="99" numFmtId="0" xfId="0" applyAlignment="1" applyFont="1">
      <alignment horizontal="right" readingOrder="0" vertical="bottom"/>
    </xf>
    <xf borderId="0" fillId="16" fontId="98" numFmtId="4" xfId="0" applyAlignment="1" applyFont="1" applyNumberFormat="1">
      <alignment readingOrder="0" vertical="bottom"/>
    </xf>
    <xf borderId="5" fillId="16" fontId="98" numFmtId="0" xfId="0" applyAlignment="1" applyBorder="1" applyFont="1">
      <alignment readingOrder="0" vertical="bottom"/>
    </xf>
    <xf borderId="0" fillId="16" fontId="98" numFmtId="166" xfId="0" applyAlignment="1" applyFont="1" applyNumberFormat="1">
      <alignment horizontal="right" readingOrder="0" vertical="bottom"/>
    </xf>
    <xf borderId="0" fillId="16" fontId="98" numFmtId="169" xfId="0" applyAlignment="1" applyFont="1" applyNumberFormat="1">
      <alignment horizontal="right" vertical="bottom"/>
    </xf>
    <xf borderId="0" fillId="16" fontId="98" numFmtId="165" xfId="0" applyAlignment="1" applyFont="1" applyNumberFormat="1">
      <alignment horizontal="right" vertical="bottom"/>
    </xf>
    <xf borderId="0" fillId="16" fontId="98" numFmtId="168" xfId="0" applyAlignment="1" applyFont="1" applyNumberFormat="1">
      <alignment horizontal="right" readingOrder="0" vertical="bottom"/>
    </xf>
    <xf borderId="5" fillId="16" fontId="98" numFmtId="0" xfId="0" applyAlignment="1" applyBorder="1" applyFont="1">
      <alignment vertical="bottom"/>
    </xf>
    <xf borderId="0" fillId="16" fontId="98" numFmtId="37" xfId="0" applyAlignment="1" applyFont="1" applyNumberFormat="1">
      <alignment horizontal="right" readingOrder="0" vertical="bottom"/>
    </xf>
    <xf borderId="0" fillId="16" fontId="98" numFmtId="37" xfId="0" applyAlignment="1" applyFont="1" applyNumberFormat="1">
      <alignment horizontal="right" vertical="bottom"/>
    </xf>
    <xf borderId="0" fillId="16" fontId="98" numFmtId="0" xfId="0" applyAlignment="1" applyFont="1">
      <alignment vertical="bottom"/>
    </xf>
    <xf borderId="0" fillId="16" fontId="98" numFmtId="0" xfId="0" applyAlignment="1" applyFont="1">
      <alignment readingOrder="0" vertical="bottom"/>
    </xf>
    <xf borderId="0" fillId="16" fontId="98" numFmtId="168" xfId="0" applyAlignment="1" applyFont="1" applyNumberFormat="1">
      <alignment horizontal="right" vertical="bottom"/>
    </xf>
    <xf borderId="6" fillId="16" fontId="88" numFmtId="0" xfId="0" applyAlignment="1" applyBorder="1" applyFont="1">
      <alignment vertical="bottom"/>
    </xf>
    <xf borderId="7" fillId="16" fontId="88" numFmtId="37" xfId="0" applyAlignment="1" applyBorder="1" applyFont="1" applyNumberFormat="1">
      <alignment horizontal="right" vertical="bottom"/>
    </xf>
    <xf borderId="7" fillId="16" fontId="88" numFmtId="165" xfId="0" applyAlignment="1" applyBorder="1" applyFont="1" applyNumberFormat="1">
      <alignment horizontal="right" vertical="bottom"/>
    </xf>
    <xf borderId="7" fillId="16" fontId="88" numFmtId="10" xfId="0" applyAlignment="1" applyBorder="1" applyFont="1" applyNumberFormat="1">
      <alignment horizontal="right" vertical="bottom"/>
    </xf>
    <xf borderId="7" fillId="16" fontId="88" numFmtId="4" xfId="0" applyAlignment="1" applyBorder="1" applyFont="1" applyNumberFormat="1">
      <alignment horizontal="right" vertical="bottom"/>
    </xf>
    <xf borderId="7" fillId="16" fontId="88" numFmtId="168" xfId="0" applyAlignment="1" applyBorder="1" applyFont="1" applyNumberFormat="1">
      <alignment horizontal="right" vertical="bottom"/>
    </xf>
    <xf borderId="7" fillId="16" fontId="88" numFmtId="0" xfId="0" applyAlignment="1" applyBorder="1" applyFont="1">
      <alignment vertical="bottom"/>
    </xf>
    <xf borderId="32" fillId="17" fontId="89" numFmtId="0" xfId="0" applyAlignment="1" applyBorder="1" applyFill="1" applyFont="1">
      <alignment readingOrder="0" vertical="bottom"/>
    </xf>
    <xf borderId="32" fillId="17" fontId="89" numFmtId="0" xfId="0" applyAlignment="1" applyBorder="1" applyFont="1">
      <alignment vertical="bottom"/>
    </xf>
    <xf borderId="32" fillId="17" fontId="77" numFmtId="0" xfId="0" applyBorder="1" applyFont="1"/>
    <xf borderId="33" fillId="17" fontId="89" numFmtId="0" xfId="0" applyAlignment="1" applyBorder="1" applyFont="1">
      <alignment vertical="bottom"/>
    </xf>
    <xf borderId="4" fillId="17" fontId="89" numFmtId="0" xfId="0" applyAlignment="1" applyBorder="1" applyFont="1">
      <alignment horizontal="center" readingOrder="0" shrinkToFit="0" wrapText="1"/>
    </xf>
    <xf borderId="0" fillId="17" fontId="89" numFmtId="0" xfId="0" applyAlignment="1" applyFont="1">
      <alignment horizontal="center" readingOrder="0" shrinkToFit="0" wrapText="1"/>
    </xf>
    <xf borderId="0" fillId="17" fontId="89" numFmtId="0" xfId="0" applyAlignment="1" applyFont="1">
      <alignment horizontal="center" shrinkToFit="0" wrapText="1"/>
    </xf>
    <xf borderId="0" fillId="17" fontId="89" numFmtId="165" xfId="0" applyAlignment="1" applyFont="1" applyNumberFormat="1">
      <alignment horizontal="center" readingOrder="0" shrinkToFit="0" wrapText="1"/>
    </xf>
    <xf borderId="0" fillId="17" fontId="89" numFmtId="0" xfId="0" applyAlignment="1" applyFont="1">
      <alignment horizontal="center" readingOrder="0" shrinkToFit="0" wrapText="1"/>
    </xf>
    <xf borderId="5" fillId="17" fontId="89" numFmtId="0" xfId="0" applyAlignment="1" applyBorder="1" applyFont="1">
      <alignment horizontal="center" readingOrder="0" shrinkToFit="0" wrapText="1"/>
    </xf>
    <xf borderId="4" fillId="17" fontId="89" numFmtId="0" xfId="0" applyAlignment="1" applyBorder="1" applyFont="1">
      <alignment readingOrder="0" vertical="bottom"/>
    </xf>
    <xf borderId="0" fillId="17" fontId="89" numFmtId="167" xfId="0" applyAlignment="1" applyFont="1" applyNumberFormat="1">
      <alignment horizontal="right" readingOrder="0" vertical="bottom"/>
    </xf>
    <xf borderId="0" fillId="17" fontId="89" numFmtId="165" xfId="0" applyAlignment="1" applyFont="1" applyNumberFormat="1">
      <alignment horizontal="right" readingOrder="0" vertical="bottom"/>
    </xf>
    <xf borderId="0" fillId="17" fontId="89" numFmtId="10" xfId="0" applyAlignment="1" applyFont="1" applyNumberFormat="1">
      <alignment horizontal="right" vertical="bottom"/>
    </xf>
    <xf borderId="0" fillId="17" fontId="89" numFmtId="167" xfId="0" applyAlignment="1" applyFont="1" applyNumberFormat="1">
      <alignment horizontal="right" vertical="bottom"/>
    </xf>
    <xf borderId="0" fillId="17" fontId="89" numFmtId="0" xfId="0" applyAlignment="1" applyFont="1">
      <alignment horizontal="right" vertical="bottom"/>
    </xf>
    <xf borderId="0" fillId="17" fontId="89" numFmtId="169" xfId="0" applyAlignment="1" applyFont="1" applyNumberFormat="1">
      <alignment horizontal="right" vertical="bottom"/>
    </xf>
    <xf borderId="0" fillId="17" fontId="89" numFmtId="4" xfId="0" applyAlignment="1" applyFont="1" applyNumberFormat="1">
      <alignment horizontal="right" vertical="bottom"/>
    </xf>
    <xf borderId="0" fillId="17" fontId="89" numFmtId="165" xfId="0" applyAlignment="1" applyFont="1" applyNumberFormat="1">
      <alignment horizontal="right" vertical="bottom"/>
    </xf>
    <xf borderId="0" fillId="17" fontId="89" numFmtId="168" xfId="0" applyAlignment="1" applyFont="1" applyNumberFormat="1">
      <alignment horizontal="right" readingOrder="0" vertical="bottom"/>
    </xf>
    <xf borderId="0" fillId="17" fontId="97" numFmtId="0" xfId="0" applyAlignment="1" applyFont="1">
      <alignment horizontal="right" vertical="bottom"/>
    </xf>
    <xf borderId="0" fillId="17" fontId="89" numFmtId="0" xfId="0" applyAlignment="1" applyFont="1">
      <alignment vertical="bottom"/>
    </xf>
    <xf borderId="5" fillId="17" fontId="89" numFmtId="0" xfId="0" applyAlignment="1" applyBorder="1" applyFont="1">
      <alignment vertical="bottom"/>
    </xf>
    <xf borderId="4" fillId="17" fontId="89" numFmtId="0" xfId="0" applyAlignment="1" applyBorder="1" applyFont="1">
      <alignment vertical="bottom"/>
    </xf>
    <xf borderId="0" fillId="17" fontId="89" numFmtId="166" xfId="0" applyAlignment="1" applyFont="1" applyNumberFormat="1">
      <alignment horizontal="right" vertical="bottom"/>
    </xf>
    <xf borderId="0" fillId="17" fontId="89" numFmtId="168" xfId="0" applyAlignment="1" applyFont="1" applyNumberFormat="1">
      <alignment horizontal="right" vertical="bottom"/>
    </xf>
    <xf borderId="6" fillId="17" fontId="88" numFmtId="0" xfId="0" applyAlignment="1" applyBorder="1" applyFont="1">
      <alignment vertical="bottom"/>
    </xf>
    <xf borderId="7" fillId="17" fontId="88" numFmtId="37" xfId="0" applyAlignment="1" applyBorder="1" applyFont="1" applyNumberFormat="1">
      <alignment horizontal="right" vertical="bottom"/>
    </xf>
    <xf borderId="7" fillId="17" fontId="88" numFmtId="165" xfId="0" applyAlignment="1" applyBorder="1" applyFont="1" applyNumberFormat="1">
      <alignment horizontal="right" vertical="bottom"/>
    </xf>
    <xf borderId="7" fillId="17" fontId="88" numFmtId="168" xfId="0" applyAlignment="1" applyBorder="1" applyFont="1" applyNumberFormat="1">
      <alignment horizontal="right" vertical="bottom"/>
    </xf>
    <xf borderId="7" fillId="17" fontId="88" numFmtId="0" xfId="0" applyAlignment="1" applyBorder="1" applyFont="1">
      <alignment vertical="bottom"/>
    </xf>
    <xf borderId="32" fillId="8" fontId="89" numFmtId="0" xfId="0" applyAlignment="1" applyBorder="1" applyFont="1">
      <alignment readingOrder="0" vertical="bottom"/>
    </xf>
    <xf borderId="32" fillId="8" fontId="89" numFmtId="0" xfId="0" applyAlignment="1" applyBorder="1" applyFont="1">
      <alignment vertical="bottom"/>
    </xf>
    <xf borderId="32" fillId="8" fontId="77" numFmtId="0" xfId="0" applyBorder="1" applyFont="1"/>
    <xf borderId="33" fillId="8" fontId="89" numFmtId="0" xfId="0" applyAlignment="1" applyBorder="1" applyFont="1">
      <alignment vertical="bottom"/>
    </xf>
    <xf borderId="4" fillId="8" fontId="89" numFmtId="0" xfId="0" applyAlignment="1" applyBorder="1" applyFont="1">
      <alignment horizontal="center" readingOrder="0" shrinkToFit="0" wrapText="1"/>
    </xf>
    <xf borderId="0" fillId="8" fontId="89" numFmtId="0" xfId="0" applyAlignment="1" applyFont="1">
      <alignment horizontal="center" readingOrder="0" shrinkToFit="0" wrapText="1"/>
    </xf>
    <xf borderId="0" fillId="8" fontId="89" numFmtId="0" xfId="0" applyAlignment="1" applyFont="1">
      <alignment horizontal="center" shrinkToFit="0" wrapText="1"/>
    </xf>
    <xf borderId="0" fillId="8" fontId="89" numFmtId="165" xfId="0" applyAlignment="1" applyFont="1" applyNumberFormat="1">
      <alignment horizontal="center" readingOrder="0" shrinkToFit="0" wrapText="1"/>
    </xf>
    <xf borderId="0" fillId="8" fontId="89" numFmtId="0" xfId="0" applyAlignment="1" applyFont="1">
      <alignment horizontal="center" readingOrder="0" shrinkToFit="0" wrapText="1"/>
    </xf>
    <xf borderId="5" fillId="8" fontId="89" numFmtId="0" xfId="0" applyAlignment="1" applyBorder="1" applyFont="1">
      <alignment horizontal="center" readingOrder="0" shrinkToFit="0" wrapText="1"/>
    </xf>
    <xf borderId="4" fillId="8" fontId="89" numFmtId="0" xfId="0" applyAlignment="1" applyBorder="1" applyFont="1">
      <alignment readingOrder="0" vertical="bottom"/>
    </xf>
    <xf borderId="0" fillId="8" fontId="89" numFmtId="167" xfId="0" applyAlignment="1" applyFont="1" applyNumberFormat="1">
      <alignment horizontal="right" readingOrder="0" vertical="bottom"/>
    </xf>
    <xf borderId="0" fillId="8" fontId="89" numFmtId="167" xfId="0" applyAlignment="1" applyFont="1" applyNumberFormat="1">
      <alignment horizontal="right" vertical="bottom"/>
    </xf>
    <xf borderId="0" fillId="8" fontId="89" numFmtId="165" xfId="0" applyAlignment="1" applyFont="1" applyNumberFormat="1">
      <alignment horizontal="right" readingOrder="0" vertical="bottom"/>
    </xf>
    <xf borderId="0" fillId="8" fontId="89" numFmtId="10" xfId="0" applyAlignment="1" applyFont="1" applyNumberFormat="1">
      <alignment horizontal="right" vertical="bottom"/>
    </xf>
    <xf borderId="0" fillId="8" fontId="89" numFmtId="0" xfId="0" applyAlignment="1" applyFont="1">
      <alignment horizontal="right" vertical="bottom"/>
    </xf>
    <xf borderId="0" fillId="8" fontId="89" numFmtId="169" xfId="0" applyAlignment="1" applyFont="1" applyNumberFormat="1">
      <alignment horizontal="right" vertical="bottom"/>
    </xf>
    <xf borderId="0" fillId="8" fontId="89" numFmtId="4" xfId="0" applyAlignment="1" applyFont="1" applyNumberFormat="1">
      <alignment horizontal="right" readingOrder="0" vertical="bottom"/>
    </xf>
    <xf borderId="0" fillId="8" fontId="89" numFmtId="4" xfId="0" applyAlignment="1" applyFont="1" applyNumberFormat="1">
      <alignment horizontal="right" vertical="bottom"/>
    </xf>
    <xf borderId="0" fillId="8" fontId="89" numFmtId="165" xfId="0" applyAlignment="1" applyFont="1" applyNumberFormat="1">
      <alignment horizontal="right" vertical="bottom"/>
    </xf>
    <xf borderId="0" fillId="8" fontId="89" numFmtId="168" xfId="0" applyAlignment="1" applyFont="1" applyNumberFormat="1">
      <alignment horizontal="right" vertical="bottom"/>
    </xf>
    <xf borderId="0" fillId="8" fontId="97" numFmtId="0" xfId="0" applyAlignment="1" applyFont="1">
      <alignment horizontal="right" vertical="bottom"/>
    </xf>
    <xf borderId="0" fillId="8" fontId="89" numFmtId="0" xfId="0" applyAlignment="1" applyFont="1">
      <alignment vertical="bottom"/>
    </xf>
    <xf borderId="5" fillId="8" fontId="89" numFmtId="0" xfId="0" applyAlignment="1" applyBorder="1" applyFont="1">
      <alignment vertical="bottom"/>
    </xf>
    <xf borderId="4" fillId="8" fontId="89" numFmtId="0" xfId="0" applyAlignment="1" applyBorder="1" applyFont="1">
      <alignment vertical="bottom"/>
    </xf>
    <xf borderId="0" fillId="8" fontId="89" numFmtId="166" xfId="0" applyAlignment="1" applyFont="1" applyNumberFormat="1">
      <alignment horizontal="right" vertical="bottom"/>
    </xf>
    <xf borderId="6" fillId="8" fontId="88" numFmtId="0" xfId="0" applyAlignment="1" applyBorder="1" applyFont="1">
      <alignment vertical="bottom"/>
    </xf>
    <xf borderId="7" fillId="8" fontId="88" numFmtId="37" xfId="0" applyAlignment="1" applyBorder="1" applyFont="1" applyNumberFormat="1">
      <alignment horizontal="right" vertical="bottom"/>
    </xf>
    <xf borderId="7" fillId="8" fontId="88" numFmtId="165" xfId="0" applyAlignment="1" applyBorder="1" applyFont="1" applyNumberFormat="1">
      <alignment horizontal="right" vertical="bottom"/>
    </xf>
    <xf borderId="7" fillId="8" fontId="88" numFmtId="168" xfId="0" applyAlignment="1" applyBorder="1" applyFont="1" applyNumberFormat="1">
      <alignment horizontal="right" vertical="bottom"/>
    </xf>
    <xf borderId="7" fillId="8" fontId="88" numFmtId="0" xfId="0" applyAlignment="1" applyBorder="1" applyFont="1">
      <alignment vertical="bottom"/>
    </xf>
    <xf borderId="32" fillId="12" fontId="89" numFmtId="0" xfId="0" applyAlignment="1" applyBorder="1" applyFont="1">
      <alignment readingOrder="0" vertical="bottom"/>
    </xf>
    <xf borderId="32" fillId="12" fontId="89" numFmtId="0" xfId="0" applyAlignment="1" applyBorder="1" applyFont="1">
      <alignment vertical="bottom"/>
    </xf>
    <xf borderId="32" fillId="12" fontId="77" numFmtId="0" xfId="0" applyBorder="1" applyFont="1"/>
    <xf borderId="33" fillId="12" fontId="89" numFmtId="0" xfId="0" applyAlignment="1" applyBorder="1" applyFont="1">
      <alignment vertical="bottom"/>
    </xf>
    <xf borderId="4" fillId="12" fontId="89" numFmtId="0" xfId="0" applyAlignment="1" applyBorder="1" applyFont="1">
      <alignment horizontal="center" readingOrder="0" shrinkToFit="0" wrapText="1"/>
    </xf>
    <xf borderId="0" fillId="12" fontId="89" numFmtId="0" xfId="0" applyAlignment="1" applyFont="1">
      <alignment horizontal="center" readingOrder="0" shrinkToFit="0" wrapText="1"/>
    </xf>
    <xf borderId="0" fillId="12" fontId="89" numFmtId="0" xfId="0" applyAlignment="1" applyFont="1">
      <alignment horizontal="center" shrinkToFit="0" wrapText="1"/>
    </xf>
    <xf borderId="0" fillId="12" fontId="89" numFmtId="165" xfId="0" applyAlignment="1" applyFont="1" applyNumberFormat="1">
      <alignment horizontal="center" readingOrder="0" shrinkToFit="0" wrapText="1"/>
    </xf>
    <xf borderId="0" fillId="12" fontId="89" numFmtId="0" xfId="0" applyAlignment="1" applyFont="1">
      <alignment horizontal="center" readingOrder="0" shrinkToFit="0" wrapText="1"/>
    </xf>
    <xf borderId="5" fillId="12" fontId="89" numFmtId="0" xfId="0" applyAlignment="1" applyBorder="1" applyFont="1">
      <alignment horizontal="center" readingOrder="0" shrinkToFit="0" wrapText="1"/>
    </xf>
    <xf borderId="4" fillId="12" fontId="89" numFmtId="0" xfId="0" applyAlignment="1" applyBorder="1" applyFont="1">
      <alignment readingOrder="0" vertical="bottom"/>
    </xf>
    <xf borderId="0" fillId="12" fontId="89" numFmtId="167" xfId="0" applyAlignment="1" applyFont="1" applyNumberFormat="1">
      <alignment horizontal="right" readingOrder="0" vertical="bottom"/>
    </xf>
    <xf borderId="0" fillId="12" fontId="89" numFmtId="167" xfId="0" applyAlignment="1" applyFont="1" applyNumberFormat="1">
      <alignment horizontal="right" vertical="bottom"/>
    </xf>
    <xf borderId="0" fillId="12" fontId="89" numFmtId="165" xfId="0" applyAlignment="1" applyFont="1" applyNumberFormat="1">
      <alignment horizontal="right" readingOrder="0" vertical="bottom"/>
    </xf>
    <xf borderId="0" fillId="12" fontId="89" numFmtId="10" xfId="0" applyAlignment="1" applyFont="1" applyNumberFormat="1">
      <alignment horizontal="right" vertical="bottom"/>
    </xf>
    <xf borderId="0" fillId="12" fontId="89" numFmtId="0" xfId="0" applyAlignment="1" applyFont="1">
      <alignment horizontal="right" vertical="bottom"/>
    </xf>
    <xf borderId="0" fillId="12" fontId="89" numFmtId="169" xfId="0" applyAlignment="1" applyFont="1" applyNumberFormat="1">
      <alignment horizontal="right" vertical="bottom"/>
    </xf>
    <xf borderId="0" fillId="12" fontId="89" numFmtId="4" xfId="0" applyAlignment="1" applyFont="1" applyNumberFormat="1">
      <alignment horizontal="right" readingOrder="0" vertical="bottom"/>
    </xf>
    <xf borderId="0" fillId="12" fontId="89" numFmtId="4" xfId="0" applyAlignment="1" applyFont="1" applyNumberFormat="1">
      <alignment horizontal="right" vertical="bottom"/>
    </xf>
    <xf borderId="0" fillId="12" fontId="89" numFmtId="165" xfId="0" applyAlignment="1" applyFont="1" applyNumberFormat="1">
      <alignment horizontal="right" vertical="bottom"/>
    </xf>
    <xf borderId="0" fillId="12" fontId="89" numFmtId="168" xfId="0" applyAlignment="1" applyFont="1" applyNumberFormat="1">
      <alignment horizontal="right" readingOrder="0" vertical="bottom"/>
    </xf>
    <xf borderId="0" fillId="12" fontId="97" numFmtId="0" xfId="0" applyAlignment="1" applyFont="1">
      <alignment horizontal="right" vertical="bottom"/>
    </xf>
    <xf borderId="0" fillId="12" fontId="89" numFmtId="0" xfId="0" applyAlignment="1" applyFont="1">
      <alignment vertical="bottom"/>
    </xf>
    <xf borderId="5" fillId="12" fontId="89" numFmtId="0" xfId="0" applyAlignment="1" applyBorder="1" applyFont="1">
      <alignment vertical="bottom"/>
    </xf>
    <xf borderId="4" fillId="12" fontId="89" numFmtId="0" xfId="0" applyAlignment="1" applyBorder="1" applyFont="1">
      <alignment vertical="bottom"/>
    </xf>
    <xf borderId="0" fillId="12" fontId="89" numFmtId="166" xfId="0" applyAlignment="1" applyFont="1" applyNumberFormat="1">
      <alignment horizontal="right" vertical="bottom"/>
    </xf>
    <xf borderId="0" fillId="12" fontId="89" numFmtId="168" xfId="0" applyAlignment="1" applyFont="1" applyNumberFormat="1">
      <alignment horizontal="right" vertical="bottom"/>
    </xf>
    <xf borderId="6" fillId="12" fontId="88" numFmtId="0" xfId="0" applyAlignment="1" applyBorder="1" applyFont="1">
      <alignment vertical="bottom"/>
    </xf>
    <xf borderId="7" fillId="12" fontId="88" numFmtId="37" xfId="0" applyAlignment="1" applyBorder="1" applyFont="1" applyNumberFormat="1">
      <alignment horizontal="right" vertical="bottom"/>
    </xf>
    <xf borderId="7" fillId="12" fontId="88" numFmtId="165" xfId="0" applyAlignment="1" applyBorder="1" applyFont="1" applyNumberFormat="1">
      <alignment horizontal="right" vertical="bottom"/>
    </xf>
    <xf borderId="7" fillId="12" fontId="88" numFmtId="4" xfId="0" applyAlignment="1" applyBorder="1" applyFont="1" applyNumberFormat="1">
      <alignment horizontal="right" vertical="bottom"/>
    </xf>
    <xf borderId="7" fillId="12" fontId="88" numFmtId="168" xfId="0" applyAlignment="1" applyBorder="1" applyFont="1" applyNumberFormat="1">
      <alignment horizontal="right" vertical="bottom"/>
    </xf>
    <xf borderId="7" fillId="12" fontId="88" numFmtId="0" xfId="0" applyAlignment="1" applyBorder="1" applyFont="1">
      <alignment vertical="bottom"/>
    </xf>
    <xf borderId="32" fillId="18" fontId="89" numFmtId="0" xfId="0" applyAlignment="1" applyBorder="1" applyFill="1" applyFont="1">
      <alignment readingOrder="0" vertical="bottom"/>
    </xf>
    <xf borderId="32" fillId="18" fontId="89" numFmtId="0" xfId="0" applyAlignment="1" applyBorder="1" applyFont="1">
      <alignment vertical="bottom"/>
    </xf>
    <xf borderId="32" fillId="18" fontId="77" numFmtId="0" xfId="0" applyBorder="1" applyFont="1"/>
    <xf borderId="33" fillId="18" fontId="89" numFmtId="0" xfId="0" applyAlignment="1" applyBorder="1" applyFont="1">
      <alignment vertical="bottom"/>
    </xf>
    <xf borderId="4" fillId="18" fontId="89" numFmtId="0" xfId="0" applyAlignment="1" applyBorder="1" applyFont="1">
      <alignment horizontal="center" readingOrder="0" shrinkToFit="0" wrapText="1"/>
    </xf>
    <xf borderId="0" fillId="18" fontId="89" numFmtId="0" xfId="0" applyAlignment="1" applyFont="1">
      <alignment horizontal="center" readingOrder="0" shrinkToFit="0" wrapText="1"/>
    </xf>
    <xf borderId="0" fillId="18" fontId="89" numFmtId="0" xfId="0" applyAlignment="1" applyFont="1">
      <alignment horizontal="center" shrinkToFit="0" wrapText="1"/>
    </xf>
    <xf borderId="0" fillId="18" fontId="89" numFmtId="165" xfId="0" applyAlignment="1" applyFont="1" applyNumberFormat="1">
      <alignment horizontal="center" readingOrder="0" shrinkToFit="0" wrapText="1"/>
    </xf>
    <xf borderId="0" fillId="18" fontId="89" numFmtId="0" xfId="0" applyAlignment="1" applyFont="1">
      <alignment horizontal="center" readingOrder="0" shrinkToFit="0" wrapText="1"/>
    </xf>
    <xf borderId="5" fillId="18" fontId="89" numFmtId="0" xfId="0" applyAlignment="1" applyBorder="1" applyFont="1">
      <alignment horizontal="center" readingOrder="0" shrinkToFit="0" wrapText="1"/>
    </xf>
    <xf borderId="4" fillId="18" fontId="89" numFmtId="0" xfId="0" applyAlignment="1" applyBorder="1" applyFont="1">
      <alignment readingOrder="0" vertical="bottom"/>
    </xf>
    <xf borderId="0" fillId="18" fontId="89" numFmtId="167" xfId="0" applyAlignment="1" applyFont="1" applyNumberFormat="1">
      <alignment horizontal="right" vertical="bottom"/>
    </xf>
    <xf borderId="0" fillId="19" fontId="89" numFmtId="165" xfId="0" applyAlignment="1" applyFill="1" applyFont="1" applyNumberFormat="1">
      <alignment horizontal="right" readingOrder="0" vertical="bottom"/>
    </xf>
    <xf borderId="0" fillId="18" fontId="89" numFmtId="10" xfId="0" applyAlignment="1" applyFont="1" applyNumberFormat="1">
      <alignment horizontal="right" vertical="bottom"/>
    </xf>
    <xf borderId="0" fillId="18" fontId="89" numFmtId="0" xfId="0" applyAlignment="1" applyFont="1">
      <alignment horizontal="right" vertical="bottom"/>
    </xf>
    <xf borderId="0" fillId="18" fontId="89" numFmtId="169" xfId="0" applyAlignment="1" applyFont="1" applyNumberFormat="1">
      <alignment horizontal="right" vertical="bottom"/>
    </xf>
    <xf borderId="0" fillId="18" fontId="89" numFmtId="4" xfId="0" applyAlignment="1" applyFont="1" applyNumberFormat="1">
      <alignment horizontal="right" readingOrder="0" vertical="bottom"/>
    </xf>
    <xf borderId="0" fillId="18" fontId="89" numFmtId="165" xfId="0" applyAlignment="1" applyFont="1" applyNumberFormat="1">
      <alignment horizontal="right" vertical="bottom"/>
    </xf>
    <xf borderId="0" fillId="18" fontId="89" numFmtId="165" xfId="0" applyAlignment="1" applyFont="1" applyNumberFormat="1">
      <alignment horizontal="right" readingOrder="0" vertical="bottom"/>
    </xf>
    <xf borderId="0" fillId="18" fontId="89" numFmtId="168" xfId="0" applyAlignment="1" applyFont="1" applyNumberFormat="1">
      <alignment horizontal="right" vertical="bottom"/>
    </xf>
    <xf borderId="0" fillId="18" fontId="97" numFmtId="0" xfId="0" applyAlignment="1" applyFont="1">
      <alignment horizontal="right" vertical="bottom"/>
    </xf>
    <xf borderId="0" fillId="18" fontId="89" numFmtId="0" xfId="0" applyAlignment="1" applyFont="1">
      <alignment readingOrder="0" vertical="bottom"/>
    </xf>
    <xf borderId="5" fillId="18" fontId="89" numFmtId="0" xfId="0" applyAlignment="1" applyBorder="1" applyFont="1">
      <alignment vertical="bottom"/>
    </xf>
    <xf borderId="4" fillId="18" fontId="89" numFmtId="0" xfId="0" applyAlignment="1" applyBorder="1" applyFont="1">
      <alignment vertical="bottom"/>
    </xf>
    <xf borderId="0" fillId="18" fontId="89" numFmtId="166" xfId="0" applyAlignment="1" applyFont="1" applyNumberFormat="1">
      <alignment horizontal="right" vertical="bottom"/>
    </xf>
    <xf borderId="0" fillId="18" fontId="89" numFmtId="0" xfId="0" applyAlignment="1" applyFont="1">
      <alignment vertical="bottom"/>
    </xf>
    <xf borderId="6" fillId="18" fontId="88" numFmtId="0" xfId="0" applyAlignment="1" applyBorder="1" applyFont="1">
      <alignment vertical="bottom"/>
    </xf>
    <xf borderId="7" fillId="18" fontId="88" numFmtId="37" xfId="0" applyAlignment="1" applyBorder="1" applyFont="1" applyNumberFormat="1">
      <alignment horizontal="right" vertical="bottom"/>
    </xf>
    <xf borderId="7" fillId="18" fontId="88" numFmtId="165" xfId="0" applyAlignment="1" applyBorder="1" applyFont="1" applyNumberFormat="1">
      <alignment horizontal="right" vertical="bottom"/>
    </xf>
    <xf borderId="7" fillId="18" fontId="88" numFmtId="168" xfId="0" applyAlignment="1" applyBorder="1" applyFont="1" applyNumberFormat="1">
      <alignment horizontal="right" vertical="bottom"/>
    </xf>
    <xf borderId="7" fillId="18" fontId="88" numFmtId="0" xfId="0" applyAlignment="1" applyBorder="1" applyFont="1">
      <alignment vertical="bottom"/>
    </xf>
    <xf borderId="32" fillId="20" fontId="89" numFmtId="0" xfId="0" applyAlignment="1" applyBorder="1" applyFill="1" applyFont="1">
      <alignment readingOrder="0" vertical="bottom"/>
    </xf>
    <xf borderId="32" fillId="20" fontId="89" numFmtId="0" xfId="0" applyAlignment="1" applyBorder="1" applyFont="1">
      <alignment vertical="bottom"/>
    </xf>
    <xf borderId="32" fillId="20" fontId="77" numFmtId="0" xfId="0" applyBorder="1" applyFont="1"/>
    <xf borderId="33" fillId="20" fontId="89" numFmtId="0" xfId="0" applyAlignment="1" applyBorder="1" applyFont="1">
      <alignment vertical="bottom"/>
    </xf>
    <xf borderId="4" fillId="20" fontId="89" numFmtId="0" xfId="0" applyAlignment="1" applyBorder="1" applyFont="1">
      <alignment horizontal="center" readingOrder="0" shrinkToFit="0" wrapText="1"/>
    </xf>
    <xf borderId="0" fillId="20" fontId="89" numFmtId="0" xfId="0" applyAlignment="1" applyFont="1">
      <alignment horizontal="center" readingOrder="0" shrinkToFit="0" wrapText="1"/>
    </xf>
    <xf borderId="0" fillId="20" fontId="89" numFmtId="0" xfId="0" applyAlignment="1" applyFont="1">
      <alignment horizontal="center" shrinkToFit="0" wrapText="1"/>
    </xf>
    <xf borderId="0" fillId="20" fontId="89" numFmtId="165" xfId="0" applyAlignment="1" applyFont="1" applyNumberFormat="1">
      <alignment horizontal="center" readingOrder="0" shrinkToFit="0" wrapText="1"/>
    </xf>
    <xf borderId="0" fillId="20" fontId="89" numFmtId="0" xfId="0" applyAlignment="1" applyFont="1">
      <alignment horizontal="center" readingOrder="0" shrinkToFit="0" wrapText="1"/>
    </xf>
    <xf borderId="5" fillId="20" fontId="89" numFmtId="0" xfId="0" applyAlignment="1" applyBorder="1" applyFont="1">
      <alignment horizontal="center" readingOrder="0" shrinkToFit="0" wrapText="1"/>
    </xf>
    <xf borderId="4" fillId="20" fontId="89" numFmtId="0" xfId="0" applyAlignment="1" applyBorder="1" applyFont="1">
      <alignment readingOrder="0" vertical="bottom"/>
    </xf>
    <xf borderId="0" fillId="20" fontId="89" numFmtId="167" xfId="0" applyAlignment="1" applyFont="1" applyNumberFormat="1">
      <alignment horizontal="right" readingOrder="0" vertical="bottom"/>
    </xf>
    <xf borderId="0" fillId="20" fontId="89" numFmtId="165" xfId="0" applyAlignment="1" applyFont="1" applyNumberFormat="1">
      <alignment horizontal="right" readingOrder="0" vertical="bottom"/>
    </xf>
    <xf borderId="7" fillId="20" fontId="88" numFmtId="10" xfId="0" applyAlignment="1" applyBorder="1" applyFont="1" applyNumberFormat="1">
      <alignment horizontal="right" vertical="bottom"/>
    </xf>
    <xf borderId="0" fillId="20" fontId="89" numFmtId="167" xfId="0" applyAlignment="1" applyFont="1" applyNumberFormat="1">
      <alignment horizontal="right" vertical="bottom"/>
    </xf>
    <xf borderId="0" fillId="20" fontId="89" numFmtId="0" xfId="0" applyAlignment="1" applyFont="1">
      <alignment horizontal="right" vertical="bottom"/>
    </xf>
    <xf borderId="0" fillId="20" fontId="89" numFmtId="169" xfId="0" applyAlignment="1" applyFont="1" applyNumberFormat="1">
      <alignment horizontal="right" vertical="bottom"/>
    </xf>
    <xf borderId="0" fillId="20" fontId="89" numFmtId="4" xfId="0" applyAlignment="1" applyFont="1" applyNumberFormat="1">
      <alignment horizontal="right" readingOrder="0" vertical="bottom"/>
    </xf>
    <xf borderId="0" fillId="20" fontId="89" numFmtId="4" xfId="0" applyAlignment="1" applyFont="1" applyNumberFormat="1">
      <alignment horizontal="right" vertical="bottom"/>
    </xf>
    <xf borderId="0" fillId="20" fontId="89" numFmtId="165" xfId="0" applyAlignment="1" applyFont="1" applyNumberFormat="1">
      <alignment horizontal="right" vertical="bottom"/>
    </xf>
    <xf borderId="0" fillId="20" fontId="89" numFmtId="168" xfId="0" applyAlignment="1" applyFont="1" applyNumberFormat="1">
      <alignment horizontal="right" vertical="bottom"/>
    </xf>
    <xf borderId="0" fillId="20" fontId="97" numFmtId="0" xfId="0" applyAlignment="1" applyFont="1">
      <alignment horizontal="right" vertical="bottom"/>
    </xf>
    <xf borderId="0" fillId="20" fontId="97" numFmtId="0" xfId="0" applyAlignment="1" applyFont="1">
      <alignment horizontal="right" readingOrder="0" vertical="bottom"/>
    </xf>
    <xf borderId="0" fillId="20" fontId="89" numFmtId="0" xfId="0" applyAlignment="1" applyFont="1">
      <alignment vertical="bottom"/>
    </xf>
    <xf borderId="5" fillId="20" fontId="89" numFmtId="0" xfId="0" applyAlignment="1" applyBorder="1" applyFont="1">
      <alignment vertical="bottom"/>
    </xf>
    <xf borderId="4" fillId="20" fontId="89" numFmtId="0" xfId="0" applyAlignment="1" applyBorder="1" applyFont="1">
      <alignment vertical="bottom"/>
    </xf>
    <xf borderId="0" fillId="20" fontId="89" numFmtId="166" xfId="0" applyAlignment="1" applyFont="1" applyNumberFormat="1">
      <alignment horizontal="right" vertical="bottom"/>
    </xf>
    <xf borderId="6" fillId="20" fontId="88" numFmtId="0" xfId="0" applyAlignment="1" applyBorder="1" applyFont="1">
      <alignment vertical="bottom"/>
    </xf>
    <xf borderId="7" fillId="20" fontId="88" numFmtId="37" xfId="0" applyAlignment="1" applyBorder="1" applyFont="1" applyNumberFormat="1">
      <alignment horizontal="right" vertical="bottom"/>
    </xf>
    <xf borderId="7" fillId="20" fontId="88" numFmtId="165" xfId="0" applyAlignment="1" applyBorder="1" applyFont="1" applyNumberFormat="1">
      <alignment horizontal="right" vertical="bottom"/>
    </xf>
    <xf borderId="7" fillId="20" fontId="88" numFmtId="4" xfId="0" applyAlignment="1" applyBorder="1" applyFont="1" applyNumberFormat="1">
      <alignment horizontal="right" vertical="bottom"/>
    </xf>
    <xf borderId="7" fillId="20" fontId="88" numFmtId="168" xfId="0" applyAlignment="1" applyBorder="1" applyFont="1" applyNumberFormat="1">
      <alignment horizontal="right" vertical="bottom"/>
    </xf>
    <xf borderId="7" fillId="20" fontId="88" numFmtId="0" xfId="0" applyAlignment="1" applyBorder="1" applyFont="1">
      <alignment vertical="bottom"/>
    </xf>
    <xf borderId="8" fillId="20" fontId="88" numFmtId="168" xfId="0" applyAlignment="1" applyBorder="1" applyFont="1" applyNumberFormat="1">
      <alignment horizontal="right" vertical="bottom"/>
    </xf>
    <xf borderId="0" fillId="15" fontId="89" numFmtId="0" xfId="0" applyAlignment="1" applyFont="1">
      <alignment horizontal="center" readingOrder="0" shrinkToFit="0" wrapText="1"/>
    </xf>
    <xf borderId="5" fillId="15" fontId="89" numFmtId="0" xfId="0" applyAlignment="1" applyBorder="1" applyFont="1">
      <alignment horizontal="center" readingOrder="0" shrinkToFit="0" wrapText="1"/>
    </xf>
    <xf borderId="0" fillId="15" fontId="89" numFmtId="0" xfId="0" applyAlignment="1" applyFont="1">
      <alignment horizontal="right" vertical="bottom"/>
    </xf>
    <xf borderId="32" fillId="21" fontId="89" numFmtId="0" xfId="0" applyAlignment="1" applyBorder="1" applyFill="1" applyFont="1">
      <alignment readingOrder="0" vertical="bottom"/>
    </xf>
    <xf borderId="32" fillId="21" fontId="87" numFmtId="0" xfId="0" applyAlignment="1" applyBorder="1" applyFont="1">
      <alignment vertical="bottom"/>
    </xf>
    <xf borderId="33" fillId="21" fontId="87" numFmtId="0" xfId="0" applyAlignment="1" applyBorder="1" applyFont="1">
      <alignment vertical="bottom"/>
    </xf>
    <xf borderId="4" fillId="21" fontId="89" numFmtId="0" xfId="0" applyAlignment="1" applyBorder="1" applyFont="1">
      <alignment horizontal="center" readingOrder="0" shrinkToFit="0" vertical="bottom" wrapText="1"/>
    </xf>
    <xf borderId="0" fillId="21" fontId="89" numFmtId="0" xfId="0" applyAlignment="1" applyFont="1">
      <alignment horizontal="center" readingOrder="0" shrinkToFit="0" vertical="bottom" wrapText="1"/>
    </xf>
    <xf borderId="0" fillId="21" fontId="89" numFmtId="165" xfId="0" applyAlignment="1" applyFont="1" applyNumberFormat="1">
      <alignment horizontal="center" readingOrder="0" shrinkToFit="0" vertical="bottom" wrapText="1"/>
    </xf>
    <xf borderId="5" fillId="21" fontId="89" numFmtId="0" xfId="0" applyAlignment="1" applyBorder="1" applyFont="1">
      <alignment horizontal="center" readingOrder="0" shrinkToFit="0" vertical="bottom" wrapText="1"/>
    </xf>
    <xf borderId="4" fillId="21" fontId="89" numFmtId="0" xfId="0" applyAlignment="1" applyBorder="1" applyFont="1">
      <alignment readingOrder="0" vertical="bottom"/>
    </xf>
    <xf borderId="0" fillId="21" fontId="89" numFmtId="167" xfId="0" applyAlignment="1" applyFont="1" applyNumberFormat="1">
      <alignment horizontal="right" readingOrder="0" vertical="bottom"/>
    </xf>
    <xf borderId="0" fillId="21" fontId="89" numFmtId="165" xfId="0" applyAlignment="1" applyFont="1" applyNumberFormat="1">
      <alignment horizontal="right" readingOrder="0" vertical="bottom"/>
    </xf>
    <xf borderId="0" fillId="21" fontId="89" numFmtId="10" xfId="0" applyAlignment="1" applyFont="1" applyNumberFormat="1">
      <alignment horizontal="right" readingOrder="0" vertical="bottom"/>
    </xf>
    <xf borderId="0" fillId="21" fontId="89" numFmtId="4" xfId="0" applyAlignment="1" applyFont="1" applyNumberFormat="1">
      <alignment horizontal="right" readingOrder="0" vertical="bottom"/>
    </xf>
    <xf borderId="0" fillId="21" fontId="89" numFmtId="172" xfId="0" applyAlignment="1" applyFont="1" applyNumberFormat="1">
      <alignment horizontal="right" readingOrder="0" vertical="bottom"/>
    </xf>
    <xf borderId="0" fillId="21" fontId="89" numFmtId="168" xfId="0" applyAlignment="1" applyFont="1" applyNumberFormat="1">
      <alignment horizontal="right" readingOrder="0" vertical="bottom"/>
    </xf>
    <xf borderId="0" fillId="21" fontId="97" numFmtId="165" xfId="0" applyAlignment="1" applyFont="1" applyNumberFormat="1">
      <alignment horizontal="right" readingOrder="0" vertical="bottom"/>
    </xf>
    <xf borderId="0" fillId="21" fontId="97" numFmtId="168" xfId="0" applyAlignment="1" applyFont="1" applyNumberFormat="1">
      <alignment horizontal="right" readingOrder="0" vertical="bottom"/>
    </xf>
    <xf borderId="0" fillId="21" fontId="97" numFmtId="0" xfId="0" applyAlignment="1" applyFont="1">
      <alignment horizontal="right" readingOrder="0" vertical="bottom"/>
    </xf>
    <xf borderId="0" fillId="21" fontId="89" numFmtId="173" xfId="0" applyAlignment="1" applyFont="1" applyNumberFormat="1">
      <alignment horizontal="right" readingOrder="0" vertical="bottom"/>
    </xf>
    <xf borderId="0" fillId="21" fontId="89" numFmtId="3" xfId="0" applyAlignment="1" applyFont="1" applyNumberFormat="1">
      <alignment horizontal="right" readingOrder="0" vertical="bottom"/>
    </xf>
    <xf borderId="5" fillId="21" fontId="89" numFmtId="0" xfId="0" applyAlignment="1" applyBorder="1" applyFont="1">
      <alignment readingOrder="0" vertical="bottom"/>
    </xf>
    <xf borderId="4" fillId="21" fontId="89" numFmtId="0" xfId="0" applyAlignment="1" applyBorder="1" applyFont="1">
      <alignment vertical="bottom"/>
    </xf>
    <xf borderId="0" fillId="21" fontId="89" numFmtId="167" xfId="0" applyAlignment="1" applyFont="1" applyNumberFormat="1">
      <alignment horizontal="right" vertical="bottom"/>
    </xf>
    <xf borderId="0" fillId="21" fontId="89" numFmtId="165" xfId="0" applyAlignment="1" applyFont="1" applyNumberFormat="1">
      <alignment horizontal="right" vertical="bottom"/>
    </xf>
    <xf borderId="0" fillId="21" fontId="89" numFmtId="0" xfId="0" applyAlignment="1" applyFont="1">
      <alignment horizontal="right" readingOrder="0" vertical="bottom"/>
    </xf>
    <xf borderId="0" fillId="21" fontId="89" numFmtId="166" xfId="0" applyAlignment="1" applyFont="1" applyNumberFormat="1">
      <alignment horizontal="right" vertical="bottom"/>
    </xf>
    <xf borderId="0" fillId="21" fontId="89" numFmtId="10" xfId="0" applyAlignment="1" applyFont="1" applyNumberFormat="1">
      <alignment horizontal="right" vertical="bottom"/>
    </xf>
    <xf borderId="0" fillId="21" fontId="89" numFmtId="4" xfId="0" applyAlignment="1" applyFont="1" applyNumberFormat="1">
      <alignment horizontal="right" vertical="bottom"/>
    </xf>
    <xf borderId="0" fillId="21" fontId="89" numFmtId="172" xfId="0" applyAlignment="1" applyFont="1" applyNumberFormat="1">
      <alignment horizontal="right" vertical="bottom"/>
    </xf>
    <xf borderId="0" fillId="21" fontId="89" numFmtId="168" xfId="0" applyAlignment="1" applyFont="1" applyNumberFormat="1">
      <alignment horizontal="right" vertical="bottom"/>
    </xf>
    <xf borderId="0" fillId="21" fontId="97" numFmtId="165" xfId="0" applyAlignment="1" applyFont="1" applyNumberFormat="1">
      <alignment horizontal="right" vertical="bottom"/>
    </xf>
    <xf borderId="0" fillId="21" fontId="97" numFmtId="0" xfId="0" applyAlignment="1" applyFont="1">
      <alignment horizontal="right" vertical="bottom"/>
    </xf>
    <xf borderId="5" fillId="21" fontId="89" numFmtId="0" xfId="0" applyAlignment="1" applyBorder="1" applyFont="1">
      <alignment vertical="bottom"/>
    </xf>
    <xf borderId="4" fillId="21" fontId="87" numFmtId="0" xfId="0" applyAlignment="1" applyBorder="1" applyFont="1">
      <alignment vertical="bottom"/>
    </xf>
    <xf borderId="0" fillId="21" fontId="87" numFmtId="167" xfId="0" applyAlignment="1" applyFont="1" applyNumberFormat="1">
      <alignment vertical="bottom"/>
    </xf>
    <xf borderId="0" fillId="21" fontId="87" numFmtId="165" xfId="0" applyAlignment="1" applyFont="1" applyNumberFormat="1">
      <alignment vertical="bottom"/>
    </xf>
    <xf borderId="0" fillId="21" fontId="87" numFmtId="166" xfId="0" applyAlignment="1" applyFont="1" applyNumberFormat="1">
      <alignment vertical="bottom"/>
    </xf>
    <xf borderId="0" fillId="21" fontId="87" numFmtId="169" xfId="0" applyAlignment="1" applyFont="1" applyNumberFormat="1">
      <alignment vertical="bottom"/>
    </xf>
    <xf borderId="0" fillId="21" fontId="87" numFmtId="168" xfId="0" applyAlignment="1" applyFont="1" applyNumberFormat="1">
      <alignment vertical="bottom"/>
    </xf>
    <xf borderId="0" fillId="21" fontId="87" numFmtId="0" xfId="0" applyAlignment="1" applyFont="1">
      <alignment vertical="bottom"/>
    </xf>
    <xf borderId="5" fillId="21" fontId="87" numFmtId="0" xfId="0" applyAlignment="1" applyBorder="1" applyFont="1">
      <alignment vertical="bottom"/>
    </xf>
    <xf borderId="6" fillId="21" fontId="88" numFmtId="0" xfId="0" applyAlignment="1" applyBorder="1" applyFont="1">
      <alignment readingOrder="0" vertical="bottom"/>
    </xf>
    <xf borderId="7" fillId="21" fontId="87" numFmtId="37" xfId="0" applyAlignment="1" applyBorder="1" applyFont="1" applyNumberFormat="1">
      <alignment vertical="bottom"/>
    </xf>
    <xf borderId="7" fillId="21" fontId="88" numFmtId="165" xfId="0" applyAlignment="1" applyBorder="1" applyFont="1" applyNumberFormat="1">
      <alignment horizontal="right" readingOrder="0" vertical="bottom"/>
    </xf>
    <xf borderId="7" fillId="21" fontId="88" numFmtId="37" xfId="0" applyAlignment="1" applyBorder="1" applyFont="1" applyNumberFormat="1">
      <alignment horizontal="right" readingOrder="0" vertical="bottom"/>
    </xf>
    <xf borderId="7" fillId="21" fontId="88" numFmtId="10" xfId="0" applyAlignment="1" applyBorder="1" applyFont="1" applyNumberFormat="1">
      <alignment horizontal="right" readingOrder="0" vertical="bottom"/>
    </xf>
    <xf borderId="7" fillId="21" fontId="88" numFmtId="170" xfId="0" applyAlignment="1" applyBorder="1" applyFont="1" applyNumberFormat="1">
      <alignment horizontal="right" readingOrder="0" vertical="bottom"/>
    </xf>
    <xf borderId="7" fillId="21" fontId="87" numFmtId="168" xfId="0" applyAlignment="1" applyBorder="1" applyFont="1" applyNumberFormat="1">
      <alignment vertical="bottom"/>
    </xf>
    <xf borderId="7" fillId="21" fontId="87" numFmtId="165" xfId="0" applyAlignment="1" applyBorder="1" applyFont="1" applyNumberFormat="1">
      <alignment vertical="bottom"/>
    </xf>
    <xf borderId="7" fillId="21" fontId="87" numFmtId="0" xfId="0" applyAlignment="1" applyBorder="1" applyFont="1">
      <alignment vertical="bottom"/>
    </xf>
    <xf borderId="7" fillId="21" fontId="87" numFmtId="173" xfId="0" applyAlignment="1" applyBorder="1" applyFont="1" applyNumberFormat="1">
      <alignment vertical="bottom"/>
    </xf>
    <xf borderId="7" fillId="21" fontId="88" numFmtId="168" xfId="0" applyAlignment="1" applyBorder="1" applyFont="1" applyNumberFormat="1">
      <alignment horizontal="right" readingOrder="0" vertical="bottom"/>
    </xf>
    <xf borderId="32" fillId="16" fontId="87" numFmtId="0" xfId="0" applyAlignment="1" applyBorder="1" applyFont="1">
      <alignment vertical="bottom"/>
    </xf>
    <xf borderId="33" fillId="16" fontId="87" numFmtId="0" xfId="0" applyAlignment="1" applyBorder="1" applyFont="1">
      <alignment vertical="bottom"/>
    </xf>
    <xf borderId="4" fillId="16" fontId="89" numFmtId="0" xfId="0" applyAlignment="1" applyBorder="1" applyFont="1">
      <alignment horizontal="center" readingOrder="0" shrinkToFit="0" vertical="bottom" wrapText="1"/>
    </xf>
    <xf borderId="0" fillId="16" fontId="89" numFmtId="0" xfId="0" applyAlignment="1" applyFont="1">
      <alignment horizontal="center" readingOrder="0" shrinkToFit="0" vertical="bottom" wrapText="1"/>
    </xf>
    <xf borderId="5" fillId="16" fontId="89" numFmtId="0" xfId="0" applyAlignment="1" applyBorder="1" applyFont="1">
      <alignment horizontal="center" readingOrder="0" shrinkToFit="0" vertical="bottom" wrapText="1"/>
    </xf>
    <xf borderId="4" fillId="22" fontId="89" numFmtId="0" xfId="0" applyAlignment="1" applyBorder="1" applyFill="1" applyFont="1">
      <alignment readingOrder="0" vertical="bottom"/>
    </xf>
    <xf borderId="0" fillId="22" fontId="89" numFmtId="167" xfId="0" applyAlignment="1" applyFont="1" applyNumberFormat="1">
      <alignment horizontal="right" readingOrder="0" vertical="bottom"/>
    </xf>
    <xf borderId="0" fillId="22" fontId="89" numFmtId="165" xfId="0" applyAlignment="1" applyFont="1" applyNumberFormat="1">
      <alignment horizontal="right" readingOrder="0" vertical="bottom"/>
    </xf>
    <xf borderId="0" fillId="22" fontId="89" numFmtId="10" xfId="0" applyAlignment="1" applyFont="1" applyNumberFormat="1">
      <alignment horizontal="right" readingOrder="0" vertical="bottom"/>
    </xf>
    <xf borderId="0" fillId="22" fontId="89" numFmtId="4" xfId="0" applyAlignment="1" applyFont="1" applyNumberFormat="1">
      <alignment horizontal="right" readingOrder="0" vertical="bottom"/>
    </xf>
    <xf borderId="0" fillId="22" fontId="89" numFmtId="3" xfId="0" applyAlignment="1" applyFont="1" applyNumberFormat="1">
      <alignment horizontal="right" readingOrder="0" vertical="bottom"/>
    </xf>
    <xf borderId="0" fillId="22" fontId="89" numFmtId="172" xfId="0" applyAlignment="1" applyFont="1" applyNumberFormat="1">
      <alignment horizontal="right" readingOrder="0" vertical="bottom"/>
    </xf>
    <xf borderId="0" fillId="22" fontId="89" numFmtId="168" xfId="0" applyAlignment="1" applyFont="1" applyNumberFormat="1">
      <alignment horizontal="right" readingOrder="0" vertical="bottom"/>
    </xf>
    <xf borderId="0" fillId="22" fontId="97" numFmtId="165" xfId="0" applyAlignment="1" applyFont="1" applyNumberFormat="1">
      <alignment horizontal="right" readingOrder="0" vertical="bottom"/>
    </xf>
    <xf borderId="0" fillId="22" fontId="97" numFmtId="0" xfId="0" applyAlignment="1" applyFont="1">
      <alignment horizontal="right" readingOrder="0" vertical="bottom"/>
    </xf>
    <xf borderId="0" fillId="22" fontId="89" numFmtId="173" xfId="0" applyAlignment="1" applyFont="1" applyNumberFormat="1">
      <alignment horizontal="right" readingOrder="0" vertical="bottom"/>
    </xf>
    <xf borderId="5" fillId="22" fontId="89" numFmtId="0" xfId="0" applyAlignment="1" applyBorder="1" applyFont="1">
      <alignment readingOrder="0" vertical="bottom"/>
    </xf>
    <xf borderId="0" fillId="22" fontId="77" numFmtId="0" xfId="0" applyFont="1"/>
    <xf borderId="4" fillId="16" fontId="87" numFmtId="0" xfId="0" applyAlignment="1" applyBorder="1" applyFont="1">
      <alignment readingOrder="0" vertical="bottom"/>
    </xf>
    <xf borderId="0" fillId="16" fontId="87" numFmtId="167" xfId="0" applyAlignment="1" applyFont="1" applyNumberFormat="1">
      <alignment vertical="bottom"/>
    </xf>
    <xf borderId="0" fillId="16" fontId="89" numFmtId="167" xfId="0" applyAlignment="1" applyFont="1" applyNumberFormat="1">
      <alignment horizontal="right" readingOrder="0" vertical="bottom"/>
    </xf>
    <xf borderId="0" fillId="16" fontId="87" numFmtId="165" xfId="0" applyAlignment="1" applyFont="1" applyNumberFormat="1">
      <alignment readingOrder="0" vertical="bottom"/>
    </xf>
    <xf borderId="0" fillId="16" fontId="89" numFmtId="10" xfId="0" applyAlignment="1" applyFont="1" applyNumberFormat="1">
      <alignment horizontal="right" readingOrder="0" vertical="bottom"/>
    </xf>
    <xf borderId="0" fillId="16" fontId="87" numFmtId="166" xfId="0" applyAlignment="1" applyFont="1" applyNumberFormat="1">
      <alignment readingOrder="0" vertical="bottom"/>
    </xf>
    <xf borderId="0" fillId="16" fontId="87" numFmtId="169" xfId="0" applyAlignment="1" applyFont="1" applyNumberFormat="1">
      <alignment vertical="bottom"/>
    </xf>
    <xf borderId="0" fillId="16" fontId="87" numFmtId="4" xfId="0" applyAlignment="1" applyFont="1" applyNumberFormat="1">
      <alignment readingOrder="0" vertical="bottom"/>
    </xf>
    <xf borderId="0" fillId="16" fontId="87" numFmtId="169" xfId="0" applyAlignment="1" applyFont="1" applyNumberFormat="1">
      <alignment readingOrder="0" vertical="bottom"/>
    </xf>
    <xf borderId="0" fillId="16" fontId="87" numFmtId="168" xfId="0" applyAlignment="1" applyFont="1" applyNumberFormat="1">
      <alignment readingOrder="0" vertical="bottom"/>
    </xf>
    <xf borderId="0" fillId="16" fontId="87" numFmtId="165" xfId="0" applyAlignment="1" applyFont="1" applyNumberFormat="1">
      <alignment readingOrder="0" vertical="bottom"/>
    </xf>
    <xf borderId="0" fillId="16" fontId="97" numFmtId="0" xfId="0" applyAlignment="1" applyFont="1">
      <alignment horizontal="right" readingOrder="0" vertical="bottom"/>
    </xf>
    <xf borderId="0" fillId="16" fontId="87" numFmtId="0" xfId="0" applyAlignment="1" applyFont="1">
      <alignment readingOrder="0" vertical="bottom"/>
    </xf>
    <xf borderId="0" fillId="16" fontId="89" numFmtId="173" xfId="0" applyAlignment="1" applyFont="1" applyNumberFormat="1">
      <alignment horizontal="right" readingOrder="0" vertical="bottom"/>
    </xf>
    <xf borderId="5" fillId="16" fontId="87" numFmtId="0" xfId="0" applyAlignment="1" applyBorder="1" applyFont="1">
      <alignment readingOrder="0" vertical="bottom"/>
    </xf>
    <xf borderId="4" fillId="16" fontId="87" numFmtId="0" xfId="0" applyAlignment="1" applyBorder="1" applyFont="1">
      <alignment vertical="bottom"/>
    </xf>
    <xf borderId="0" fillId="16" fontId="87" numFmtId="165" xfId="0" applyAlignment="1" applyFont="1" applyNumberFormat="1">
      <alignment vertical="bottom"/>
    </xf>
    <xf borderId="0" fillId="16" fontId="89" numFmtId="0" xfId="0" applyAlignment="1" applyFont="1">
      <alignment horizontal="right" readingOrder="0" vertical="bottom"/>
    </xf>
    <xf borderId="0" fillId="16" fontId="87" numFmtId="166" xfId="0" applyAlignment="1" applyFont="1" applyNumberFormat="1">
      <alignment vertical="bottom"/>
    </xf>
    <xf borderId="0" fillId="16" fontId="87" numFmtId="168" xfId="0" applyAlignment="1" applyFont="1" applyNumberFormat="1">
      <alignment vertical="bottom"/>
    </xf>
    <xf borderId="0" fillId="16" fontId="87" numFmtId="0" xfId="0" applyAlignment="1" applyFont="1">
      <alignment vertical="bottom"/>
    </xf>
    <xf borderId="5" fillId="16" fontId="87" numFmtId="0" xfId="0" applyAlignment="1" applyBorder="1" applyFont="1">
      <alignment vertical="bottom"/>
    </xf>
    <xf borderId="6" fillId="16" fontId="88" numFmtId="0" xfId="0" applyAlignment="1" applyBorder="1" applyFont="1">
      <alignment readingOrder="0" vertical="bottom"/>
    </xf>
    <xf borderId="7" fillId="16" fontId="87" numFmtId="37" xfId="0" applyAlignment="1" applyBorder="1" applyFont="1" applyNumberFormat="1">
      <alignment vertical="bottom"/>
    </xf>
    <xf borderId="7" fillId="16" fontId="88" numFmtId="165" xfId="0" applyAlignment="1" applyBorder="1" applyFont="1" applyNumberFormat="1">
      <alignment horizontal="right" readingOrder="0" vertical="bottom"/>
    </xf>
    <xf borderId="7" fillId="16" fontId="88" numFmtId="37" xfId="0" applyAlignment="1" applyBorder="1" applyFont="1" applyNumberFormat="1">
      <alignment horizontal="right" readingOrder="0" vertical="bottom"/>
    </xf>
    <xf borderId="7" fillId="16" fontId="88" numFmtId="10" xfId="0" applyAlignment="1" applyBorder="1" applyFont="1" applyNumberFormat="1">
      <alignment horizontal="right" readingOrder="0" vertical="bottom"/>
    </xf>
    <xf borderId="7" fillId="16" fontId="87" numFmtId="168" xfId="0" applyAlignment="1" applyBorder="1" applyFont="1" applyNumberFormat="1">
      <alignment vertical="bottom"/>
    </xf>
    <xf borderId="7" fillId="16" fontId="87" numFmtId="0" xfId="0" applyAlignment="1" applyBorder="1" applyFont="1">
      <alignment vertical="bottom"/>
    </xf>
    <xf borderId="7" fillId="16" fontId="87" numFmtId="173" xfId="0" applyAlignment="1" applyBorder="1" applyFont="1" applyNumberFormat="1">
      <alignment vertical="bottom"/>
    </xf>
    <xf borderId="7" fillId="16" fontId="88" numFmtId="168" xfId="0" applyAlignment="1" applyBorder="1" applyFont="1" applyNumberFormat="1">
      <alignment horizontal="right" readingOrder="0"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0" Type="http://schemas.openxmlformats.org/officeDocument/2006/relationships/worksheet" Target="worksheets/sheet7.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571500</xdr:colOff>
      <xdr:row>20</xdr:row>
      <xdr:rowOff>190500</xdr:rowOff>
    </xdr:from>
    <xdr:ext cx="6781800" cy="354330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8</xdr:col>
      <xdr:colOff>0</xdr:colOff>
      <xdr:row>41</xdr:row>
      <xdr:rowOff>0</xdr:rowOff>
    </xdr:from>
    <xdr:ext cx="9982200" cy="6829425"/>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12</xdr:col>
      <xdr:colOff>228600</xdr:colOff>
      <xdr:row>9</xdr:row>
      <xdr:rowOff>171450</xdr:rowOff>
    </xdr:from>
    <xdr:ext cx="10010775" cy="6448425"/>
    <xdr:pic>
      <xdr:nvPicPr>
        <xdr:cNvPr id="0" name="image5.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19050</xdr:colOff>
      <xdr:row>4</xdr:row>
      <xdr:rowOff>76200</xdr:rowOff>
    </xdr:from>
    <xdr:ext cx="4933950" cy="1047750"/>
    <xdr:pic>
      <xdr:nvPicPr>
        <xdr:cNvPr id="0" name="image4.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3</xdr:row>
      <xdr:rowOff>0</xdr:rowOff>
    </xdr:from>
    <xdr:ext cx="14639925" cy="6686550"/>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about:blank" TargetMode="External"/><Relationship Id="rId10" Type="http://schemas.openxmlformats.org/officeDocument/2006/relationships/hyperlink" Target="about:blank" TargetMode="External"/><Relationship Id="rId13" Type="http://schemas.openxmlformats.org/officeDocument/2006/relationships/hyperlink" Target="about:blank" TargetMode="External"/><Relationship Id="rId12" Type="http://schemas.openxmlformats.org/officeDocument/2006/relationships/hyperlink" Target="about:blank" TargetMode="External"/><Relationship Id="rId1" Type="http://schemas.openxmlformats.org/officeDocument/2006/relationships/hyperlink" Target="about:blank" TargetMode="External"/><Relationship Id="rId2" Type="http://schemas.openxmlformats.org/officeDocument/2006/relationships/hyperlink" Target="about:blank" TargetMode="External"/><Relationship Id="rId3" Type="http://schemas.openxmlformats.org/officeDocument/2006/relationships/hyperlink" Target="about:blank" TargetMode="External"/><Relationship Id="rId4" Type="http://schemas.openxmlformats.org/officeDocument/2006/relationships/hyperlink" Target="about:blank" TargetMode="External"/><Relationship Id="rId9" Type="http://schemas.openxmlformats.org/officeDocument/2006/relationships/hyperlink" Target="about:blank" TargetMode="External"/><Relationship Id="rId15" Type="http://schemas.openxmlformats.org/officeDocument/2006/relationships/hyperlink" Target="about:blank" TargetMode="External"/><Relationship Id="rId14" Type="http://schemas.openxmlformats.org/officeDocument/2006/relationships/hyperlink" Target="about:blank" TargetMode="External"/><Relationship Id="rId16" Type="http://schemas.openxmlformats.org/officeDocument/2006/relationships/drawing" Target="../drawings/drawing1.xml"/><Relationship Id="rId5" Type="http://schemas.openxmlformats.org/officeDocument/2006/relationships/hyperlink" Target="about:blank" TargetMode="External"/><Relationship Id="rId6" Type="http://schemas.openxmlformats.org/officeDocument/2006/relationships/hyperlink" Target="about:blank" TargetMode="External"/><Relationship Id="rId7" Type="http://schemas.openxmlformats.org/officeDocument/2006/relationships/hyperlink" Target="https://www.catf.us/classviwellsmap/" TargetMode="External"/><Relationship Id="rId8"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3.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hyperlink" Target="https://netl.doe.gov/projects/files/CostofCapturingCO2fromIndustrialSources_071522.pdf" TargetMode="External"/><Relationship Id="rId2" Type="http://schemas.openxmlformats.org/officeDocument/2006/relationships/hyperlink" Target="https://data.bls.gov/cgi-bin/cpicalc.pl?cost1=1&amp;year1=201801&amp;year2=202402" TargetMode="External"/><Relationship Id="rId3"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s://doi.org/10.3389/fenrg.2022.909298" TargetMode="External"/><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hyperlink" Target="https://www.iea.org/reports/methane-tracker-2020/methane-abatement-options" TargetMode="External"/><Relationship Id="rId2" Type="http://schemas.openxmlformats.org/officeDocument/2006/relationships/hyperlink" Target="https://www.eia.gov/environment/emissions/co2_vol_mass.php" TargetMode="External"/><Relationship Id="rId3"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2" max="2" width="27.0"/>
    <col customWidth="1" min="3" max="3" width="22.88"/>
    <col customWidth="1" min="4" max="4" width="22.25"/>
    <col customWidth="1" min="5" max="5" width="28.25"/>
    <col customWidth="1" min="6" max="6" width="29.0"/>
  </cols>
  <sheetData>
    <row r="1">
      <c r="B1" s="1" t="s">
        <v>0</v>
      </c>
    </row>
    <row r="2">
      <c r="B2" s="1" t="s">
        <v>1</v>
      </c>
    </row>
    <row r="3">
      <c r="B3" s="1" t="s">
        <v>2</v>
      </c>
    </row>
    <row r="4">
      <c r="B4" s="1" t="s">
        <v>3</v>
      </c>
    </row>
    <row r="5">
      <c r="B5" s="1" t="s">
        <v>4</v>
      </c>
    </row>
    <row r="6">
      <c r="B6" s="2"/>
    </row>
    <row r="7">
      <c r="B7" s="3" t="s">
        <v>5</v>
      </c>
    </row>
    <row r="8">
      <c r="B8" s="4"/>
    </row>
    <row r="9">
      <c r="B9" s="5" t="s">
        <v>6</v>
      </c>
      <c r="C9" s="6" t="s">
        <v>7</v>
      </c>
      <c r="D9" s="6" t="s">
        <v>8</v>
      </c>
      <c r="E9" s="7" t="s">
        <v>9</v>
      </c>
    </row>
    <row r="10">
      <c r="B10" s="8" t="s">
        <v>10</v>
      </c>
      <c r="C10" s="9" t="s">
        <v>11</v>
      </c>
      <c r="D10" s="10">
        <v>4097075.0</v>
      </c>
      <c r="E10" s="11">
        <v>0.41</v>
      </c>
    </row>
    <row r="11">
      <c r="B11" s="12"/>
      <c r="C11" s="13" t="s">
        <v>12</v>
      </c>
      <c r="D11" s="14">
        <v>3685143.0</v>
      </c>
      <c r="E11" s="15">
        <v>0.17</v>
      </c>
    </row>
    <row r="12">
      <c r="B12" s="12"/>
      <c r="C12" s="16" t="s">
        <v>13</v>
      </c>
      <c r="D12" s="17">
        <v>3.8243646E7</v>
      </c>
      <c r="E12" s="18">
        <v>0.2</v>
      </c>
    </row>
    <row r="13">
      <c r="B13" s="19"/>
      <c r="C13" s="20" t="s">
        <v>14</v>
      </c>
      <c r="D13" s="21">
        <v>2.8467265E7</v>
      </c>
      <c r="E13" s="22">
        <v>0.27</v>
      </c>
    </row>
    <row r="14">
      <c r="B14" s="8" t="s">
        <v>15</v>
      </c>
      <c r="C14" s="9" t="s">
        <v>11</v>
      </c>
      <c r="D14" s="10">
        <v>2123325.0</v>
      </c>
      <c r="E14" s="23">
        <v>0.21</v>
      </c>
    </row>
    <row r="15">
      <c r="B15" s="12"/>
      <c r="C15" s="13" t="s">
        <v>12</v>
      </c>
      <c r="D15" s="24">
        <v>2000708.0</v>
      </c>
      <c r="E15" s="25">
        <v>0.09</v>
      </c>
    </row>
    <row r="16">
      <c r="B16" s="12"/>
      <c r="C16" s="16" t="s">
        <v>13</v>
      </c>
      <c r="D16" s="17">
        <v>1.2211935E7</v>
      </c>
      <c r="E16" s="26">
        <v>0.07</v>
      </c>
    </row>
    <row r="17">
      <c r="B17" s="19"/>
      <c r="C17" s="20" t="s">
        <v>14</v>
      </c>
      <c r="D17" s="21">
        <v>75112.0</v>
      </c>
      <c r="E17" s="27">
        <v>0.0</v>
      </c>
    </row>
    <row r="18">
      <c r="B18" s="8" t="s">
        <v>16</v>
      </c>
      <c r="C18" s="9" t="s">
        <v>11</v>
      </c>
      <c r="D18" s="10">
        <v>741437.0</v>
      </c>
      <c r="E18" s="23">
        <v>0.07</v>
      </c>
    </row>
    <row r="19">
      <c r="B19" s="12"/>
      <c r="C19" s="13" t="s">
        <v>12</v>
      </c>
      <c r="D19" s="14">
        <v>4410905.0</v>
      </c>
      <c r="E19" s="25">
        <v>0.2</v>
      </c>
    </row>
    <row r="20">
      <c r="B20" s="12"/>
      <c r="C20" s="16" t="s">
        <v>13</v>
      </c>
      <c r="D20" s="17">
        <v>5.4556364E7</v>
      </c>
      <c r="E20" s="26">
        <v>0.29</v>
      </c>
    </row>
    <row r="21">
      <c r="B21" s="19"/>
      <c r="C21" s="20" t="s">
        <v>14</v>
      </c>
      <c r="D21" s="21">
        <v>2.6164439E7</v>
      </c>
      <c r="E21" s="27">
        <v>0.25</v>
      </c>
    </row>
    <row r="22">
      <c r="B22" s="8" t="s">
        <v>17</v>
      </c>
      <c r="C22" s="9" t="s">
        <v>11</v>
      </c>
      <c r="D22" s="10">
        <v>325239.0</v>
      </c>
      <c r="E22" s="28">
        <v>0.03</v>
      </c>
    </row>
    <row r="23">
      <c r="B23" s="12"/>
      <c r="C23" s="13" t="s">
        <v>12</v>
      </c>
      <c r="D23" s="24">
        <v>8315251.0</v>
      </c>
      <c r="E23" s="29">
        <v>0.37</v>
      </c>
    </row>
    <row r="24">
      <c r="B24" s="12"/>
      <c r="C24" s="16" t="s">
        <v>13</v>
      </c>
      <c r="D24" s="17">
        <v>6.1730272E7</v>
      </c>
      <c r="E24" s="30">
        <v>0.33</v>
      </c>
    </row>
    <row r="25">
      <c r="B25" s="19"/>
      <c r="C25" s="20" t="s">
        <v>14</v>
      </c>
      <c r="D25" s="21">
        <v>4.2632116E7</v>
      </c>
      <c r="E25" s="22">
        <v>0.4</v>
      </c>
    </row>
    <row r="26">
      <c r="B26" s="8" t="s">
        <v>18</v>
      </c>
      <c r="C26" s="9" t="s">
        <v>11</v>
      </c>
      <c r="D26" s="10">
        <v>272092.0</v>
      </c>
      <c r="E26" s="28">
        <v>0.03</v>
      </c>
    </row>
    <row r="27">
      <c r="B27" s="12"/>
      <c r="C27" s="13" t="s">
        <v>12</v>
      </c>
      <c r="D27" s="24">
        <v>111746.0</v>
      </c>
      <c r="E27" s="29">
        <v>0.01</v>
      </c>
    </row>
    <row r="28">
      <c r="B28" s="12"/>
      <c r="C28" s="16" t="s">
        <v>13</v>
      </c>
      <c r="D28" s="17">
        <v>2266714.0</v>
      </c>
      <c r="E28" s="30">
        <v>0.01</v>
      </c>
    </row>
    <row r="29">
      <c r="B29" s="19"/>
      <c r="C29" s="20" t="s">
        <v>14</v>
      </c>
      <c r="D29" s="21">
        <v>1833609.0</v>
      </c>
      <c r="E29" s="22">
        <v>0.02</v>
      </c>
    </row>
    <row r="30">
      <c r="B30" s="8" t="s">
        <v>19</v>
      </c>
      <c r="C30" s="9" t="s">
        <v>11</v>
      </c>
      <c r="D30" s="10">
        <v>258230.0</v>
      </c>
      <c r="E30" s="28">
        <v>0.03</v>
      </c>
    </row>
    <row r="31">
      <c r="B31" s="12"/>
      <c r="C31" s="13" t="s">
        <v>12</v>
      </c>
      <c r="D31" s="31" t="s">
        <v>20</v>
      </c>
      <c r="E31" s="29">
        <v>0.0</v>
      </c>
    </row>
    <row r="32">
      <c r="B32" s="12"/>
      <c r="C32" s="16" t="s">
        <v>13</v>
      </c>
      <c r="D32" s="17">
        <v>2200636.0</v>
      </c>
      <c r="E32" s="30">
        <v>0.01</v>
      </c>
    </row>
    <row r="33">
      <c r="B33" s="19"/>
      <c r="C33" s="20" t="s">
        <v>14</v>
      </c>
      <c r="D33" s="32">
        <v>0.0</v>
      </c>
      <c r="E33" s="22">
        <v>0.0</v>
      </c>
    </row>
    <row r="34">
      <c r="B34" s="8" t="s">
        <v>21</v>
      </c>
      <c r="C34" s="9" t="s">
        <v>11</v>
      </c>
      <c r="D34" s="10">
        <v>169024.0</v>
      </c>
      <c r="E34" s="28">
        <v>0.02</v>
      </c>
    </row>
    <row r="35">
      <c r="B35" s="12"/>
      <c r="C35" s="13" t="s">
        <v>12</v>
      </c>
      <c r="D35" s="33">
        <v>0.0</v>
      </c>
      <c r="E35" s="29">
        <v>0.0</v>
      </c>
    </row>
    <row r="36">
      <c r="B36" s="12"/>
      <c r="C36" s="16" t="s">
        <v>13</v>
      </c>
      <c r="D36" s="34" t="s">
        <v>20</v>
      </c>
      <c r="E36" s="30">
        <v>0.0</v>
      </c>
    </row>
    <row r="37">
      <c r="B37" s="19"/>
      <c r="C37" s="20" t="s">
        <v>14</v>
      </c>
      <c r="D37" s="32">
        <v>0.0</v>
      </c>
      <c r="E37" s="22">
        <v>0.0</v>
      </c>
    </row>
    <row r="38">
      <c r="B38" s="8" t="s">
        <v>22</v>
      </c>
      <c r="C38" s="9" t="s">
        <v>11</v>
      </c>
      <c r="D38" s="35">
        <v>0.0</v>
      </c>
      <c r="E38" s="28">
        <v>0.0</v>
      </c>
    </row>
    <row r="39">
      <c r="B39" s="12"/>
      <c r="C39" s="13" t="s">
        <v>12</v>
      </c>
      <c r="D39" s="14">
        <v>970259.0</v>
      </c>
      <c r="E39" s="29">
        <v>0.04</v>
      </c>
    </row>
    <row r="40">
      <c r="B40" s="12"/>
      <c r="C40" s="16" t="s">
        <v>13</v>
      </c>
      <c r="D40" s="17">
        <v>1017772.0</v>
      </c>
      <c r="E40" s="30">
        <v>0.01</v>
      </c>
    </row>
    <row r="41">
      <c r="B41" s="19"/>
      <c r="C41" s="20" t="s">
        <v>14</v>
      </c>
      <c r="D41" s="21">
        <v>2061487.0</v>
      </c>
      <c r="E41" s="22">
        <v>0.02</v>
      </c>
    </row>
    <row r="42">
      <c r="B42" s="4"/>
    </row>
    <row r="43">
      <c r="B43" s="36" t="s">
        <v>23</v>
      </c>
    </row>
    <row r="44">
      <c r="B44" s="37"/>
    </row>
    <row r="45">
      <c r="B45" s="38" t="s">
        <v>6</v>
      </c>
      <c r="C45" s="39" t="s">
        <v>24</v>
      </c>
    </row>
    <row r="46">
      <c r="B46" s="40" t="s">
        <v>10</v>
      </c>
      <c r="C46" s="41" t="s">
        <v>25</v>
      </c>
    </row>
    <row r="47">
      <c r="B47" s="42"/>
      <c r="C47" s="43" t="s">
        <v>26</v>
      </c>
    </row>
    <row r="48">
      <c r="B48" s="42"/>
      <c r="C48" s="41" t="s">
        <v>27</v>
      </c>
    </row>
    <row r="49">
      <c r="B49" s="42"/>
      <c r="C49" s="43" t="s">
        <v>28</v>
      </c>
    </row>
    <row r="50">
      <c r="B50" s="44" t="s">
        <v>15</v>
      </c>
      <c r="C50" s="41" t="s">
        <v>29</v>
      </c>
    </row>
    <row r="51">
      <c r="B51" s="42"/>
      <c r="C51" s="43" t="s">
        <v>30</v>
      </c>
    </row>
    <row r="52">
      <c r="B52" s="42"/>
      <c r="C52" s="41" t="s">
        <v>31</v>
      </c>
    </row>
    <row r="53">
      <c r="B53" s="42"/>
      <c r="C53" s="43" t="s">
        <v>32</v>
      </c>
    </row>
    <row r="54">
      <c r="B54" s="44" t="s">
        <v>16</v>
      </c>
      <c r="C54" s="41" t="s">
        <v>33</v>
      </c>
    </row>
    <row r="55">
      <c r="B55" s="42"/>
      <c r="C55" s="43" t="s">
        <v>31</v>
      </c>
    </row>
    <row r="56">
      <c r="B56" s="42"/>
      <c r="C56" s="41" t="s">
        <v>32</v>
      </c>
    </row>
    <row r="57">
      <c r="B57" s="42"/>
      <c r="C57" s="43" t="s">
        <v>34</v>
      </c>
    </row>
    <row r="58">
      <c r="B58" s="44" t="s">
        <v>17</v>
      </c>
      <c r="C58" s="41" t="s">
        <v>32</v>
      </c>
    </row>
    <row r="59">
      <c r="B59" s="42"/>
      <c r="C59" s="43" t="s">
        <v>35</v>
      </c>
    </row>
    <row r="60">
      <c r="B60" s="42"/>
      <c r="C60" s="41" t="s">
        <v>31</v>
      </c>
    </row>
    <row r="61">
      <c r="B61" s="42"/>
      <c r="C61" s="43" t="s">
        <v>34</v>
      </c>
    </row>
    <row r="62">
      <c r="B62" s="44" t="s">
        <v>18</v>
      </c>
      <c r="C62" s="41" t="s">
        <v>36</v>
      </c>
    </row>
    <row r="63">
      <c r="B63" s="42"/>
      <c r="C63" s="43" t="s">
        <v>32</v>
      </c>
    </row>
    <row r="64">
      <c r="B64" s="42"/>
      <c r="C64" s="41" t="s">
        <v>37</v>
      </c>
    </row>
    <row r="65">
      <c r="B65" s="42"/>
      <c r="C65" s="43" t="s">
        <v>34</v>
      </c>
    </row>
    <row r="66">
      <c r="B66" s="40" t="s">
        <v>19</v>
      </c>
      <c r="C66" s="45"/>
    </row>
    <row r="67">
      <c r="B67" s="42"/>
      <c r="C67" s="46"/>
    </row>
    <row r="68">
      <c r="B68" s="42"/>
      <c r="C68" s="45"/>
    </row>
    <row r="69">
      <c r="B69" s="42"/>
      <c r="C69" s="46"/>
    </row>
    <row r="70">
      <c r="B70" s="40" t="s">
        <v>21</v>
      </c>
      <c r="C70" s="41" t="s">
        <v>38</v>
      </c>
    </row>
    <row r="71">
      <c r="B71" s="42"/>
      <c r="C71" s="43" t="s">
        <v>28</v>
      </c>
    </row>
    <row r="72">
      <c r="B72" s="47"/>
      <c r="C72" s="41" t="s">
        <v>39</v>
      </c>
    </row>
    <row r="73">
      <c r="B73" s="48" t="s">
        <v>22</v>
      </c>
      <c r="C73" s="46"/>
    </row>
    <row r="74">
      <c r="B74" s="42"/>
      <c r="C74" s="41" t="s">
        <v>35</v>
      </c>
    </row>
    <row r="75">
      <c r="B75" s="42"/>
      <c r="C75" s="43" t="s">
        <v>32</v>
      </c>
    </row>
    <row r="76">
      <c r="B76" s="47"/>
      <c r="C76" s="41" t="s">
        <v>34</v>
      </c>
    </row>
    <row r="77">
      <c r="B77" s="49"/>
    </row>
    <row r="78">
      <c r="B78" s="36" t="s">
        <v>40</v>
      </c>
    </row>
    <row r="79">
      <c r="B79" s="37"/>
    </row>
    <row r="80">
      <c r="B80" s="50" t="s">
        <v>7</v>
      </c>
      <c r="C80" s="51" t="s">
        <v>41</v>
      </c>
      <c r="D80" s="51" t="s">
        <v>42</v>
      </c>
      <c r="E80" s="51" t="s">
        <v>43</v>
      </c>
      <c r="F80" s="51" t="s">
        <v>44</v>
      </c>
      <c r="G80" s="52" t="s">
        <v>45</v>
      </c>
    </row>
    <row r="81">
      <c r="B81" s="53" t="s">
        <v>46</v>
      </c>
      <c r="C81" s="54" t="s">
        <v>47</v>
      </c>
      <c r="D81" s="54">
        <v>89.38</v>
      </c>
      <c r="E81" s="55"/>
      <c r="F81" s="54">
        <v>25.0</v>
      </c>
      <c r="G81" s="56" t="s">
        <v>48</v>
      </c>
    </row>
    <row r="82">
      <c r="B82" s="42"/>
      <c r="C82" s="57" t="s">
        <v>37</v>
      </c>
      <c r="D82" s="57">
        <v>280.7</v>
      </c>
      <c r="E82" s="58"/>
      <c r="F82" s="57" t="s">
        <v>49</v>
      </c>
      <c r="G82" s="59" t="s">
        <v>50</v>
      </c>
    </row>
    <row r="83">
      <c r="B83" s="42"/>
      <c r="C83" s="54" t="s">
        <v>26</v>
      </c>
      <c r="D83" s="55"/>
      <c r="E83" s="55"/>
      <c r="F83" s="54" t="s">
        <v>51</v>
      </c>
      <c r="G83" s="56" t="s">
        <v>48</v>
      </c>
    </row>
    <row r="84">
      <c r="B84" s="42"/>
      <c r="C84" s="57" t="s">
        <v>52</v>
      </c>
      <c r="D84" s="57">
        <v>166.84</v>
      </c>
      <c r="E84" s="58"/>
      <c r="F84" s="57" t="s">
        <v>53</v>
      </c>
      <c r="G84" s="59" t="s">
        <v>54</v>
      </c>
    </row>
    <row r="85">
      <c r="B85" s="53" t="s">
        <v>55</v>
      </c>
      <c r="C85" s="54" t="s">
        <v>47</v>
      </c>
      <c r="D85" s="54">
        <v>235.13</v>
      </c>
      <c r="E85" s="55"/>
      <c r="F85" s="55"/>
      <c r="G85" s="56" t="s">
        <v>56</v>
      </c>
    </row>
    <row r="86">
      <c r="B86" s="42"/>
      <c r="C86" s="57" t="s">
        <v>57</v>
      </c>
      <c r="D86" s="57">
        <v>174.97</v>
      </c>
      <c r="E86" s="58"/>
      <c r="F86" s="58"/>
      <c r="G86" s="59" t="s">
        <v>58</v>
      </c>
    </row>
    <row r="87">
      <c r="B87" s="42"/>
      <c r="C87" s="54" t="s">
        <v>35</v>
      </c>
      <c r="D87" s="55"/>
      <c r="E87" s="55"/>
      <c r="F87" s="55"/>
      <c r="G87" s="56" t="s">
        <v>48</v>
      </c>
    </row>
    <row r="88">
      <c r="B88" s="42"/>
      <c r="C88" s="57" t="s">
        <v>59</v>
      </c>
      <c r="D88" s="57">
        <v>67.3</v>
      </c>
      <c r="E88" s="58"/>
      <c r="F88" s="58"/>
      <c r="G88" s="59" t="s">
        <v>60</v>
      </c>
    </row>
    <row r="89">
      <c r="B89" s="53" t="s">
        <v>61</v>
      </c>
      <c r="C89" s="54" t="s">
        <v>47</v>
      </c>
      <c r="D89" s="54">
        <v>226.52</v>
      </c>
      <c r="E89" s="55"/>
      <c r="F89" s="55"/>
      <c r="G89" s="56" t="s">
        <v>60</v>
      </c>
    </row>
    <row r="90">
      <c r="B90" s="42"/>
      <c r="C90" s="57" t="s">
        <v>62</v>
      </c>
      <c r="D90" s="57">
        <v>88.1</v>
      </c>
      <c r="E90" s="58"/>
      <c r="F90" s="58"/>
      <c r="G90" s="59" t="s">
        <v>63</v>
      </c>
    </row>
    <row r="91">
      <c r="B91" s="42"/>
      <c r="C91" s="54" t="s">
        <v>26</v>
      </c>
      <c r="D91" s="55"/>
      <c r="E91" s="55"/>
      <c r="F91" s="55"/>
      <c r="G91" s="56" t="s">
        <v>48</v>
      </c>
    </row>
    <row r="92">
      <c r="B92" s="42"/>
      <c r="C92" s="57" t="s">
        <v>38</v>
      </c>
      <c r="D92" s="57">
        <v>60.03</v>
      </c>
      <c r="E92" s="58"/>
      <c r="F92" s="58"/>
      <c r="G92" s="59" t="s">
        <v>58</v>
      </c>
    </row>
    <row r="93">
      <c r="B93" s="47"/>
      <c r="C93" s="54" t="s">
        <v>64</v>
      </c>
      <c r="D93" s="55"/>
      <c r="E93" s="55"/>
      <c r="F93" s="55"/>
      <c r="G93" s="56" t="s">
        <v>48</v>
      </c>
    </row>
    <row r="94">
      <c r="B94" s="60" t="s">
        <v>65</v>
      </c>
      <c r="C94" s="57" t="s">
        <v>47</v>
      </c>
      <c r="D94" s="57">
        <v>213.83</v>
      </c>
      <c r="E94" s="58"/>
      <c r="F94" s="58"/>
      <c r="G94" s="59" t="s">
        <v>48</v>
      </c>
    </row>
    <row r="95">
      <c r="B95" s="42"/>
      <c r="C95" s="54" t="s">
        <v>62</v>
      </c>
      <c r="D95" s="54">
        <v>164.5</v>
      </c>
      <c r="E95" s="55"/>
      <c r="F95" s="55"/>
      <c r="G95" s="56" t="s">
        <v>54</v>
      </c>
    </row>
    <row r="96">
      <c r="B96" s="42"/>
      <c r="C96" s="57" t="s">
        <v>26</v>
      </c>
      <c r="D96" s="58"/>
      <c r="E96" s="58"/>
      <c r="F96" s="58"/>
      <c r="G96" s="59" t="s">
        <v>48</v>
      </c>
    </row>
    <row r="97">
      <c r="B97" s="47"/>
      <c r="C97" s="54" t="s">
        <v>38</v>
      </c>
      <c r="D97" s="54">
        <v>82.5</v>
      </c>
      <c r="E97" s="55"/>
      <c r="F97" s="55"/>
      <c r="G97" s="56" t="s">
        <v>66</v>
      </c>
    </row>
    <row r="98">
      <c r="B98" s="49"/>
    </row>
    <row r="99">
      <c r="B99" s="61" t="s">
        <v>67</v>
      </c>
    </row>
    <row r="100">
      <c r="B100" s="61" t="s">
        <v>68</v>
      </c>
    </row>
    <row r="101">
      <c r="B101" s="62"/>
    </row>
    <row r="102">
      <c r="B102" s="63" t="s">
        <v>69</v>
      </c>
    </row>
    <row r="103">
      <c r="B103" s="64"/>
    </row>
    <row r="104">
      <c r="B104" s="63" t="s">
        <v>70</v>
      </c>
    </row>
    <row r="105">
      <c r="B105" s="63" t="s">
        <v>71</v>
      </c>
    </row>
    <row r="106">
      <c r="B106" s="63" t="s">
        <v>72</v>
      </c>
    </row>
    <row r="107">
      <c r="B107" s="63" t="s">
        <v>73</v>
      </c>
    </row>
    <row r="108">
      <c r="B108" s="63" t="s">
        <v>74</v>
      </c>
    </row>
    <row r="109">
      <c r="B109" s="63" t="s">
        <v>75</v>
      </c>
    </row>
    <row r="110">
      <c r="B110" s="63" t="s">
        <v>76</v>
      </c>
    </row>
    <row r="111">
      <c r="B111" s="65"/>
    </row>
    <row r="112">
      <c r="B112" s="63" t="s">
        <v>77</v>
      </c>
    </row>
    <row r="113">
      <c r="B113" s="66" t="s">
        <v>78</v>
      </c>
    </row>
    <row r="114">
      <c r="B114" s="63"/>
    </row>
    <row r="115">
      <c r="B115" s="63"/>
    </row>
    <row r="116">
      <c r="B116" s="63"/>
    </row>
    <row r="117">
      <c r="B117" s="63"/>
    </row>
    <row r="118">
      <c r="B118" s="65"/>
    </row>
    <row r="119">
      <c r="B119" s="63"/>
    </row>
    <row r="120">
      <c r="B120" s="63"/>
    </row>
    <row r="121">
      <c r="B121" s="65"/>
    </row>
    <row r="122">
      <c r="B122" s="65"/>
    </row>
    <row r="123">
      <c r="B123" s="65"/>
    </row>
    <row r="124">
      <c r="B124" s="63"/>
    </row>
    <row r="125">
      <c r="B125" s="65"/>
    </row>
    <row r="126">
      <c r="B126" s="63"/>
    </row>
    <row r="127">
      <c r="B127" s="65"/>
    </row>
    <row r="128">
      <c r="B128" s="63" t="s">
        <v>79</v>
      </c>
    </row>
    <row r="129">
      <c r="B129" s="65"/>
    </row>
    <row r="130">
      <c r="B130" s="67" t="s">
        <v>7</v>
      </c>
      <c r="C130" s="68" t="s">
        <v>80</v>
      </c>
      <c r="D130" s="68" t="s">
        <v>41</v>
      </c>
      <c r="E130" s="68" t="s">
        <v>81</v>
      </c>
    </row>
    <row r="131">
      <c r="B131" s="69" t="s">
        <v>11</v>
      </c>
      <c r="C131" s="70">
        <v>8.121925E7</v>
      </c>
      <c r="D131" s="71" t="s">
        <v>47</v>
      </c>
      <c r="E131" s="72"/>
    </row>
    <row r="132">
      <c r="B132" s="73"/>
      <c r="C132" s="74"/>
      <c r="D132" s="71" t="s">
        <v>57</v>
      </c>
      <c r="E132" s="72"/>
    </row>
    <row r="133">
      <c r="B133" s="73"/>
      <c r="C133" s="74"/>
      <c r="D133" s="71" t="s">
        <v>38</v>
      </c>
      <c r="E133" s="72"/>
    </row>
    <row r="134">
      <c r="B134" s="75"/>
      <c r="C134" s="76"/>
      <c r="D134" s="71" t="s">
        <v>35</v>
      </c>
      <c r="E134" s="72"/>
    </row>
    <row r="135">
      <c r="B135" s="69" t="s">
        <v>12</v>
      </c>
      <c r="C135" s="77">
        <v>8.1047916E7</v>
      </c>
      <c r="D135" s="71" t="s">
        <v>47</v>
      </c>
      <c r="E135" s="72"/>
    </row>
    <row r="136">
      <c r="B136" s="73"/>
      <c r="C136" s="72"/>
      <c r="D136" s="71" t="s">
        <v>57</v>
      </c>
      <c r="E136" s="72"/>
    </row>
    <row r="137">
      <c r="B137" s="73"/>
      <c r="C137" s="72"/>
      <c r="D137" s="71" t="s">
        <v>35</v>
      </c>
      <c r="E137" s="72"/>
    </row>
    <row r="138">
      <c r="B138" s="75"/>
      <c r="C138" s="72"/>
      <c r="D138" s="71" t="s">
        <v>38</v>
      </c>
      <c r="E138" s="72"/>
    </row>
    <row r="139">
      <c r="B139" s="78" t="s">
        <v>14</v>
      </c>
      <c r="C139" s="77">
        <v>1.14248916E8</v>
      </c>
      <c r="D139" s="71" t="s">
        <v>47</v>
      </c>
      <c r="E139" s="72"/>
    </row>
    <row r="140">
      <c r="B140" s="79"/>
      <c r="C140" s="72"/>
      <c r="D140" s="71" t="s">
        <v>57</v>
      </c>
      <c r="E140" s="72"/>
    </row>
    <row r="141">
      <c r="B141" s="79"/>
      <c r="C141" s="72"/>
      <c r="D141" s="71" t="s">
        <v>35</v>
      </c>
      <c r="E141" s="72"/>
    </row>
    <row r="142">
      <c r="B142" s="79"/>
      <c r="C142" s="72"/>
      <c r="D142" s="71" t="s">
        <v>38</v>
      </c>
      <c r="E142" s="72"/>
    </row>
    <row r="143">
      <c r="B143" s="79"/>
      <c r="C143" s="72"/>
      <c r="D143" s="71" t="s">
        <v>64</v>
      </c>
      <c r="E143" s="72"/>
    </row>
    <row r="144">
      <c r="B144" s="78" t="s">
        <v>13</v>
      </c>
      <c r="C144" s="77">
        <v>1.69583916E8</v>
      </c>
      <c r="D144" s="71" t="s">
        <v>47</v>
      </c>
      <c r="E144" s="72"/>
    </row>
    <row r="145">
      <c r="B145" s="79"/>
      <c r="C145" s="72"/>
      <c r="D145" s="71" t="s">
        <v>57</v>
      </c>
      <c r="E145" s="72"/>
    </row>
    <row r="146">
      <c r="B146" s="79"/>
      <c r="C146" s="72"/>
      <c r="D146" s="71" t="s">
        <v>26</v>
      </c>
      <c r="E146" s="72"/>
    </row>
    <row r="147">
      <c r="B147" s="79"/>
      <c r="C147" s="72"/>
      <c r="D147" s="71" t="s">
        <v>38</v>
      </c>
      <c r="E147" s="72"/>
    </row>
    <row r="148">
      <c r="B148" s="80" t="s">
        <v>82</v>
      </c>
      <c r="C148" s="81"/>
      <c r="D148" s="76"/>
      <c r="E148" s="72"/>
    </row>
    <row r="149">
      <c r="B149" s="82"/>
    </row>
    <row r="150">
      <c r="B150" s="83" t="s">
        <v>83</v>
      </c>
    </row>
    <row r="151">
      <c r="B151" s="84"/>
    </row>
    <row r="152">
      <c r="B152" s="83" t="s">
        <v>84</v>
      </c>
    </row>
    <row r="153">
      <c r="B153" s="84"/>
    </row>
    <row r="154">
      <c r="B154" s="83" t="s">
        <v>85</v>
      </c>
    </row>
    <row r="155">
      <c r="B155" s="84"/>
    </row>
    <row r="156">
      <c r="B156" s="83" t="s">
        <v>86</v>
      </c>
    </row>
    <row r="157">
      <c r="B157" s="84"/>
    </row>
    <row r="158">
      <c r="B158" s="83" t="s">
        <v>87</v>
      </c>
    </row>
    <row r="159">
      <c r="B159" s="84"/>
    </row>
    <row r="160">
      <c r="B160" s="83" t="s">
        <v>88</v>
      </c>
    </row>
    <row r="161">
      <c r="B161" s="84"/>
    </row>
    <row r="162">
      <c r="B162" s="83" t="s">
        <v>89</v>
      </c>
    </row>
    <row r="164">
      <c r="B164" s="85" t="s">
        <v>90</v>
      </c>
    </row>
  </sheetData>
  <mergeCells count="26">
    <mergeCell ref="B10:B13"/>
    <mergeCell ref="B14:B17"/>
    <mergeCell ref="B18:B21"/>
    <mergeCell ref="B22:B25"/>
    <mergeCell ref="B26:B29"/>
    <mergeCell ref="B30:B33"/>
    <mergeCell ref="B34:B37"/>
    <mergeCell ref="B70:B72"/>
    <mergeCell ref="B73:B76"/>
    <mergeCell ref="B81:B84"/>
    <mergeCell ref="B85:B88"/>
    <mergeCell ref="B89:B93"/>
    <mergeCell ref="B94:B97"/>
    <mergeCell ref="B113:G113"/>
    <mergeCell ref="B131:B134"/>
    <mergeCell ref="C131:C134"/>
    <mergeCell ref="B135:B138"/>
    <mergeCell ref="B148:D148"/>
    <mergeCell ref="B164:F164"/>
    <mergeCell ref="B38:B41"/>
    <mergeCell ref="B46:B49"/>
    <mergeCell ref="B50:B53"/>
    <mergeCell ref="B54:B57"/>
    <mergeCell ref="B58:B61"/>
    <mergeCell ref="B62:B65"/>
    <mergeCell ref="B66:B69"/>
  </mergeCells>
  <hyperlinks>
    <hyperlink r:id="rId1" location="_msocom_1" ref="B7"/>
    <hyperlink r:id="rId2" location="_msocom_2" ref="B43"/>
    <hyperlink r:id="rId3" location="_msocom_3" ref="B78"/>
    <hyperlink r:id="rId4" location="_msocom_4" ref="F82"/>
    <hyperlink r:id="rId5" location="_msocom_5" ref="F83"/>
    <hyperlink r:id="rId6" location="_msocom_6" ref="F84"/>
    <hyperlink r:id="rId7" ref="B99"/>
    <hyperlink r:id="rId8" location="_msocom_7" ref="E130"/>
    <hyperlink r:id="rId9" location="_msoanchor_1" ref="B150"/>
    <hyperlink r:id="rId10" location="_msoanchor_2" ref="B152"/>
    <hyperlink r:id="rId11" location="_msoanchor_3" ref="B154"/>
    <hyperlink r:id="rId12" location="_msoanchor_4" ref="B156"/>
    <hyperlink r:id="rId13" location="_msoanchor_5" ref="B158"/>
    <hyperlink r:id="rId14" location="_msoanchor_6" ref="B160"/>
    <hyperlink r:id="rId15" location="_msoanchor_7" ref="B162"/>
  </hyperlinks>
  <drawing r:id="rId16"/>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1.5"/>
    <col customWidth="1" min="5" max="5" width="60.75"/>
    <col customWidth="1" min="9" max="9" width="32.75"/>
    <col customWidth="1" min="13" max="13" width="22.13"/>
  </cols>
  <sheetData>
    <row r="1">
      <c r="A1" s="86" t="s">
        <v>91</v>
      </c>
      <c r="B1" s="87"/>
      <c r="C1" s="87"/>
      <c r="D1" s="87"/>
      <c r="E1" s="87"/>
      <c r="F1" s="87"/>
      <c r="G1" s="87"/>
      <c r="H1" s="87"/>
      <c r="I1" s="87"/>
      <c r="J1" s="87"/>
      <c r="K1" s="87"/>
      <c r="L1" s="87"/>
      <c r="M1" s="87"/>
      <c r="N1" s="87"/>
      <c r="O1" s="87"/>
      <c r="P1" s="87"/>
      <c r="Q1" s="87"/>
      <c r="R1" s="87"/>
    </row>
    <row r="2">
      <c r="A2" s="87"/>
      <c r="B2" s="88" t="s">
        <v>92</v>
      </c>
      <c r="G2" s="87"/>
      <c r="H2" s="87"/>
      <c r="I2" s="87"/>
      <c r="J2" s="87"/>
      <c r="K2" s="87"/>
      <c r="L2" s="87"/>
      <c r="M2" s="87"/>
      <c r="N2" s="87"/>
      <c r="O2" s="87"/>
      <c r="P2" s="87"/>
      <c r="Q2" s="87"/>
      <c r="R2" s="87"/>
    </row>
    <row r="3">
      <c r="A3" s="89" t="s">
        <v>46</v>
      </c>
      <c r="B3" s="90"/>
      <c r="C3" s="90"/>
      <c r="D3" s="90"/>
      <c r="E3" s="89"/>
      <c r="F3" s="90"/>
      <c r="G3" s="90"/>
      <c r="H3" s="90"/>
      <c r="I3" s="89"/>
      <c r="J3" s="90"/>
      <c r="K3" s="90"/>
      <c r="L3" s="90"/>
      <c r="M3" s="89" t="s">
        <v>61</v>
      </c>
      <c r="N3" s="90"/>
      <c r="O3" s="90"/>
      <c r="P3" s="90"/>
      <c r="Q3" s="89" t="s">
        <v>93</v>
      </c>
    </row>
    <row r="4">
      <c r="A4" s="87"/>
      <c r="B4" s="91" t="s">
        <v>94</v>
      </c>
      <c r="C4" s="87"/>
      <c r="D4" s="87"/>
      <c r="E4" s="87"/>
      <c r="F4" s="87"/>
      <c r="G4" s="87"/>
      <c r="H4" s="87"/>
      <c r="I4" s="87"/>
      <c r="J4" s="87"/>
      <c r="K4" s="87"/>
      <c r="L4" s="87"/>
      <c r="M4" s="87"/>
      <c r="N4" s="87"/>
      <c r="O4" s="87"/>
      <c r="P4" s="87"/>
      <c r="Q4" s="87"/>
      <c r="R4" s="87"/>
    </row>
    <row r="5">
      <c r="A5" s="86" t="s">
        <v>95</v>
      </c>
      <c r="B5" s="86" t="s">
        <v>96</v>
      </c>
      <c r="C5" s="86" t="s">
        <v>97</v>
      </c>
      <c r="D5" s="87"/>
      <c r="E5" s="86"/>
      <c r="F5" s="86"/>
      <c r="G5" s="86"/>
      <c r="I5" s="86"/>
      <c r="J5" s="86"/>
      <c r="K5" s="86" t="s">
        <v>97</v>
      </c>
      <c r="M5" s="86" t="s">
        <v>95</v>
      </c>
      <c r="N5" s="86" t="s">
        <v>96</v>
      </c>
      <c r="O5" s="86" t="s">
        <v>97</v>
      </c>
      <c r="Q5" s="86" t="s">
        <v>95</v>
      </c>
      <c r="R5" s="86" t="s">
        <v>96</v>
      </c>
    </row>
    <row r="6">
      <c r="A6" s="88" t="s">
        <v>98</v>
      </c>
      <c r="B6" s="92">
        <v>3.0894791E7</v>
      </c>
      <c r="C6" s="93"/>
      <c r="D6" s="87"/>
      <c r="E6" s="86"/>
      <c r="F6" s="94"/>
      <c r="G6" s="93"/>
      <c r="H6" s="87"/>
      <c r="I6" s="86"/>
      <c r="J6" s="92"/>
      <c r="K6" s="93"/>
      <c r="L6" s="87"/>
      <c r="M6" s="86"/>
      <c r="N6" s="92"/>
      <c r="O6" s="93"/>
      <c r="P6" s="87"/>
      <c r="Q6" s="86"/>
      <c r="R6" s="92"/>
    </row>
    <row r="7">
      <c r="A7" s="86" t="s">
        <v>10</v>
      </c>
      <c r="B7" s="92">
        <v>4097075.0</v>
      </c>
      <c r="C7" s="95">
        <v>0.41</v>
      </c>
      <c r="D7" s="87"/>
      <c r="E7" s="86"/>
      <c r="F7" s="94"/>
      <c r="G7" s="93"/>
      <c r="H7" s="87"/>
      <c r="I7" s="86"/>
      <c r="J7" s="92"/>
      <c r="K7" s="93">
        <v>0.2</v>
      </c>
      <c r="L7" s="87"/>
      <c r="M7" s="86" t="s">
        <v>99</v>
      </c>
      <c r="N7" s="92">
        <v>2.8467265E7</v>
      </c>
      <c r="O7" s="93">
        <v>0.27</v>
      </c>
      <c r="P7" s="87"/>
      <c r="Q7" s="86" t="s">
        <v>99</v>
      </c>
      <c r="R7" s="92">
        <v>7.4493129E7</v>
      </c>
    </row>
    <row r="8">
      <c r="A8" s="86" t="s">
        <v>15</v>
      </c>
      <c r="B8" s="92">
        <v>2123325.0</v>
      </c>
      <c r="C8" s="95">
        <v>0.21</v>
      </c>
      <c r="D8" s="87"/>
      <c r="E8" s="86"/>
      <c r="F8" s="94"/>
      <c r="G8" s="93"/>
      <c r="H8" s="87"/>
      <c r="I8" s="86"/>
      <c r="J8" s="92"/>
      <c r="K8" s="93">
        <v>0.07</v>
      </c>
      <c r="L8" s="87"/>
      <c r="M8" s="86" t="s">
        <v>15</v>
      </c>
      <c r="N8" s="92">
        <v>75112.0</v>
      </c>
      <c r="O8" s="93">
        <v>0.0</v>
      </c>
      <c r="P8" s="87"/>
      <c r="Q8" s="86" t="s">
        <v>15</v>
      </c>
      <c r="R8" s="92">
        <v>1.641108E7</v>
      </c>
    </row>
    <row r="9">
      <c r="A9" s="86" t="s">
        <v>100</v>
      </c>
      <c r="B9" s="92">
        <v>1158752.0</v>
      </c>
      <c r="C9" s="95">
        <v>0.12</v>
      </c>
      <c r="D9" s="87"/>
      <c r="E9" s="86"/>
      <c r="F9" s="94"/>
      <c r="G9" s="93"/>
      <c r="H9" s="87"/>
      <c r="I9" s="86"/>
      <c r="J9" s="92"/>
      <c r="K9" s="93">
        <v>0.06</v>
      </c>
      <c r="L9" s="87"/>
      <c r="M9" s="86" t="s">
        <v>100</v>
      </c>
      <c r="N9" s="92">
        <v>2721191.0</v>
      </c>
      <c r="O9" s="93">
        <v>0.03</v>
      </c>
      <c r="P9" s="87"/>
      <c r="Q9" s="86" t="s">
        <v>100</v>
      </c>
      <c r="R9" s="92">
        <v>1.6171616E7</v>
      </c>
    </row>
    <row r="10">
      <c r="A10" s="86" t="s">
        <v>101</v>
      </c>
      <c r="B10" s="92">
        <v>782557.0</v>
      </c>
      <c r="C10" s="95">
        <v>0.08</v>
      </c>
      <c r="D10" s="87"/>
      <c r="E10" s="86"/>
      <c r="F10" s="94"/>
      <c r="G10" s="93"/>
      <c r="H10" s="87"/>
      <c r="I10" s="86"/>
      <c r="J10" s="92"/>
      <c r="K10" s="93">
        <v>0.02</v>
      </c>
      <c r="L10" s="87"/>
      <c r="M10" s="86" t="s">
        <v>102</v>
      </c>
      <c r="N10" s="92">
        <v>1337634.0</v>
      </c>
      <c r="O10" s="93">
        <v>0.01</v>
      </c>
      <c r="P10" s="87"/>
      <c r="Q10" s="86" t="s">
        <v>102</v>
      </c>
      <c r="R10" s="92">
        <v>7056964.0</v>
      </c>
    </row>
    <row r="11">
      <c r="A11" s="86" t="s">
        <v>16</v>
      </c>
      <c r="B11" s="92">
        <v>741437.0</v>
      </c>
      <c r="C11" s="95">
        <v>0.07</v>
      </c>
      <c r="D11" s="87"/>
      <c r="E11" s="86"/>
      <c r="F11" s="94"/>
      <c r="G11" s="93"/>
      <c r="H11" s="87"/>
      <c r="I11" s="86"/>
      <c r="J11" s="92"/>
      <c r="K11" s="93">
        <v>0.29</v>
      </c>
      <c r="L11" s="87"/>
      <c r="M11" s="86" t="s">
        <v>16</v>
      </c>
      <c r="N11" s="92">
        <v>2.6164439E7</v>
      </c>
      <c r="O11" s="93">
        <v>0.25</v>
      </c>
      <c r="P11" s="87"/>
      <c r="Q11" s="86" t="s">
        <v>16</v>
      </c>
      <c r="R11" s="92">
        <v>8.5873145E7</v>
      </c>
    </row>
    <row r="12">
      <c r="A12" s="86" t="s">
        <v>103</v>
      </c>
      <c r="B12" s="92">
        <v>325239.0</v>
      </c>
      <c r="C12" s="95">
        <v>0.03</v>
      </c>
      <c r="D12" s="87"/>
      <c r="E12" s="86"/>
      <c r="F12" s="94"/>
      <c r="G12" s="93"/>
      <c r="H12" s="87"/>
      <c r="I12" s="86"/>
      <c r="J12" s="92"/>
      <c r="K12" s="93">
        <v>0.33</v>
      </c>
      <c r="L12" s="87"/>
      <c r="M12" s="86" t="s">
        <v>103</v>
      </c>
      <c r="N12" s="92">
        <v>4.2184271E7</v>
      </c>
      <c r="O12" s="93">
        <v>0.4</v>
      </c>
      <c r="P12" s="87"/>
      <c r="Q12" s="86" t="s">
        <v>103</v>
      </c>
      <c r="R12" s="92">
        <v>1.12487485E8</v>
      </c>
    </row>
    <row r="13">
      <c r="A13" s="86" t="s">
        <v>18</v>
      </c>
      <c r="B13" s="92">
        <v>272092.0</v>
      </c>
      <c r="C13" s="95">
        <v>0.03</v>
      </c>
      <c r="D13" s="87"/>
      <c r="E13" s="86"/>
      <c r="F13" s="94"/>
      <c r="G13" s="93"/>
      <c r="H13" s="87"/>
      <c r="I13" s="86"/>
      <c r="J13" s="92"/>
      <c r="K13" s="93">
        <v>0.01</v>
      </c>
      <c r="L13" s="87"/>
      <c r="M13" s="86" t="s">
        <v>18</v>
      </c>
      <c r="N13" s="92">
        <v>1833609.0</v>
      </c>
      <c r="O13" s="93">
        <v>0.02</v>
      </c>
      <c r="P13" s="87"/>
      <c r="Q13" s="86" t="s">
        <v>18</v>
      </c>
      <c r="R13" s="92">
        <v>4484161.0</v>
      </c>
    </row>
    <row r="14">
      <c r="A14" s="86" t="s">
        <v>19</v>
      </c>
      <c r="B14" s="92">
        <v>258230.0</v>
      </c>
      <c r="C14" s="95">
        <v>0.03</v>
      </c>
      <c r="D14" s="87"/>
      <c r="E14" s="86"/>
      <c r="F14" s="87"/>
      <c r="G14" s="93"/>
      <c r="H14" s="87"/>
      <c r="I14" s="86"/>
      <c r="J14" s="92"/>
      <c r="K14" s="93">
        <v>0.01</v>
      </c>
      <c r="L14" s="87"/>
      <c r="M14" s="86" t="s">
        <v>19</v>
      </c>
      <c r="N14" s="87"/>
      <c r="O14" s="93">
        <v>0.0</v>
      </c>
      <c r="P14" s="87"/>
      <c r="Q14" s="86" t="s">
        <v>19</v>
      </c>
      <c r="R14" s="92">
        <v>2458866.0</v>
      </c>
    </row>
    <row r="15">
      <c r="A15" s="86" t="s">
        <v>21</v>
      </c>
      <c r="B15" s="92">
        <v>169024.0</v>
      </c>
      <c r="C15" s="95">
        <v>0.02</v>
      </c>
      <c r="D15" s="87"/>
      <c r="E15" s="86"/>
      <c r="F15" s="87"/>
      <c r="G15" s="93"/>
      <c r="H15" s="87"/>
      <c r="I15" s="86"/>
      <c r="K15" s="93">
        <v>0.0</v>
      </c>
      <c r="L15" s="87"/>
      <c r="M15" s="86" t="s">
        <v>21</v>
      </c>
      <c r="N15" s="87"/>
      <c r="O15" s="93">
        <v>0.0</v>
      </c>
      <c r="P15" s="87"/>
      <c r="Q15" s="86" t="s">
        <v>21</v>
      </c>
      <c r="R15" s="92">
        <v>169024.0</v>
      </c>
    </row>
    <row r="16">
      <c r="A16" s="86" t="s">
        <v>22</v>
      </c>
      <c r="B16" s="87"/>
      <c r="C16" s="96"/>
      <c r="D16" s="87"/>
      <c r="E16" s="86"/>
      <c r="F16" s="94"/>
      <c r="G16" s="93"/>
      <c r="H16" s="87"/>
      <c r="I16" s="86"/>
      <c r="J16" s="92"/>
      <c r="K16" s="93">
        <v>0.01</v>
      </c>
      <c r="L16" s="87"/>
      <c r="M16" s="86" t="s">
        <v>104</v>
      </c>
      <c r="N16" s="92">
        <v>2061487.0</v>
      </c>
      <c r="O16" s="93">
        <v>0.02</v>
      </c>
      <c r="P16" s="87"/>
      <c r="Q16" s="86" t="s">
        <v>104</v>
      </c>
      <c r="R16" s="92">
        <v>4049518.0</v>
      </c>
    </row>
    <row r="17">
      <c r="A17" s="86" t="s">
        <v>105</v>
      </c>
      <c r="B17" s="87"/>
      <c r="C17" s="96"/>
      <c r="D17" s="87"/>
      <c r="E17" s="86"/>
      <c r="F17" s="87"/>
      <c r="G17" s="87"/>
      <c r="H17" s="87"/>
      <c r="I17" s="86"/>
      <c r="J17" s="92"/>
      <c r="K17" s="93">
        <v>0.0</v>
      </c>
      <c r="L17" s="87"/>
      <c r="M17" s="86" t="s">
        <v>105</v>
      </c>
      <c r="N17" s="92">
        <v>447845.0</v>
      </c>
      <c r="O17" s="93">
        <v>0.0</v>
      </c>
      <c r="P17" s="87"/>
      <c r="Q17" s="86" t="s">
        <v>105</v>
      </c>
      <c r="R17" s="92">
        <v>515393.0</v>
      </c>
    </row>
    <row r="18">
      <c r="A18" s="88" t="s">
        <v>106</v>
      </c>
      <c r="B18" s="97">
        <v>2.5038E7</v>
      </c>
      <c r="C18" s="96"/>
      <c r="D18" s="87"/>
      <c r="E18" s="87"/>
      <c r="F18" s="87"/>
      <c r="G18" s="87"/>
      <c r="H18" s="87"/>
      <c r="I18" s="87"/>
      <c r="J18" s="87"/>
      <c r="K18" s="87"/>
      <c r="L18" s="87"/>
      <c r="M18" s="87"/>
      <c r="N18" s="87"/>
      <c r="O18" s="93">
        <v>0.0</v>
      </c>
      <c r="P18" s="87"/>
      <c r="Q18" s="87"/>
      <c r="R18" s="87"/>
    </row>
    <row r="19">
      <c r="A19" s="86" t="s">
        <v>82</v>
      </c>
      <c r="B19" s="92"/>
      <c r="C19" s="95">
        <v>1.0</v>
      </c>
      <c r="D19" s="87"/>
      <c r="E19" s="86"/>
      <c r="F19" s="94"/>
      <c r="G19" s="93"/>
      <c r="H19" s="87"/>
      <c r="I19" s="86"/>
      <c r="J19" s="92"/>
      <c r="K19" s="93">
        <v>1.0</v>
      </c>
      <c r="L19" s="87"/>
      <c r="M19" s="86" t="s">
        <v>82</v>
      </c>
      <c r="N19" s="92">
        <v>1.05292853E8</v>
      </c>
      <c r="O19" s="93">
        <v>1.0</v>
      </c>
      <c r="P19" s="87"/>
      <c r="Q19" s="87"/>
      <c r="R19" s="92">
        <v>3.24170381E8</v>
      </c>
    </row>
    <row r="20">
      <c r="A20" s="87"/>
      <c r="B20" s="87"/>
      <c r="C20" s="87"/>
      <c r="D20" s="87"/>
      <c r="E20" s="87"/>
      <c r="F20" s="87"/>
      <c r="G20" s="87"/>
      <c r="H20" s="87"/>
      <c r="I20" s="87"/>
      <c r="J20" s="87"/>
      <c r="K20" s="87"/>
      <c r="L20" s="87"/>
      <c r="M20" s="87"/>
      <c r="N20" s="87"/>
      <c r="O20" s="87"/>
      <c r="P20" s="87"/>
      <c r="Q20" s="87"/>
      <c r="R20" s="87"/>
    </row>
    <row r="21">
      <c r="A21" s="98" t="s">
        <v>107</v>
      </c>
      <c r="B21" s="90"/>
      <c r="C21" s="99"/>
      <c r="D21" s="90"/>
      <c r="E21" s="90"/>
      <c r="F21" s="99"/>
      <c r="G21" s="90"/>
      <c r="H21" s="90"/>
      <c r="I21" s="90"/>
      <c r="J21" s="90"/>
      <c r="K21" s="90"/>
      <c r="L21" s="90"/>
      <c r="M21" s="90"/>
      <c r="N21" s="90"/>
      <c r="O21" s="90"/>
      <c r="P21" s="90"/>
      <c r="Q21" s="90"/>
      <c r="R21" s="90"/>
      <c r="S21" s="100"/>
      <c r="T21" s="100"/>
      <c r="U21" s="100"/>
      <c r="V21" s="100"/>
      <c r="W21" s="100"/>
      <c r="X21" s="100"/>
      <c r="Y21" s="100"/>
      <c r="Z21" s="100"/>
    </row>
    <row r="22">
      <c r="A22" s="87"/>
      <c r="B22" s="87"/>
      <c r="C22" s="87"/>
      <c r="D22" s="87"/>
      <c r="E22" s="87"/>
      <c r="F22" s="87"/>
      <c r="G22" s="87"/>
      <c r="H22" s="87"/>
      <c r="I22" s="87"/>
      <c r="J22" s="87"/>
      <c r="K22" s="101">
        <f>J19/R19</f>
        <v>0</v>
      </c>
      <c r="L22" s="87"/>
      <c r="M22" s="87"/>
      <c r="N22" s="101">
        <f>N19/R19</f>
        <v>0.3248071359</v>
      </c>
      <c r="O22" s="87"/>
      <c r="P22" s="87"/>
      <c r="Q22" s="87"/>
      <c r="R22" s="87">
        <f>N19/R19</f>
        <v>0.3248071359</v>
      </c>
    </row>
    <row r="23">
      <c r="A23" s="87"/>
      <c r="B23" s="87"/>
      <c r="C23" s="87"/>
      <c r="D23" s="87"/>
      <c r="E23" s="87"/>
      <c r="F23" s="87"/>
      <c r="G23" s="87"/>
      <c r="H23" s="87"/>
      <c r="I23" s="87"/>
      <c r="J23" s="87"/>
      <c r="K23" s="87"/>
      <c r="L23" s="87"/>
      <c r="M23" s="87"/>
      <c r="N23" s="87"/>
      <c r="O23" s="87"/>
      <c r="P23" s="87"/>
      <c r="Q23" s="87"/>
      <c r="R23" s="87"/>
    </row>
    <row r="24">
      <c r="A24" s="86" t="s">
        <v>108</v>
      </c>
      <c r="B24" s="102">
        <v>4.0822522E7</v>
      </c>
      <c r="C24" s="87"/>
      <c r="D24" s="87"/>
      <c r="E24" s="86"/>
      <c r="F24" s="94"/>
      <c r="G24" s="87"/>
      <c r="H24" s="87"/>
      <c r="I24" s="86"/>
      <c r="J24" s="92"/>
      <c r="K24" s="87"/>
      <c r="L24" s="87"/>
      <c r="M24" s="86" t="s">
        <v>108</v>
      </c>
      <c r="N24" s="92">
        <v>1.47493637E8</v>
      </c>
      <c r="O24" s="87"/>
      <c r="P24" s="87"/>
      <c r="Q24" s="87"/>
      <c r="R24" s="87"/>
    </row>
    <row r="25">
      <c r="A25" s="86" t="s">
        <v>109</v>
      </c>
      <c r="B25" s="102">
        <v>3.0894791E7</v>
      </c>
      <c r="C25" s="87"/>
      <c r="D25" s="87"/>
      <c r="E25" s="86"/>
      <c r="F25" s="94"/>
      <c r="G25" s="87"/>
      <c r="H25" s="87"/>
      <c r="I25" s="86"/>
      <c r="J25" s="92"/>
      <c r="K25" s="87"/>
      <c r="L25" s="87"/>
      <c r="M25" s="86" t="s">
        <v>109</v>
      </c>
      <c r="N25" s="92">
        <v>4.2200784E7</v>
      </c>
      <c r="O25" s="87"/>
      <c r="P25" s="87"/>
      <c r="Q25" s="87"/>
      <c r="R25" s="87"/>
    </row>
    <row r="26">
      <c r="A26" s="87"/>
      <c r="B26" s="96"/>
      <c r="C26" s="87"/>
      <c r="D26" s="87"/>
      <c r="E26" s="87"/>
      <c r="F26" s="87"/>
      <c r="G26" s="87"/>
      <c r="H26" s="87"/>
      <c r="I26" s="87"/>
      <c r="J26" s="87"/>
      <c r="K26" s="87"/>
      <c r="L26" s="87"/>
      <c r="M26" s="87"/>
      <c r="N26" s="87"/>
      <c r="O26" s="87"/>
      <c r="P26" s="87"/>
      <c r="Q26" s="87"/>
      <c r="R26" s="87"/>
    </row>
    <row r="27">
      <c r="A27" s="86" t="s">
        <v>110</v>
      </c>
      <c r="B27" s="102">
        <v>9927731.0</v>
      </c>
      <c r="C27" s="87"/>
      <c r="D27" s="87"/>
      <c r="E27" s="86"/>
      <c r="F27" s="94"/>
      <c r="G27" s="87"/>
      <c r="H27" s="87"/>
      <c r="I27" s="86"/>
      <c r="J27" s="92"/>
      <c r="K27" s="87"/>
      <c r="L27" s="87"/>
      <c r="M27" s="86" t="s">
        <v>110</v>
      </c>
      <c r="N27" s="92">
        <v>1.05292853E8</v>
      </c>
      <c r="O27" s="87"/>
      <c r="P27" s="87"/>
      <c r="Q27" s="87"/>
      <c r="R27" s="87"/>
    </row>
    <row r="28">
      <c r="A28" s="87"/>
      <c r="B28" s="87"/>
      <c r="C28" s="87"/>
      <c r="D28" s="87"/>
      <c r="E28" s="87"/>
      <c r="F28" s="87"/>
      <c r="G28" s="87"/>
      <c r="H28" s="87"/>
      <c r="I28" s="87"/>
      <c r="J28" s="87"/>
      <c r="K28" s="87"/>
      <c r="L28" s="87"/>
      <c r="M28" s="87"/>
      <c r="N28" s="87"/>
      <c r="O28" s="87"/>
      <c r="P28" s="87"/>
      <c r="Q28" s="87"/>
      <c r="R28" s="87"/>
    </row>
    <row r="29">
      <c r="A29" s="87"/>
      <c r="B29" s="87"/>
      <c r="C29" s="87"/>
      <c r="D29" s="87"/>
      <c r="E29" s="87"/>
      <c r="F29" s="87"/>
      <c r="G29" s="87"/>
      <c r="H29" s="87"/>
      <c r="I29" s="87"/>
      <c r="J29" s="87"/>
      <c r="K29" s="87"/>
      <c r="L29" s="87"/>
      <c r="M29" s="87"/>
      <c r="N29" s="87"/>
      <c r="O29" s="87"/>
      <c r="P29" s="87"/>
      <c r="Q29" s="87"/>
      <c r="R29" s="87"/>
    </row>
    <row r="30">
      <c r="A30" s="87"/>
      <c r="B30" s="87"/>
      <c r="C30" s="87"/>
      <c r="D30" s="87"/>
      <c r="E30" s="87"/>
      <c r="F30" s="87"/>
      <c r="G30" s="87"/>
      <c r="H30" s="87"/>
      <c r="I30" s="87"/>
      <c r="J30" s="87"/>
      <c r="K30" s="87"/>
      <c r="L30" s="87"/>
      <c r="M30" s="87"/>
      <c r="N30" s="87"/>
      <c r="O30" s="87"/>
      <c r="P30" s="87"/>
      <c r="Q30" s="87"/>
      <c r="R30" s="87"/>
    </row>
    <row r="31">
      <c r="A31" s="87"/>
      <c r="B31" s="87"/>
      <c r="C31" s="87"/>
      <c r="D31" s="87"/>
      <c r="E31" s="87"/>
      <c r="F31" s="87"/>
      <c r="G31" s="87"/>
      <c r="H31" s="87"/>
      <c r="I31" s="87"/>
      <c r="J31" s="87"/>
      <c r="K31" s="87"/>
      <c r="L31" s="87"/>
      <c r="M31" s="87"/>
      <c r="N31" s="87"/>
      <c r="O31" s="87"/>
      <c r="P31" s="87"/>
      <c r="Q31" s="87"/>
      <c r="R31" s="87"/>
    </row>
    <row r="32">
      <c r="A32" s="89"/>
      <c r="B32" s="89"/>
      <c r="C32" s="89"/>
      <c r="D32" s="103"/>
      <c r="E32" s="89"/>
      <c r="H32" s="87"/>
      <c r="I32" s="87"/>
      <c r="J32" s="87"/>
      <c r="K32" s="87"/>
      <c r="L32" s="87"/>
      <c r="M32" s="87"/>
      <c r="N32" s="87"/>
      <c r="O32" s="87"/>
      <c r="P32" s="87"/>
      <c r="Q32" s="87"/>
      <c r="R32" s="87"/>
    </row>
    <row r="33">
      <c r="A33" s="86"/>
      <c r="B33" s="86"/>
      <c r="C33" s="92"/>
      <c r="D33" s="93"/>
      <c r="E33" s="86"/>
      <c r="F33" s="87"/>
      <c r="G33" s="87"/>
      <c r="H33" s="87"/>
      <c r="I33" s="86"/>
      <c r="L33" s="87"/>
      <c r="M33" s="87"/>
      <c r="N33" s="87"/>
      <c r="O33" s="87"/>
      <c r="P33" s="87"/>
      <c r="Q33" s="87"/>
      <c r="R33" s="87"/>
    </row>
    <row r="34">
      <c r="A34" s="87"/>
      <c r="B34" s="86"/>
      <c r="C34" s="94"/>
      <c r="D34" s="93"/>
      <c r="E34" s="86"/>
      <c r="F34" s="87"/>
      <c r="G34" s="87"/>
      <c r="H34" s="87"/>
      <c r="I34" s="93"/>
      <c r="J34" s="86"/>
      <c r="K34" s="87"/>
      <c r="L34" s="87"/>
      <c r="M34" s="87"/>
      <c r="N34" s="87"/>
      <c r="O34" s="87"/>
      <c r="P34" s="87"/>
      <c r="Q34" s="87"/>
      <c r="R34" s="87"/>
    </row>
    <row r="35">
      <c r="A35" s="87"/>
      <c r="B35" s="86"/>
      <c r="C35" s="92"/>
      <c r="D35" s="93"/>
      <c r="E35" s="86"/>
      <c r="F35" s="87"/>
      <c r="G35" s="87"/>
      <c r="H35" s="87"/>
      <c r="I35" s="93"/>
      <c r="J35" s="86"/>
      <c r="K35" s="87"/>
      <c r="L35" s="87"/>
      <c r="M35" s="87"/>
      <c r="N35" s="87"/>
      <c r="O35" s="87"/>
      <c r="P35" s="87"/>
      <c r="Q35" s="87"/>
      <c r="R35" s="87"/>
    </row>
    <row r="36">
      <c r="A36" s="87"/>
      <c r="B36" s="86"/>
      <c r="C36" s="92"/>
      <c r="D36" s="93"/>
      <c r="E36" s="86"/>
      <c r="F36" s="87"/>
      <c r="G36" s="87"/>
      <c r="H36" s="87"/>
      <c r="I36" s="93"/>
      <c r="J36" s="86"/>
      <c r="K36" s="87"/>
      <c r="L36" s="87"/>
      <c r="M36" s="87"/>
      <c r="N36" s="87"/>
      <c r="O36" s="87"/>
      <c r="P36" s="87"/>
      <c r="Q36" s="87"/>
      <c r="R36" s="87"/>
    </row>
    <row r="37">
      <c r="A37" s="86"/>
      <c r="B37" s="86"/>
      <c r="C37" s="92"/>
      <c r="D37" s="93"/>
      <c r="E37" s="86"/>
      <c r="I37" s="93"/>
      <c r="J37" s="86"/>
      <c r="K37" s="87"/>
      <c r="L37" s="87"/>
      <c r="M37" s="87"/>
      <c r="N37" s="87"/>
      <c r="O37" s="87"/>
      <c r="P37" s="87"/>
      <c r="Q37" s="87"/>
      <c r="R37" s="87"/>
    </row>
    <row r="38">
      <c r="A38" s="87"/>
      <c r="B38" s="86"/>
      <c r="C38" s="92"/>
      <c r="D38" s="93"/>
      <c r="E38" s="86"/>
      <c r="F38" s="87"/>
      <c r="G38" s="87"/>
      <c r="H38" s="87"/>
      <c r="I38" s="87"/>
      <c r="J38" s="87"/>
      <c r="K38" s="87"/>
      <c r="L38" s="87"/>
      <c r="M38" s="87"/>
      <c r="N38" s="87"/>
      <c r="O38" s="87"/>
      <c r="P38" s="87"/>
      <c r="Q38" s="87"/>
      <c r="R38" s="87"/>
    </row>
    <row r="39">
      <c r="A39" s="87"/>
      <c r="B39" s="86"/>
      <c r="C39" s="92"/>
      <c r="D39" s="93"/>
      <c r="E39" s="86"/>
      <c r="F39" s="87"/>
      <c r="G39" s="87"/>
      <c r="H39" s="87"/>
      <c r="I39" s="87"/>
      <c r="J39" s="87"/>
      <c r="K39" s="87"/>
      <c r="L39" s="87"/>
      <c r="M39" s="87"/>
      <c r="N39" s="87"/>
      <c r="O39" s="87"/>
      <c r="P39" s="87"/>
      <c r="Q39" s="87"/>
      <c r="R39" s="87"/>
    </row>
    <row r="40">
      <c r="A40" s="87"/>
      <c r="B40" s="86"/>
      <c r="C40" s="92"/>
      <c r="D40" s="93"/>
      <c r="E40" s="86"/>
      <c r="F40" s="87"/>
      <c r="G40" s="87"/>
      <c r="H40" s="87"/>
      <c r="I40" s="87"/>
      <c r="J40" s="87"/>
      <c r="K40" s="87"/>
      <c r="L40" s="87"/>
      <c r="M40" s="87"/>
      <c r="N40" s="87"/>
      <c r="O40" s="87"/>
      <c r="P40" s="87"/>
      <c r="Q40" s="87"/>
      <c r="R40" s="87"/>
    </row>
    <row r="41">
      <c r="A41" s="86"/>
      <c r="B41" s="86"/>
      <c r="C41" s="92"/>
      <c r="D41" s="93"/>
      <c r="E41" s="86"/>
      <c r="G41" s="87"/>
      <c r="H41" s="87"/>
      <c r="I41" s="87"/>
      <c r="J41" s="87"/>
      <c r="K41" s="87"/>
      <c r="L41" s="87"/>
      <c r="M41" s="87"/>
      <c r="N41" s="87"/>
      <c r="O41" s="87"/>
      <c r="P41" s="87"/>
      <c r="Q41" s="87"/>
      <c r="R41" s="87"/>
    </row>
    <row r="42">
      <c r="A42" s="87"/>
      <c r="B42" s="86"/>
      <c r="C42" s="94"/>
      <c r="D42" s="93"/>
      <c r="E42" s="86"/>
      <c r="F42" s="87"/>
      <c r="G42" s="87"/>
      <c r="H42" s="87"/>
      <c r="I42" s="87"/>
      <c r="J42" s="87"/>
      <c r="K42" s="87"/>
      <c r="L42" s="87"/>
      <c r="M42" s="87"/>
      <c r="N42" s="87"/>
      <c r="O42" s="87"/>
      <c r="P42" s="87"/>
      <c r="Q42" s="87"/>
      <c r="R42" s="87"/>
    </row>
    <row r="43">
      <c r="A43" s="87"/>
      <c r="B43" s="86"/>
      <c r="C43" s="92"/>
      <c r="D43" s="93"/>
      <c r="E43" s="86"/>
      <c r="F43" s="87"/>
      <c r="G43" s="87"/>
      <c r="H43" s="87"/>
      <c r="I43" s="87"/>
      <c r="J43" s="87"/>
      <c r="K43" s="87"/>
      <c r="L43" s="87"/>
      <c r="M43" s="87"/>
      <c r="N43" s="87"/>
      <c r="O43" s="87"/>
      <c r="P43" s="87"/>
      <c r="Q43" s="87"/>
      <c r="R43" s="87"/>
    </row>
    <row r="44">
      <c r="A44" s="87"/>
      <c r="B44" s="86"/>
      <c r="C44" s="92"/>
      <c r="D44" s="93"/>
      <c r="E44" s="86"/>
      <c r="F44" s="87"/>
      <c r="G44" s="87"/>
      <c r="H44" s="87"/>
      <c r="I44" s="87"/>
      <c r="J44" s="87"/>
      <c r="K44" s="87"/>
      <c r="L44" s="87"/>
      <c r="M44" s="87"/>
      <c r="N44" s="87"/>
      <c r="O44" s="87"/>
      <c r="P44" s="87"/>
      <c r="Q44" s="87"/>
      <c r="R44" s="87"/>
    </row>
    <row r="45">
      <c r="A45" s="86"/>
      <c r="B45" s="86"/>
      <c r="C45" s="92"/>
      <c r="D45" s="93"/>
      <c r="E45" s="86"/>
      <c r="F45" s="87"/>
      <c r="G45" s="87"/>
      <c r="H45" s="87"/>
      <c r="I45" s="87"/>
      <c r="J45" s="87"/>
      <c r="K45" s="87"/>
      <c r="L45" s="87"/>
      <c r="M45" s="87"/>
      <c r="N45" s="87"/>
      <c r="O45" s="87"/>
      <c r="P45" s="87"/>
      <c r="Q45" s="87"/>
      <c r="R45" s="87"/>
    </row>
    <row r="46">
      <c r="A46" s="87"/>
      <c r="B46" s="86"/>
      <c r="C46" s="92"/>
      <c r="D46" s="93"/>
      <c r="E46" s="86"/>
      <c r="F46" s="87"/>
      <c r="G46" s="87"/>
      <c r="H46" s="87"/>
      <c r="I46" s="87"/>
      <c r="J46" s="87"/>
      <c r="K46" s="87"/>
      <c r="L46" s="87"/>
      <c r="M46" s="87"/>
      <c r="N46" s="87"/>
      <c r="O46" s="87"/>
      <c r="P46" s="87"/>
      <c r="Q46" s="87"/>
      <c r="R46" s="87"/>
    </row>
    <row r="47">
      <c r="A47" s="87"/>
      <c r="B47" s="86"/>
      <c r="C47" s="92"/>
      <c r="D47" s="93"/>
      <c r="E47" s="86"/>
      <c r="F47" s="87"/>
      <c r="G47" s="87"/>
      <c r="H47" s="87"/>
      <c r="I47" s="87"/>
      <c r="J47" s="87"/>
      <c r="K47" s="87"/>
      <c r="L47" s="87"/>
      <c r="M47" s="87"/>
      <c r="N47" s="87"/>
      <c r="O47" s="87"/>
      <c r="P47" s="87"/>
      <c r="Q47" s="87"/>
      <c r="R47" s="87"/>
    </row>
    <row r="48">
      <c r="A48" s="87"/>
      <c r="B48" s="86"/>
      <c r="C48" s="92"/>
      <c r="D48" s="93"/>
      <c r="E48" s="86"/>
      <c r="F48" s="87"/>
      <c r="G48" s="87"/>
      <c r="H48" s="87"/>
      <c r="I48" s="87"/>
      <c r="J48" s="87"/>
      <c r="K48" s="87"/>
      <c r="L48" s="87"/>
      <c r="M48" s="87"/>
      <c r="N48" s="87"/>
      <c r="O48" s="87"/>
      <c r="P48" s="87"/>
      <c r="Q48" s="87"/>
      <c r="R48" s="87"/>
    </row>
    <row r="49">
      <c r="A49" s="86"/>
      <c r="B49" s="86"/>
      <c r="C49" s="92"/>
      <c r="D49" s="93"/>
      <c r="E49" s="86"/>
      <c r="F49" s="87"/>
      <c r="G49" s="87"/>
      <c r="H49" s="87"/>
      <c r="I49" s="87"/>
      <c r="J49" s="87"/>
      <c r="K49" s="87"/>
      <c r="L49" s="87"/>
      <c r="M49" s="87"/>
      <c r="N49" s="87"/>
      <c r="O49" s="87"/>
      <c r="P49" s="87"/>
      <c r="Q49" s="87"/>
      <c r="R49" s="87"/>
    </row>
    <row r="50">
      <c r="A50" s="87"/>
      <c r="B50" s="86"/>
      <c r="C50" s="92"/>
      <c r="D50" s="93"/>
      <c r="E50" s="86"/>
      <c r="F50" s="87"/>
      <c r="G50" s="87"/>
      <c r="H50" s="87"/>
      <c r="I50" s="87"/>
      <c r="J50" s="87"/>
      <c r="K50" s="87"/>
      <c r="L50" s="87"/>
      <c r="M50" s="87"/>
      <c r="N50" s="87"/>
      <c r="O50" s="87"/>
      <c r="P50" s="87"/>
      <c r="Q50" s="87"/>
      <c r="R50" s="87"/>
    </row>
    <row r="51">
      <c r="A51" s="87"/>
      <c r="B51" s="86"/>
      <c r="C51" s="92"/>
      <c r="D51" s="93"/>
      <c r="E51" s="86"/>
      <c r="F51" s="87"/>
      <c r="G51" s="87"/>
      <c r="H51" s="87"/>
      <c r="I51" s="87"/>
      <c r="J51" s="87"/>
      <c r="K51" s="87"/>
      <c r="L51" s="87"/>
      <c r="M51" s="87"/>
      <c r="N51" s="87"/>
      <c r="O51" s="87"/>
      <c r="P51" s="87"/>
      <c r="Q51" s="87"/>
      <c r="R51" s="87"/>
    </row>
    <row r="52">
      <c r="A52" s="87"/>
      <c r="B52" s="86"/>
      <c r="C52" s="92"/>
      <c r="D52" s="93"/>
      <c r="E52" s="86"/>
      <c r="F52" s="87"/>
      <c r="G52" s="87"/>
      <c r="H52" s="87"/>
      <c r="I52" s="87"/>
      <c r="J52" s="87"/>
      <c r="K52" s="87"/>
      <c r="L52" s="87"/>
      <c r="M52" s="87"/>
      <c r="N52" s="87"/>
      <c r="O52" s="87"/>
      <c r="P52" s="87"/>
      <c r="Q52" s="87"/>
      <c r="R52" s="87"/>
    </row>
    <row r="53">
      <c r="A53" s="86"/>
      <c r="B53" s="86"/>
      <c r="C53" s="92"/>
      <c r="D53" s="93"/>
      <c r="E53" s="86"/>
      <c r="F53" s="87"/>
      <c r="G53" s="87"/>
      <c r="H53" s="87"/>
      <c r="I53" s="87"/>
      <c r="J53" s="87"/>
      <c r="K53" s="87"/>
      <c r="L53" s="87"/>
      <c r="M53" s="87"/>
      <c r="N53" s="87"/>
      <c r="O53" s="87"/>
      <c r="P53" s="87"/>
      <c r="Q53" s="87"/>
      <c r="R53" s="87"/>
    </row>
    <row r="54">
      <c r="A54" s="87"/>
      <c r="B54" s="86"/>
      <c r="C54" s="86"/>
      <c r="D54" s="93"/>
      <c r="E54" s="86"/>
      <c r="F54" s="87"/>
      <c r="G54" s="87"/>
      <c r="H54" s="87"/>
      <c r="I54" s="87"/>
      <c r="J54" s="87"/>
      <c r="K54" s="87"/>
      <c r="L54" s="87"/>
      <c r="M54" s="87"/>
      <c r="N54" s="87"/>
      <c r="O54" s="87"/>
      <c r="P54" s="87"/>
      <c r="Q54" s="87"/>
      <c r="R54" s="87"/>
    </row>
    <row r="55">
      <c r="A55" s="87"/>
      <c r="B55" s="86"/>
      <c r="C55" s="92"/>
      <c r="D55" s="93"/>
      <c r="E55" s="86"/>
      <c r="F55" s="87"/>
      <c r="G55" s="87"/>
      <c r="H55" s="87"/>
      <c r="I55" s="87"/>
      <c r="J55" s="87"/>
      <c r="K55" s="87"/>
      <c r="L55" s="87"/>
      <c r="M55" s="87"/>
      <c r="N55" s="87"/>
      <c r="O55" s="87"/>
      <c r="P55" s="87"/>
      <c r="Q55" s="87"/>
      <c r="R55" s="87"/>
    </row>
    <row r="56">
      <c r="A56" s="87"/>
      <c r="B56" s="86"/>
      <c r="C56" s="104"/>
      <c r="D56" s="93"/>
      <c r="E56" s="87"/>
      <c r="F56" s="87"/>
      <c r="G56" s="87"/>
      <c r="H56" s="87"/>
      <c r="I56" s="87"/>
      <c r="J56" s="87"/>
      <c r="K56" s="87"/>
      <c r="L56" s="87"/>
      <c r="M56" s="87"/>
      <c r="N56" s="87"/>
      <c r="O56" s="87"/>
      <c r="P56" s="87"/>
      <c r="Q56" s="87"/>
      <c r="R56" s="87"/>
    </row>
    <row r="57">
      <c r="A57" s="86"/>
      <c r="B57" s="86"/>
      <c r="C57" s="92"/>
      <c r="D57" s="93"/>
      <c r="E57" s="86"/>
      <c r="F57" s="87"/>
      <c r="G57" s="87"/>
      <c r="H57" s="87"/>
      <c r="I57" s="87"/>
      <c r="J57" s="87"/>
      <c r="K57" s="87"/>
      <c r="L57" s="87"/>
      <c r="M57" s="87"/>
      <c r="N57" s="87"/>
      <c r="O57" s="87"/>
      <c r="P57" s="87"/>
      <c r="Q57" s="87"/>
      <c r="R57" s="87"/>
    </row>
    <row r="58">
      <c r="A58" s="87"/>
      <c r="B58" s="86"/>
      <c r="C58" s="104"/>
      <c r="D58" s="93"/>
      <c r="E58" s="86"/>
      <c r="F58" s="87"/>
      <c r="G58" s="87"/>
      <c r="H58" s="87"/>
      <c r="I58" s="87"/>
      <c r="J58" s="87"/>
      <c r="K58" s="87"/>
      <c r="L58" s="87"/>
      <c r="M58" s="87"/>
      <c r="N58" s="87"/>
      <c r="O58" s="87"/>
      <c r="P58" s="87"/>
      <c r="Q58" s="87"/>
      <c r="R58" s="87"/>
    </row>
    <row r="59">
      <c r="A59" s="87"/>
      <c r="B59" s="86"/>
      <c r="C59" s="86"/>
      <c r="D59" s="93"/>
      <c r="E59" s="86"/>
      <c r="F59" s="87"/>
      <c r="G59" s="87"/>
      <c r="H59" s="87"/>
      <c r="I59" s="87"/>
      <c r="J59" s="87"/>
      <c r="K59" s="87"/>
      <c r="L59" s="87"/>
      <c r="M59" s="87"/>
      <c r="N59" s="87"/>
      <c r="O59" s="87"/>
      <c r="P59" s="87"/>
      <c r="Q59" s="87"/>
      <c r="R59" s="87"/>
    </row>
    <row r="60">
      <c r="A60" s="87"/>
      <c r="B60" s="86"/>
      <c r="C60" s="104"/>
      <c r="D60" s="93"/>
      <c r="E60" s="87"/>
      <c r="F60" s="87"/>
      <c r="G60" s="87"/>
      <c r="H60" s="87"/>
      <c r="I60" s="87"/>
      <c r="J60" s="87"/>
      <c r="K60" s="87"/>
      <c r="L60" s="87"/>
      <c r="M60" s="87"/>
      <c r="N60" s="87"/>
      <c r="O60" s="87"/>
      <c r="P60" s="87"/>
      <c r="Q60" s="87"/>
      <c r="R60" s="87"/>
    </row>
    <row r="61">
      <c r="A61" s="86"/>
      <c r="B61" s="86"/>
      <c r="C61" s="104"/>
      <c r="D61" s="93"/>
      <c r="E61" s="87"/>
      <c r="F61" s="87"/>
      <c r="G61" s="87"/>
      <c r="H61" s="87"/>
      <c r="I61" s="87"/>
      <c r="J61" s="87"/>
      <c r="K61" s="87"/>
      <c r="L61" s="87"/>
      <c r="M61" s="87"/>
      <c r="N61" s="87"/>
      <c r="O61" s="87"/>
      <c r="P61" s="87"/>
      <c r="Q61" s="87"/>
      <c r="R61" s="87"/>
    </row>
    <row r="62">
      <c r="A62" s="87"/>
      <c r="B62" s="86"/>
      <c r="C62" s="94"/>
      <c r="D62" s="93"/>
      <c r="E62" s="86"/>
      <c r="F62" s="86"/>
      <c r="G62" s="87"/>
      <c r="H62" s="87"/>
      <c r="I62" s="87"/>
      <c r="J62" s="87"/>
      <c r="K62" s="87"/>
      <c r="L62" s="87"/>
      <c r="M62" s="87"/>
      <c r="N62" s="87"/>
      <c r="O62" s="87"/>
      <c r="P62" s="87"/>
      <c r="Q62" s="87"/>
      <c r="R62" s="87"/>
    </row>
    <row r="63">
      <c r="A63" s="87"/>
      <c r="B63" s="86"/>
      <c r="C63" s="92"/>
      <c r="D63" s="93"/>
      <c r="E63" s="86"/>
      <c r="F63" s="86"/>
      <c r="I63" s="87"/>
      <c r="J63" s="87"/>
      <c r="K63" s="87"/>
      <c r="L63" s="87"/>
      <c r="M63" s="87"/>
      <c r="N63" s="87"/>
      <c r="O63" s="87"/>
      <c r="P63" s="87"/>
      <c r="Q63" s="87"/>
      <c r="R63" s="87"/>
    </row>
    <row r="64">
      <c r="A64" s="87"/>
      <c r="B64" s="86"/>
      <c r="C64" s="92"/>
      <c r="D64" s="93"/>
      <c r="E64" s="86"/>
      <c r="F64" s="86"/>
      <c r="G64" s="87"/>
      <c r="H64" s="87"/>
      <c r="I64" s="87"/>
      <c r="J64" s="87"/>
      <c r="K64" s="87"/>
      <c r="L64" s="87"/>
      <c r="M64" s="87"/>
      <c r="N64" s="87"/>
      <c r="O64" s="87"/>
      <c r="P64" s="87"/>
      <c r="Q64" s="87"/>
      <c r="R64" s="87"/>
    </row>
  </sheetData>
  <mergeCells count="11">
    <mergeCell ref="E32:G32"/>
    <mergeCell ref="E37:H37"/>
    <mergeCell ref="E41:F41"/>
    <mergeCell ref="F63:H63"/>
    <mergeCell ref="B2:F2"/>
    <mergeCell ref="Q3:R3"/>
    <mergeCell ref="G5:H5"/>
    <mergeCell ref="K5:L5"/>
    <mergeCell ref="O5:P5"/>
    <mergeCell ref="I15:J15"/>
    <mergeCell ref="I33:K3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2" max="2" width="26.0"/>
    <col customWidth="1" min="3" max="3" width="42.5"/>
    <col customWidth="1" min="4" max="4" width="20.13"/>
    <col customWidth="1" min="5" max="5" width="26.75"/>
    <col customWidth="1" min="6" max="6" width="19.38"/>
    <col customWidth="1" min="10" max="10" width="19.75"/>
    <col customWidth="1" min="11" max="11" width="6.88"/>
    <col customWidth="1" min="12" max="12" width="26.25"/>
  </cols>
  <sheetData>
    <row r="1">
      <c r="A1" s="86" t="s">
        <v>111</v>
      </c>
      <c r="C1" s="87"/>
      <c r="D1" s="87"/>
      <c r="E1" s="87"/>
      <c r="F1" s="87"/>
      <c r="G1" s="87"/>
      <c r="H1" s="87"/>
      <c r="I1" s="87"/>
      <c r="J1" s="87"/>
      <c r="K1" s="87"/>
      <c r="L1" s="87"/>
      <c r="M1" s="87"/>
      <c r="N1" s="87"/>
    </row>
    <row r="2">
      <c r="A2" s="89" t="s">
        <v>7</v>
      </c>
      <c r="B2" s="89" t="s">
        <v>112</v>
      </c>
      <c r="C2" s="89" t="s">
        <v>113</v>
      </c>
      <c r="D2" s="89" t="s">
        <v>114</v>
      </c>
      <c r="E2" s="89" t="s">
        <v>115</v>
      </c>
      <c r="F2" s="103" t="s">
        <v>116</v>
      </c>
      <c r="G2" s="103" t="s">
        <v>117</v>
      </c>
      <c r="H2" s="103" t="s">
        <v>118</v>
      </c>
      <c r="I2" s="103" t="s">
        <v>119</v>
      </c>
      <c r="J2" s="103" t="s">
        <v>120</v>
      </c>
      <c r="K2" s="89"/>
      <c r="L2" s="89" t="s">
        <v>121</v>
      </c>
      <c r="N2" s="86"/>
    </row>
    <row r="3">
      <c r="A3" s="87"/>
      <c r="B3" s="87"/>
      <c r="C3" s="87"/>
      <c r="D3" s="87"/>
      <c r="E3" s="87"/>
      <c r="F3" s="87"/>
      <c r="G3" s="87"/>
      <c r="H3" s="87"/>
      <c r="I3" s="87"/>
      <c r="J3" s="87"/>
      <c r="K3" s="94"/>
      <c r="L3" s="105"/>
      <c r="M3" s="87"/>
      <c r="N3" s="87"/>
    </row>
    <row r="4">
      <c r="A4" s="89" t="s">
        <v>46</v>
      </c>
      <c r="B4" s="106"/>
      <c r="C4" s="86"/>
      <c r="D4" s="86"/>
      <c r="E4" s="106"/>
      <c r="F4" s="86" t="s">
        <v>122</v>
      </c>
      <c r="G4" s="86"/>
      <c r="H4" s="93"/>
      <c r="I4" s="93"/>
      <c r="J4" s="107">
        <f t="shared" ref="J4:J8" si="1">$B$4*H4</f>
        <v>0</v>
      </c>
      <c r="K4" s="94"/>
      <c r="L4" s="105" t="str">
        <f t="shared" ref="L4:L8" si="2">(J4/E4)/I4</f>
        <v>#DIV/0!</v>
      </c>
      <c r="M4" s="87"/>
      <c r="N4" s="87"/>
    </row>
    <row r="5">
      <c r="A5" s="87"/>
      <c r="B5" s="87"/>
      <c r="C5" s="86"/>
      <c r="D5" s="104"/>
      <c r="E5" s="106"/>
      <c r="F5" s="86"/>
      <c r="G5" s="86"/>
      <c r="H5" s="93"/>
      <c r="I5" s="93"/>
      <c r="J5" s="107">
        <f t="shared" si="1"/>
        <v>0</v>
      </c>
      <c r="K5" s="94"/>
      <c r="L5" s="105" t="str">
        <f t="shared" si="2"/>
        <v>#DIV/0!</v>
      </c>
      <c r="M5" s="87"/>
      <c r="N5" s="87"/>
    </row>
    <row r="6">
      <c r="A6" s="87"/>
      <c r="B6" s="87"/>
      <c r="C6" s="86"/>
      <c r="D6" s="104"/>
      <c r="E6" s="106"/>
      <c r="F6" s="86"/>
      <c r="G6" s="86"/>
      <c r="H6" s="93"/>
      <c r="I6" s="93"/>
      <c r="J6" s="107">
        <f t="shared" si="1"/>
        <v>0</v>
      </c>
      <c r="K6" s="94"/>
      <c r="L6" s="105" t="str">
        <f t="shared" si="2"/>
        <v>#DIV/0!</v>
      </c>
      <c r="M6" s="87"/>
      <c r="N6" s="87"/>
    </row>
    <row r="7">
      <c r="A7" s="87"/>
      <c r="B7" s="87"/>
      <c r="C7" s="86"/>
      <c r="D7" s="104"/>
      <c r="E7" s="106"/>
      <c r="F7" s="86"/>
      <c r="G7" s="86"/>
      <c r="H7" s="93"/>
      <c r="I7" s="93"/>
      <c r="J7" s="107">
        <f t="shared" si="1"/>
        <v>0</v>
      </c>
      <c r="K7" s="94"/>
      <c r="L7" s="105" t="str">
        <f t="shared" si="2"/>
        <v>#DIV/0!</v>
      </c>
      <c r="M7" s="87"/>
      <c r="N7" s="87"/>
    </row>
    <row r="8">
      <c r="A8" s="87"/>
      <c r="B8" s="87"/>
      <c r="C8" s="86" t="s">
        <v>123</v>
      </c>
      <c r="D8" s="86">
        <v>25.0</v>
      </c>
      <c r="E8" s="108" t="str">
        <f>Hydrogen!E32</f>
        <v/>
      </c>
      <c r="F8" s="86"/>
      <c r="G8" s="86"/>
      <c r="H8" s="109">
        <v>1.0</v>
      </c>
      <c r="I8" s="109">
        <v>0.5</v>
      </c>
      <c r="J8" s="107">
        <f t="shared" si="1"/>
        <v>0</v>
      </c>
      <c r="K8" s="89"/>
      <c r="L8" s="105" t="str">
        <f t="shared" si="2"/>
        <v>#DIV/0!</v>
      </c>
    </row>
    <row r="9">
      <c r="A9" s="87"/>
      <c r="B9" s="87"/>
      <c r="C9" s="87"/>
      <c r="D9" s="87"/>
      <c r="E9" s="87"/>
      <c r="F9" s="87"/>
      <c r="G9" s="87"/>
      <c r="H9" s="87"/>
      <c r="I9" s="87"/>
      <c r="J9" s="87"/>
      <c r="K9" s="104"/>
      <c r="L9" s="110" t="str">
        <f>sum(#REF!,#REF!,#REF!,L4:L8)</f>
        <v>#REF!</v>
      </c>
      <c r="M9" s="89" t="s">
        <v>124</v>
      </c>
    </row>
    <row r="10">
      <c r="A10" s="111" t="s">
        <v>125</v>
      </c>
      <c r="B10" s="112" t="s">
        <v>126</v>
      </c>
      <c r="C10" s="113" t="s">
        <v>127</v>
      </c>
      <c r="D10" s="113" t="s">
        <v>128</v>
      </c>
      <c r="E10" s="113" t="s">
        <v>129</v>
      </c>
      <c r="F10" s="113" t="s">
        <v>130</v>
      </c>
      <c r="G10" s="113" t="s">
        <v>131</v>
      </c>
      <c r="H10" s="114"/>
      <c r="I10" s="114"/>
      <c r="J10" s="114"/>
      <c r="K10" s="115"/>
      <c r="L10" s="116"/>
      <c r="M10" s="87"/>
      <c r="N10" s="87"/>
    </row>
    <row r="11">
      <c r="A11" s="117"/>
      <c r="B11" s="118">
        <f>10000000/25000</f>
        <v>400</v>
      </c>
      <c r="C11" s="119">
        <v>10000.0</v>
      </c>
      <c r="D11" s="87">
        <f>B11*C11</f>
        <v>4000000</v>
      </c>
      <c r="E11" s="87">
        <f>B12*C11</f>
        <v>2857142.857</v>
      </c>
      <c r="F11" s="120">
        <f>(D11*K11)/2204.62</f>
        <v>21240</v>
      </c>
      <c r="G11" s="120">
        <f>(E11*K11)/2204.62</f>
        <v>15171.42857</v>
      </c>
      <c r="H11" s="87"/>
      <c r="I11" s="86" t="s">
        <v>132</v>
      </c>
      <c r="J11" s="86" t="s">
        <v>133</v>
      </c>
      <c r="K11" s="121">
        <f>5.31*2.20462</f>
        <v>11.7065322</v>
      </c>
      <c r="L11" s="122" t="s">
        <v>134</v>
      </c>
      <c r="M11" s="87"/>
      <c r="N11" s="87"/>
    </row>
    <row r="12">
      <c r="A12" s="123"/>
      <c r="B12" s="124">
        <f>10000000/35000</f>
        <v>285.7142857</v>
      </c>
      <c r="C12" s="125">
        <v>100000.0</v>
      </c>
      <c r="D12" s="126">
        <f>B11*C12</f>
        <v>40000000</v>
      </c>
      <c r="E12" s="126">
        <f>B12*C12</f>
        <v>28571428.57</v>
      </c>
      <c r="F12" s="127">
        <f>(D12*K11)/2204.62</f>
        <v>212400</v>
      </c>
      <c r="G12" s="127">
        <f>(E12*K11)/2204.62</f>
        <v>151714.2857</v>
      </c>
      <c r="H12" s="126"/>
      <c r="I12" s="126"/>
      <c r="J12" s="126"/>
      <c r="K12" s="126"/>
      <c r="L12" s="128"/>
      <c r="M12" s="87"/>
      <c r="N12" s="87"/>
    </row>
    <row r="13">
      <c r="A13" s="87"/>
      <c r="B13" s="87"/>
      <c r="C13" s="87"/>
      <c r="D13" s="87"/>
      <c r="E13" s="87"/>
      <c r="F13" s="87"/>
      <c r="G13" s="87"/>
      <c r="H13" s="87"/>
      <c r="I13" s="87"/>
      <c r="J13" s="87"/>
      <c r="K13" s="87"/>
      <c r="L13" s="87"/>
      <c r="M13" s="87"/>
      <c r="N13" s="87"/>
    </row>
    <row r="14">
      <c r="A14" s="87"/>
      <c r="B14" s="87"/>
      <c r="C14" s="87"/>
      <c r="D14" s="87"/>
      <c r="E14" s="87"/>
      <c r="F14" s="87"/>
      <c r="G14" s="87"/>
      <c r="H14" s="87"/>
      <c r="I14" s="87"/>
      <c r="J14" s="87"/>
      <c r="K14" s="87"/>
      <c r="L14" s="87"/>
      <c r="M14" s="87"/>
      <c r="N14" s="87"/>
    </row>
    <row r="15">
      <c r="A15" s="87"/>
      <c r="B15" s="87"/>
      <c r="C15" s="87"/>
      <c r="D15" s="87"/>
      <c r="E15" s="87"/>
      <c r="F15" s="87"/>
      <c r="G15" s="87"/>
      <c r="H15" s="87"/>
      <c r="I15" s="87"/>
      <c r="J15" s="87"/>
      <c r="K15" s="87"/>
      <c r="L15" s="87"/>
      <c r="M15" s="87"/>
      <c r="N15" s="87"/>
    </row>
    <row r="16">
      <c r="A16" s="86"/>
      <c r="B16" s="86"/>
      <c r="C16" s="87"/>
      <c r="D16" s="87"/>
      <c r="E16" s="87"/>
      <c r="F16" s="87"/>
      <c r="G16" s="87"/>
      <c r="H16" s="87"/>
      <c r="I16" s="87"/>
      <c r="J16" s="87"/>
      <c r="K16" s="87"/>
      <c r="L16" s="87"/>
      <c r="M16" s="87"/>
      <c r="N16" s="87"/>
    </row>
    <row r="17">
      <c r="A17" s="87"/>
      <c r="B17" s="129" t="s">
        <v>135</v>
      </c>
      <c r="C17" s="86"/>
      <c r="D17" s="86"/>
      <c r="E17" s="86"/>
      <c r="F17" s="86"/>
      <c r="G17" s="86"/>
      <c r="H17" s="86"/>
      <c r="I17" s="86"/>
      <c r="J17" s="86"/>
      <c r="K17" s="86"/>
      <c r="L17" s="87"/>
      <c r="M17" s="87"/>
      <c r="N17" s="87"/>
    </row>
    <row r="18">
      <c r="B18" s="130" t="s">
        <v>136</v>
      </c>
      <c r="C18" s="131">
        <f>877000+540000+593000</f>
        <v>2010000</v>
      </c>
      <c r="D18" s="132" t="s">
        <v>137</v>
      </c>
    </row>
    <row r="19">
      <c r="B19" s="133" t="s">
        <v>138</v>
      </c>
      <c r="C19" s="134">
        <f>25000000*3</f>
        <v>75000000</v>
      </c>
    </row>
    <row r="20">
      <c r="B20" s="135"/>
      <c r="C20" s="136">
        <f>C19/C18</f>
        <v>37.31343284</v>
      </c>
      <c r="D20" s="132" t="s">
        <v>139</v>
      </c>
    </row>
    <row r="22">
      <c r="J22" s="137" t="s">
        <v>140</v>
      </c>
      <c r="K22" s="138"/>
      <c r="L22" s="138"/>
    </row>
    <row r="23">
      <c r="J23" s="137" t="s">
        <v>141</v>
      </c>
      <c r="K23" s="137">
        <v>100.0</v>
      </c>
      <c r="L23" s="137" t="s">
        <v>142</v>
      </c>
    </row>
    <row r="24">
      <c r="J24" s="137" t="s">
        <v>11</v>
      </c>
      <c r="K24" s="137">
        <v>20.0</v>
      </c>
      <c r="L24" s="137" t="s">
        <v>143</v>
      </c>
    </row>
    <row r="25">
      <c r="J25" s="137" t="s">
        <v>13</v>
      </c>
      <c r="K25" s="137">
        <v>50.0</v>
      </c>
      <c r="L25" s="137" t="s">
        <v>143</v>
      </c>
    </row>
    <row r="26">
      <c r="J26" s="137" t="s">
        <v>14</v>
      </c>
      <c r="K26" s="137">
        <v>30.0</v>
      </c>
      <c r="L26" s="137" t="s">
        <v>143</v>
      </c>
    </row>
  </sheetData>
  <mergeCells count="3">
    <mergeCell ref="A1:B1"/>
    <mergeCell ref="L2:M2"/>
    <mergeCell ref="M9:O9"/>
  </mergeCells>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9D08E"/>
    <outlinePr summaryBelow="0" summaryRight="0"/>
  </sheetPr>
  <sheetViews>
    <sheetView workbookViewId="0"/>
  </sheetViews>
  <sheetFormatPr customHeight="1" defaultColWidth="12.63" defaultRowHeight="15.75"/>
  <cols>
    <col customWidth="1" min="1" max="1" width="22.88"/>
  </cols>
  <sheetData>
    <row r="1">
      <c r="A1" s="139" t="s">
        <v>144</v>
      </c>
      <c r="B1" s="140" t="s">
        <v>145</v>
      </c>
    </row>
    <row r="3">
      <c r="A3" s="132" t="s">
        <v>146</v>
      </c>
      <c r="B3" s="132" t="s">
        <v>147</v>
      </c>
      <c r="F3" s="139" t="s">
        <v>148</v>
      </c>
      <c r="K3" s="139" t="s">
        <v>149</v>
      </c>
      <c r="N3" s="141" t="s">
        <v>150</v>
      </c>
      <c r="O3" s="142"/>
    </row>
    <row r="4">
      <c r="A4" s="132" t="s">
        <v>151</v>
      </c>
      <c r="B4" s="132"/>
      <c r="F4" s="132" t="s">
        <v>152</v>
      </c>
      <c r="N4" s="143" t="s">
        <v>153</v>
      </c>
      <c r="O4" s="144"/>
    </row>
    <row r="5">
      <c r="A5" s="132" t="s">
        <v>154</v>
      </c>
      <c r="B5" s="145">
        <f>6.1*F5</f>
        <v>7.625</v>
      </c>
      <c r="F5" s="145">
        <v>1.25</v>
      </c>
      <c r="N5" s="146" t="s">
        <v>11</v>
      </c>
      <c r="O5" s="147">
        <f>(B20+B27+B35+C35+B43+C43+B51+C51)/8</f>
        <v>353.90625</v>
      </c>
    </row>
    <row r="6">
      <c r="A6" s="132" t="s">
        <v>155</v>
      </c>
      <c r="B6" s="145">
        <f>(3.9+2.7+6.3)*F5</f>
        <v>16.125</v>
      </c>
      <c r="F6" s="148" t="s">
        <v>156</v>
      </c>
      <c r="N6" s="146" t="s">
        <v>12</v>
      </c>
      <c r="O6" s="147">
        <f>(B35+C35+B43+C43+B51+C51)/6</f>
        <v>427.5</v>
      </c>
    </row>
    <row r="7">
      <c r="A7" s="132" t="s">
        <v>157</v>
      </c>
      <c r="B7" s="145">
        <f>19*F5</f>
        <v>23.75</v>
      </c>
      <c r="N7" s="146" t="s">
        <v>14</v>
      </c>
      <c r="O7" s="149">
        <f>(B5+B12+B27)/3</f>
        <v>78.20833333</v>
      </c>
    </row>
    <row r="8">
      <c r="A8" s="132" t="s">
        <v>158</v>
      </c>
      <c r="B8" s="132" t="s">
        <v>159</v>
      </c>
      <c r="N8" s="150" t="s">
        <v>13</v>
      </c>
      <c r="O8" s="151">
        <f>(B5+B12+B20+B27+B35+C35+B43+C43+B51+C51)/10</f>
        <v>297.5875</v>
      </c>
    </row>
    <row r="9">
      <c r="A9" s="132"/>
      <c r="B9" s="132"/>
    </row>
    <row r="10">
      <c r="A10" s="132" t="s">
        <v>146</v>
      </c>
      <c r="B10" s="132" t="s">
        <v>160</v>
      </c>
    </row>
    <row r="11">
      <c r="A11" s="132" t="s">
        <v>151</v>
      </c>
      <c r="B11" s="152">
        <v>172.0</v>
      </c>
      <c r="C11" s="132" t="s">
        <v>161</v>
      </c>
    </row>
    <row r="12">
      <c r="A12" s="132" t="s">
        <v>154</v>
      </c>
      <c r="B12" s="152">
        <v>137.0</v>
      </c>
      <c r="C12" s="132" t="s">
        <v>161</v>
      </c>
    </row>
    <row r="13">
      <c r="A13" s="132" t="s">
        <v>155</v>
      </c>
      <c r="B13" s="152">
        <v>10.0</v>
      </c>
      <c r="C13" s="132" t="s">
        <v>161</v>
      </c>
    </row>
    <row r="14">
      <c r="A14" s="132" t="s">
        <v>158</v>
      </c>
      <c r="B14" s="132" t="s">
        <v>162</v>
      </c>
      <c r="C14" s="132" t="s">
        <v>163</v>
      </c>
      <c r="G14" s="153"/>
    </row>
    <row r="15">
      <c r="B15" s="132" t="s">
        <v>164</v>
      </c>
      <c r="C15" s="132" t="s">
        <v>165</v>
      </c>
    </row>
    <row r="16">
      <c r="A16" s="132" t="s">
        <v>166</v>
      </c>
      <c r="B16" s="154">
        <f>26*1.25</f>
        <v>32.5</v>
      </c>
    </row>
    <row r="18">
      <c r="A18" s="132" t="s">
        <v>146</v>
      </c>
      <c r="B18" s="132" t="s">
        <v>167</v>
      </c>
    </row>
    <row r="19">
      <c r="A19" s="132" t="s">
        <v>151</v>
      </c>
      <c r="B19" s="152">
        <f>181*1.25</f>
        <v>226.25</v>
      </c>
    </row>
    <row r="20">
      <c r="A20" s="132" t="s">
        <v>154</v>
      </c>
      <c r="B20" s="152">
        <f>141*F5</f>
        <v>176.25</v>
      </c>
    </row>
    <row r="21">
      <c r="A21" s="132" t="s">
        <v>155</v>
      </c>
      <c r="B21" s="154">
        <f>7.78+1.75*F5</f>
        <v>9.9675</v>
      </c>
    </row>
    <row r="22">
      <c r="A22" s="132" t="s">
        <v>166</v>
      </c>
      <c r="B22" s="154">
        <f>31.8*F5</f>
        <v>39.75</v>
      </c>
    </row>
    <row r="23">
      <c r="A23" s="132" t="s">
        <v>158</v>
      </c>
      <c r="B23" s="132" t="s">
        <v>168</v>
      </c>
    </row>
    <row r="24">
      <c r="A24" s="132"/>
    </row>
    <row r="25">
      <c r="A25" s="132" t="s">
        <v>146</v>
      </c>
      <c r="B25" s="132" t="s">
        <v>169</v>
      </c>
    </row>
    <row r="26">
      <c r="A26" s="132" t="s">
        <v>151</v>
      </c>
      <c r="B26" s="145">
        <f>91*F5</f>
        <v>113.75</v>
      </c>
    </row>
    <row r="27">
      <c r="A27" s="132" t="s">
        <v>154</v>
      </c>
      <c r="B27" s="145">
        <f>72*F5</f>
        <v>90</v>
      </c>
    </row>
    <row r="28">
      <c r="A28" s="132" t="s">
        <v>155</v>
      </c>
      <c r="B28" s="154">
        <f>2.86+1.53*F5</f>
        <v>4.7725</v>
      </c>
    </row>
    <row r="29">
      <c r="A29" s="132" t="s">
        <v>166</v>
      </c>
      <c r="B29" s="154">
        <f>16.1*F5</f>
        <v>20.125</v>
      </c>
    </row>
    <row r="30">
      <c r="A30" s="132" t="s">
        <v>158</v>
      </c>
      <c r="B30" s="132" t="s">
        <v>170</v>
      </c>
    </row>
    <row r="32">
      <c r="A32" s="132"/>
    </row>
    <row r="33">
      <c r="A33" s="132" t="s">
        <v>146</v>
      </c>
      <c r="B33" s="132" t="s">
        <v>171</v>
      </c>
    </row>
    <row r="34">
      <c r="A34" s="132" t="s">
        <v>151</v>
      </c>
      <c r="B34" s="152">
        <f>441*F5</f>
        <v>551.25</v>
      </c>
    </row>
    <row r="35">
      <c r="A35" s="132" t="s">
        <v>154</v>
      </c>
      <c r="B35" s="152">
        <f>326*F5</f>
        <v>407.5</v>
      </c>
      <c r="C35" s="152">
        <f>349*F5</f>
        <v>436.25</v>
      </c>
    </row>
    <row r="36">
      <c r="A36" s="132" t="s">
        <v>155</v>
      </c>
      <c r="B36" s="154">
        <f>(12.28+5.08+10.68)*F5</f>
        <v>35.05</v>
      </c>
      <c r="C36" s="154">
        <f>(13.24+5.34+10.32)*F5</f>
        <v>36.125</v>
      </c>
    </row>
    <row r="37">
      <c r="A37" s="132" t="s">
        <v>172</v>
      </c>
      <c r="B37" s="145">
        <f>58.9*F5</f>
        <v>73.625</v>
      </c>
      <c r="C37" s="145">
        <f>61.7*F5</f>
        <v>77.125</v>
      </c>
    </row>
    <row r="38">
      <c r="A38" s="132" t="s">
        <v>173</v>
      </c>
      <c r="B38" s="145">
        <f>57.3*F5</f>
        <v>71.625</v>
      </c>
      <c r="C38" s="145">
        <f>61.7*F5</f>
        <v>77.125</v>
      </c>
    </row>
    <row r="39">
      <c r="A39" s="132" t="s">
        <v>158</v>
      </c>
      <c r="B39" s="132" t="s">
        <v>174</v>
      </c>
      <c r="C39" s="132"/>
    </row>
    <row r="40">
      <c r="A40" s="132"/>
      <c r="B40" s="132"/>
      <c r="C40" s="132"/>
    </row>
    <row r="41">
      <c r="A41" s="132" t="s">
        <v>146</v>
      </c>
      <c r="B41" s="132" t="s">
        <v>175</v>
      </c>
      <c r="E41" s="132" t="s">
        <v>176</v>
      </c>
    </row>
    <row r="42">
      <c r="A42" s="132" t="s">
        <v>151</v>
      </c>
      <c r="B42" s="145">
        <f>364*F5</f>
        <v>455</v>
      </c>
      <c r="C42" s="145">
        <f>381*F5</f>
        <v>476.25</v>
      </c>
    </row>
    <row r="43">
      <c r="A43" s="132" t="s">
        <v>154</v>
      </c>
      <c r="B43" s="145">
        <f>283*F5</f>
        <v>353.75</v>
      </c>
      <c r="C43" s="145">
        <f>296*F5</f>
        <v>370</v>
      </c>
    </row>
    <row r="44">
      <c r="A44" s="132" t="s">
        <v>155</v>
      </c>
      <c r="B44" s="154">
        <f>(8.98+5.88+15.66)*F5</f>
        <v>38.15</v>
      </c>
      <c r="C44" s="154">
        <f>(9.46+6.11+15.66)*F5</f>
        <v>39.0375</v>
      </c>
    </row>
    <row r="45">
      <c r="A45" s="132" t="s">
        <v>173</v>
      </c>
      <c r="B45" s="145">
        <f>60.8*F5</f>
        <v>76</v>
      </c>
      <c r="C45" s="145">
        <f>62.7*F5</f>
        <v>78.375</v>
      </c>
    </row>
    <row r="46">
      <c r="A46" s="132" t="s">
        <v>172</v>
      </c>
      <c r="B46" s="145">
        <f>62.4*F5</f>
        <v>78</v>
      </c>
      <c r="C46" s="145">
        <f>64.3*F5</f>
        <v>80.375</v>
      </c>
    </row>
    <row r="47">
      <c r="A47" s="132" t="s">
        <v>158</v>
      </c>
      <c r="B47" s="145" t="s">
        <v>177</v>
      </c>
      <c r="C47" s="145"/>
    </row>
    <row r="49">
      <c r="A49" s="132" t="s">
        <v>146</v>
      </c>
      <c r="B49" s="132" t="s">
        <v>178</v>
      </c>
    </row>
    <row r="50">
      <c r="A50" s="132" t="s">
        <v>151</v>
      </c>
      <c r="B50" s="154">
        <f>497*F5</f>
        <v>621.25</v>
      </c>
      <c r="C50" s="145">
        <f>527*F5</f>
        <v>658.75</v>
      </c>
    </row>
    <row r="51">
      <c r="A51" s="132" t="s">
        <v>154</v>
      </c>
      <c r="B51" s="145">
        <f>387*F5</f>
        <v>483.75</v>
      </c>
      <c r="C51" s="145">
        <f>411*F5</f>
        <v>513.75</v>
      </c>
    </row>
    <row r="52">
      <c r="A52" s="132" t="s">
        <v>155</v>
      </c>
      <c r="B52" s="154">
        <f>(11.89+8.15+15.66)*F5</f>
        <v>44.625</v>
      </c>
      <c r="C52" s="154">
        <f>(12.66+8.61+15.66)*F5</f>
        <v>46.1625</v>
      </c>
    </row>
    <row r="53">
      <c r="A53" s="132" t="s">
        <v>179</v>
      </c>
      <c r="B53" s="145">
        <f>60.8*F5</f>
        <v>76</v>
      </c>
      <c r="C53" s="145">
        <f>62.7*F5</f>
        <v>78.375</v>
      </c>
    </row>
    <row r="54">
      <c r="A54" s="132" t="s">
        <v>180</v>
      </c>
      <c r="B54" s="145">
        <f>74.8*F5</f>
        <v>93.5</v>
      </c>
      <c r="C54" s="145">
        <f>78*F5</f>
        <v>97.5</v>
      </c>
    </row>
    <row r="55">
      <c r="A55" s="132" t="s">
        <v>158</v>
      </c>
      <c r="B55" s="145" t="s">
        <v>177</v>
      </c>
      <c r="C55" s="145"/>
    </row>
    <row r="57">
      <c r="A57" s="132" t="s">
        <v>146</v>
      </c>
      <c r="B57" s="132" t="s">
        <v>181</v>
      </c>
      <c r="E57" s="132" t="s">
        <v>182</v>
      </c>
    </row>
    <row r="58">
      <c r="A58" s="132" t="s">
        <v>151</v>
      </c>
      <c r="B58" s="145">
        <f>684*F5</f>
        <v>855</v>
      </c>
      <c r="C58" s="145">
        <f>690*F5</f>
        <v>862.5</v>
      </c>
    </row>
    <row r="59">
      <c r="A59" s="132" t="s">
        <v>154</v>
      </c>
      <c r="B59" s="145">
        <f>260*F5</f>
        <v>325</v>
      </c>
      <c r="C59" s="145">
        <f>258*F5</f>
        <v>322.5</v>
      </c>
    </row>
    <row r="60">
      <c r="A60" s="132" t="s">
        <v>155</v>
      </c>
      <c r="B60" s="154">
        <f>(15.87+11.27+31.33)*F5</f>
        <v>73.0875</v>
      </c>
      <c r="C60" s="154">
        <f>(16.12+11.47+31.32)*F5</f>
        <v>73.6375</v>
      </c>
    </row>
    <row r="61">
      <c r="A61" s="132" t="s">
        <v>172</v>
      </c>
      <c r="B61" s="145">
        <f>65.4*F5</f>
        <v>81.75</v>
      </c>
      <c r="C61" s="145">
        <f>65.9*F5</f>
        <v>82.375</v>
      </c>
    </row>
    <row r="62">
      <c r="A62" s="132" t="s">
        <v>158</v>
      </c>
      <c r="B62" s="132" t="s">
        <v>183</v>
      </c>
    </row>
  </sheetData>
  <mergeCells count="1">
    <mergeCell ref="N4:O4"/>
  </mergeCells>
  <hyperlinks>
    <hyperlink r:id="rId1" ref="B1"/>
    <hyperlink r:id="rId2" ref="F6"/>
  </hyperlinks>
  <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CFE2F3"/>
    <outlinePr summaryBelow="0" summaryRight="0"/>
  </sheetPr>
  <sheetViews>
    <sheetView workbookViewId="0"/>
  </sheetViews>
  <sheetFormatPr customHeight="1" defaultColWidth="12.63" defaultRowHeight="15.75"/>
  <cols>
    <col customWidth="1" min="3" max="3" width="23.75"/>
    <col customWidth="1" min="5" max="5" width="23.5"/>
    <col customWidth="1" min="6" max="6" width="49.38"/>
    <col customWidth="1" min="10" max="10" width="32.88"/>
  </cols>
  <sheetData>
    <row r="1">
      <c r="A1" s="155" t="s">
        <v>184</v>
      </c>
      <c r="B1" s="156"/>
      <c r="C1" s="156"/>
      <c r="D1" s="156"/>
      <c r="E1" s="156"/>
      <c r="F1" s="156"/>
      <c r="G1" s="156"/>
      <c r="H1" s="156"/>
      <c r="I1" s="156"/>
      <c r="J1" s="156"/>
      <c r="K1" s="156"/>
      <c r="L1" s="156"/>
      <c r="M1" s="156"/>
      <c r="N1" s="156"/>
      <c r="O1" s="156"/>
    </row>
    <row r="2">
      <c r="A2" s="157"/>
      <c r="B2" s="157"/>
      <c r="C2" s="157"/>
      <c r="D2" s="157"/>
      <c r="E2" s="157"/>
      <c r="F2" s="157"/>
      <c r="G2" s="157"/>
      <c r="H2" s="157"/>
      <c r="I2" s="157"/>
      <c r="J2" s="157"/>
      <c r="K2" s="157"/>
      <c r="L2" s="157"/>
      <c r="M2" s="157"/>
      <c r="N2" s="157"/>
      <c r="O2" s="157"/>
    </row>
    <row r="3">
      <c r="A3" s="157"/>
      <c r="B3" s="158"/>
      <c r="C3" s="159" t="s">
        <v>185</v>
      </c>
      <c r="D3" s="160"/>
      <c r="E3" s="160"/>
      <c r="F3" s="157"/>
      <c r="G3" s="157"/>
      <c r="H3" s="157"/>
      <c r="I3" s="157"/>
      <c r="J3" s="157"/>
      <c r="K3" s="157"/>
      <c r="L3" s="157"/>
      <c r="M3" s="157"/>
      <c r="N3" s="157"/>
      <c r="O3" s="157"/>
      <c r="P3" s="161"/>
      <c r="Q3" s="161"/>
    </row>
    <row r="4">
      <c r="A4" s="157"/>
      <c r="B4" s="162"/>
      <c r="C4" s="163" t="s">
        <v>186</v>
      </c>
      <c r="D4" s="163" t="s">
        <v>187</v>
      </c>
      <c r="E4" s="163" t="s">
        <v>188</v>
      </c>
      <c r="F4" s="157"/>
      <c r="G4" s="157"/>
      <c r="H4" s="157"/>
      <c r="I4" s="157"/>
      <c r="J4" s="157"/>
      <c r="K4" s="157"/>
      <c r="L4" s="157"/>
      <c r="M4" s="157"/>
      <c r="N4" s="157"/>
      <c r="O4" s="157"/>
      <c r="P4" s="87"/>
      <c r="Q4" s="87"/>
    </row>
    <row r="5">
      <c r="A5" s="157"/>
      <c r="B5" s="162"/>
      <c r="C5" s="164" t="s">
        <v>189</v>
      </c>
      <c r="D5" s="165" t="s">
        <v>190</v>
      </c>
      <c r="E5" s="166">
        <v>25.0</v>
      </c>
      <c r="F5" s="157"/>
      <c r="G5" s="157"/>
      <c r="H5" s="157"/>
      <c r="I5" s="157"/>
      <c r="J5" s="157"/>
      <c r="K5" s="157"/>
      <c r="L5" s="157"/>
      <c r="M5" s="157"/>
      <c r="N5" s="157"/>
      <c r="O5" s="157"/>
      <c r="P5" s="87"/>
      <c r="Q5" s="87"/>
    </row>
    <row r="6">
      <c r="A6" s="157"/>
      <c r="B6" s="162"/>
      <c r="C6" s="164" t="s">
        <v>191</v>
      </c>
      <c r="D6" s="164" t="s">
        <v>192</v>
      </c>
      <c r="E6" s="167">
        <v>0.05</v>
      </c>
      <c r="F6" s="157"/>
      <c r="G6" s="168" t="s">
        <v>193</v>
      </c>
      <c r="P6" s="87"/>
      <c r="Q6" s="87"/>
    </row>
    <row r="7">
      <c r="A7" s="157"/>
      <c r="B7" s="162"/>
      <c r="C7" s="164" t="s">
        <v>194</v>
      </c>
      <c r="D7" s="164" t="s">
        <v>195</v>
      </c>
      <c r="E7" s="169">
        <v>1.54</v>
      </c>
      <c r="F7" s="157"/>
      <c r="G7" s="170">
        <v>9.62</v>
      </c>
      <c r="H7" s="168" t="s">
        <v>11</v>
      </c>
      <c r="I7" s="157"/>
      <c r="J7" s="157"/>
      <c r="K7" s="157"/>
      <c r="L7" s="157"/>
      <c r="M7" s="157"/>
      <c r="N7" s="157"/>
      <c r="O7" s="157"/>
      <c r="P7" s="87"/>
      <c r="Q7" s="87"/>
    </row>
    <row r="8">
      <c r="A8" s="157"/>
      <c r="B8" s="162"/>
      <c r="C8" s="171"/>
      <c r="D8" s="171"/>
      <c r="E8" s="172"/>
      <c r="F8" s="157"/>
      <c r="G8" s="170">
        <v>4.65</v>
      </c>
      <c r="H8" s="173" t="s">
        <v>12</v>
      </c>
      <c r="I8" s="158"/>
      <c r="J8" s="158"/>
      <c r="K8" s="158"/>
      <c r="L8" s="158"/>
      <c r="M8" s="158"/>
      <c r="N8" s="158"/>
      <c r="O8" s="158"/>
      <c r="P8" s="87"/>
      <c r="Q8" s="87"/>
    </row>
    <row r="9">
      <c r="A9" s="157"/>
      <c r="B9" s="162"/>
      <c r="C9" s="171"/>
      <c r="D9" s="171"/>
      <c r="E9" s="174"/>
      <c r="F9" s="157"/>
      <c r="G9" s="170">
        <v>5.0232</v>
      </c>
      <c r="H9" s="173" t="s">
        <v>14</v>
      </c>
      <c r="I9" s="157"/>
      <c r="J9" s="168" t="s">
        <v>196</v>
      </c>
      <c r="K9" s="157"/>
      <c r="L9" s="157"/>
      <c r="M9" s="157"/>
      <c r="N9" s="157"/>
      <c r="O9" s="157"/>
      <c r="P9" s="87"/>
      <c r="Q9" s="87"/>
    </row>
    <row r="10">
      <c r="A10" s="157"/>
      <c r="B10" s="162"/>
      <c r="C10" s="165" t="s">
        <v>197</v>
      </c>
      <c r="D10" s="165" t="s">
        <v>195</v>
      </c>
      <c r="E10" s="175">
        <f>5*7.5</f>
        <v>37.5</v>
      </c>
      <c r="F10" s="168" t="s">
        <v>198</v>
      </c>
      <c r="G10" s="170">
        <v>3.6708</v>
      </c>
      <c r="H10" s="173" t="s">
        <v>13</v>
      </c>
      <c r="I10" s="157"/>
      <c r="J10" s="176">
        <f>1.08</f>
        <v>1.08</v>
      </c>
      <c r="K10" s="157"/>
      <c r="L10" s="157"/>
      <c r="M10" s="157"/>
      <c r="N10" s="157"/>
      <c r="O10" s="157"/>
      <c r="P10" s="87"/>
      <c r="Q10" s="87"/>
    </row>
    <row r="11">
      <c r="A11" s="157"/>
      <c r="B11" s="162"/>
      <c r="C11" s="165" t="s">
        <v>199</v>
      </c>
      <c r="D11" s="165" t="s">
        <v>195</v>
      </c>
      <c r="E11" s="169">
        <f>1*7.5</f>
        <v>7.5</v>
      </c>
      <c r="F11" s="168" t="s">
        <v>198</v>
      </c>
      <c r="G11" s="158"/>
      <c r="H11" s="158"/>
      <c r="I11" s="157"/>
      <c r="J11" s="158"/>
      <c r="K11" s="157"/>
      <c r="L11" s="157"/>
      <c r="M11" s="157"/>
      <c r="N11" s="157"/>
      <c r="O11" s="157"/>
      <c r="P11" s="87"/>
      <c r="Q11" s="87"/>
    </row>
    <row r="12">
      <c r="A12" s="157"/>
      <c r="B12" s="162"/>
      <c r="C12" s="164" t="s">
        <v>200</v>
      </c>
      <c r="D12" s="164" t="s">
        <v>201</v>
      </c>
      <c r="E12" s="175">
        <f>7.6*J10</f>
        <v>8.208</v>
      </c>
      <c r="F12" s="177" t="s">
        <v>202</v>
      </c>
      <c r="G12" s="158"/>
      <c r="H12" s="158"/>
      <c r="I12" s="157"/>
      <c r="J12" s="157"/>
      <c r="K12" s="157"/>
      <c r="L12" s="157"/>
      <c r="M12" s="157"/>
      <c r="N12" s="157"/>
      <c r="O12" s="157"/>
      <c r="P12" s="87"/>
      <c r="Q12" s="87"/>
    </row>
    <row r="13">
      <c r="A13" s="157"/>
      <c r="B13" s="157"/>
      <c r="C13" s="158"/>
      <c r="D13" s="158"/>
      <c r="E13" s="178"/>
      <c r="F13" s="158"/>
      <c r="G13" s="157"/>
      <c r="H13" s="157"/>
      <c r="I13" s="157"/>
      <c r="J13" s="157"/>
      <c r="K13" s="157"/>
      <c r="L13" s="157"/>
      <c r="M13" s="157"/>
      <c r="N13" s="157"/>
      <c r="O13" s="157"/>
      <c r="P13" s="87"/>
      <c r="Q13" s="87"/>
    </row>
    <row r="14">
      <c r="A14" s="157"/>
      <c r="B14" s="157"/>
      <c r="C14" s="179" t="s">
        <v>203</v>
      </c>
      <c r="D14" s="180"/>
      <c r="E14" s="181"/>
      <c r="F14" s="180"/>
      <c r="G14" s="157"/>
      <c r="H14" s="157"/>
      <c r="I14" s="157"/>
      <c r="J14" s="157"/>
      <c r="K14" s="157"/>
      <c r="L14" s="157"/>
      <c r="M14" s="157"/>
      <c r="N14" s="157"/>
      <c r="O14" s="157"/>
      <c r="P14" s="87"/>
      <c r="Q14" s="87"/>
    </row>
    <row r="15">
      <c r="A15" s="157"/>
      <c r="B15" s="162"/>
      <c r="C15" s="163" t="s">
        <v>204</v>
      </c>
      <c r="D15" s="163" t="s">
        <v>187</v>
      </c>
      <c r="E15" s="163" t="s">
        <v>205</v>
      </c>
      <c r="F15" s="163" t="s">
        <v>206</v>
      </c>
      <c r="G15" s="157"/>
      <c r="H15" s="157"/>
      <c r="I15" s="168" t="s">
        <v>207</v>
      </c>
      <c r="J15" s="168" t="s">
        <v>208</v>
      </c>
      <c r="K15" s="176">
        <v>53.07</v>
      </c>
      <c r="L15" s="168" t="s">
        <v>209</v>
      </c>
      <c r="M15" s="157"/>
      <c r="N15" s="157"/>
      <c r="O15" s="157"/>
      <c r="P15" s="87"/>
      <c r="Q15" s="87"/>
    </row>
    <row r="16">
      <c r="A16" s="157"/>
      <c r="B16" s="162"/>
      <c r="C16" s="164" t="s">
        <v>210</v>
      </c>
      <c r="D16" s="165" t="s">
        <v>211</v>
      </c>
      <c r="E16" s="175">
        <v>87540.0</v>
      </c>
      <c r="F16" s="175">
        <v>87540.0</v>
      </c>
      <c r="G16" s="157"/>
      <c r="H16" s="157"/>
      <c r="I16" s="157"/>
      <c r="J16" s="157"/>
      <c r="K16" s="157"/>
      <c r="L16" s="157"/>
      <c r="M16" s="157"/>
      <c r="N16" s="157"/>
      <c r="O16" s="157"/>
      <c r="P16" s="87"/>
      <c r="Q16" s="87"/>
    </row>
    <row r="17">
      <c r="A17" s="157"/>
      <c r="B17" s="162"/>
      <c r="C17" s="164" t="s">
        <v>212</v>
      </c>
      <c r="D17" s="164" t="s">
        <v>211</v>
      </c>
      <c r="E17" s="175">
        <f>E16*2</f>
        <v>175080</v>
      </c>
      <c r="F17" s="175">
        <v>87540.0</v>
      </c>
      <c r="G17" s="182" t="s">
        <v>213</v>
      </c>
      <c r="H17" s="157"/>
      <c r="I17" s="158"/>
      <c r="J17" s="158"/>
      <c r="K17" s="158"/>
      <c r="L17" s="158"/>
      <c r="M17" s="157"/>
      <c r="N17" s="157"/>
      <c r="O17" s="157"/>
      <c r="P17" s="87"/>
      <c r="Q17" s="87"/>
    </row>
    <row r="18">
      <c r="A18" s="157"/>
      <c r="B18" s="162"/>
      <c r="C18" s="164" t="s">
        <v>214</v>
      </c>
      <c r="D18" s="164" t="s">
        <v>192</v>
      </c>
      <c r="E18" s="167">
        <v>0.8</v>
      </c>
      <c r="F18" s="167">
        <v>0.8</v>
      </c>
      <c r="G18" s="157"/>
      <c r="H18" s="157"/>
      <c r="I18" s="157"/>
      <c r="J18" s="157"/>
      <c r="K18" s="157"/>
      <c r="L18" s="157"/>
      <c r="M18" s="157"/>
      <c r="N18" s="157"/>
      <c r="O18" s="157"/>
      <c r="P18" s="87"/>
      <c r="Q18" s="87"/>
    </row>
    <row r="19">
      <c r="A19" s="157"/>
      <c r="B19" s="162"/>
      <c r="C19" s="164" t="s">
        <v>215</v>
      </c>
      <c r="D19" s="164" t="s">
        <v>216</v>
      </c>
      <c r="E19" s="175">
        <v>3.3</v>
      </c>
      <c r="F19" s="175">
        <v>3.3</v>
      </c>
      <c r="G19" s="158"/>
      <c r="H19" s="157"/>
      <c r="I19" s="157"/>
      <c r="J19" s="157"/>
      <c r="K19" s="157"/>
      <c r="L19" s="157"/>
      <c r="M19" s="157"/>
      <c r="N19" s="157"/>
      <c r="O19" s="157"/>
      <c r="P19" s="87"/>
      <c r="Q19" s="87"/>
    </row>
    <row r="20">
      <c r="A20" s="157"/>
      <c r="B20" s="162"/>
      <c r="C20" s="164" t="s">
        <v>217</v>
      </c>
      <c r="D20" s="164" t="s">
        <v>218</v>
      </c>
      <c r="E20" s="183">
        <v>5280.0</v>
      </c>
      <c r="F20" s="183">
        <v>5280.0</v>
      </c>
      <c r="G20" s="157"/>
      <c r="H20" s="157"/>
      <c r="I20" s="157"/>
      <c r="J20" s="157"/>
      <c r="K20" s="157"/>
      <c r="L20" s="157"/>
      <c r="M20" s="157"/>
      <c r="N20" s="157"/>
      <c r="O20" s="157"/>
      <c r="P20" s="87"/>
      <c r="Q20" s="87"/>
    </row>
    <row r="21">
      <c r="A21" s="157"/>
      <c r="B21" s="162"/>
      <c r="C21" s="164" t="s">
        <v>219</v>
      </c>
      <c r="D21" s="164" t="s">
        <v>220</v>
      </c>
      <c r="E21" s="183">
        <v>17675.0</v>
      </c>
      <c r="F21" s="183">
        <v>17675.0</v>
      </c>
      <c r="G21" s="157"/>
      <c r="H21" s="157"/>
      <c r="I21" s="157"/>
      <c r="J21" s="157"/>
      <c r="K21" s="157"/>
      <c r="L21" s="157"/>
      <c r="M21" s="157"/>
      <c r="N21" s="157"/>
      <c r="O21" s="157"/>
      <c r="P21" s="87"/>
      <c r="Q21" s="87"/>
    </row>
    <row r="22">
      <c r="A22" s="157"/>
      <c r="B22" s="184"/>
      <c r="C22" s="185"/>
      <c r="D22" s="185"/>
      <c r="E22" s="186"/>
      <c r="F22" s="186"/>
      <c r="G22" s="184"/>
      <c r="H22" s="184"/>
      <c r="I22" s="184"/>
      <c r="J22" s="184"/>
      <c r="K22" s="184"/>
      <c r="L22" s="184"/>
      <c r="M22" s="184"/>
      <c r="N22" s="184"/>
      <c r="O22" s="184"/>
      <c r="P22" s="87"/>
      <c r="Q22" s="87"/>
    </row>
    <row r="23">
      <c r="A23" s="157"/>
      <c r="B23" s="187" t="s">
        <v>221</v>
      </c>
      <c r="C23" s="158"/>
      <c r="D23" s="158"/>
      <c r="E23" s="188"/>
      <c r="F23" s="188"/>
      <c r="G23" s="157"/>
      <c r="H23" s="157"/>
      <c r="I23" s="157"/>
      <c r="J23" s="157"/>
      <c r="K23" s="157"/>
      <c r="L23" s="157"/>
      <c r="M23" s="157"/>
      <c r="N23" s="157"/>
      <c r="O23" s="157"/>
      <c r="P23" s="87"/>
      <c r="Q23" s="87"/>
    </row>
    <row r="24">
      <c r="A24" s="157"/>
      <c r="B24" s="157"/>
      <c r="C24" s="187" t="s">
        <v>222</v>
      </c>
      <c r="D24" s="157"/>
      <c r="E24" s="157"/>
      <c r="F24" s="157"/>
      <c r="G24" s="157"/>
      <c r="H24" s="157"/>
      <c r="I24" s="157"/>
      <c r="J24" s="157"/>
      <c r="K24" s="157"/>
      <c r="L24" s="157"/>
      <c r="M24" s="157"/>
      <c r="N24" s="157"/>
      <c r="O24" s="157"/>
      <c r="P24" s="87"/>
      <c r="Q24" s="87"/>
    </row>
    <row r="25">
      <c r="A25" s="157"/>
      <c r="B25" s="189" t="s">
        <v>46</v>
      </c>
      <c r="C25" s="190" t="s">
        <v>223</v>
      </c>
      <c r="D25" s="190" t="s">
        <v>187</v>
      </c>
      <c r="E25" s="190" t="s">
        <v>224</v>
      </c>
      <c r="F25" s="190" t="s">
        <v>225</v>
      </c>
      <c r="G25" s="157"/>
      <c r="H25" s="157"/>
      <c r="I25" s="168" t="s">
        <v>55</v>
      </c>
      <c r="J25" s="191" t="s">
        <v>223</v>
      </c>
      <c r="K25" s="191" t="s">
        <v>187</v>
      </c>
      <c r="L25" s="191" t="s">
        <v>224</v>
      </c>
      <c r="M25" s="191" t="s">
        <v>225</v>
      </c>
      <c r="N25" s="157"/>
      <c r="O25" s="157"/>
      <c r="P25" s="192"/>
      <c r="Q25" s="192"/>
    </row>
    <row r="26">
      <c r="A26" s="157"/>
      <c r="B26" s="193"/>
      <c r="C26" s="189" t="s">
        <v>226</v>
      </c>
      <c r="D26" s="194" t="s">
        <v>227</v>
      </c>
      <c r="E26" s="195">
        <f>-PMT($E$8,$E$7,($E$19-$E$18))</f>
        <v>1.623376623</v>
      </c>
      <c r="F26" s="195">
        <f>-PMT($E$8,$E$7,($F$19-$F$18))</f>
        <v>1.623376623</v>
      </c>
      <c r="G26" s="157"/>
      <c r="H26" s="157"/>
      <c r="I26" s="157"/>
      <c r="J26" s="168" t="s">
        <v>226</v>
      </c>
      <c r="K26" s="168" t="s">
        <v>227</v>
      </c>
      <c r="L26" s="196">
        <f>-PMT($E$8,$E$7,($E$19-$E$18))</f>
        <v>1.623376623</v>
      </c>
      <c r="M26" s="196">
        <f>-PMT($E$8,$E$7,($F$19-$F$18))</f>
        <v>1.623376623</v>
      </c>
      <c r="N26" s="157"/>
      <c r="O26" s="157"/>
      <c r="P26" s="87"/>
      <c r="Q26" s="87"/>
    </row>
    <row r="27">
      <c r="A27" s="157"/>
      <c r="B27" s="197"/>
      <c r="C27" s="189" t="s">
        <v>228</v>
      </c>
      <c r="D27" s="189" t="s">
        <v>227</v>
      </c>
      <c r="E27" s="195">
        <f>($E$12+$E$14)*$E$23</f>
        <v>0</v>
      </c>
      <c r="F27" s="195">
        <f>($E$13+$E$14)*$F$23</f>
        <v>0</v>
      </c>
      <c r="G27" s="157"/>
      <c r="H27" s="157"/>
      <c r="I27" s="158"/>
      <c r="J27" s="173" t="s">
        <v>228</v>
      </c>
      <c r="K27" s="173" t="s">
        <v>227</v>
      </c>
      <c r="L27" s="196">
        <f>($E$12+$E$14)*$E$23</f>
        <v>0</v>
      </c>
      <c r="M27" s="196">
        <f>($E$13+$E$14)*$F$23</f>
        <v>0</v>
      </c>
      <c r="N27" s="157"/>
      <c r="O27" s="157"/>
      <c r="P27" s="87"/>
      <c r="Q27" s="87"/>
    </row>
    <row r="28">
      <c r="A28" s="157"/>
      <c r="B28" s="193"/>
      <c r="C28" s="189" t="s">
        <v>229</v>
      </c>
      <c r="D28" s="189" t="s">
        <v>227</v>
      </c>
      <c r="E28" s="195">
        <f>$E$23*$G7</f>
        <v>0</v>
      </c>
      <c r="F28" s="195">
        <f>$F$23*$G7</f>
        <v>0</v>
      </c>
      <c r="G28" s="157"/>
      <c r="H28" s="157"/>
      <c r="I28" s="157"/>
      <c r="J28" s="173" t="s">
        <v>229</v>
      </c>
      <c r="K28" s="173" t="s">
        <v>227</v>
      </c>
      <c r="L28" s="196">
        <f>$E$23*$G8</f>
        <v>0</v>
      </c>
      <c r="M28" s="196">
        <f>$F$23*$G8</f>
        <v>0</v>
      </c>
      <c r="N28" s="157"/>
      <c r="O28" s="157"/>
      <c r="P28" s="87"/>
      <c r="Q28" s="87"/>
    </row>
    <row r="29">
      <c r="A29" s="157"/>
      <c r="B29" s="193"/>
      <c r="C29" s="198" t="s">
        <v>230</v>
      </c>
      <c r="D29" s="198" t="s">
        <v>231</v>
      </c>
      <c r="E29" s="199">
        <f>$E$23*$K$17/1000</f>
        <v>0</v>
      </c>
      <c r="F29" s="199">
        <f>$F$23*$K$17/1000</f>
        <v>0</v>
      </c>
      <c r="G29" s="157"/>
      <c r="H29" s="157"/>
      <c r="I29" s="157"/>
      <c r="J29" s="200" t="s">
        <v>230</v>
      </c>
      <c r="K29" s="200" t="s">
        <v>231</v>
      </c>
      <c r="L29" s="201">
        <f>$E$23*$K$17/1000</f>
        <v>0</v>
      </c>
      <c r="M29" s="201">
        <f>$F$23*$K$17/1000</f>
        <v>0</v>
      </c>
      <c r="N29" s="157"/>
      <c r="O29" s="157"/>
      <c r="P29" s="87"/>
      <c r="Q29" s="87"/>
    </row>
    <row r="30">
      <c r="A30" s="157"/>
      <c r="B30" s="193"/>
      <c r="C30" s="202" t="s">
        <v>232</v>
      </c>
      <c r="D30" s="202" t="s">
        <v>233</v>
      </c>
      <c r="E30" s="203" t="str">
        <f t="shared" ref="E30:F30" si="1">(sum(E26:E27)-E28)/E29</f>
        <v>#DIV/0!</v>
      </c>
      <c r="F30" s="203" t="str">
        <f t="shared" si="1"/>
        <v>#DIV/0!</v>
      </c>
      <c r="G30" s="157"/>
      <c r="H30" s="157"/>
      <c r="I30" s="157"/>
      <c r="J30" s="204" t="s">
        <v>232</v>
      </c>
      <c r="K30" s="204" t="s">
        <v>233</v>
      </c>
      <c r="L30" s="205" t="str">
        <f t="shared" ref="L30:M30" si="2">(sum(L26:L27)-L28)/L29</f>
        <v>#DIV/0!</v>
      </c>
      <c r="M30" s="205" t="str">
        <f t="shared" si="2"/>
        <v>#DIV/0!</v>
      </c>
      <c r="N30" s="157"/>
      <c r="O30" s="157"/>
      <c r="P30" s="87"/>
      <c r="Q30" s="87"/>
    </row>
    <row r="31">
      <c r="A31" s="157"/>
      <c r="B31" s="157"/>
      <c r="C31" s="158"/>
      <c r="D31" s="158"/>
      <c r="E31" s="206"/>
      <c r="F31" s="206"/>
      <c r="G31" s="157"/>
      <c r="H31" s="157"/>
      <c r="I31" s="157"/>
      <c r="J31" s="158"/>
      <c r="K31" s="158"/>
      <c r="L31" s="206"/>
      <c r="M31" s="206"/>
      <c r="N31" s="157"/>
      <c r="O31" s="157"/>
      <c r="P31" s="87"/>
      <c r="Q31" s="87"/>
    </row>
    <row r="32">
      <c r="A32" s="157"/>
      <c r="B32" s="157"/>
      <c r="C32" s="158"/>
      <c r="D32" s="158"/>
      <c r="E32" s="207"/>
      <c r="F32" s="207"/>
      <c r="G32" s="157"/>
      <c r="H32" s="157"/>
      <c r="I32" s="157"/>
      <c r="J32" s="158"/>
      <c r="K32" s="158"/>
      <c r="L32" s="207"/>
      <c r="M32" s="207"/>
      <c r="N32" s="157"/>
      <c r="O32" s="157"/>
      <c r="P32" s="87"/>
      <c r="Q32" s="87"/>
    </row>
    <row r="33">
      <c r="A33" s="157"/>
      <c r="B33" s="157"/>
      <c r="C33" s="184"/>
      <c r="D33" s="81"/>
      <c r="E33" s="81"/>
      <c r="F33" s="184"/>
      <c r="G33" s="157"/>
      <c r="H33" s="157"/>
      <c r="I33" s="157"/>
      <c r="J33" s="157"/>
      <c r="K33" s="157"/>
      <c r="L33" s="157"/>
      <c r="M33" s="157"/>
      <c r="N33" s="157"/>
      <c r="O33" s="157"/>
      <c r="P33" s="87"/>
      <c r="Q33" s="87"/>
    </row>
    <row r="34">
      <c r="A34" s="157"/>
      <c r="B34" s="157"/>
      <c r="C34" s="157"/>
      <c r="D34" s="157"/>
      <c r="E34" s="207"/>
      <c r="F34" s="207"/>
      <c r="G34" s="157"/>
      <c r="H34" s="157"/>
      <c r="I34" s="157"/>
      <c r="J34" s="157"/>
      <c r="K34" s="157"/>
      <c r="L34" s="157"/>
      <c r="M34" s="157"/>
      <c r="N34" s="157"/>
      <c r="O34" s="157"/>
      <c r="P34" s="87"/>
      <c r="Q34" s="87"/>
    </row>
    <row r="35">
      <c r="A35" s="157"/>
      <c r="B35" s="157" t="s">
        <v>61</v>
      </c>
      <c r="C35" s="208" t="s">
        <v>223</v>
      </c>
      <c r="D35" s="208" t="s">
        <v>187</v>
      </c>
      <c r="E35" s="208" t="s">
        <v>224</v>
      </c>
      <c r="F35" s="191" t="s">
        <v>225</v>
      </c>
      <c r="G35" s="157"/>
      <c r="H35" s="157"/>
      <c r="I35" s="157" t="s">
        <v>65</v>
      </c>
      <c r="J35" s="191" t="s">
        <v>223</v>
      </c>
      <c r="K35" s="191" t="s">
        <v>187</v>
      </c>
      <c r="L35" s="191" t="s">
        <v>224</v>
      </c>
      <c r="M35" s="191" t="s">
        <v>225</v>
      </c>
      <c r="N35" s="157"/>
      <c r="O35" s="157"/>
      <c r="P35" s="87"/>
      <c r="Q35" s="87"/>
    </row>
    <row r="36">
      <c r="A36" s="157"/>
      <c r="B36" s="157"/>
      <c r="C36" s="173" t="s">
        <v>226</v>
      </c>
      <c r="D36" s="173" t="s">
        <v>227</v>
      </c>
      <c r="E36" s="196">
        <f>-PMT($E$8,$E$7,($E$19-$E$18))</f>
        <v>1.623376623</v>
      </c>
      <c r="F36" s="196">
        <f>-PMT($E$8,$E$7,($F$19-$F$18))</f>
        <v>1.623376623</v>
      </c>
      <c r="G36" s="157"/>
      <c r="H36" s="157"/>
      <c r="I36" s="157"/>
      <c r="J36" s="168" t="s">
        <v>226</v>
      </c>
      <c r="K36" s="168" t="s">
        <v>227</v>
      </c>
      <c r="L36" s="196">
        <f>-PMT($E$8,$E$7,($E$19-$E$18))</f>
        <v>1.623376623</v>
      </c>
      <c r="M36" s="196">
        <f>-PMT($E$8,$E$7,($F$19-$F$18))</f>
        <v>1.623376623</v>
      </c>
      <c r="N36" s="157"/>
      <c r="O36" s="157"/>
      <c r="P36" s="87"/>
      <c r="Q36" s="87"/>
    </row>
    <row r="37">
      <c r="A37" s="157"/>
      <c r="B37" s="157"/>
      <c r="C37" s="173" t="s">
        <v>228</v>
      </c>
      <c r="D37" s="173" t="s">
        <v>227</v>
      </c>
      <c r="E37" s="196">
        <f>($E$12+$E$14)*$E$23</f>
        <v>0</v>
      </c>
      <c r="F37" s="196">
        <f>($E$13+$E$14)*$F$23</f>
        <v>0</v>
      </c>
      <c r="G37" s="157"/>
      <c r="H37" s="157"/>
      <c r="I37" s="157"/>
      <c r="J37" s="173" t="s">
        <v>228</v>
      </c>
      <c r="K37" s="173" t="s">
        <v>227</v>
      </c>
      <c r="L37" s="196">
        <f>($E$12+$E$14)*$E$23</f>
        <v>0</v>
      </c>
      <c r="M37" s="196">
        <f>($E$13+$E$14)*$F$23</f>
        <v>0</v>
      </c>
      <c r="N37" s="157"/>
      <c r="O37" s="157"/>
    </row>
    <row r="38">
      <c r="A38" s="157"/>
      <c r="B38" s="157"/>
      <c r="C38" s="173" t="s">
        <v>229</v>
      </c>
      <c r="D38" s="173" t="s">
        <v>227</v>
      </c>
      <c r="E38" s="196">
        <f>$E$23*G9</f>
        <v>0</v>
      </c>
      <c r="F38" s="196">
        <f>$F$23*G9</f>
        <v>0</v>
      </c>
      <c r="G38" s="157"/>
      <c r="H38" s="157"/>
      <c r="I38" s="157"/>
      <c r="J38" s="173" t="s">
        <v>229</v>
      </c>
      <c r="K38" s="173" t="s">
        <v>227</v>
      </c>
      <c r="L38" s="196">
        <f>$E$23*G10</f>
        <v>0</v>
      </c>
      <c r="M38" s="196">
        <f>$F$23*G10</f>
        <v>0</v>
      </c>
      <c r="N38" s="157"/>
      <c r="O38" s="157"/>
    </row>
    <row r="39">
      <c r="A39" s="157"/>
      <c r="B39" s="157"/>
      <c r="C39" s="200" t="s">
        <v>230</v>
      </c>
      <c r="D39" s="200" t="s">
        <v>231</v>
      </c>
      <c r="E39" s="201">
        <f>$E$23*$K$17/1000</f>
        <v>0</v>
      </c>
      <c r="F39" s="201">
        <f>$F$23*$K$17/1000</f>
        <v>0</v>
      </c>
      <c r="G39" s="157"/>
      <c r="H39" s="157"/>
      <c r="I39" s="157"/>
      <c r="J39" s="200" t="s">
        <v>230</v>
      </c>
      <c r="K39" s="200" t="s">
        <v>231</v>
      </c>
      <c r="L39" s="201">
        <f>$E$23*$K$17/1000</f>
        <v>0</v>
      </c>
      <c r="M39" s="201">
        <f>$F$23*$K$17/1000</f>
        <v>0</v>
      </c>
      <c r="N39" s="157"/>
      <c r="O39" s="157"/>
    </row>
    <row r="40">
      <c r="A40" s="157"/>
      <c r="B40" s="157"/>
      <c r="C40" s="204" t="s">
        <v>232</v>
      </c>
      <c r="D40" s="204" t="s">
        <v>233</v>
      </c>
      <c r="E40" s="205" t="str">
        <f t="shared" ref="E40:F40" si="3">(sum(E36:E37)-E38)/E39</f>
        <v>#DIV/0!</v>
      </c>
      <c r="F40" s="205" t="str">
        <f t="shared" si="3"/>
        <v>#DIV/0!</v>
      </c>
      <c r="G40" s="157"/>
      <c r="H40" s="157"/>
      <c r="I40" s="157"/>
      <c r="J40" s="204" t="s">
        <v>232</v>
      </c>
      <c r="K40" s="204" t="s">
        <v>233</v>
      </c>
      <c r="L40" s="205" t="str">
        <f t="shared" ref="L40:M40" si="4">(sum(L36:L37)-L38)/L39</f>
        <v>#DIV/0!</v>
      </c>
      <c r="M40" s="205" t="str">
        <f t="shared" si="4"/>
        <v>#DIV/0!</v>
      </c>
      <c r="N40" s="157"/>
      <c r="O40" s="157"/>
    </row>
    <row r="41">
      <c r="A41" s="157"/>
      <c r="B41" s="157"/>
      <c r="C41" s="158"/>
      <c r="D41" s="158"/>
      <c r="E41" s="206"/>
      <c r="F41" s="206"/>
      <c r="G41" s="157"/>
      <c r="H41" s="157"/>
      <c r="I41" s="157"/>
      <c r="J41" s="158"/>
      <c r="K41" s="158"/>
      <c r="L41" s="206"/>
      <c r="M41" s="206"/>
      <c r="N41" s="157"/>
      <c r="O41" s="157"/>
    </row>
    <row r="42">
      <c r="A42" s="157"/>
      <c r="B42" s="157"/>
      <c r="C42" s="158"/>
      <c r="D42" s="158"/>
      <c r="E42" s="207"/>
      <c r="F42" s="207"/>
      <c r="G42" s="157"/>
      <c r="H42" s="157"/>
      <c r="I42" s="157"/>
      <c r="J42" s="158"/>
      <c r="K42" s="158"/>
      <c r="L42" s="207"/>
      <c r="M42" s="207"/>
      <c r="N42" s="157"/>
      <c r="O42" s="157"/>
    </row>
  </sheetData>
  <mergeCells count="2">
    <mergeCell ref="G6:O6"/>
    <mergeCell ref="C33:E33"/>
  </mergeCells>
  <hyperlinks>
    <hyperlink r:id="rId1" ref="F12"/>
  </hyperlinks>
  <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9D2E9"/>
    <outlinePr summaryBelow="0" summaryRight="0"/>
  </sheetPr>
  <sheetViews>
    <sheetView workbookViewId="0"/>
  </sheetViews>
  <sheetFormatPr customHeight="1" defaultColWidth="12.63" defaultRowHeight="15.75"/>
  <cols>
    <col customWidth="1" min="2" max="2" width="28.25"/>
    <col customWidth="1" min="5" max="5" width="27.88"/>
    <col customWidth="1" min="14" max="14" width="17.13"/>
    <col customWidth="1" min="15" max="15" width="35.5"/>
  </cols>
  <sheetData>
    <row r="1">
      <c r="A1" s="148" t="s">
        <v>234</v>
      </c>
    </row>
    <row r="39">
      <c r="C39" s="132" t="s">
        <v>235</v>
      </c>
    </row>
    <row r="40">
      <c r="C40" s="132" t="s">
        <v>236</v>
      </c>
      <c r="D40" s="132">
        <f>13245*1000</f>
        <v>13245000</v>
      </c>
      <c r="E40" s="132" t="s">
        <v>237</v>
      </c>
    </row>
    <row r="41">
      <c r="C41" s="132" t="s">
        <v>238</v>
      </c>
      <c r="D41" s="209">
        <v>0.78</v>
      </c>
    </row>
    <row r="42">
      <c r="C42" s="132" t="s">
        <v>239</v>
      </c>
      <c r="D42" s="154">
        <f>3810000000</f>
        <v>3810000000</v>
      </c>
    </row>
    <row r="43">
      <c r="C43" s="132" t="s">
        <v>240</v>
      </c>
      <c r="D43" s="210">
        <f>D40*D41</f>
        <v>10331100</v>
      </c>
      <c r="E43" s="132" t="s">
        <v>237</v>
      </c>
    </row>
    <row r="44">
      <c r="D44" s="154">
        <f>D42/D43</f>
        <v>368.7893835</v>
      </c>
      <c r="E44" s="132" t="s">
        <v>241</v>
      </c>
    </row>
    <row r="45">
      <c r="D45" s="211">
        <f>D44/25</f>
        <v>14.75157534</v>
      </c>
      <c r="E45" s="139" t="s">
        <v>242</v>
      </c>
    </row>
    <row r="46">
      <c r="O46" s="212" t="s">
        <v>243</v>
      </c>
    </row>
    <row r="47">
      <c r="N47" s="89" t="s">
        <v>244</v>
      </c>
      <c r="O47" s="87"/>
      <c r="P47" s="87"/>
      <c r="Q47" s="87"/>
    </row>
    <row r="48">
      <c r="A48" s="132" t="s">
        <v>245</v>
      </c>
      <c r="N48" s="104">
        <v>116.65</v>
      </c>
      <c r="O48" s="86" t="s">
        <v>246</v>
      </c>
    </row>
    <row r="49">
      <c r="A49" s="86" t="s">
        <v>247</v>
      </c>
      <c r="B49" s="86" t="s">
        <v>248</v>
      </c>
      <c r="C49" s="86" t="s">
        <v>249</v>
      </c>
      <c r="D49" s="86" t="s">
        <v>250</v>
      </c>
      <c r="E49" s="86" t="s">
        <v>251</v>
      </c>
      <c r="F49" s="86" t="s">
        <v>252</v>
      </c>
      <c r="G49" s="86" t="s">
        <v>253</v>
      </c>
      <c r="H49" s="86" t="s">
        <v>254</v>
      </c>
      <c r="I49" s="86" t="s">
        <v>255</v>
      </c>
      <c r="J49" s="86" t="s">
        <v>138</v>
      </c>
      <c r="N49" s="87"/>
      <c r="O49" s="87"/>
      <c r="P49" s="87"/>
      <c r="Q49" s="87"/>
    </row>
    <row r="50">
      <c r="A50" s="86" t="s">
        <v>256</v>
      </c>
      <c r="B50" s="86" t="s">
        <v>257</v>
      </c>
      <c r="C50" s="86" t="s">
        <v>258</v>
      </c>
      <c r="D50" s="86" t="s">
        <v>259</v>
      </c>
      <c r="E50" s="86" t="s">
        <v>260</v>
      </c>
      <c r="F50" s="104">
        <v>34.67520142</v>
      </c>
      <c r="G50" s="104">
        <v>34675.20142</v>
      </c>
      <c r="H50" s="104">
        <v>-1.22</v>
      </c>
      <c r="I50" s="213">
        <f>H50/N50</f>
        <v>-23.05732014</v>
      </c>
      <c r="J50" s="104">
        <v>-799517.2217</v>
      </c>
      <c r="N50" s="104">
        <v>0.052911613</v>
      </c>
      <c r="O50" s="86" t="s">
        <v>261</v>
      </c>
      <c r="Q50" s="87"/>
    </row>
    <row r="51">
      <c r="A51" s="86" t="s">
        <v>256</v>
      </c>
      <c r="B51" s="86" t="s">
        <v>262</v>
      </c>
      <c r="C51" s="86" t="s">
        <v>258</v>
      </c>
      <c r="D51" s="86" t="s">
        <v>259</v>
      </c>
      <c r="E51" s="86" t="s">
        <v>260</v>
      </c>
      <c r="F51" s="104">
        <v>413.5787964</v>
      </c>
      <c r="G51" s="104">
        <v>413578.7964</v>
      </c>
      <c r="H51" s="104">
        <v>-1.22</v>
      </c>
      <c r="I51" s="213">
        <v>-23.05732019</v>
      </c>
      <c r="J51" s="104">
        <v>-9536018.732</v>
      </c>
      <c r="N51" s="87"/>
      <c r="O51" s="87"/>
      <c r="P51" s="87"/>
      <c r="Q51" s="87"/>
    </row>
    <row r="52">
      <c r="A52" s="86" t="s">
        <v>256</v>
      </c>
      <c r="B52" s="86" t="s">
        <v>263</v>
      </c>
      <c r="C52" s="86" t="s">
        <v>258</v>
      </c>
      <c r="D52" s="86" t="s">
        <v>264</v>
      </c>
      <c r="E52" s="86" t="s">
        <v>260</v>
      </c>
      <c r="F52" s="104">
        <v>109.9440002</v>
      </c>
      <c r="G52" s="104">
        <v>109944.0002</v>
      </c>
      <c r="H52" s="104">
        <v>-1.22</v>
      </c>
      <c r="I52" s="213">
        <v>-23.05732019</v>
      </c>
      <c r="J52" s="104">
        <v>-2535014.016</v>
      </c>
      <c r="N52" s="86" t="s">
        <v>265</v>
      </c>
      <c r="O52" s="104">
        <v>1000.0</v>
      </c>
      <c r="P52" s="86" t="s">
        <v>237</v>
      </c>
      <c r="Q52" s="87"/>
    </row>
    <row r="53">
      <c r="A53" s="86" t="s">
        <v>256</v>
      </c>
      <c r="B53" s="86" t="s">
        <v>266</v>
      </c>
      <c r="C53" s="86" t="s">
        <v>258</v>
      </c>
      <c r="D53" s="86" t="s">
        <v>264</v>
      </c>
      <c r="E53" s="86" t="s">
        <v>260</v>
      </c>
      <c r="F53" s="104">
        <v>277.4231873</v>
      </c>
      <c r="G53" s="104">
        <v>277423.1873</v>
      </c>
      <c r="H53" s="104">
        <v>-1.22</v>
      </c>
      <c r="I53" s="213">
        <v>-23.05732019</v>
      </c>
      <c r="J53" s="104">
        <v>-6396635.256</v>
      </c>
    </row>
    <row r="54">
      <c r="A54" s="86" t="s">
        <v>256</v>
      </c>
      <c r="B54" s="86" t="s">
        <v>267</v>
      </c>
      <c r="C54" s="86" t="s">
        <v>258</v>
      </c>
      <c r="D54" s="86" t="s">
        <v>259</v>
      </c>
      <c r="E54" s="86" t="s">
        <v>260</v>
      </c>
      <c r="F54" s="104">
        <v>595.8400269</v>
      </c>
      <c r="G54" s="104">
        <v>595840.0269</v>
      </c>
      <c r="H54" s="104">
        <v>-1.19</v>
      </c>
      <c r="I54" s="213">
        <v>-22.49033691</v>
      </c>
      <c r="J54" s="104">
        <v>-1.340064295E7</v>
      </c>
      <c r="O54" s="132">
        <v>19.0</v>
      </c>
      <c r="P54" s="132" t="s">
        <v>268</v>
      </c>
    </row>
    <row r="55">
      <c r="A55" s="86" t="s">
        <v>256</v>
      </c>
      <c r="B55" s="86" t="s">
        <v>263</v>
      </c>
      <c r="C55" s="86" t="s">
        <v>258</v>
      </c>
      <c r="D55" s="86" t="s">
        <v>264</v>
      </c>
      <c r="E55" s="86" t="s">
        <v>269</v>
      </c>
      <c r="F55" s="104">
        <v>0.482789993</v>
      </c>
      <c r="G55" s="104">
        <v>482.7899933</v>
      </c>
      <c r="H55" s="104">
        <v>-1.15</v>
      </c>
      <c r="I55" s="213">
        <v>-21.73435919</v>
      </c>
      <c r="J55" s="104">
        <v>-10493.13113</v>
      </c>
      <c r="O55" s="210">
        <f>N50*19</f>
        <v>1.005320647</v>
      </c>
    </row>
    <row r="56">
      <c r="A56" s="86" t="s">
        <v>256</v>
      </c>
      <c r="B56" s="86" t="s">
        <v>266</v>
      </c>
      <c r="C56" s="86" t="s">
        <v>258</v>
      </c>
      <c r="D56" s="86" t="s">
        <v>264</v>
      </c>
      <c r="E56" s="86" t="s">
        <v>269</v>
      </c>
      <c r="F56" s="104">
        <v>1.210109949</v>
      </c>
      <c r="G56" s="104">
        <v>1210.109949</v>
      </c>
      <c r="H56" s="104">
        <v>-1.15</v>
      </c>
      <c r="I56" s="213">
        <v>-21.73435919</v>
      </c>
      <c r="J56" s="104">
        <v>-26300.9643</v>
      </c>
    </row>
    <row r="57">
      <c r="A57" s="86" t="s">
        <v>256</v>
      </c>
      <c r="B57" s="86" t="s">
        <v>270</v>
      </c>
      <c r="C57" s="86" t="s">
        <v>271</v>
      </c>
      <c r="D57" s="86" t="s">
        <v>264</v>
      </c>
      <c r="E57" s="86" t="s">
        <v>272</v>
      </c>
      <c r="F57" s="104">
        <v>99.59999847</v>
      </c>
      <c r="G57" s="104">
        <v>99599.99847</v>
      </c>
      <c r="H57" s="104">
        <v>-0.9</v>
      </c>
      <c r="I57" s="213">
        <v>-17.0094985</v>
      </c>
      <c r="J57" s="104">
        <v>-1694146.025</v>
      </c>
      <c r="N57" s="132" t="s">
        <v>273</v>
      </c>
    </row>
    <row r="58">
      <c r="A58" s="86" t="s">
        <v>256</v>
      </c>
      <c r="B58" s="86" t="s">
        <v>274</v>
      </c>
      <c r="C58" s="86" t="s">
        <v>258</v>
      </c>
      <c r="D58" s="86" t="s">
        <v>264</v>
      </c>
      <c r="E58" s="86" t="s">
        <v>260</v>
      </c>
      <c r="F58" s="104">
        <v>27.22680092</v>
      </c>
      <c r="G58" s="104">
        <v>27226.80092</v>
      </c>
      <c r="H58" s="104">
        <v>-0.59</v>
      </c>
      <c r="I58" s="213">
        <v>-11.15067124</v>
      </c>
      <c r="J58" s="104">
        <v>-303597.1059</v>
      </c>
    </row>
    <row r="59">
      <c r="A59" s="86" t="s">
        <v>256</v>
      </c>
      <c r="B59" s="86" t="s">
        <v>275</v>
      </c>
      <c r="C59" s="86" t="s">
        <v>258</v>
      </c>
      <c r="D59" s="86" t="s">
        <v>259</v>
      </c>
      <c r="E59" s="86" t="s">
        <v>260</v>
      </c>
      <c r="F59" s="104">
        <v>7.304399967</v>
      </c>
      <c r="G59" s="104">
        <v>7304.399967</v>
      </c>
      <c r="H59" s="104">
        <v>-0.59</v>
      </c>
      <c r="I59" s="213">
        <v>-11.15067124</v>
      </c>
      <c r="J59" s="104">
        <v>-81448.96263</v>
      </c>
      <c r="M59" s="214" t="s">
        <v>7</v>
      </c>
      <c r="N59" s="215" t="s">
        <v>276</v>
      </c>
      <c r="O59" s="216" t="s">
        <v>277</v>
      </c>
    </row>
    <row r="60">
      <c r="A60" s="86" t="s">
        <v>256</v>
      </c>
      <c r="B60" s="86" t="s">
        <v>278</v>
      </c>
      <c r="C60" s="86" t="s">
        <v>271</v>
      </c>
      <c r="D60" s="86" t="s">
        <v>259</v>
      </c>
      <c r="E60" s="86" t="s">
        <v>272</v>
      </c>
      <c r="F60" s="104">
        <v>120.8789978</v>
      </c>
      <c r="G60" s="104">
        <v>120878.9978</v>
      </c>
      <c r="H60" s="104">
        <v>-0.58</v>
      </c>
      <c r="I60" s="213">
        <v>-10.96167681</v>
      </c>
      <c r="J60" s="104">
        <v>-1325036.507</v>
      </c>
      <c r="M60" s="133" t="s">
        <v>11</v>
      </c>
      <c r="N60" s="154">
        <f> AVERAGE(I50,I51,I52,I53,I54,I55,I56,I57,I60,I61,I62,I63,I64,I67,I69,I70,I72,I73,I74,I75,I76,I77,I78,I80,I81,I82,I83,I85,I87,I91,I92,I93,I94,I95,I96,I99,I100,I101,I104,I105,I106,I107,I108,I109,I110,I112,I114,I113,I116,I117,I118,I119,I120,I121,I122,I123,I124,I125,I126,I127,I128,I129)</f>
        <v>83.61479281</v>
      </c>
      <c r="O60" s="217" t="s">
        <v>279</v>
      </c>
      <c r="P60" s="132">
        <v>70.0</v>
      </c>
    </row>
    <row r="61">
      <c r="A61" s="86" t="s">
        <v>256</v>
      </c>
      <c r="B61" s="86" t="s">
        <v>280</v>
      </c>
      <c r="C61" s="86" t="s">
        <v>271</v>
      </c>
      <c r="D61" s="86" t="s">
        <v>264</v>
      </c>
      <c r="E61" s="86" t="s">
        <v>272</v>
      </c>
      <c r="F61" s="104">
        <v>1.049399972</v>
      </c>
      <c r="G61" s="104">
        <v>1049.399972</v>
      </c>
      <c r="H61" s="104">
        <v>-0.58</v>
      </c>
      <c r="I61" s="213">
        <v>-10.96167681</v>
      </c>
      <c r="J61" s="104">
        <v>-11503.18334</v>
      </c>
      <c r="M61" s="133" t="s">
        <v>12</v>
      </c>
      <c r="N61" s="154">
        <f>N60</f>
        <v>83.61479281</v>
      </c>
      <c r="O61" s="217" t="s">
        <v>279</v>
      </c>
    </row>
    <row r="62">
      <c r="A62" s="86" t="s">
        <v>256</v>
      </c>
      <c r="B62" s="86" t="s">
        <v>262</v>
      </c>
      <c r="C62" s="86" t="s">
        <v>258</v>
      </c>
      <c r="D62" s="86" t="s">
        <v>259</v>
      </c>
      <c r="E62" s="86" t="s">
        <v>269</v>
      </c>
      <c r="F62" s="104">
        <v>463.67276</v>
      </c>
      <c r="G62" s="104">
        <v>463672.76</v>
      </c>
      <c r="H62" s="104">
        <v>-0.4</v>
      </c>
      <c r="I62" s="213">
        <v>-7.559777111</v>
      </c>
      <c r="J62" s="104">
        <v>-3505262.718</v>
      </c>
      <c r="M62" s="133" t="s">
        <v>13</v>
      </c>
      <c r="N62" s="154">
        <f>average(I50:I130)</f>
        <v>82.09824612</v>
      </c>
      <c r="O62" s="217" t="s">
        <v>281</v>
      </c>
    </row>
    <row r="63">
      <c r="A63" s="86" t="s">
        <v>256</v>
      </c>
      <c r="B63" s="86" t="s">
        <v>257</v>
      </c>
      <c r="C63" s="86" t="s">
        <v>258</v>
      </c>
      <c r="D63" s="86" t="s">
        <v>259</v>
      </c>
      <c r="E63" s="86" t="s">
        <v>269</v>
      </c>
      <c r="F63" s="104">
        <v>43.38840103</v>
      </c>
      <c r="G63" s="104">
        <v>43388.40103</v>
      </c>
      <c r="H63" s="104">
        <v>-0.4</v>
      </c>
      <c r="I63" s="213">
        <v>-7.559777111</v>
      </c>
      <c r="J63" s="104">
        <v>-328006.641</v>
      </c>
      <c r="M63" s="218" t="s">
        <v>14</v>
      </c>
      <c r="N63" s="219">
        <f>N62</f>
        <v>82.09824612</v>
      </c>
      <c r="O63" s="220" t="s">
        <v>281</v>
      </c>
    </row>
    <row r="64">
      <c r="A64" s="86" t="s">
        <v>256</v>
      </c>
      <c r="B64" s="86" t="s">
        <v>278</v>
      </c>
      <c r="C64" s="86" t="s">
        <v>271</v>
      </c>
      <c r="D64" s="86" t="s">
        <v>259</v>
      </c>
      <c r="E64" s="86" t="s">
        <v>282</v>
      </c>
      <c r="F64" s="104">
        <v>28.92779922</v>
      </c>
      <c r="G64" s="104">
        <v>28927.79922</v>
      </c>
      <c r="H64" s="104">
        <v>-0.29</v>
      </c>
      <c r="I64" s="213">
        <v>-5.480838405</v>
      </c>
      <c r="J64" s="104">
        <v>-158548.593</v>
      </c>
    </row>
    <row r="65">
      <c r="A65" s="86" t="s">
        <v>256</v>
      </c>
      <c r="B65" s="86" t="s">
        <v>275</v>
      </c>
      <c r="C65" s="86" t="s">
        <v>258</v>
      </c>
      <c r="D65" s="86" t="s">
        <v>259</v>
      </c>
      <c r="E65" s="86" t="s">
        <v>282</v>
      </c>
      <c r="F65" s="104">
        <v>3.596999884</v>
      </c>
      <c r="G65" s="104">
        <v>3596.999884</v>
      </c>
      <c r="H65" s="104">
        <v>-0.29</v>
      </c>
      <c r="I65" s="213">
        <v>-5.480838405</v>
      </c>
      <c r="J65" s="104">
        <v>-19714.57511</v>
      </c>
      <c r="M65" s="221" t="s">
        <v>283</v>
      </c>
      <c r="P65" s="139" t="s">
        <v>284</v>
      </c>
    </row>
    <row r="66">
      <c r="A66" s="86" t="s">
        <v>256</v>
      </c>
      <c r="B66" s="86" t="s">
        <v>274</v>
      </c>
      <c r="C66" s="86" t="s">
        <v>258</v>
      </c>
      <c r="D66" s="86" t="s">
        <v>264</v>
      </c>
      <c r="E66" s="86" t="s">
        <v>282</v>
      </c>
      <c r="F66" s="104">
        <v>21.17280006</v>
      </c>
      <c r="G66" s="104">
        <v>21172.80006</v>
      </c>
      <c r="H66" s="104">
        <v>-0.29</v>
      </c>
      <c r="I66" s="213">
        <v>-5.480838405</v>
      </c>
      <c r="J66" s="104">
        <v>-116044.6957</v>
      </c>
      <c r="M66" s="132" t="s">
        <v>285</v>
      </c>
      <c r="N66" s="154">
        <f>average(I50:I130)</f>
        <v>82.09824612</v>
      </c>
      <c r="P66" s="132" t="s">
        <v>285</v>
      </c>
      <c r="Q66" s="154">
        <f>AVERAGE(I50,I51,I52,I53,I54,I55,I56,I57,I60,I61,I62,I63,I64,I67,I69,I70,I72,I73,I74,I75,I76,I77,I78,I80,I81,I82,I83,I85,I87,I91,I92,I93,I94,I95,I96,I99,I100,I101,I104,I105,I106,I107,I108,I109,I110,I112,I114,I113,I116,I117,I118,I119,I120,I121,I122,I123,I124,I125,I126,I127,I128,I129)</f>
        <v>83.61479281</v>
      </c>
    </row>
    <row r="67">
      <c r="A67" s="86" t="s">
        <v>256</v>
      </c>
      <c r="B67" s="86" t="s">
        <v>263</v>
      </c>
      <c r="C67" s="86" t="s">
        <v>258</v>
      </c>
      <c r="D67" s="86" t="s">
        <v>264</v>
      </c>
      <c r="E67" s="86" t="s">
        <v>260</v>
      </c>
      <c r="F67" s="104">
        <v>103.0725021</v>
      </c>
      <c r="G67" s="104">
        <v>103072.5021</v>
      </c>
      <c r="H67" s="104">
        <v>-0.11</v>
      </c>
      <c r="I67" s="213">
        <v>-2.078938706</v>
      </c>
      <c r="J67" s="104">
        <v>-214281.4142</v>
      </c>
      <c r="M67" s="132" t="s">
        <v>286</v>
      </c>
      <c r="N67" s="222">
        <f>STDEV(I50:I130)</f>
        <v>131.3020125</v>
      </c>
      <c r="P67" s="132" t="s">
        <v>287</v>
      </c>
      <c r="Q67" s="210">
        <f>STDEV(I50,I51,I52,I53,I54,I55,I56,I57,I60,I61,I62,I63,I64,I67,I69,I70,I72,I73,I74,I75,I76,I77,I78,I80,I81,I82,I83,I85,I87,I91,I92,I93,I94,I95,I96,I99,I100,I101,I104,I105,I106,I107,I108,I109,I110,I112,I114,I113,I116,I117,I118,I119,I120,I121,I122,I123,I124,I125,I126,I127,I128,I129)</f>
        <v>123.8455748</v>
      </c>
    </row>
    <row r="68">
      <c r="A68" s="86" t="s">
        <v>256</v>
      </c>
      <c r="B68" s="86" t="s">
        <v>274</v>
      </c>
      <c r="C68" s="86" t="s">
        <v>258</v>
      </c>
      <c r="D68" s="86" t="s">
        <v>264</v>
      </c>
      <c r="E68" s="86" t="s">
        <v>288</v>
      </c>
      <c r="F68" s="104">
        <v>0.057</v>
      </c>
      <c r="G68" s="104">
        <v>57.00000003</v>
      </c>
      <c r="H68" s="104">
        <v>-0.11</v>
      </c>
      <c r="I68" s="213">
        <v>-2.078938706</v>
      </c>
      <c r="J68" s="104">
        <v>-118.4995063</v>
      </c>
      <c r="M68" s="132" t="s">
        <v>289</v>
      </c>
      <c r="N68" s="132">
        <v>81.0</v>
      </c>
      <c r="P68" s="132" t="s">
        <v>289</v>
      </c>
      <c r="Q68" s="132">
        <v>62.0</v>
      </c>
    </row>
    <row r="69">
      <c r="A69" s="86" t="s">
        <v>256</v>
      </c>
      <c r="B69" s="86" t="s">
        <v>262</v>
      </c>
      <c r="C69" s="86" t="s">
        <v>258</v>
      </c>
      <c r="D69" s="86" t="s">
        <v>259</v>
      </c>
      <c r="E69" s="86" t="s">
        <v>260</v>
      </c>
      <c r="F69" s="104">
        <v>387.7301331</v>
      </c>
      <c r="G69" s="104">
        <v>387730.1331</v>
      </c>
      <c r="H69" s="104">
        <v>-0.11</v>
      </c>
      <c r="I69" s="213">
        <v>-2.078938706</v>
      </c>
      <c r="J69" s="104">
        <v>-806067.1809</v>
      </c>
      <c r="M69" s="132" t="s">
        <v>290</v>
      </c>
      <c r="N69" s="223">
        <f>N66+_xlfn.T.INV(0.95,91-1)*(N67/SQRT(91))</f>
        <v>104.9737957</v>
      </c>
      <c r="O69" s="132" t="s">
        <v>291</v>
      </c>
      <c r="P69" s="132" t="s">
        <v>292</v>
      </c>
      <c r="Q69" s="223">
        <f>Q66+_xlfn.T.INV(0.95,62-1)*(Q67/sqrt(62))</f>
        <v>109.8846792</v>
      </c>
    </row>
    <row r="70">
      <c r="A70" s="86" t="s">
        <v>256</v>
      </c>
      <c r="B70" s="86" t="s">
        <v>257</v>
      </c>
      <c r="C70" s="86" t="s">
        <v>258</v>
      </c>
      <c r="D70" s="86" t="s">
        <v>259</v>
      </c>
      <c r="E70" s="86" t="s">
        <v>260</v>
      </c>
      <c r="F70" s="104">
        <v>32.50799942</v>
      </c>
      <c r="G70" s="104">
        <v>32507.99942</v>
      </c>
      <c r="H70" s="104">
        <v>-0.11</v>
      </c>
      <c r="I70" s="213">
        <v>-2.078938706</v>
      </c>
      <c r="J70" s="104">
        <v>-67582.13823</v>
      </c>
      <c r="M70" s="132" t="s">
        <v>293</v>
      </c>
      <c r="N70" s="154">
        <f>N66-_xlfn.T.INV(0.95,91-1)*(N67/SQRT(91))</f>
        <v>59.22269654</v>
      </c>
      <c r="O70" s="132" t="s">
        <v>294</v>
      </c>
      <c r="P70" s="132" t="s">
        <v>292</v>
      </c>
      <c r="Q70" s="154">
        <f>Q66-_xlfn.T.INV(0.95,70-1)*(Q67/sqrt(70))</f>
        <v>58.93569857</v>
      </c>
    </row>
    <row r="71">
      <c r="A71" s="86" t="s">
        <v>256</v>
      </c>
      <c r="B71" s="86" t="s">
        <v>275</v>
      </c>
      <c r="C71" s="86" t="s">
        <v>258</v>
      </c>
      <c r="D71" s="86" t="s">
        <v>259</v>
      </c>
      <c r="E71" s="86" t="s">
        <v>288</v>
      </c>
      <c r="F71" s="104">
        <v>0.02565</v>
      </c>
      <c r="G71" s="104">
        <v>25.6500002</v>
      </c>
      <c r="H71" s="104">
        <v>-0.11</v>
      </c>
      <c r="I71" s="213">
        <v>-2.078938706</v>
      </c>
      <c r="J71" s="104">
        <v>-53.32477821</v>
      </c>
      <c r="M71" s="132" t="s">
        <v>295</v>
      </c>
      <c r="N71" s="210">
        <f>Tinv(1-0.95,N68-1)*N67/sqrt(N68)</f>
        <v>29.03325913</v>
      </c>
      <c r="P71" s="132" t="s">
        <v>295</v>
      </c>
      <c r="Q71" s="210">
        <f>_xlfn.T.INV(1-0.95,Q68-1)*Q67/sqrt(Q68)</f>
        <v>-26.26988636</v>
      </c>
    </row>
    <row r="72">
      <c r="A72" s="86" t="s">
        <v>256</v>
      </c>
      <c r="B72" s="86" t="s">
        <v>266</v>
      </c>
      <c r="C72" s="86" t="s">
        <v>258</v>
      </c>
      <c r="D72" s="86" t="s">
        <v>264</v>
      </c>
      <c r="E72" s="86" t="s">
        <v>260</v>
      </c>
      <c r="F72" s="104">
        <v>260.084259</v>
      </c>
      <c r="G72" s="104">
        <v>260084.259</v>
      </c>
      <c r="H72" s="104">
        <v>-0.11</v>
      </c>
      <c r="I72" s="213">
        <v>-2.078938706</v>
      </c>
      <c r="J72" s="104">
        <v>-540699.2328</v>
      </c>
      <c r="M72" s="214" t="s">
        <v>7</v>
      </c>
      <c r="N72" s="215" t="s">
        <v>276</v>
      </c>
      <c r="O72" s="216" t="s">
        <v>277</v>
      </c>
    </row>
    <row r="73">
      <c r="A73" s="86" t="s">
        <v>256</v>
      </c>
      <c r="B73" s="86" t="s">
        <v>278</v>
      </c>
      <c r="C73" s="86" t="s">
        <v>271</v>
      </c>
      <c r="D73" s="86" t="s">
        <v>259</v>
      </c>
      <c r="E73" s="86" t="s">
        <v>296</v>
      </c>
      <c r="F73" s="104">
        <v>32.47074127</v>
      </c>
      <c r="G73" s="104">
        <v>32470.74127</v>
      </c>
      <c r="H73" s="104">
        <v>0.34</v>
      </c>
      <c r="I73" s="213">
        <v>6.425810544</v>
      </c>
      <c r="J73" s="104">
        <v>208650.8316</v>
      </c>
      <c r="M73" s="133" t="s">
        <v>11</v>
      </c>
      <c r="O73" s="217" t="s">
        <v>279</v>
      </c>
    </row>
    <row r="74">
      <c r="A74" s="86" t="s">
        <v>256</v>
      </c>
      <c r="B74" s="86" t="s">
        <v>278</v>
      </c>
      <c r="C74" s="86" t="s">
        <v>271</v>
      </c>
      <c r="D74" s="86" t="s">
        <v>259</v>
      </c>
      <c r="E74" s="86" t="s">
        <v>272</v>
      </c>
      <c r="F74" s="104">
        <v>251.8312531</v>
      </c>
      <c r="G74" s="104">
        <v>251831.2531</v>
      </c>
      <c r="H74" s="104">
        <v>1.04</v>
      </c>
      <c r="I74" s="213">
        <v>19.65542049</v>
      </c>
      <c r="J74" s="104">
        <v>4949849.171</v>
      </c>
      <c r="M74" s="133" t="s">
        <v>12</v>
      </c>
      <c r="N74" s="210" t="str">
        <f>N73</f>
        <v/>
      </c>
      <c r="O74" s="217" t="s">
        <v>279</v>
      </c>
    </row>
    <row r="75">
      <c r="A75" s="86" t="s">
        <v>256</v>
      </c>
      <c r="B75" s="86" t="s">
        <v>280</v>
      </c>
      <c r="C75" s="86" t="s">
        <v>271</v>
      </c>
      <c r="D75" s="86" t="s">
        <v>264</v>
      </c>
      <c r="E75" s="86" t="s">
        <v>272</v>
      </c>
      <c r="F75" s="104">
        <v>2.186249971</v>
      </c>
      <c r="G75" s="104">
        <v>2186.249971</v>
      </c>
      <c r="H75" s="104">
        <v>1.04</v>
      </c>
      <c r="I75" s="213">
        <v>19.65542049</v>
      </c>
      <c r="J75" s="104">
        <v>42971.66248</v>
      </c>
      <c r="M75" s="133" t="s">
        <v>13</v>
      </c>
      <c r="N75" s="154">
        <f>N71</f>
        <v>29.03325913</v>
      </c>
      <c r="O75" s="217" t="s">
        <v>281</v>
      </c>
    </row>
    <row r="76">
      <c r="A76" s="86" t="s">
        <v>256</v>
      </c>
      <c r="B76" s="86" t="s">
        <v>280</v>
      </c>
      <c r="C76" s="86" t="s">
        <v>271</v>
      </c>
      <c r="D76" s="86" t="s">
        <v>264</v>
      </c>
      <c r="E76" s="86" t="s">
        <v>297</v>
      </c>
      <c r="F76" s="104">
        <v>7.357999802</v>
      </c>
      <c r="G76" s="104">
        <v>7357.999802</v>
      </c>
      <c r="H76" s="104">
        <v>1.13</v>
      </c>
      <c r="I76" s="213">
        <v>21.35637034</v>
      </c>
      <c r="J76" s="104">
        <v>157140.1687</v>
      </c>
      <c r="M76" s="218" t="s">
        <v>14</v>
      </c>
      <c r="N76" s="219">
        <f>N71</f>
        <v>29.03325913</v>
      </c>
      <c r="O76" s="220" t="s">
        <v>281</v>
      </c>
    </row>
    <row r="77">
      <c r="A77" s="86" t="s">
        <v>256</v>
      </c>
      <c r="B77" s="86" t="s">
        <v>262</v>
      </c>
      <c r="C77" s="86" t="s">
        <v>258</v>
      </c>
      <c r="D77" s="86" t="s">
        <v>259</v>
      </c>
      <c r="E77" s="86" t="s">
        <v>298</v>
      </c>
      <c r="F77" s="104">
        <v>68.67359924</v>
      </c>
      <c r="G77" s="104">
        <v>68673.59924</v>
      </c>
      <c r="H77" s="104">
        <v>1.37</v>
      </c>
      <c r="I77" s="213">
        <v>25.89223661</v>
      </c>
      <c r="J77" s="104">
        <v>1778113.08</v>
      </c>
    </row>
    <row r="78">
      <c r="A78" s="86" t="s">
        <v>256</v>
      </c>
      <c r="B78" s="86" t="s">
        <v>257</v>
      </c>
      <c r="C78" s="86" t="s">
        <v>258</v>
      </c>
      <c r="D78" s="86" t="s">
        <v>259</v>
      </c>
      <c r="E78" s="86" t="s">
        <v>298</v>
      </c>
      <c r="F78" s="104">
        <v>6.426400185</v>
      </c>
      <c r="G78" s="104">
        <v>6426.400185</v>
      </c>
      <c r="H78" s="104">
        <v>1.37</v>
      </c>
      <c r="I78" s="213">
        <v>25.89223661</v>
      </c>
      <c r="J78" s="104">
        <v>166393.8741</v>
      </c>
    </row>
    <row r="79">
      <c r="A79" s="86" t="s">
        <v>256</v>
      </c>
      <c r="B79" s="86" t="s">
        <v>274</v>
      </c>
      <c r="C79" s="86" t="s">
        <v>258</v>
      </c>
      <c r="D79" s="86" t="s">
        <v>264</v>
      </c>
      <c r="E79" s="86" t="s">
        <v>299</v>
      </c>
      <c r="F79" s="104">
        <v>5.970943928</v>
      </c>
      <c r="G79" s="104">
        <v>5970.943928</v>
      </c>
      <c r="H79" s="104">
        <v>1.39</v>
      </c>
      <c r="I79" s="213">
        <v>26.27022546</v>
      </c>
      <c r="J79" s="104">
        <v>156858.0432</v>
      </c>
      <c r="O79" s="224" t="s">
        <v>300</v>
      </c>
      <c r="P79" s="225" t="s">
        <v>301</v>
      </c>
    </row>
    <row r="80">
      <c r="A80" s="86" t="s">
        <v>256</v>
      </c>
      <c r="B80" s="86" t="s">
        <v>263</v>
      </c>
      <c r="C80" s="86" t="s">
        <v>258</v>
      </c>
      <c r="D80" s="86" t="s">
        <v>264</v>
      </c>
      <c r="E80" s="86" t="s">
        <v>299</v>
      </c>
      <c r="F80" s="104">
        <v>40.66608047</v>
      </c>
      <c r="G80" s="104">
        <v>40666.08047</v>
      </c>
      <c r="H80" s="104">
        <v>1.39</v>
      </c>
      <c r="I80" s="213">
        <v>26.27022546</v>
      </c>
      <c r="J80" s="104">
        <v>1068307.103</v>
      </c>
    </row>
    <row r="81">
      <c r="A81" s="86" t="s">
        <v>256</v>
      </c>
      <c r="B81" s="86" t="s">
        <v>266</v>
      </c>
      <c r="C81" s="86" t="s">
        <v>258</v>
      </c>
      <c r="D81" s="86" t="s">
        <v>264</v>
      </c>
      <c r="E81" s="86" t="s">
        <v>299</v>
      </c>
      <c r="F81" s="104">
        <v>194.8396759</v>
      </c>
      <c r="G81" s="104">
        <v>194839.6759</v>
      </c>
      <c r="H81" s="104">
        <v>1.39</v>
      </c>
      <c r="I81" s="213">
        <v>26.27022546</v>
      </c>
      <c r="J81" s="104">
        <v>5118482.215</v>
      </c>
    </row>
    <row r="82">
      <c r="A82" s="86" t="s">
        <v>256</v>
      </c>
      <c r="B82" s="86" t="s">
        <v>266</v>
      </c>
      <c r="C82" s="86" t="s">
        <v>258</v>
      </c>
      <c r="D82" s="86" t="s">
        <v>264</v>
      </c>
      <c r="E82" s="86" t="s">
        <v>296</v>
      </c>
      <c r="F82" s="104">
        <v>74.55599976</v>
      </c>
      <c r="G82" s="104">
        <v>74555.99976</v>
      </c>
      <c r="H82" s="104">
        <v>1.75</v>
      </c>
      <c r="I82" s="213">
        <v>33.07402486</v>
      </c>
      <c r="J82" s="104">
        <v>2465866.989</v>
      </c>
      <c r="M82" s="225" t="s">
        <v>302</v>
      </c>
    </row>
    <row r="83">
      <c r="A83" s="86" t="s">
        <v>256</v>
      </c>
      <c r="B83" s="86" t="s">
        <v>263</v>
      </c>
      <c r="C83" s="86" t="s">
        <v>258</v>
      </c>
      <c r="D83" s="86" t="s">
        <v>264</v>
      </c>
      <c r="E83" s="86" t="s">
        <v>296</v>
      </c>
      <c r="F83" s="104">
        <v>15.56099987</v>
      </c>
      <c r="G83" s="104">
        <v>15560.99987</v>
      </c>
      <c r="H83" s="104">
        <v>1.75</v>
      </c>
      <c r="I83" s="213">
        <v>33.07402486</v>
      </c>
      <c r="J83" s="104">
        <v>514664.8966</v>
      </c>
    </row>
    <row r="84">
      <c r="A84" s="86" t="s">
        <v>256</v>
      </c>
      <c r="B84" s="86" t="s">
        <v>274</v>
      </c>
      <c r="C84" s="86" t="s">
        <v>258</v>
      </c>
      <c r="D84" s="86" t="s">
        <v>264</v>
      </c>
      <c r="E84" s="86" t="s">
        <v>296</v>
      </c>
      <c r="F84" s="104">
        <v>4.895999908</v>
      </c>
      <c r="G84" s="104">
        <v>4895.999908</v>
      </c>
      <c r="H84" s="104">
        <v>1.75</v>
      </c>
      <c r="I84" s="213">
        <v>33.07402486</v>
      </c>
      <c r="J84" s="104">
        <v>161930.4227</v>
      </c>
    </row>
    <row r="85">
      <c r="A85" s="86" t="s">
        <v>256</v>
      </c>
      <c r="B85" s="86" t="s">
        <v>266</v>
      </c>
      <c r="C85" s="86" t="s">
        <v>258</v>
      </c>
      <c r="D85" s="86" t="s">
        <v>264</v>
      </c>
      <c r="E85" s="86" t="s">
        <v>298</v>
      </c>
      <c r="F85" s="104">
        <v>182.0303955</v>
      </c>
      <c r="G85" s="104">
        <v>182030.3955</v>
      </c>
      <c r="H85" s="104">
        <v>1.95</v>
      </c>
      <c r="I85" s="213">
        <v>36.85391342</v>
      </c>
      <c r="J85" s="104">
        <v>6708532.435</v>
      </c>
    </row>
    <row r="86">
      <c r="A86" s="86" t="s">
        <v>256</v>
      </c>
      <c r="B86" s="86" t="s">
        <v>263</v>
      </c>
      <c r="C86" s="86" t="s">
        <v>258</v>
      </c>
      <c r="D86" s="86" t="s">
        <v>264</v>
      </c>
      <c r="E86" s="86" t="s">
        <v>298</v>
      </c>
      <c r="F86" s="104">
        <v>72.54720306</v>
      </c>
      <c r="G86" s="104">
        <v>72547.20306</v>
      </c>
      <c r="H86" s="104">
        <v>1.95</v>
      </c>
      <c r="I86" s="213">
        <v>36.85391342</v>
      </c>
      <c r="J86" s="104">
        <v>2673648.34</v>
      </c>
    </row>
    <row r="87">
      <c r="A87" s="86" t="s">
        <v>256</v>
      </c>
      <c r="B87" s="86" t="s">
        <v>278</v>
      </c>
      <c r="C87" s="86" t="s">
        <v>271</v>
      </c>
      <c r="D87" s="86" t="s">
        <v>259</v>
      </c>
      <c r="E87" s="86" t="s">
        <v>297</v>
      </c>
      <c r="F87" s="104">
        <v>131.1083374</v>
      </c>
      <c r="G87" s="104">
        <v>131108.3374</v>
      </c>
      <c r="H87" s="104">
        <v>2.65</v>
      </c>
      <c r="I87" s="213">
        <v>50.08352336</v>
      </c>
      <c r="J87" s="104">
        <v>6566367.479</v>
      </c>
    </row>
    <row r="88">
      <c r="A88" s="86" t="s">
        <v>256</v>
      </c>
      <c r="B88" s="86" t="s">
        <v>275</v>
      </c>
      <c r="C88" s="86" t="s">
        <v>258</v>
      </c>
      <c r="D88" s="86" t="s">
        <v>259</v>
      </c>
      <c r="E88" s="86" t="s">
        <v>260</v>
      </c>
      <c r="F88" s="104">
        <v>6.847875118</v>
      </c>
      <c r="G88" s="104">
        <v>6847.875118</v>
      </c>
      <c r="H88" s="104">
        <v>3.15</v>
      </c>
      <c r="I88" s="213">
        <v>59.53324475</v>
      </c>
      <c r="J88" s="104">
        <v>407676.2254</v>
      </c>
    </row>
    <row r="89">
      <c r="A89" s="86" t="s">
        <v>256</v>
      </c>
      <c r="B89" s="86" t="s">
        <v>274</v>
      </c>
      <c r="C89" s="86" t="s">
        <v>258</v>
      </c>
      <c r="D89" s="86" t="s">
        <v>264</v>
      </c>
      <c r="E89" s="86" t="s">
        <v>260</v>
      </c>
      <c r="F89" s="104">
        <v>25.5251255</v>
      </c>
      <c r="G89" s="104">
        <v>25525.1255</v>
      </c>
      <c r="H89" s="104">
        <v>3.15</v>
      </c>
      <c r="I89" s="213">
        <v>59.53324475</v>
      </c>
      <c r="J89" s="104">
        <v>1519593.544</v>
      </c>
      <c r="L89" s="132">
        <v>68.0</v>
      </c>
      <c r="M89" s="132">
        <v>70.0</v>
      </c>
    </row>
    <row r="90">
      <c r="A90" s="86" t="s">
        <v>256</v>
      </c>
      <c r="B90" s="86" t="s">
        <v>262</v>
      </c>
      <c r="C90" s="86" t="s">
        <v>258</v>
      </c>
      <c r="D90" s="86" t="s">
        <v>259</v>
      </c>
      <c r="E90" s="86" t="s">
        <v>282</v>
      </c>
      <c r="F90" s="104">
        <v>341.2669983</v>
      </c>
      <c r="G90" s="104">
        <v>341266.9983</v>
      </c>
      <c r="H90" s="104">
        <v>3.2</v>
      </c>
      <c r="I90" s="213">
        <v>60.47821689</v>
      </c>
      <c r="J90" s="104">
        <v>2.063921954E7</v>
      </c>
    </row>
    <row r="91">
      <c r="A91" s="86" t="s">
        <v>256</v>
      </c>
      <c r="B91" s="86" t="s">
        <v>257</v>
      </c>
      <c r="C91" s="86" t="s">
        <v>258</v>
      </c>
      <c r="D91" s="86" t="s">
        <v>259</v>
      </c>
      <c r="E91" s="86" t="s">
        <v>282</v>
      </c>
      <c r="F91" s="104">
        <v>33.7173996</v>
      </c>
      <c r="G91" s="104">
        <v>33717.3996</v>
      </c>
      <c r="H91" s="104">
        <v>3.2</v>
      </c>
      <c r="I91" s="213">
        <v>60.47821689</v>
      </c>
      <c r="J91" s="104">
        <v>2039168.206</v>
      </c>
    </row>
    <row r="92">
      <c r="A92" s="86" t="s">
        <v>256</v>
      </c>
      <c r="B92" s="86" t="s">
        <v>263</v>
      </c>
      <c r="C92" s="86" t="s">
        <v>258</v>
      </c>
      <c r="D92" s="86" t="s">
        <v>264</v>
      </c>
      <c r="E92" s="86" t="s">
        <v>282</v>
      </c>
      <c r="F92" s="104">
        <v>220.6189728</v>
      </c>
      <c r="G92" s="104">
        <v>220618.9728</v>
      </c>
      <c r="H92" s="104">
        <v>3.21</v>
      </c>
      <c r="I92" s="213">
        <v>60.66721132</v>
      </c>
      <c r="J92" s="104">
        <v>1.338433784E7</v>
      </c>
    </row>
    <row r="93">
      <c r="A93" s="86" t="s">
        <v>256</v>
      </c>
      <c r="B93" s="86" t="s">
        <v>266</v>
      </c>
      <c r="C93" s="86" t="s">
        <v>258</v>
      </c>
      <c r="D93" s="86" t="s">
        <v>264</v>
      </c>
      <c r="E93" s="86" t="s">
        <v>282</v>
      </c>
      <c r="F93" s="104">
        <v>524.4358521</v>
      </c>
      <c r="G93" s="104">
        <v>524435.8521</v>
      </c>
      <c r="H93" s="104">
        <v>3.21</v>
      </c>
      <c r="I93" s="213">
        <v>60.66721132</v>
      </c>
      <c r="J93" s="104">
        <v>3.181606066E7</v>
      </c>
    </row>
    <row r="94">
      <c r="A94" s="86" t="s">
        <v>256</v>
      </c>
      <c r="B94" s="86" t="s">
        <v>257</v>
      </c>
      <c r="C94" s="86" t="s">
        <v>258</v>
      </c>
      <c r="D94" s="86" t="s">
        <v>259</v>
      </c>
      <c r="E94" s="86" t="s">
        <v>299</v>
      </c>
      <c r="F94" s="104">
        <v>14.36382961</v>
      </c>
      <c r="G94" s="104">
        <v>14363.82961</v>
      </c>
      <c r="H94" s="104">
        <v>3.51</v>
      </c>
      <c r="I94" s="213">
        <v>66.33704415</v>
      </c>
      <c r="J94" s="104">
        <v>952853.9992</v>
      </c>
    </row>
    <row r="95">
      <c r="A95" s="86" t="s">
        <v>256</v>
      </c>
      <c r="B95" s="86" t="s">
        <v>257</v>
      </c>
      <c r="C95" s="86" t="s">
        <v>258</v>
      </c>
      <c r="D95" s="86" t="s">
        <v>259</v>
      </c>
      <c r="E95" s="86" t="s">
        <v>288</v>
      </c>
      <c r="F95" s="104">
        <v>5.23484993</v>
      </c>
      <c r="G95" s="104">
        <v>5234.84993</v>
      </c>
      <c r="H95" s="104">
        <v>3.71</v>
      </c>
      <c r="I95" s="213">
        <v>70.1169327</v>
      </c>
      <c r="J95" s="104">
        <v>367051.6202</v>
      </c>
    </row>
    <row r="96">
      <c r="A96" s="86" t="s">
        <v>256</v>
      </c>
      <c r="B96" s="86" t="s">
        <v>262</v>
      </c>
      <c r="C96" s="86" t="s">
        <v>258</v>
      </c>
      <c r="D96" s="86" t="s">
        <v>259</v>
      </c>
      <c r="E96" s="86" t="s">
        <v>288</v>
      </c>
      <c r="F96" s="104">
        <v>55.92905045</v>
      </c>
      <c r="G96" s="104">
        <v>55929.05045</v>
      </c>
      <c r="H96" s="104">
        <v>3.71</v>
      </c>
      <c r="I96" s="213">
        <v>70.1169327</v>
      </c>
      <c r="J96" s="104">
        <v>3921573.466</v>
      </c>
    </row>
    <row r="97">
      <c r="A97" s="86" t="s">
        <v>256</v>
      </c>
      <c r="B97" s="86" t="s">
        <v>274</v>
      </c>
      <c r="C97" s="86" t="s">
        <v>258</v>
      </c>
      <c r="D97" s="86" t="s">
        <v>264</v>
      </c>
      <c r="E97" s="86" t="s">
        <v>303</v>
      </c>
      <c r="F97" s="104">
        <v>116.5764008</v>
      </c>
      <c r="G97" s="104">
        <v>116576.4008</v>
      </c>
      <c r="H97" s="104">
        <v>3.79</v>
      </c>
      <c r="I97" s="213">
        <v>71.62888813</v>
      </c>
      <c r="J97" s="104">
        <v>8350237.968</v>
      </c>
    </row>
    <row r="98">
      <c r="A98" s="86" t="s">
        <v>256</v>
      </c>
      <c r="B98" s="86" t="s">
        <v>275</v>
      </c>
      <c r="C98" s="86" t="s">
        <v>258</v>
      </c>
      <c r="D98" s="86" t="s">
        <v>259</v>
      </c>
      <c r="E98" s="86" t="s">
        <v>303</v>
      </c>
      <c r="F98" s="104">
        <v>19.79610062</v>
      </c>
      <c r="G98" s="104">
        <v>19796.10062</v>
      </c>
      <c r="H98" s="104">
        <v>3.79</v>
      </c>
      <c r="I98" s="213">
        <v>71.62888813</v>
      </c>
      <c r="J98" s="104">
        <v>1417972.676</v>
      </c>
    </row>
    <row r="99">
      <c r="A99" s="86" t="s">
        <v>256</v>
      </c>
      <c r="B99" s="86" t="s">
        <v>257</v>
      </c>
      <c r="C99" s="86" t="s">
        <v>258</v>
      </c>
      <c r="D99" s="86" t="s">
        <v>259</v>
      </c>
      <c r="E99" s="86" t="s">
        <v>297</v>
      </c>
      <c r="F99" s="104">
        <v>65.33392334</v>
      </c>
      <c r="G99" s="104">
        <v>65333.92334</v>
      </c>
      <c r="H99" s="104">
        <v>3.96</v>
      </c>
      <c r="I99" s="213">
        <v>74.8417934</v>
      </c>
      <c r="J99" s="104">
        <v>4889707.993</v>
      </c>
    </row>
    <row r="100">
      <c r="A100" s="86" t="s">
        <v>256</v>
      </c>
      <c r="B100" s="86" t="s">
        <v>262</v>
      </c>
      <c r="C100" s="86" t="s">
        <v>258</v>
      </c>
      <c r="D100" s="86" t="s">
        <v>259</v>
      </c>
      <c r="E100" s="86" t="s">
        <v>297</v>
      </c>
      <c r="F100" s="104">
        <v>695.6511841</v>
      </c>
      <c r="G100" s="104">
        <v>695651.1841</v>
      </c>
      <c r="H100" s="104">
        <v>3.97</v>
      </c>
      <c r="I100" s="213">
        <v>75.03078783</v>
      </c>
      <c r="J100" s="104">
        <v>5.219525639E7</v>
      </c>
    </row>
    <row r="101">
      <c r="A101" s="86" t="s">
        <v>256</v>
      </c>
      <c r="B101" s="86" t="s">
        <v>280</v>
      </c>
      <c r="C101" s="86" t="s">
        <v>271</v>
      </c>
      <c r="D101" s="86" t="s">
        <v>264</v>
      </c>
      <c r="E101" s="86" t="s">
        <v>303</v>
      </c>
      <c r="F101" s="104">
        <v>6.995137691</v>
      </c>
      <c r="G101" s="104">
        <v>6995.137691</v>
      </c>
      <c r="H101" s="104">
        <v>4.16</v>
      </c>
      <c r="I101" s="213">
        <v>78.62168195</v>
      </c>
      <c r="J101" s="104">
        <v>549969.4908</v>
      </c>
    </row>
    <row r="102">
      <c r="A102" s="86" t="s">
        <v>256</v>
      </c>
      <c r="B102" s="86" t="s">
        <v>274</v>
      </c>
      <c r="C102" s="86" t="s">
        <v>258</v>
      </c>
      <c r="D102" s="86" t="s">
        <v>264</v>
      </c>
      <c r="E102" s="86" t="s">
        <v>299</v>
      </c>
      <c r="F102" s="104">
        <v>82.46360779</v>
      </c>
      <c r="G102" s="104">
        <v>82463.60779</v>
      </c>
      <c r="H102" s="104">
        <v>4.16</v>
      </c>
      <c r="I102" s="213">
        <v>78.62168195</v>
      </c>
      <c r="J102" s="104">
        <v>6483427.544</v>
      </c>
    </row>
    <row r="103">
      <c r="A103" s="86" t="s">
        <v>256</v>
      </c>
      <c r="B103" s="86" t="s">
        <v>275</v>
      </c>
      <c r="C103" s="86" t="s">
        <v>258</v>
      </c>
      <c r="D103" s="86" t="s">
        <v>259</v>
      </c>
      <c r="E103" s="86" t="s">
        <v>299</v>
      </c>
      <c r="F103" s="104">
        <v>12.57502747</v>
      </c>
      <c r="G103" s="104">
        <v>12575.02747</v>
      </c>
      <c r="H103" s="104">
        <v>4.27</v>
      </c>
      <c r="I103" s="213">
        <v>80.70062066</v>
      </c>
      <c r="J103" s="104">
        <v>1014812.521</v>
      </c>
    </row>
    <row r="104">
      <c r="A104" s="86" t="s">
        <v>256</v>
      </c>
      <c r="B104" s="86" t="s">
        <v>257</v>
      </c>
      <c r="C104" s="86" t="s">
        <v>258</v>
      </c>
      <c r="D104" s="86" t="s">
        <v>259</v>
      </c>
      <c r="E104" s="86" t="s">
        <v>304</v>
      </c>
      <c r="F104" s="104">
        <v>3.448499918</v>
      </c>
      <c r="G104" s="104">
        <v>3448.499918</v>
      </c>
      <c r="H104" s="104">
        <v>4.28</v>
      </c>
      <c r="I104" s="213">
        <v>80.88961509</v>
      </c>
      <c r="J104" s="104">
        <v>278947.831</v>
      </c>
    </row>
    <row r="105">
      <c r="A105" s="86" t="s">
        <v>256</v>
      </c>
      <c r="B105" s="86" t="s">
        <v>262</v>
      </c>
      <c r="C105" s="86" t="s">
        <v>258</v>
      </c>
      <c r="D105" s="86" t="s">
        <v>259</v>
      </c>
      <c r="E105" s="86" t="s">
        <v>304</v>
      </c>
      <c r="F105" s="104">
        <v>36.85525131</v>
      </c>
      <c r="G105" s="104">
        <v>36855.25131</v>
      </c>
      <c r="H105" s="104">
        <v>4.28</v>
      </c>
      <c r="I105" s="213">
        <v>80.88961509</v>
      </c>
      <c r="J105" s="104">
        <v>2981207.093</v>
      </c>
    </row>
    <row r="106">
      <c r="A106" s="86" t="s">
        <v>256</v>
      </c>
      <c r="B106" s="86" t="s">
        <v>262</v>
      </c>
      <c r="C106" s="86" t="s">
        <v>258</v>
      </c>
      <c r="D106" s="86" t="s">
        <v>259</v>
      </c>
      <c r="E106" s="86" t="s">
        <v>299</v>
      </c>
      <c r="F106" s="104">
        <v>388.1152039</v>
      </c>
      <c r="G106" s="104">
        <v>388115.2039</v>
      </c>
      <c r="H106" s="104">
        <v>4.53</v>
      </c>
      <c r="I106" s="213">
        <v>85.61447578</v>
      </c>
      <c r="J106" s="104">
        <v>3.322827972E7</v>
      </c>
    </row>
    <row r="107">
      <c r="A107" s="86" t="s">
        <v>256</v>
      </c>
      <c r="B107" s="86" t="s">
        <v>278</v>
      </c>
      <c r="C107" s="86" t="s">
        <v>271</v>
      </c>
      <c r="D107" s="86" t="s">
        <v>259</v>
      </c>
      <c r="E107" s="86" t="s">
        <v>288</v>
      </c>
      <c r="F107" s="104">
        <v>182.2703705</v>
      </c>
      <c r="G107" s="104">
        <v>182270.3705</v>
      </c>
      <c r="H107" s="104">
        <v>4.64</v>
      </c>
      <c r="I107" s="213">
        <v>87.69341449</v>
      </c>
      <c r="J107" s="104">
        <v>1.598391115E7</v>
      </c>
    </row>
    <row r="108">
      <c r="A108" s="86" t="s">
        <v>256</v>
      </c>
      <c r="B108" s="86" t="s">
        <v>257</v>
      </c>
      <c r="C108" s="86" t="s">
        <v>258</v>
      </c>
      <c r="D108" s="86" t="s">
        <v>259</v>
      </c>
      <c r="E108" s="86" t="s">
        <v>296</v>
      </c>
      <c r="F108" s="104">
        <v>1.47239995</v>
      </c>
      <c r="G108" s="104">
        <v>1472.39995</v>
      </c>
      <c r="H108" s="104">
        <v>4.66</v>
      </c>
      <c r="I108" s="213">
        <v>88.07140334</v>
      </c>
      <c r="J108" s="104">
        <v>129676.3299</v>
      </c>
    </row>
    <row r="109">
      <c r="A109" s="86" t="s">
        <v>256</v>
      </c>
      <c r="B109" s="86" t="s">
        <v>262</v>
      </c>
      <c r="C109" s="86" t="s">
        <v>258</v>
      </c>
      <c r="D109" s="86" t="s">
        <v>259</v>
      </c>
      <c r="E109" s="86" t="s">
        <v>296</v>
      </c>
      <c r="F109" s="104">
        <v>15.73919964</v>
      </c>
      <c r="G109" s="104">
        <v>15739.19964</v>
      </c>
      <c r="H109" s="104">
        <v>4.66</v>
      </c>
      <c r="I109" s="213">
        <v>88.07140334</v>
      </c>
      <c r="J109" s="104">
        <v>1386173.4</v>
      </c>
    </row>
    <row r="110">
      <c r="A110" s="86" t="s">
        <v>256</v>
      </c>
      <c r="B110" s="86" t="s">
        <v>263</v>
      </c>
      <c r="C110" s="86" t="s">
        <v>258</v>
      </c>
      <c r="D110" s="86" t="s">
        <v>264</v>
      </c>
      <c r="E110" s="86" t="s">
        <v>303</v>
      </c>
      <c r="F110" s="104">
        <v>42.0701561</v>
      </c>
      <c r="G110" s="104">
        <v>42070.1561</v>
      </c>
      <c r="H110" s="104">
        <v>4.98</v>
      </c>
      <c r="I110" s="213">
        <v>94.11922503</v>
      </c>
      <c r="J110" s="104">
        <v>3959610.489</v>
      </c>
    </row>
    <row r="111">
      <c r="A111" s="86" t="s">
        <v>256</v>
      </c>
      <c r="B111" s="86" t="s">
        <v>274</v>
      </c>
      <c r="C111" s="86" t="s">
        <v>258</v>
      </c>
      <c r="D111" s="86" t="s">
        <v>264</v>
      </c>
      <c r="E111" s="86" t="s">
        <v>296</v>
      </c>
      <c r="F111" s="104">
        <v>3.031199932</v>
      </c>
      <c r="G111" s="104">
        <v>3031.199932</v>
      </c>
      <c r="H111" s="104">
        <v>5.67</v>
      </c>
      <c r="I111" s="213">
        <v>107.1598405</v>
      </c>
      <c r="J111" s="104">
        <v>324822.9014</v>
      </c>
    </row>
    <row r="112">
      <c r="A112" s="86" t="s">
        <v>256</v>
      </c>
      <c r="B112" s="86" t="s">
        <v>280</v>
      </c>
      <c r="C112" s="86" t="s">
        <v>271</v>
      </c>
      <c r="D112" s="86" t="s">
        <v>264</v>
      </c>
      <c r="E112" s="86" t="s">
        <v>299</v>
      </c>
      <c r="F112" s="104">
        <v>8.30134964</v>
      </c>
      <c r="G112" s="104">
        <v>8301.34964</v>
      </c>
      <c r="H112" s="104">
        <v>5.8</v>
      </c>
      <c r="I112" s="213">
        <v>109.6167681</v>
      </c>
      <c r="J112" s="104">
        <v>909967.1185</v>
      </c>
    </row>
    <row r="113">
      <c r="A113" s="86" t="s">
        <v>256</v>
      </c>
      <c r="B113" s="86" t="s">
        <v>263</v>
      </c>
      <c r="C113" s="86" t="s">
        <v>258</v>
      </c>
      <c r="D113" s="86" t="s">
        <v>264</v>
      </c>
      <c r="E113" s="86" t="s">
        <v>297</v>
      </c>
      <c r="F113" s="104">
        <v>637.6582031</v>
      </c>
      <c r="G113" s="104">
        <v>637658.2031</v>
      </c>
      <c r="H113" s="104">
        <v>5.93</v>
      </c>
      <c r="I113" s="213">
        <v>112.0736957</v>
      </c>
      <c r="J113" s="104">
        <v>7.14647114E7</v>
      </c>
    </row>
    <row r="114">
      <c r="A114" s="86" t="s">
        <v>256</v>
      </c>
      <c r="B114" s="86" t="s">
        <v>266</v>
      </c>
      <c r="C114" s="86" t="s">
        <v>258</v>
      </c>
      <c r="D114" s="86" t="s">
        <v>264</v>
      </c>
      <c r="E114" s="86" t="s">
        <v>297</v>
      </c>
      <c r="F114" s="104">
        <v>1597.163208</v>
      </c>
      <c r="G114" s="104">
        <v>1597163.208</v>
      </c>
      <c r="H114" s="104">
        <v>5.93</v>
      </c>
      <c r="I114" s="213">
        <v>112.0736957</v>
      </c>
      <c r="J114" s="104">
        <v>1.789999833E8</v>
      </c>
    </row>
    <row r="115">
      <c r="A115" s="86" t="s">
        <v>256</v>
      </c>
      <c r="B115" s="86" t="s">
        <v>275</v>
      </c>
      <c r="C115" s="86" t="s">
        <v>258</v>
      </c>
      <c r="D115" s="86" t="s">
        <v>259</v>
      </c>
      <c r="E115" s="86" t="s">
        <v>296</v>
      </c>
      <c r="F115" s="104">
        <v>0.188099995</v>
      </c>
      <c r="G115" s="104">
        <v>188.0999953</v>
      </c>
      <c r="H115" s="104">
        <v>6.07</v>
      </c>
      <c r="I115" s="213">
        <v>114.7196177</v>
      </c>
      <c r="J115" s="104">
        <v>21578.75954</v>
      </c>
    </row>
    <row r="116">
      <c r="A116" s="86" t="s">
        <v>256</v>
      </c>
      <c r="B116" s="86" t="s">
        <v>278</v>
      </c>
      <c r="C116" s="86" t="s">
        <v>271</v>
      </c>
      <c r="D116" s="86" t="s">
        <v>259</v>
      </c>
      <c r="E116" s="86" t="s">
        <v>299</v>
      </c>
      <c r="F116" s="104">
        <v>6.62781477</v>
      </c>
      <c r="G116" s="104">
        <v>6627.81477</v>
      </c>
      <c r="H116" s="104">
        <v>7.71</v>
      </c>
      <c r="I116" s="213">
        <v>145.7147038</v>
      </c>
      <c r="J116" s="104">
        <v>965770.0661</v>
      </c>
    </row>
    <row r="117">
      <c r="A117" s="86" t="s">
        <v>256</v>
      </c>
      <c r="B117" s="86" t="s">
        <v>263</v>
      </c>
      <c r="C117" s="86" t="s">
        <v>258</v>
      </c>
      <c r="D117" s="86" t="s">
        <v>264</v>
      </c>
      <c r="E117" s="86" t="s">
        <v>299</v>
      </c>
      <c r="F117" s="104">
        <v>92.68517303</v>
      </c>
      <c r="G117" s="104">
        <v>92685.17303</v>
      </c>
      <c r="H117" s="104">
        <v>8.32</v>
      </c>
      <c r="I117" s="213">
        <v>157.2433639</v>
      </c>
      <c r="J117" s="104">
        <v>1.457412839E7</v>
      </c>
    </row>
    <row r="118">
      <c r="A118" s="86" t="s">
        <v>256</v>
      </c>
      <c r="B118" s="86" t="s">
        <v>266</v>
      </c>
      <c r="C118" s="86" t="s">
        <v>258</v>
      </c>
      <c r="D118" s="86" t="s">
        <v>264</v>
      </c>
      <c r="E118" s="86" t="s">
        <v>299</v>
      </c>
      <c r="F118" s="104">
        <v>220.9461823</v>
      </c>
      <c r="G118" s="104">
        <v>220946.1823</v>
      </c>
      <c r="H118" s="104">
        <v>8.32</v>
      </c>
      <c r="I118" s="213">
        <v>157.2433639</v>
      </c>
      <c r="J118" s="104">
        <v>3.474232094E7</v>
      </c>
    </row>
    <row r="119">
      <c r="A119" s="86" t="s">
        <v>256</v>
      </c>
      <c r="B119" s="86" t="s">
        <v>278</v>
      </c>
      <c r="C119" s="86" t="s">
        <v>271</v>
      </c>
      <c r="D119" s="86" t="s">
        <v>259</v>
      </c>
      <c r="E119" s="86" t="s">
        <v>272</v>
      </c>
      <c r="F119" s="104">
        <v>80.58599854</v>
      </c>
      <c r="G119" s="104">
        <v>80585.99854</v>
      </c>
      <c r="H119" s="104">
        <v>9.85</v>
      </c>
      <c r="I119" s="213">
        <v>186.1595114</v>
      </c>
      <c r="J119" s="104">
        <v>1.500185011E7</v>
      </c>
    </row>
    <row r="120">
      <c r="A120" s="86" t="s">
        <v>256</v>
      </c>
      <c r="B120" s="86" t="s">
        <v>280</v>
      </c>
      <c r="C120" s="86" t="s">
        <v>271</v>
      </c>
      <c r="D120" s="86" t="s">
        <v>264</v>
      </c>
      <c r="E120" s="86" t="s">
        <v>272</v>
      </c>
      <c r="F120" s="104">
        <v>0.699599981</v>
      </c>
      <c r="G120" s="104">
        <v>699.5999813</v>
      </c>
      <c r="H120" s="104">
        <v>9.85</v>
      </c>
      <c r="I120" s="213">
        <v>186.1595114</v>
      </c>
      <c r="J120" s="104">
        <v>130237.1907</v>
      </c>
    </row>
    <row r="121">
      <c r="A121" s="86" t="s">
        <v>256</v>
      </c>
      <c r="B121" s="86" t="s">
        <v>266</v>
      </c>
      <c r="C121" s="86" t="s">
        <v>258</v>
      </c>
      <c r="D121" s="86" t="s">
        <v>264</v>
      </c>
      <c r="E121" s="86" t="s">
        <v>303</v>
      </c>
      <c r="F121" s="104">
        <v>107.9922104</v>
      </c>
      <c r="G121" s="104">
        <v>107992.2104</v>
      </c>
      <c r="H121" s="104">
        <v>9.97</v>
      </c>
      <c r="I121" s="213">
        <v>188.4274445</v>
      </c>
      <c r="J121" s="104">
        <v>2.034869623E7</v>
      </c>
    </row>
    <row r="122">
      <c r="A122" s="86" t="s">
        <v>256</v>
      </c>
      <c r="B122" s="86" t="s">
        <v>263</v>
      </c>
      <c r="C122" s="86" t="s">
        <v>258</v>
      </c>
      <c r="D122" s="86" t="s">
        <v>264</v>
      </c>
      <c r="E122" s="86" t="s">
        <v>296</v>
      </c>
      <c r="F122" s="104">
        <v>1.922850013</v>
      </c>
      <c r="G122" s="104">
        <v>1922.850013</v>
      </c>
      <c r="H122" s="104">
        <v>10.73</v>
      </c>
      <c r="I122" s="213">
        <v>202.791021</v>
      </c>
      <c r="J122" s="104">
        <v>389936.7173</v>
      </c>
    </row>
    <row r="123">
      <c r="A123" s="86" t="s">
        <v>256</v>
      </c>
      <c r="B123" s="86" t="s">
        <v>263</v>
      </c>
      <c r="C123" s="86" t="s">
        <v>258</v>
      </c>
      <c r="D123" s="86" t="s">
        <v>264</v>
      </c>
      <c r="E123" s="86" t="s">
        <v>260</v>
      </c>
      <c r="F123" s="104">
        <v>18.3239994</v>
      </c>
      <c r="G123" s="104">
        <v>18323.9994</v>
      </c>
      <c r="H123" s="104">
        <v>11.3</v>
      </c>
      <c r="I123" s="213">
        <v>213.5637034</v>
      </c>
      <c r="J123" s="104">
        <v>3913341.174</v>
      </c>
    </row>
    <row r="124">
      <c r="A124" s="86" t="s">
        <v>256</v>
      </c>
      <c r="B124" s="86" t="s">
        <v>257</v>
      </c>
      <c r="C124" s="86" t="s">
        <v>258</v>
      </c>
      <c r="D124" s="86" t="s">
        <v>259</v>
      </c>
      <c r="E124" s="86" t="s">
        <v>260</v>
      </c>
      <c r="F124" s="104">
        <v>5.779200077</v>
      </c>
      <c r="G124" s="104">
        <v>5779.200077</v>
      </c>
      <c r="H124" s="104">
        <v>11.3</v>
      </c>
      <c r="I124" s="213">
        <v>213.5637034</v>
      </c>
      <c r="J124" s="104">
        <v>1234227.371</v>
      </c>
    </row>
    <row r="125">
      <c r="A125" s="86" t="s">
        <v>256</v>
      </c>
      <c r="B125" s="86" t="s">
        <v>262</v>
      </c>
      <c r="C125" s="86" t="s">
        <v>258</v>
      </c>
      <c r="D125" s="86" t="s">
        <v>259</v>
      </c>
      <c r="E125" s="86" t="s">
        <v>260</v>
      </c>
      <c r="F125" s="104">
        <v>68.92980194</v>
      </c>
      <c r="G125" s="104">
        <v>68929.80194</v>
      </c>
      <c r="H125" s="104">
        <v>11.3</v>
      </c>
      <c r="I125" s="213">
        <v>213.5637034</v>
      </c>
      <c r="J125" s="104">
        <v>1.472090378E7</v>
      </c>
    </row>
    <row r="126">
      <c r="A126" s="86" t="s">
        <v>256</v>
      </c>
      <c r="B126" s="86" t="s">
        <v>266</v>
      </c>
      <c r="C126" s="86" t="s">
        <v>258</v>
      </c>
      <c r="D126" s="86" t="s">
        <v>264</v>
      </c>
      <c r="E126" s="86" t="s">
        <v>260</v>
      </c>
      <c r="F126" s="104">
        <v>46.23720169</v>
      </c>
      <c r="G126" s="104">
        <v>46237.20169</v>
      </c>
      <c r="H126" s="104">
        <v>11.3</v>
      </c>
      <c r="I126" s="213">
        <v>213.5637034</v>
      </c>
      <c r="J126" s="104">
        <v>9874588.027</v>
      </c>
    </row>
    <row r="127">
      <c r="A127" s="86" t="s">
        <v>256</v>
      </c>
      <c r="B127" s="86" t="s">
        <v>266</v>
      </c>
      <c r="C127" s="86" t="s">
        <v>258</v>
      </c>
      <c r="D127" s="86" t="s">
        <v>264</v>
      </c>
      <c r="E127" s="86" t="s">
        <v>296</v>
      </c>
      <c r="F127" s="104">
        <v>4.482180119</v>
      </c>
      <c r="G127" s="104">
        <v>4482.180119</v>
      </c>
      <c r="H127" s="104">
        <v>11.53</v>
      </c>
      <c r="I127" s="213">
        <v>217.9105752</v>
      </c>
      <c r="J127" s="104">
        <v>976714.4479</v>
      </c>
    </row>
    <row r="128">
      <c r="A128" s="86" t="s">
        <v>256</v>
      </c>
      <c r="B128" s="86" t="s">
        <v>278</v>
      </c>
      <c r="C128" s="86" t="s">
        <v>271</v>
      </c>
      <c r="D128" s="86" t="s">
        <v>259</v>
      </c>
      <c r="E128" s="86" t="s">
        <v>303</v>
      </c>
      <c r="F128" s="104">
        <v>212.3231812</v>
      </c>
      <c r="G128" s="104">
        <v>212323.1812</v>
      </c>
      <c r="H128" s="104">
        <v>28.08</v>
      </c>
      <c r="I128" s="213">
        <v>530.6963532</v>
      </c>
      <c r="J128" s="104">
        <v>1.126791379E8</v>
      </c>
    </row>
    <row r="129">
      <c r="A129" s="86" t="s">
        <v>256</v>
      </c>
      <c r="B129" s="86" t="s">
        <v>275</v>
      </c>
      <c r="C129" s="86" t="s">
        <v>258</v>
      </c>
      <c r="D129" s="86" t="s">
        <v>259</v>
      </c>
      <c r="E129" s="86" t="s">
        <v>260</v>
      </c>
      <c r="F129" s="104">
        <v>1.217399955</v>
      </c>
      <c r="G129" s="104">
        <v>1217.399955</v>
      </c>
      <c r="H129" s="104">
        <v>37.2</v>
      </c>
      <c r="I129" s="213">
        <v>703.0592713</v>
      </c>
      <c r="J129" s="104">
        <v>855904.3251</v>
      </c>
    </row>
    <row r="130">
      <c r="A130" s="86" t="s">
        <v>256</v>
      </c>
      <c r="B130" s="86" t="s">
        <v>274</v>
      </c>
      <c r="C130" s="86" t="s">
        <v>258</v>
      </c>
      <c r="D130" s="86" t="s">
        <v>264</v>
      </c>
      <c r="E130" s="86" t="s">
        <v>260</v>
      </c>
      <c r="F130" s="104">
        <v>4.537799835</v>
      </c>
      <c r="G130" s="104">
        <v>4537.799835</v>
      </c>
      <c r="H130" s="104">
        <v>37.2</v>
      </c>
      <c r="I130" s="213">
        <v>703.0592713</v>
      </c>
      <c r="J130" s="104">
        <v>3190342.246</v>
      </c>
    </row>
    <row r="131">
      <c r="A131" s="86" t="s">
        <v>256</v>
      </c>
      <c r="B131" s="86" t="s">
        <v>263</v>
      </c>
      <c r="C131" s="86" t="s">
        <v>258</v>
      </c>
      <c r="D131" s="86" t="s">
        <v>264</v>
      </c>
      <c r="E131" s="86" t="s">
        <v>260</v>
      </c>
      <c r="F131" s="104">
        <v>6.107999802</v>
      </c>
      <c r="G131" s="104">
        <v>6107.999802</v>
      </c>
      <c r="H131" s="104">
        <v>62.18</v>
      </c>
      <c r="I131" s="213">
        <v>1175.167352</v>
      </c>
      <c r="J131" s="104">
        <v>7177921.952</v>
      </c>
    </row>
    <row r="132">
      <c r="A132" s="86" t="s">
        <v>256</v>
      </c>
      <c r="B132" s="86" t="s">
        <v>257</v>
      </c>
      <c r="C132" s="86" t="s">
        <v>258</v>
      </c>
      <c r="D132" s="86" t="s">
        <v>259</v>
      </c>
      <c r="E132" s="86" t="s">
        <v>260</v>
      </c>
      <c r="F132" s="104">
        <v>1.926399946</v>
      </c>
      <c r="G132" s="104">
        <v>1926.399946</v>
      </c>
      <c r="H132" s="104">
        <v>62.18</v>
      </c>
      <c r="I132" s="213">
        <v>1175.167352</v>
      </c>
      <c r="J132" s="104">
        <v>2263842.324</v>
      </c>
    </row>
    <row r="133">
      <c r="A133" s="86" t="s">
        <v>256</v>
      </c>
      <c r="B133" s="86" t="s">
        <v>262</v>
      </c>
      <c r="C133" s="86" t="s">
        <v>258</v>
      </c>
      <c r="D133" s="86" t="s">
        <v>259</v>
      </c>
      <c r="E133" s="86" t="s">
        <v>260</v>
      </c>
      <c r="F133" s="104">
        <v>22.97660065</v>
      </c>
      <c r="G133" s="104">
        <v>22976.60065</v>
      </c>
      <c r="H133" s="104">
        <v>62.18</v>
      </c>
      <c r="I133" s="213">
        <v>1175.167352</v>
      </c>
      <c r="J133" s="104">
        <v>2.700135094E7</v>
      </c>
    </row>
    <row r="134">
      <c r="A134" s="86" t="s">
        <v>256</v>
      </c>
      <c r="B134" s="86" t="s">
        <v>266</v>
      </c>
      <c r="C134" s="86" t="s">
        <v>258</v>
      </c>
      <c r="D134" s="86" t="s">
        <v>264</v>
      </c>
      <c r="E134" s="86" t="s">
        <v>260</v>
      </c>
      <c r="F134" s="104">
        <v>15.41240025</v>
      </c>
      <c r="G134" s="104">
        <v>15412.40025</v>
      </c>
      <c r="H134" s="104">
        <v>62.18</v>
      </c>
      <c r="I134" s="213">
        <v>1175.167352</v>
      </c>
      <c r="J134" s="104">
        <v>1.811214958E7</v>
      </c>
    </row>
    <row r="135">
      <c r="A135" s="86" t="s">
        <v>256</v>
      </c>
      <c r="B135" s="86" t="s">
        <v>278</v>
      </c>
      <c r="C135" s="86" t="s">
        <v>271</v>
      </c>
      <c r="D135" s="86" t="s">
        <v>259</v>
      </c>
      <c r="E135" s="86" t="s">
        <v>272</v>
      </c>
      <c r="F135" s="104">
        <v>26.86199951</v>
      </c>
      <c r="G135" s="104">
        <v>26861.99951</v>
      </c>
      <c r="H135" s="104">
        <v>80.14</v>
      </c>
      <c r="I135" s="213">
        <v>1514.601344</v>
      </c>
      <c r="J135" s="104">
        <v>4.068522057E7</v>
      </c>
    </row>
    <row r="136">
      <c r="A136" s="86" t="s">
        <v>256</v>
      </c>
      <c r="B136" s="86" t="s">
        <v>280</v>
      </c>
      <c r="C136" s="86" t="s">
        <v>271</v>
      </c>
      <c r="D136" s="86" t="s">
        <v>264</v>
      </c>
      <c r="E136" s="86" t="s">
        <v>272</v>
      </c>
      <c r="F136" s="104">
        <v>0.233199999</v>
      </c>
      <c r="G136" s="104">
        <v>233.1999987</v>
      </c>
      <c r="H136" s="104">
        <v>80.14</v>
      </c>
      <c r="I136" s="213">
        <v>1514.601344</v>
      </c>
      <c r="J136" s="104">
        <v>353205.0316</v>
      </c>
    </row>
    <row r="137">
      <c r="A137" s="86" t="s">
        <v>256</v>
      </c>
      <c r="B137" s="86" t="s">
        <v>274</v>
      </c>
      <c r="C137" s="86" t="s">
        <v>258</v>
      </c>
      <c r="D137" s="86" t="s">
        <v>264</v>
      </c>
      <c r="E137" s="86" t="s">
        <v>260</v>
      </c>
      <c r="F137" s="104">
        <v>1.512599945</v>
      </c>
      <c r="G137" s="104">
        <v>1512.599945</v>
      </c>
      <c r="H137" s="104">
        <v>126.2</v>
      </c>
      <c r="I137" s="213">
        <v>2385.109679</v>
      </c>
      <c r="J137" s="104">
        <v>3607716.769</v>
      </c>
    </row>
    <row r="138">
      <c r="A138" s="86" t="s">
        <v>256</v>
      </c>
      <c r="B138" s="86" t="s">
        <v>275</v>
      </c>
      <c r="C138" s="86" t="s">
        <v>258</v>
      </c>
      <c r="D138" s="86" t="s">
        <v>259</v>
      </c>
      <c r="E138" s="86" t="s">
        <v>260</v>
      </c>
      <c r="F138" s="104">
        <v>0.405800015</v>
      </c>
      <c r="G138" s="104">
        <v>405.8000147</v>
      </c>
      <c r="H138" s="104">
        <v>126.2</v>
      </c>
      <c r="I138" s="213">
        <v>2385.109679</v>
      </c>
      <c r="J138" s="104">
        <v>967877.5427</v>
      </c>
    </row>
    <row r="139">
      <c r="A139" s="86" t="s">
        <v>256</v>
      </c>
      <c r="B139" s="86" t="s">
        <v>262</v>
      </c>
      <c r="C139" s="86" t="s">
        <v>258</v>
      </c>
      <c r="D139" s="86" t="s">
        <v>259</v>
      </c>
      <c r="E139" s="86" t="s">
        <v>303</v>
      </c>
      <c r="F139" s="104">
        <v>87.35504913</v>
      </c>
      <c r="G139" s="104">
        <v>87355.04913</v>
      </c>
      <c r="H139" s="104">
        <v>424.9</v>
      </c>
      <c r="I139" s="213">
        <v>8030.373236</v>
      </c>
      <c r="J139" s="104">
        <v>7.014936486E8</v>
      </c>
    </row>
    <row r="140">
      <c r="A140" s="86" t="s">
        <v>256</v>
      </c>
      <c r="B140" s="86" t="s">
        <v>257</v>
      </c>
      <c r="C140" s="86" t="s">
        <v>258</v>
      </c>
      <c r="D140" s="86" t="s">
        <v>259</v>
      </c>
      <c r="E140" s="86" t="s">
        <v>303</v>
      </c>
      <c r="F140" s="104">
        <v>5.912099838</v>
      </c>
      <c r="G140" s="104">
        <v>5912.099838</v>
      </c>
      <c r="H140" s="104">
        <v>457.02</v>
      </c>
      <c r="I140" s="213">
        <v>8637.423338</v>
      </c>
      <c r="J140" s="104">
        <v>5.106530912E7</v>
      </c>
    </row>
    <row r="142">
      <c r="G142" s="226"/>
      <c r="H142" s="85" t="s">
        <v>305</v>
      </c>
      <c r="I142" s="154">
        <f>average(I50:I140)</f>
        <v>393.6027029</v>
      </c>
    </row>
    <row r="144">
      <c r="B144" s="132" t="s">
        <v>306</v>
      </c>
    </row>
    <row r="145">
      <c r="B145" s="132">
        <v>33.4</v>
      </c>
    </row>
    <row r="146">
      <c r="B146" s="132">
        <v>479.29</v>
      </c>
    </row>
    <row r="147">
      <c r="B147" s="154">
        <f>average(B145,B146)</f>
        <v>256.345</v>
      </c>
    </row>
  </sheetData>
  <mergeCells count="4">
    <mergeCell ref="O48:P48"/>
    <mergeCell ref="O50:P50"/>
    <mergeCell ref="M65:N65"/>
    <mergeCell ref="P65:Q65"/>
  </mergeCells>
  <hyperlinks>
    <hyperlink r:id="rId1" ref="A1"/>
    <hyperlink r:id="rId2" ref="O46"/>
  </hyperlinks>
  <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6.88"/>
    <col customWidth="1" min="4" max="4" width="14.25"/>
    <col customWidth="1" min="12" max="14" width="15.25"/>
  </cols>
  <sheetData>
    <row r="2">
      <c r="A2" s="227" t="s">
        <v>307</v>
      </c>
      <c r="B2" s="228"/>
      <c r="C2" s="228"/>
      <c r="D2" s="228"/>
      <c r="E2" s="229"/>
      <c r="F2" s="228" t="s">
        <v>308</v>
      </c>
      <c r="G2" s="228"/>
      <c r="H2" s="229"/>
      <c r="I2" s="229"/>
      <c r="J2" s="229"/>
      <c r="K2" s="228"/>
      <c r="L2" s="230"/>
      <c r="M2" s="230"/>
      <c r="N2" s="230"/>
      <c r="O2" s="228"/>
      <c r="P2" s="229"/>
      <c r="Q2" s="228"/>
      <c r="R2" s="228"/>
      <c r="S2" s="228"/>
      <c r="T2" s="228"/>
      <c r="U2" s="231"/>
    </row>
    <row r="3">
      <c r="A3" s="232" t="s">
        <v>309</v>
      </c>
      <c r="B3" s="233" t="s">
        <v>310</v>
      </c>
      <c r="C3" s="233" t="s">
        <v>311</v>
      </c>
      <c r="D3" s="233" t="s">
        <v>312</v>
      </c>
      <c r="E3" s="233" t="s">
        <v>313</v>
      </c>
      <c r="F3" s="233" t="s">
        <v>314</v>
      </c>
      <c r="G3" s="234" t="s">
        <v>315</v>
      </c>
      <c r="H3" s="235" t="s">
        <v>316</v>
      </c>
      <c r="I3" s="233" t="s">
        <v>317</v>
      </c>
      <c r="J3" s="233" t="s">
        <v>318</v>
      </c>
      <c r="K3" s="233" t="s">
        <v>319</v>
      </c>
      <c r="L3" s="233" t="s">
        <v>320</v>
      </c>
      <c r="M3" s="236" t="s">
        <v>321</v>
      </c>
      <c r="N3" s="236" t="s">
        <v>322</v>
      </c>
      <c r="O3" s="237" t="s">
        <v>323</v>
      </c>
      <c r="P3" s="234" t="s">
        <v>324</v>
      </c>
      <c r="Q3" s="233" t="s">
        <v>325</v>
      </c>
      <c r="R3" s="233" t="s">
        <v>326</v>
      </c>
      <c r="S3" s="234" t="s">
        <v>327</v>
      </c>
      <c r="T3" s="233" t="s">
        <v>328</v>
      </c>
      <c r="U3" s="238" t="s">
        <v>329</v>
      </c>
    </row>
    <row r="4">
      <c r="A4" s="239" t="s">
        <v>330</v>
      </c>
      <c r="B4" s="240" t="s">
        <v>331</v>
      </c>
      <c r="C4" s="240" t="s">
        <v>331</v>
      </c>
      <c r="D4" s="241">
        <v>1500000.0</v>
      </c>
      <c r="E4" s="242">
        <f>D4/N4</f>
        <v>0.09595230326</v>
      </c>
      <c r="F4" s="243"/>
      <c r="G4" s="244" t="s">
        <v>331</v>
      </c>
      <c r="H4" s="244" t="s">
        <v>331</v>
      </c>
      <c r="I4" s="245">
        <f>134333</f>
        <v>134333</v>
      </c>
      <c r="J4" s="246"/>
      <c r="K4" s="246">
        <f>(I4*S4)*2204.62/D4</f>
        <v>2369.225748</v>
      </c>
      <c r="L4" s="245">
        <f>K4/2204.62</f>
        <v>1.074664</v>
      </c>
      <c r="M4" s="241">
        <f>N4/(I4*S4)</f>
        <v>9.697770342</v>
      </c>
      <c r="N4" s="241">
        <f>17067599-1434832</f>
        <v>15632767</v>
      </c>
      <c r="O4" s="241"/>
      <c r="P4" s="247">
        <v>7.0</v>
      </c>
      <c r="Q4" s="248"/>
      <c r="R4" s="249" t="s">
        <v>332</v>
      </c>
      <c r="S4" s="249">
        <v>12.0</v>
      </c>
      <c r="T4" s="250"/>
      <c r="U4" s="251"/>
    </row>
    <row r="5">
      <c r="A5" s="239"/>
      <c r="B5" s="240"/>
      <c r="C5" s="243"/>
      <c r="D5" s="241"/>
      <c r="E5" s="242"/>
      <c r="F5" s="243"/>
      <c r="G5" s="252"/>
      <c r="H5" s="253"/>
      <c r="I5" s="245"/>
      <c r="J5" s="246"/>
      <c r="K5" s="246"/>
      <c r="L5" s="246"/>
      <c r="M5" s="254"/>
      <c r="N5" s="254"/>
      <c r="O5" s="254"/>
      <c r="P5" s="247"/>
      <c r="Q5" s="255"/>
      <c r="R5" s="256"/>
      <c r="S5" s="249"/>
      <c r="T5" s="257"/>
      <c r="U5" s="251"/>
    </row>
    <row r="6">
      <c r="A6" s="258"/>
      <c r="B6" s="243"/>
      <c r="C6" s="243"/>
      <c r="D6" s="254"/>
      <c r="E6" s="242"/>
      <c r="F6" s="243"/>
      <c r="G6" s="259"/>
      <c r="H6" s="260"/>
      <c r="I6" s="260"/>
      <c r="J6" s="260"/>
      <c r="K6" s="246"/>
      <c r="L6" s="246"/>
      <c r="M6" s="254"/>
      <c r="N6" s="254"/>
      <c r="O6" s="254"/>
      <c r="P6" s="261"/>
      <c r="Q6" s="256"/>
      <c r="R6" s="256"/>
      <c r="S6" s="256"/>
      <c r="T6" s="262"/>
      <c r="U6" s="263"/>
    </row>
    <row r="7">
      <c r="A7" s="258"/>
      <c r="B7" s="243"/>
      <c r="C7" s="243" t="str">
        <f>IF(B7&gt;3,"Yes","No")</f>
        <v>No</v>
      </c>
      <c r="D7" s="254"/>
      <c r="E7" s="242" t="str">
        <f t="shared" ref="E7:E8" si="1">D7/N7</f>
        <v>#DIV/0!</v>
      </c>
      <c r="F7" s="243"/>
      <c r="G7" s="259"/>
      <c r="H7" s="260"/>
      <c r="I7" s="260"/>
      <c r="J7" s="260"/>
      <c r="K7" s="246"/>
      <c r="L7" s="246"/>
      <c r="M7" s="254"/>
      <c r="N7" s="254"/>
      <c r="O7" s="254"/>
      <c r="P7" s="261"/>
      <c r="Q7" s="256"/>
      <c r="R7" s="256" t="str">
        <f>IF(P7&gt;3,"Yes","No")</f>
        <v>No</v>
      </c>
      <c r="S7" s="256"/>
      <c r="T7" s="262"/>
      <c r="U7" s="263"/>
    </row>
    <row r="8">
      <c r="A8" s="264" t="s">
        <v>82</v>
      </c>
      <c r="B8" s="265"/>
      <c r="C8" s="265"/>
      <c r="D8" s="266">
        <f>sum(D4:D7)</f>
        <v>1500000</v>
      </c>
      <c r="E8" s="242">
        <f t="shared" si="1"/>
        <v>0.09595230326</v>
      </c>
      <c r="F8" s="265">
        <f t="shared" ref="F8:G8" si="2">sum(F4:F7)</f>
        <v>0</v>
      </c>
      <c r="G8" s="265">
        <f t="shared" si="2"/>
        <v>0</v>
      </c>
      <c r="H8" s="267" t="str">
        <f>H4</f>
        <v>N/A</v>
      </c>
      <c r="I8" s="265">
        <f t="shared" ref="I8:L8" si="3">sum(I4:I7)</f>
        <v>134333</v>
      </c>
      <c r="J8" s="268">
        <f t="shared" si="3"/>
        <v>0</v>
      </c>
      <c r="K8" s="269">
        <f t="shared" si="3"/>
        <v>2369.225748</v>
      </c>
      <c r="L8" s="269">
        <f t="shared" si="3"/>
        <v>1.074664</v>
      </c>
      <c r="M8" s="266">
        <f>M4</f>
        <v>9.697770342</v>
      </c>
      <c r="N8" s="266">
        <f t="shared" ref="N8:O8" si="4">sum(N4:N7)</f>
        <v>15632767</v>
      </c>
      <c r="O8" s="266">
        <f t="shared" si="4"/>
        <v>0</v>
      </c>
      <c r="P8" s="270"/>
      <c r="Q8" s="271"/>
      <c r="R8" s="271"/>
      <c r="S8" s="271"/>
      <c r="T8" s="270">
        <f t="shared" ref="T8:U8" si="5">sum(T4:T7)</f>
        <v>0</v>
      </c>
      <c r="U8" s="270">
        <f t="shared" si="5"/>
        <v>0</v>
      </c>
    </row>
    <row r="9">
      <c r="A9" s="168"/>
      <c r="B9" s="168"/>
      <c r="C9" s="168"/>
      <c r="D9" s="168"/>
      <c r="E9" s="168"/>
      <c r="F9" s="168"/>
      <c r="G9" s="168"/>
      <c r="H9" s="168"/>
      <c r="I9" s="168"/>
      <c r="J9" s="168"/>
      <c r="K9" s="168"/>
      <c r="L9" s="168"/>
      <c r="M9" s="168"/>
      <c r="N9" s="168"/>
      <c r="O9" s="168"/>
      <c r="P9" s="168"/>
      <c r="Q9" s="168"/>
      <c r="R9" s="168"/>
      <c r="S9" s="168"/>
      <c r="T9" s="168"/>
      <c r="U9" s="168"/>
    </row>
    <row r="10">
      <c r="A10" s="272" t="s">
        <v>333</v>
      </c>
      <c r="B10" s="273"/>
      <c r="C10" s="273"/>
      <c r="D10" s="273"/>
      <c r="E10" s="229"/>
      <c r="F10" s="273" t="s">
        <v>308</v>
      </c>
      <c r="G10" s="273"/>
      <c r="H10" s="229"/>
      <c r="I10" s="229"/>
      <c r="J10" s="229"/>
      <c r="K10" s="273"/>
      <c r="L10" s="274"/>
      <c r="M10" s="274"/>
      <c r="N10" s="274"/>
      <c r="O10" s="273"/>
      <c r="P10" s="229"/>
      <c r="Q10" s="273"/>
      <c r="R10" s="273"/>
      <c r="S10" s="273"/>
      <c r="T10" s="273"/>
      <c r="U10" s="275"/>
    </row>
    <row r="11">
      <c r="A11" s="276" t="s">
        <v>309</v>
      </c>
      <c r="B11" s="277" t="s">
        <v>310</v>
      </c>
      <c r="C11" s="277" t="s">
        <v>311</v>
      </c>
      <c r="D11" s="277" t="s">
        <v>312</v>
      </c>
      <c r="E11" s="277" t="s">
        <v>313</v>
      </c>
      <c r="F11" s="277" t="s">
        <v>314</v>
      </c>
      <c r="G11" s="278" t="s">
        <v>315</v>
      </c>
      <c r="H11" s="277" t="s">
        <v>316</v>
      </c>
      <c r="I11" s="277" t="s">
        <v>317</v>
      </c>
      <c r="J11" s="277" t="s">
        <v>318</v>
      </c>
      <c r="K11" s="277" t="s">
        <v>319</v>
      </c>
      <c r="L11" s="277" t="s">
        <v>334</v>
      </c>
      <c r="M11" s="279" t="s">
        <v>335</v>
      </c>
      <c r="N11" s="277" t="s">
        <v>322</v>
      </c>
      <c r="O11" s="278" t="s">
        <v>323</v>
      </c>
      <c r="P11" s="278" t="s">
        <v>324</v>
      </c>
      <c r="Q11" s="280" t="s">
        <v>336</v>
      </c>
      <c r="R11" s="280" t="s">
        <v>326</v>
      </c>
      <c r="S11" s="278" t="s">
        <v>327</v>
      </c>
      <c r="T11" s="280" t="s">
        <v>328</v>
      </c>
      <c r="U11" s="281" t="s">
        <v>329</v>
      </c>
    </row>
    <row r="12">
      <c r="A12" s="282" t="s">
        <v>337</v>
      </c>
      <c r="B12" s="283" t="s">
        <v>331</v>
      </c>
      <c r="C12" s="283" t="s">
        <v>331</v>
      </c>
      <c r="D12" s="284">
        <f>500000+100000+500000</f>
        <v>1100000</v>
      </c>
      <c r="E12" s="285">
        <f t="shared" ref="E12:E18" si="6">D12/N12</f>
        <v>0.182876143</v>
      </c>
      <c r="F12" s="286">
        <v>806020.0</v>
      </c>
      <c r="G12" s="287"/>
      <c r="H12" s="288"/>
      <c r="I12" s="286">
        <v>4280.0</v>
      </c>
      <c r="J12" s="286">
        <v>2.09</v>
      </c>
      <c r="K12" s="287">
        <f t="shared" ref="K12:K17" si="7">(I12*S12)*2204.62/D12</f>
        <v>257.33928</v>
      </c>
      <c r="L12" s="286">
        <f t="shared" ref="L12:L17" si="8">K12/2204.62</f>
        <v>0.1167272727</v>
      </c>
      <c r="M12" s="284">
        <f t="shared" ref="M12:M17" si="9">N12/(I12*S12)</f>
        <v>46.84579439</v>
      </c>
      <c r="N12" s="284">
        <f>2650000+960000+2405000</f>
        <v>6015000</v>
      </c>
      <c r="O12" s="284">
        <f>372850-270200</f>
        <v>102650</v>
      </c>
      <c r="P12" s="289"/>
      <c r="Q12" s="290"/>
      <c r="R12" s="291"/>
      <c r="S12" s="292">
        <v>30.0</v>
      </c>
      <c r="T12" s="293" t="s">
        <v>338</v>
      </c>
      <c r="U12" s="294"/>
    </row>
    <row r="13">
      <c r="A13" s="282" t="s">
        <v>339</v>
      </c>
      <c r="B13" s="283" t="s">
        <v>331</v>
      </c>
      <c r="C13" s="283" t="s">
        <v>331</v>
      </c>
      <c r="D13" s="284">
        <v>100000.0</v>
      </c>
      <c r="E13" s="285">
        <f t="shared" si="6"/>
        <v>0.06535947712</v>
      </c>
      <c r="F13" s="286">
        <v>40606.0</v>
      </c>
      <c r="G13" s="295"/>
      <c r="H13" s="296"/>
      <c r="I13" s="286">
        <v>2156.0</v>
      </c>
      <c r="J13" s="286">
        <v>1.05</v>
      </c>
      <c r="K13" s="287">
        <f t="shared" si="7"/>
        <v>1425.948216</v>
      </c>
      <c r="L13" s="286">
        <f t="shared" si="8"/>
        <v>0.6468</v>
      </c>
      <c r="M13" s="284">
        <f t="shared" si="9"/>
        <v>23.65491651</v>
      </c>
      <c r="N13" s="297">
        <f>285000+1245000</f>
        <v>1530000</v>
      </c>
      <c r="O13" s="297">
        <f>188000</f>
        <v>188000</v>
      </c>
      <c r="P13" s="298"/>
      <c r="Q13" s="291"/>
      <c r="R13" s="291"/>
      <c r="S13" s="292">
        <v>30.0</v>
      </c>
      <c r="T13" s="293" t="s">
        <v>338</v>
      </c>
      <c r="U13" s="299"/>
    </row>
    <row r="14">
      <c r="A14" s="282" t="s">
        <v>340</v>
      </c>
      <c r="B14" s="283">
        <v>19.0</v>
      </c>
      <c r="C14" s="283" t="s">
        <v>332</v>
      </c>
      <c r="D14" s="284">
        <f>50000+35000</f>
        <v>85000</v>
      </c>
      <c r="E14" s="285">
        <f t="shared" si="6"/>
        <v>0.06071428571</v>
      </c>
      <c r="F14" s="286">
        <v>70119.0</v>
      </c>
      <c r="G14" s="295"/>
      <c r="H14" s="296"/>
      <c r="I14" s="286">
        <v>3724.0</v>
      </c>
      <c r="J14" s="286">
        <v>1.81</v>
      </c>
      <c r="K14" s="287">
        <f t="shared" si="7"/>
        <v>0</v>
      </c>
      <c r="L14" s="286">
        <f t="shared" si="8"/>
        <v>0</v>
      </c>
      <c r="M14" s="284" t="str">
        <f t="shared" si="9"/>
        <v>#DIV/0!</v>
      </c>
      <c r="N14" s="297">
        <f>250000+275000+875000</f>
        <v>1400000</v>
      </c>
      <c r="O14" s="297">
        <f>324650</f>
        <v>324650</v>
      </c>
      <c r="P14" s="298"/>
      <c r="Q14" s="291"/>
      <c r="R14" s="291"/>
      <c r="S14" s="291"/>
      <c r="T14" s="293" t="s">
        <v>338</v>
      </c>
      <c r="U14" s="299"/>
    </row>
    <row r="15">
      <c r="A15" s="282" t="s">
        <v>341</v>
      </c>
      <c r="B15" s="283" t="s">
        <v>342</v>
      </c>
      <c r="C15" s="283" t="s">
        <v>343</v>
      </c>
      <c r="D15" s="284">
        <f>10000+10000</f>
        <v>20000</v>
      </c>
      <c r="E15" s="285">
        <f t="shared" si="6"/>
        <v>0.05</v>
      </c>
      <c r="F15" s="286">
        <v>27130.0</v>
      </c>
      <c r="G15" s="295"/>
      <c r="H15" s="296"/>
      <c r="I15" s="286">
        <v>1441.0</v>
      </c>
      <c r="J15" s="286">
        <v>0.7</v>
      </c>
      <c r="K15" s="287">
        <f t="shared" si="7"/>
        <v>4765.28613</v>
      </c>
      <c r="L15" s="286">
        <f t="shared" si="8"/>
        <v>2.1615</v>
      </c>
      <c r="M15" s="284">
        <f t="shared" si="9"/>
        <v>9.25283368</v>
      </c>
      <c r="N15" s="297">
        <f>125000+65000+210000</f>
        <v>400000</v>
      </c>
      <c r="O15" s="284">
        <v>125600.0</v>
      </c>
      <c r="P15" s="298"/>
      <c r="Q15" s="291"/>
      <c r="R15" s="291"/>
      <c r="S15" s="292">
        <v>30.0</v>
      </c>
      <c r="T15" s="293" t="s">
        <v>338</v>
      </c>
      <c r="U15" s="299"/>
    </row>
    <row r="16">
      <c r="A16" s="282" t="s">
        <v>344</v>
      </c>
      <c r="B16" s="300">
        <v>13.0</v>
      </c>
      <c r="C16" s="300" t="s">
        <v>332</v>
      </c>
      <c r="D16" s="284">
        <f>50000+100000</f>
        <v>150000</v>
      </c>
      <c r="E16" s="285">
        <f t="shared" si="6"/>
        <v>0.1428571429</v>
      </c>
      <c r="F16" s="286">
        <v>140970.0</v>
      </c>
      <c r="G16" s="301"/>
      <c r="H16" s="285"/>
      <c r="I16" s="286">
        <v>749.0</v>
      </c>
      <c r="J16" s="286">
        <v>0.36</v>
      </c>
      <c r="K16" s="287">
        <f t="shared" si="7"/>
        <v>330.252076</v>
      </c>
      <c r="L16" s="286">
        <f t="shared" si="8"/>
        <v>0.1498</v>
      </c>
      <c r="M16" s="284">
        <f t="shared" si="9"/>
        <v>46.72897196</v>
      </c>
      <c r="N16" s="297">
        <f>350000+140000+560000</f>
        <v>1050000</v>
      </c>
      <c r="O16" s="297">
        <f>65300-31700</f>
        <v>33600</v>
      </c>
      <c r="P16" s="298"/>
      <c r="Q16" s="302"/>
      <c r="R16" s="302"/>
      <c r="S16" s="303">
        <v>30.0</v>
      </c>
      <c r="T16" s="293" t="s">
        <v>338</v>
      </c>
      <c r="U16" s="304"/>
    </row>
    <row r="17">
      <c r="A17" s="282" t="s">
        <v>345</v>
      </c>
      <c r="B17" s="300" t="s">
        <v>331</v>
      </c>
      <c r="C17" s="300" t="s">
        <v>331</v>
      </c>
      <c r="D17" s="284">
        <f>20000+25000</f>
        <v>45000</v>
      </c>
      <c r="E17" s="285">
        <f t="shared" si="6"/>
        <v>0.01333333333</v>
      </c>
      <c r="F17" s="300">
        <v>0.0</v>
      </c>
      <c r="G17" s="301"/>
      <c r="H17" s="285"/>
      <c r="I17" s="286">
        <v>4536.0</v>
      </c>
      <c r="J17" s="286">
        <v>0.0</v>
      </c>
      <c r="K17" s="287">
        <f t="shared" si="7"/>
        <v>6666.77088</v>
      </c>
      <c r="L17" s="286">
        <f t="shared" si="8"/>
        <v>3.024</v>
      </c>
      <c r="M17" s="284">
        <f t="shared" si="9"/>
        <v>24.8015873</v>
      </c>
      <c r="N17" s="297">
        <f>750000+600000+2025000</f>
        <v>3375000</v>
      </c>
      <c r="O17" s="297">
        <f>1125000-76250</f>
        <v>1048750</v>
      </c>
      <c r="P17" s="298"/>
      <c r="Q17" s="302"/>
      <c r="R17" s="302"/>
      <c r="S17" s="303">
        <v>30.0</v>
      </c>
      <c r="T17" s="293" t="s">
        <v>338</v>
      </c>
      <c r="U17" s="304"/>
    </row>
    <row r="18">
      <c r="A18" s="305" t="s">
        <v>82</v>
      </c>
      <c r="B18" s="306"/>
      <c r="C18" s="306"/>
      <c r="D18" s="307">
        <f>sum(D12:D17)</f>
        <v>1500000</v>
      </c>
      <c r="E18" s="308">
        <f t="shared" si="6"/>
        <v>0.1089324619</v>
      </c>
      <c r="F18" s="309">
        <f t="shared" ref="F18:J18" si="10">sum(F12:F17)</f>
        <v>1084845</v>
      </c>
      <c r="G18" s="309">
        <f t="shared" si="10"/>
        <v>0</v>
      </c>
      <c r="H18" s="309">
        <f t="shared" si="10"/>
        <v>0</v>
      </c>
      <c r="I18" s="309">
        <f t="shared" si="10"/>
        <v>16886</v>
      </c>
      <c r="J18" s="309">
        <f t="shared" si="10"/>
        <v>6.01</v>
      </c>
      <c r="K18" s="309">
        <f>(I18/D18)*2204.62</f>
        <v>24.81814221</v>
      </c>
      <c r="L18" s="309"/>
      <c r="M18" s="307"/>
      <c r="N18" s="307">
        <f t="shared" ref="N18:O18" si="11">sum(N12:N17)</f>
        <v>13770000</v>
      </c>
      <c r="O18" s="307">
        <f t="shared" si="11"/>
        <v>1823250</v>
      </c>
      <c r="P18" s="310"/>
      <c r="Q18" s="311"/>
      <c r="R18" s="311"/>
      <c r="S18" s="311"/>
      <c r="T18" s="310">
        <f t="shared" ref="T18:U18" si="12">sum(T12:T17)</f>
        <v>0</v>
      </c>
      <c r="U18" s="310">
        <f t="shared" si="12"/>
        <v>0</v>
      </c>
    </row>
    <row r="20">
      <c r="A20" s="312" t="s">
        <v>333</v>
      </c>
      <c r="B20" s="313"/>
      <c r="C20" s="313"/>
      <c r="D20" s="313"/>
      <c r="E20" s="229"/>
      <c r="F20" s="313" t="s">
        <v>308</v>
      </c>
      <c r="G20" s="313"/>
      <c r="H20" s="229"/>
      <c r="I20" s="229"/>
      <c r="J20" s="229"/>
      <c r="K20" s="313"/>
      <c r="L20" s="314"/>
      <c r="M20" s="314"/>
      <c r="N20" s="314"/>
      <c r="O20" s="313"/>
      <c r="P20" s="229"/>
      <c r="Q20" s="313"/>
      <c r="R20" s="313"/>
      <c r="S20" s="313"/>
      <c r="T20" s="313"/>
      <c r="U20" s="315"/>
    </row>
    <row r="21">
      <c r="A21" s="316" t="s">
        <v>309</v>
      </c>
      <c r="B21" s="317" t="s">
        <v>310</v>
      </c>
      <c r="C21" s="317" t="s">
        <v>311</v>
      </c>
      <c r="D21" s="317" t="s">
        <v>312</v>
      </c>
      <c r="E21" s="317" t="s">
        <v>313</v>
      </c>
      <c r="F21" s="318" t="s">
        <v>346</v>
      </c>
      <c r="G21" s="318" t="s">
        <v>315</v>
      </c>
      <c r="H21" s="317" t="s">
        <v>316</v>
      </c>
      <c r="I21" s="317" t="s">
        <v>317</v>
      </c>
      <c r="J21" s="317" t="s">
        <v>347</v>
      </c>
      <c r="K21" s="317" t="s">
        <v>319</v>
      </c>
      <c r="L21" s="317" t="s">
        <v>334</v>
      </c>
      <c r="M21" s="319" t="s">
        <v>335</v>
      </c>
      <c r="N21" s="317" t="s">
        <v>322</v>
      </c>
      <c r="O21" s="318" t="s">
        <v>323</v>
      </c>
      <c r="P21" s="318" t="s">
        <v>324</v>
      </c>
      <c r="Q21" s="320" t="s">
        <v>336</v>
      </c>
      <c r="R21" s="320" t="s">
        <v>326</v>
      </c>
      <c r="S21" s="318" t="s">
        <v>327</v>
      </c>
      <c r="T21" s="320" t="s">
        <v>328</v>
      </c>
      <c r="U21" s="321" t="s">
        <v>329</v>
      </c>
    </row>
    <row r="22">
      <c r="A22" s="322" t="s">
        <v>348</v>
      </c>
      <c r="B22" s="323" t="s">
        <v>331</v>
      </c>
      <c r="C22" s="323" t="s">
        <v>331</v>
      </c>
      <c r="D22" s="324">
        <v>539215.0</v>
      </c>
      <c r="E22" s="325">
        <f t="shared" ref="E22:E26" si="13">D22/N22</f>
        <v>0.5112351028</v>
      </c>
      <c r="F22" s="326"/>
      <c r="G22" s="327"/>
      <c r="H22" s="328"/>
      <c r="I22" s="329">
        <f>429000/2204.62</f>
        <v>194.5913581</v>
      </c>
      <c r="J22" s="328"/>
      <c r="K22" s="329">
        <f>(I22*2204.62)/D22</f>
        <v>0.7956010126</v>
      </c>
      <c r="L22" s="330"/>
      <c r="M22" s="330"/>
      <c r="N22" s="330">
        <f>1079186-24456</f>
        <v>1054730</v>
      </c>
      <c r="O22" s="330"/>
      <c r="P22" s="331">
        <v>9.0</v>
      </c>
      <c r="Q22" s="332"/>
      <c r="R22" s="332" t="str">
        <f t="shared" ref="R22:R25" si="14">IF(P22&gt;3,"Yes","No")</f>
        <v>Yes</v>
      </c>
      <c r="S22" s="332"/>
      <c r="T22" s="333"/>
      <c r="U22" s="334"/>
    </row>
    <row r="23">
      <c r="A23" s="335"/>
      <c r="B23" s="326"/>
      <c r="C23" s="326"/>
      <c r="D23" s="330"/>
      <c r="E23" s="325" t="str">
        <f t="shared" si="13"/>
        <v>#DIV/0!</v>
      </c>
      <c r="F23" s="326"/>
      <c r="G23" s="336"/>
      <c r="H23" s="328"/>
      <c r="I23" s="328"/>
      <c r="J23" s="328"/>
      <c r="K23" s="328"/>
      <c r="L23" s="330"/>
      <c r="M23" s="330"/>
      <c r="N23" s="330"/>
      <c r="O23" s="330"/>
      <c r="P23" s="337"/>
      <c r="Q23" s="332"/>
      <c r="R23" s="332" t="str">
        <f t="shared" si="14"/>
        <v>No</v>
      </c>
      <c r="S23" s="332"/>
      <c r="T23" s="333"/>
      <c r="U23" s="334"/>
    </row>
    <row r="24">
      <c r="A24" s="335"/>
      <c r="B24" s="326"/>
      <c r="C24" s="326"/>
      <c r="D24" s="330"/>
      <c r="E24" s="325" t="str">
        <f t="shared" si="13"/>
        <v>#DIV/0!</v>
      </c>
      <c r="F24" s="326"/>
      <c r="G24" s="336"/>
      <c r="H24" s="328"/>
      <c r="I24" s="328"/>
      <c r="J24" s="328"/>
      <c r="K24" s="328"/>
      <c r="L24" s="330"/>
      <c r="M24" s="330"/>
      <c r="N24" s="330"/>
      <c r="O24" s="330"/>
      <c r="P24" s="337"/>
      <c r="Q24" s="332"/>
      <c r="R24" s="332" t="str">
        <f t="shared" si="14"/>
        <v>No</v>
      </c>
      <c r="S24" s="332"/>
      <c r="T24" s="333"/>
      <c r="U24" s="334"/>
    </row>
    <row r="25">
      <c r="A25" s="335"/>
      <c r="B25" s="326"/>
      <c r="C25" s="326"/>
      <c r="D25" s="330"/>
      <c r="E25" s="325" t="str">
        <f t="shared" si="13"/>
        <v>#DIV/0!</v>
      </c>
      <c r="F25" s="326"/>
      <c r="G25" s="336"/>
      <c r="H25" s="328"/>
      <c r="I25" s="328"/>
      <c r="J25" s="328"/>
      <c r="K25" s="328"/>
      <c r="L25" s="330"/>
      <c r="M25" s="330"/>
      <c r="N25" s="330"/>
      <c r="O25" s="330"/>
      <c r="P25" s="337"/>
      <c r="Q25" s="332"/>
      <c r="R25" s="332" t="str">
        <f t="shared" si="14"/>
        <v>No</v>
      </c>
      <c r="S25" s="332"/>
      <c r="T25" s="333"/>
      <c r="U25" s="334"/>
    </row>
    <row r="26">
      <c r="A26" s="338" t="s">
        <v>82</v>
      </c>
      <c r="B26" s="339"/>
      <c r="C26" s="339"/>
      <c r="D26" s="340">
        <f>sum(D22:D25)</f>
        <v>539215</v>
      </c>
      <c r="E26" s="325">
        <f t="shared" si="13"/>
        <v>0.5112351028</v>
      </c>
      <c r="F26" s="339">
        <f t="shared" ref="F26:G26" si="15">sum(F22:F25)</f>
        <v>0</v>
      </c>
      <c r="G26" s="339">
        <f t="shared" si="15"/>
        <v>0</v>
      </c>
      <c r="H26" s="339"/>
      <c r="I26" s="339">
        <f t="shared" ref="I26:K26" si="16">sum(I22:I25)</f>
        <v>194.5913581</v>
      </c>
      <c r="J26" s="339">
        <f t="shared" si="16"/>
        <v>0</v>
      </c>
      <c r="K26" s="339">
        <f t="shared" si="16"/>
        <v>0.7956010126</v>
      </c>
      <c r="L26" s="340"/>
      <c r="M26" s="340"/>
      <c r="N26" s="340">
        <f t="shared" ref="N26:O26" si="17">sum(N22:N25)</f>
        <v>1054730</v>
      </c>
      <c r="O26" s="340">
        <f t="shared" si="17"/>
        <v>0</v>
      </c>
      <c r="P26" s="341"/>
      <c r="Q26" s="342"/>
      <c r="R26" s="342"/>
      <c r="S26" s="342"/>
      <c r="T26" s="341">
        <f t="shared" ref="T26:U26" si="18">sum(T22:T25)</f>
        <v>0</v>
      </c>
      <c r="U26" s="341">
        <f t="shared" si="18"/>
        <v>0</v>
      </c>
    </row>
    <row r="28">
      <c r="A28" s="343" t="s">
        <v>333</v>
      </c>
      <c r="B28" s="344"/>
      <c r="C28" s="344"/>
      <c r="D28" s="344"/>
      <c r="E28" s="229"/>
      <c r="F28" s="344" t="s">
        <v>308</v>
      </c>
      <c r="G28" s="344"/>
      <c r="H28" s="229"/>
      <c r="I28" s="229"/>
      <c r="J28" s="229"/>
      <c r="K28" s="344"/>
      <c r="L28" s="345"/>
      <c r="M28" s="345"/>
      <c r="N28" s="345"/>
      <c r="O28" s="344"/>
      <c r="P28" s="229"/>
      <c r="Q28" s="344"/>
      <c r="R28" s="344"/>
      <c r="S28" s="344"/>
      <c r="T28" s="344"/>
      <c r="U28" s="346"/>
    </row>
    <row r="29">
      <c r="A29" s="347" t="s">
        <v>309</v>
      </c>
      <c r="B29" s="348" t="s">
        <v>310</v>
      </c>
      <c r="C29" s="348" t="s">
        <v>311</v>
      </c>
      <c r="D29" s="348" t="s">
        <v>312</v>
      </c>
      <c r="E29" s="348" t="s">
        <v>313</v>
      </c>
      <c r="F29" s="349" t="s">
        <v>346</v>
      </c>
      <c r="G29" s="349" t="s">
        <v>315</v>
      </c>
      <c r="H29" s="348" t="s">
        <v>316</v>
      </c>
      <c r="I29" s="348" t="s">
        <v>317</v>
      </c>
      <c r="J29" s="348" t="s">
        <v>347</v>
      </c>
      <c r="K29" s="348" t="s">
        <v>319</v>
      </c>
      <c r="L29" s="348" t="s">
        <v>334</v>
      </c>
      <c r="M29" s="350" t="s">
        <v>335</v>
      </c>
      <c r="N29" s="348" t="s">
        <v>349</v>
      </c>
      <c r="O29" s="349" t="s">
        <v>323</v>
      </c>
      <c r="P29" s="349" t="s">
        <v>324</v>
      </c>
      <c r="Q29" s="351" t="s">
        <v>336</v>
      </c>
      <c r="R29" s="351" t="s">
        <v>326</v>
      </c>
      <c r="S29" s="349" t="s">
        <v>327</v>
      </c>
      <c r="T29" s="351" t="s">
        <v>328</v>
      </c>
      <c r="U29" s="352" t="s">
        <v>329</v>
      </c>
    </row>
    <row r="30">
      <c r="A30" s="353" t="s">
        <v>350</v>
      </c>
      <c r="B30" s="354" t="s">
        <v>331</v>
      </c>
      <c r="C30" s="355" t="str">
        <f t="shared" ref="C30:C33" si="19">IF(B30&gt;3,"Yes","No")</f>
        <v>Yes</v>
      </c>
      <c r="D30" s="356">
        <v>112025.0</v>
      </c>
      <c r="E30" s="357">
        <f t="shared" ref="E30:E34" si="20">D30/N30</f>
        <v>0.5245844065</v>
      </c>
      <c r="F30" s="355"/>
      <c r="G30" s="358"/>
      <c r="H30" s="359"/>
      <c r="I30" s="360">
        <v>19.0</v>
      </c>
      <c r="J30" s="359"/>
      <c r="K30" s="361">
        <f>(I30*2204.62)/D30</f>
        <v>0.3739145726</v>
      </c>
      <c r="L30" s="362"/>
      <c r="M30" s="362"/>
      <c r="N30" s="356">
        <v>213550.0</v>
      </c>
      <c r="O30" s="362"/>
      <c r="P30" s="363"/>
      <c r="Q30" s="364"/>
      <c r="R30" s="364" t="str">
        <f t="shared" ref="R30:R33" si="21">IF(P30&gt;3,"Yes","No")</f>
        <v>No</v>
      </c>
      <c r="S30" s="364"/>
      <c r="T30" s="365"/>
      <c r="U30" s="366"/>
    </row>
    <row r="31">
      <c r="A31" s="367"/>
      <c r="B31" s="355"/>
      <c r="C31" s="355" t="str">
        <f t="shared" si="19"/>
        <v>No</v>
      </c>
      <c r="D31" s="362"/>
      <c r="E31" s="357" t="str">
        <f t="shared" si="20"/>
        <v>#DIV/0!</v>
      </c>
      <c r="F31" s="355"/>
      <c r="G31" s="368"/>
      <c r="H31" s="359"/>
      <c r="I31" s="361"/>
      <c r="J31" s="359"/>
      <c r="K31" s="359"/>
      <c r="L31" s="362"/>
      <c r="M31" s="362"/>
      <c r="N31" s="362"/>
      <c r="O31" s="362"/>
      <c r="P31" s="363"/>
      <c r="Q31" s="364"/>
      <c r="R31" s="364" t="str">
        <f t="shared" si="21"/>
        <v>No</v>
      </c>
      <c r="S31" s="364"/>
      <c r="T31" s="365"/>
      <c r="U31" s="366"/>
    </row>
    <row r="32">
      <c r="A32" s="367"/>
      <c r="B32" s="355"/>
      <c r="C32" s="355" t="str">
        <f t="shared" si="19"/>
        <v>No</v>
      </c>
      <c r="D32" s="362"/>
      <c r="E32" s="357" t="str">
        <f t="shared" si="20"/>
        <v>#DIV/0!</v>
      </c>
      <c r="F32" s="355"/>
      <c r="G32" s="368"/>
      <c r="H32" s="359"/>
      <c r="I32" s="361"/>
      <c r="J32" s="359"/>
      <c r="K32" s="359"/>
      <c r="L32" s="362"/>
      <c r="M32" s="362"/>
      <c r="N32" s="362"/>
      <c r="O32" s="362"/>
      <c r="P32" s="363"/>
      <c r="Q32" s="364"/>
      <c r="R32" s="364" t="str">
        <f t="shared" si="21"/>
        <v>No</v>
      </c>
      <c r="S32" s="364"/>
      <c r="T32" s="365"/>
      <c r="U32" s="366"/>
    </row>
    <row r="33">
      <c r="A33" s="367"/>
      <c r="B33" s="355"/>
      <c r="C33" s="355" t="str">
        <f t="shared" si="19"/>
        <v>No</v>
      </c>
      <c r="D33" s="362"/>
      <c r="E33" s="357" t="str">
        <f t="shared" si="20"/>
        <v>#DIV/0!</v>
      </c>
      <c r="F33" s="355"/>
      <c r="G33" s="368"/>
      <c r="H33" s="359"/>
      <c r="I33" s="361"/>
      <c r="J33" s="359"/>
      <c r="K33" s="359"/>
      <c r="L33" s="362"/>
      <c r="M33" s="362"/>
      <c r="N33" s="362"/>
      <c r="O33" s="362"/>
      <c r="P33" s="363"/>
      <c r="Q33" s="364"/>
      <c r="R33" s="364" t="str">
        <f t="shared" si="21"/>
        <v>No</v>
      </c>
      <c r="S33" s="364"/>
      <c r="T33" s="365"/>
      <c r="U33" s="366"/>
    </row>
    <row r="34">
      <c r="A34" s="369" t="s">
        <v>82</v>
      </c>
      <c r="B34" s="370"/>
      <c r="C34" s="370"/>
      <c r="D34" s="371">
        <f>sum(D30:D33)</f>
        <v>112025</v>
      </c>
      <c r="E34" s="357">
        <f t="shared" si="20"/>
        <v>0.5245844065</v>
      </c>
      <c r="F34" s="370">
        <f t="shared" ref="F34:G34" si="22">sum(F30:F33)</f>
        <v>0</v>
      </c>
      <c r="G34" s="370">
        <f t="shared" si="22"/>
        <v>0</v>
      </c>
      <c r="H34" s="370"/>
      <c r="I34" s="370">
        <f t="shared" ref="I34:K34" si="23">sum(I30:I33)</f>
        <v>19</v>
      </c>
      <c r="J34" s="370">
        <f t="shared" si="23"/>
        <v>0</v>
      </c>
      <c r="K34" s="370">
        <f t="shared" si="23"/>
        <v>0.3739145726</v>
      </c>
      <c r="L34" s="371"/>
      <c r="M34" s="371"/>
      <c r="N34" s="371">
        <f t="shared" ref="N34:O34" si="24">sum(N30:N33)</f>
        <v>213550</v>
      </c>
      <c r="O34" s="371">
        <f t="shared" si="24"/>
        <v>0</v>
      </c>
      <c r="P34" s="372"/>
      <c r="Q34" s="373"/>
      <c r="R34" s="373"/>
      <c r="S34" s="373"/>
      <c r="T34" s="372">
        <f t="shared" ref="T34:U34" si="25">sum(T30:T33)</f>
        <v>0</v>
      </c>
      <c r="U34" s="372">
        <f t="shared" si="25"/>
        <v>0</v>
      </c>
    </row>
    <row r="36">
      <c r="A36" s="374" t="s">
        <v>351</v>
      </c>
      <c r="B36" s="375"/>
      <c r="C36" s="375"/>
      <c r="D36" s="375"/>
      <c r="E36" s="229"/>
      <c r="F36" s="375" t="s">
        <v>308</v>
      </c>
      <c r="G36" s="375"/>
      <c r="H36" s="229"/>
      <c r="I36" s="229"/>
      <c r="J36" s="229"/>
      <c r="K36" s="375"/>
      <c r="L36" s="376"/>
      <c r="M36" s="376"/>
      <c r="N36" s="376"/>
      <c r="O36" s="375"/>
      <c r="P36" s="229"/>
      <c r="Q36" s="375"/>
      <c r="R36" s="375"/>
      <c r="S36" s="375"/>
      <c r="T36" s="375"/>
      <c r="U36" s="377"/>
    </row>
    <row r="37">
      <c r="A37" s="378" t="s">
        <v>309</v>
      </c>
      <c r="B37" s="379" t="s">
        <v>310</v>
      </c>
      <c r="C37" s="379" t="s">
        <v>311</v>
      </c>
      <c r="D37" s="379" t="s">
        <v>312</v>
      </c>
      <c r="E37" s="379" t="s">
        <v>313</v>
      </c>
      <c r="F37" s="380" t="s">
        <v>346</v>
      </c>
      <c r="G37" s="380" t="s">
        <v>315</v>
      </c>
      <c r="H37" s="379" t="s">
        <v>316</v>
      </c>
      <c r="I37" s="379" t="s">
        <v>317</v>
      </c>
      <c r="J37" s="379" t="s">
        <v>347</v>
      </c>
      <c r="K37" s="379" t="s">
        <v>319</v>
      </c>
      <c r="L37" s="379" t="s">
        <v>334</v>
      </c>
      <c r="M37" s="381" t="s">
        <v>335</v>
      </c>
      <c r="N37" s="379" t="s">
        <v>349</v>
      </c>
      <c r="O37" s="380" t="s">
        <v>323</v>
      </c>
      <c r="P37" s="380" t="s">
        <v>324</v>
      </c>
      <c r="Q37" s="382" t="s">
        <v>336</v>
      </c>
      <c r="R37" s="382" t="s">
        <v>326</v>
      </c>
      <c r="S37" s="380" t="s">
        <v>327</v>
      </c>
      <c r="T37" s="382" t="s">
        <v>328</v>
      </c>
      <c r="U37" s="383" t="s">
        <v>329</v>
      </c>
    </row>
    <row r="38">
      <c r="A38" s="384" t="s">
        <v>59</v>
      </c>
      <c r="B38" s="385" t="s">
        <v>331</v>
      </c>
      <c r="C38" s="386" t="str">
        <f t="shared" ref="C38:C41" si="26">IF(B38&gt;3,"Yes","No")</f>
        <v>Yes</v>
      </c>
      <c r="D38" s="387">
        <v>331308.0</v>
      </c>
      <c r="E38" s="388">
        <f t="shared" ref="E38:E42" si="27">D38/N38</f>
        <v>0.4882767768</v>
      </c>
      <c r="F38" s="386"/>
      <c r="G38" s="389"/>
      <c r="H38" s="390"/>
      <c r="I38" s="391">
        <v>20315.0</v>
      </c>
      <c r="J38" s="390"/>
      <c r="K38" s="392">
        <f>(I38*2204.62)/D38</f>
        <v>135.1819313</v>
      </c>
      <c r="L38" s="392">
        <f>K38/2204.62</f>
        <v>0.06131756553</v>
      </c>
      <c r="M38" s="393"/>
      <c r="N38" s="393">
        <f>678525</f>
        <v>678525</v>
      </c>
      <c r="O38" s="393"/>
      <c r="P38" s="394">
        <v>3.0</v>
      </c>
      <c r="Q38" s="395"/>
      <c r="R38" s="395" t="str">
        <f t="shared" ref="R38:R41" si="28">IF(P38&gt;3,"Yes","No")</f>
        <v>No</v>
      </c>
      <c r="S38" s="395"/>
      <c r="T38" s="396"/>
      <c r="U38" s="397"/>
    </row>
    <row r="39">
      <c r="A39" s="398"/>
      <c r="B39" s="386"/>
      <c r="C39" s="386" t="str">
        <f t="shared" si="26"/>
        <v>No</v>
      </c>
      <c r="D39" s="393"/>
      <c r="E39" s="388" t="str">
        <f t="shared" si="27"/>
        <v>#DIV/0!</v>
      </c>
      <c r="F39" s="386"/>
      <c r="G39" s="399"/>
      <c r="H39" s="390"/>
      <c r="I39" s="390"/>
      <c r="J39" s="390"/>
      <c r="K39" s="392"/>
      <c r="L39" s="392"/>
      <c r="M39" s="393"/>
      <c r="N39" s="393"/>
      <c r="O39" s="393"/>
      <c r="P39" s="400"/>
      <c r="Q39" s="395"/>
      <c r="R39" s="395" t="str">
        <f t="shared" si="28"/>
        <v>No</v>
      </c>
      <c r="S39" s="395"/>
      <c r="T39" s="396"/>
      <c r="U39" s="397"/>
    </row>
    <row r="40">
      <c r="A40" s="398"/>
      <c r="B40" s="386"/>
      <c r="C40" s="386" t="str">
        <f t="shared" si="26"/>
        <v>No</v>
      </c>
      <c r="D40" s="393"/>
      <c r="E40" s="388" t="str">
        <f t="shared" si="27"/>
        <v>#DIV/0!</v>
      </c>
      <c r="F40" s="386"/>
      <c r="G40" s="399"/>
      <c r="H40" s="390"/>
      <c r="I40" s="390"/>
      <c r="J40" s="390"/>
      <c r="K40" s="392"/>
      <c r="L40" s="392"/>
      <c r="M40" s="393"/>
      <c r="N40" s="393"/>
      <c r="O40" s="393"/>
      <c r="P40" s="400"/>
      <c r="Q40" s="395"/>
      <c r="R40" s="395" t="str">
        <f t="shared" si="28"/>
        <v>No</v>
      </c>
      <c r="S40" s="395"/>
      <c r="T40" s="396"/>
      <c r="U40" s="397"/>
    </row>
    <row r="41">
      <c r="A41" s="398"/>
      <c r="B41" s="386"/>
      <c r="C41" s="386" t="str">
        <f t="shared" si="26"/>
        <v>No</v>
      </c>
      <c r="D41" s="393"/>
      <c r="E41" s="388" t="str">
        <f t="shared" si="27"/>
        <v>#DIV/0!</v>
      </c>
      <c r="F41" s="386"/>
      <c r="G41" s="399"/>
      <c r="H41" s="390"/>
      <c r="I41" s="390"/>
      <c r="J41" s="390"/>
      <c r="K41" s="392"/>
      <c r="L41" s="392"/>
      <c r="M41" s="393"/>
      <c r="N41" s="393"/>
      <c r="O41" s="393"/>
      <c r="P41" s="400"/>
      <c r="Q41" s="395"/>
      <c r="R41" s="395" t="str">
        <f t="shared" si="28"/>
        <v>No</v>
      </c>
      <c r="S41" s="395"/>
      <c r="T41" s="396"/>
      <c r="U41" s="397"/>
    </row>
    <row r="42">
      <c r="A42" s="401" t="s">
        <v>82</v>
      </c>
      <c r="B42" s="402"/>
      <c r="C42" s="402"/>
      <c r="D42" s="403">
        <f>sum(D38:D41)</f>
        <v>331308</v>
      </c>
      <c r="E42" s="388">
        <f t="shared" si="27"/>
        <v>0.4882767768</v>
      </c>
      <c r="F42" s="403">
        <f t="shared" ref="F42:G42" si="29">sum(F38:F41)</f>
        <v>0</v>
      </c>
      <c r="G42" s="403">
        <f t="shared" si="29"/>
        <v>0</v>
      </c>
      <c r="H42" s="403"/>
      <c r="I42" s="403">
        <f t="shared" ref="I42:K42" si="30">sum(I38:I41)</f>
        <v>20315</v>
      </c>
      <c r="J42" s="403">
        <f t="shared" si="30"/>
        <v>0</v>
      </c>
      <c r="K42" s="404">
        <f t="shared" si="30"/>
        <v>135.1819313</v>
      </c>
      <c r="L42" s="404"/>
      <c r="M42" s="403"/>
      <c r="N42" s="403">
        <f t="shared" ref="N42:O42" si="31">sum(N38:N41)</f>
        <v>678525</v>
      </c>
      <c r="O42" s="403">
        <f t="shared" si="31"/>
        <v>0</v>
      </c>
      <c r="P42" s="405"/>
      <c r="Q42" s="406"/>
      <c r="R42" s="406"/>
      <c r="S42" s="406"/>
      <c r="T42" s="405">
        <f t="shared" ref="T42:U42" si="32">sum(T38:T41)</f>
        <v>0</v>
      </c>
      <c r="U42" s="405">
        <f t="shared" si="32"/>
        <v>0</v>
      </c>
    </row>
    <row r="44">
      <c r="A44" s="407" t="s">
        <v>352</v>
      </c>
      <c r="B44" s="408"/>
      <c r="C44" s="408"/>
      <c r="D44" s="408"/>
      <c r="E44" s="229"/>
      <c r="F44" s="408" t="s">
        <v>308</v>
      </c>
      <c r="G44" s="408"/>
      <c r="H44" s="229"/>
      <c r="I44" s="229"/>
      <c r="J44" s="229"/>
      <c r="K44" s="408"/>
      <c r="L44" s="409"/>
      <c r="M44" s="409"/>
      <c r="N44" s="409"/>
      <c r="O44" s="408"/>
      <c r="P44" s="229"/>
      <c r="Q44" s="408"/>
      <c r="R44" s="408"/>
      <c r="S44" s="408"/>
      <c r="T44" s="408"/>
      <c r="U44" s="410"/>
    </row>
    <row r="45">
      <c r="A45" s="411" t="s">
        <v>309</v>
      </c>
      <c r="B45" s="412" t="s">
        <v>310</v>
      </c>
      <c r="C45" s="412" t="s">
        <v>311</v>
      </c>
      <c r="D45" s="412" t="s">
        <v>312</v>
      </c>
      <c r="E45" s="412" t="s">
        <v>313</v>
      </c>
      <c r="F45" s="413" t="s">
        <v>346</v>
      </c>
      <c r="G45" s="413" t="s">
        <v>315</v>
      </c>
      <c r="H45" s="412" t="s">
        <v>316</v>
      </c>
      <c r="I45" s="412" t="s">
        <v>317</v>
      </c>
      <c r="J45" s="412" t="s">
        <v>347</v>
      </c>
      <c r="K45" s="412" t="s">
        <v>319</v>
      </c>
      <c r="L45" s="412" t="s">
        <v>353</v>
      </c>
      <c r="M45" s="414" t="s">
        <v>335</v>
      </c>
      <c r="N45" s="412" t="s">
        <v>349</v>
      </c>
      <c r="O45" s="413" t="s">
        <v>323</v>
      </c>
      <c r="P45" s="413" t="s">
        <v>324</v>
      </c>
      <c r="Q45" s="415" t="s">
        <v>336</v>
      </c>
      <c r="R45" s="415" t="s">
        <v>326</v>
      </c>
      <c r="S45" s="413" t="s">
        <v>327</v>
      </c>
      <c r="T45" s="415" t="s">
        <v>328</v>
      </c>
      <c r="U45" s="416" t="s">
        <v>329</v>
      </c>
    </row>
    <row r="46">
      <c r="A46" s="417" t="s">
        <v>59</v>
      </c>
      <c r="B46" s="418"/>
      <c r="C46" s="418" t="str">
        <f t="shared" ref="C46:C49" si="33">IF(B46&gt;3,"Yes","No")</f>
        <v>No</v>
      </c>
      <c r="D46" s="419">
        <v>1500000.0</v>
      </c>
      <c r="E46" s="420">
        <f t="shared" ref="E46:E50" si="34">D46/N46</f>
        <v>0.6087909412</v>
      </c>
      <c r="F46" s="418"/>
      <c r="G46" s="421"/>
      <c r="H46" s="422"/>
      <c r="I46" s="423">
        <f>11333408/2204.62</f>
        <v>5140.753509</v>
      </c>
      <c r="J46" s="422"/>
      <c r="K46" s="422"/>
      <c r="L46" s="424">
        <f>I46/D46</f>
        <v>0.003427169006</v>
      </c>
      <c r="M46" s="424"/>
      <c r="N46" s="425">
        <v>2463900.0</v>
      </c>
      <c r="O46" s="424"/>
      <c r="P46" s="426"/>
      <c r="Q46" s="427"/>
      <c r="R46" s="427" t="str">
        <f t="shared" ref="R46:R49" si="35">If(P46&gt;3,"Yes","No")</f>
        <v>No</v>
      </c>
      <c r="S46" s="427"/>
      <c r="T46" s="428">
        <v>6000.0</v>
      </c>
      <c r="U46" s="429"/>
    </row>
    <row r="47">
      <c r="A47" s="430"/>
      <c r="B47" s="418"/>
      <c r="C47" s="418" t="str">
        <f t="shared" si="33"/>
        <v>No</v>
      </c>
      <c r="D47" s="424"/>
      <c r="E47" s="420" t="str">
        <f t="shared" si="34"/>
        <v>#DIV/0!</v>
      </c>
      <c r="F47" s="418"/>
      <c r="G47" s="431"/>
      <c r="H47" s="422"/>
      <c r="I47" s="422"/>
      <c r="J47" s="422"/>
      <c r="K47" s="422"/>
      <c r="L47" s="424"/>
      <c r="M47" s="424"/>
      <c r="N47" s="424"/>
      <c r="O47" s="424"/>
      <c r="P47" s="426"/>
      <c r="Q47" s="427"/>
      <c r="R47" s="427" t="str">
        <f t="shared" si="35"/>
        <v>No</v>
      </c>
      <c r="S47" s="427"/>
      <c r="T47" s="432"/>
      <c r="U47" s="429"/>
    </row>
    <row r="48">
      <c r="A48" s="430"/>
      <c r="B48" s="418"/>
      <c r="C48" s="418" t="str">
        <f t="shared" si="33"/>
        <v>No</v>
      </c>
      <c r="D48" s="424"/>
      <c r="E48" s="420" t="str">
        <f t="shared" si="34"/>
        <v>#DIV/0!</v>
      </c>
      <c r="F48" s="418"/>
      <c r="G48" s="431"/>
      <c r="H48" s="422"/>
      <c r="I48" s="422"/>
      <c r="J48" s="422"/>
      <c r="K48" s="422"/>
      <c r="L48" s="424"/>
      <c r="M48" s="424"/>
      <c r="N48" s="424"/>
      <c r="O48" s="424"/>
      <c r="P48" s="426"/>
      <c r="Q48" s="427"/>
      <c r="R48" s="427" t="str">
        <f t="shared" si="35"/>
        <v>No</v>
      </c>
      <c r="S48" s="427"/>
      <c r="T48" s="432"/>
      <c r="U48" s="429"/>
    </row>
    <row r="49">
      <c r="A49" s="430"/>
      <c r="B49" s="418"/>
      <c r="C49" s="418" t="str">
        <f t="shared" si="33"/>
        <v>No</v>
      </c>
      <c r="D49" s="424"/>
      <c r="E49" s="420" t="str">
        <f t="shared" si="34"/>
        <v>#DIV/0!</v>
      </c>
      <c r="F49" s="418"/>
      <c r="G49" s="431"/>
      <c r="H49" s="422"/>
      <c r="I49" s="422"/>
      <c r="J49" s="422"/>
      <c r="K49" s="422"/>
      <c r="L49" s="424"/>
      <c r="M49" s="424"/>
      <c r="N49" s="424"/>
      <c r="O49" s="424"/>
      <c r="P49" s="426"/>
      <c r="Q49" s="427"/>
      <c r="R49" s="427" t="str">
        <f t="shared" si="35"/>
        <v>No</v>
      </c>
      <c r="S49" s="427"/>
      <c r="T49" s="432"/>
      <c r="U49" s="429"/>
    </row>
    <row r="50">
      <c r="A50" s="433" t="s">
        <v>82</v>
      </c>
      <c r="B50" s="434"/>
      <c r="C50" s="434"/>
      <c r="D50" s="435">
        <f>sum(D46:D49)</f>
        <v>1500000</v>
      </c>
      <c r="E50" s="420">
        <f t="shared" si="34"/>
        <v>0.6087909412</v>
      </c>
      <c r="F50" s="434">
        <f t="shared" ref="F50:G50" si="36">sum(F46:F49)</f>
        <v>0</v>
      </c>
      <c r="G50" s="434">
        <f t="shared" si="36"/>
        <v>0</v>
      </c>
      <c r="H50" s="434"/>
      <c r="I50" s="434">
        <f t="shared" ref="I50:K50" si="37">sum(I46:I49)</f>
        <v>5140.753509</v>
      </c>
      <c r="J50" s="434">
        <f t="shared" si="37"/>
        <v>0</v>
      </c>
      <c r="K50" s="434">
        <f t="shared" si="37"/>
        <v>0</v>
      </c>
      <c r="L50" s="435"/>
      <c r="M50" s="435"/>
      <c r="N50" s="435">
        <f t="shared" ref="N50:O50" si="38">sum(N46:N49)</f>
        <v>2463900</v>
      </c>
      <c r="O50" s="435">
        <f t="shared" si="38"/>
        <v>0</v>
      </c>
      <c r="P50" s="436"/>
      <c r="Q50" s="437"/>
      <c r="R50" s="437"/>
      <c r="S50" s="437"/>
      <c r="T50" s="436">
        <f t="shared" ref="T50:U50" si="39">sum(T46:T48)</f>
        <v>6000</v>
      </c>
      <c r="U50" s="436">
        <f t="shared" si="39"/>
        <v>0</v>
      </c>
    </row>
    <row r="52">
      <c r="A52" s="438" t="s">
        <v>354</v>
      </c>
      <c r="B52" s="439"/>
      <c r="C52" s="439"/>
      <c r="D52" s="439"/>
      <c r="E52" s="229"/>
      <c r="F52" s="439" t="s">
        <v>308</v>
      </c>
      <c r="G52" s="439"/>
      <c r="H52" s="229"/>
      <c r="I52" s="229"/>
      <c r="J52" s="229"/>
      <c r="K52" s="439"/>
      <c r="L52" s="440"/>
      <c r="M52" s="440"/>
      <c r="N52" s="440"/>
      <c r="O52" s="439"/>
      <c r="P52" s="229"/>
      <c r="Q52" s="439"/>
      <c r="R52" s="439"/>
      <c r="S52" s="439"/>
      <c r="T52" s="439"/>
      <c r="U52" s="441"/>
    </row>
    <row r="53">
      <c r="A53" s="442" t="s">
        <v>309</v>
      </c>
      <c r="B53" s="443" t="s">
        <v>310</v>
      </c>
      <c r="C53" s="443" t="s">
        <v>311</v>
      </c>
      <c r="D53" s="443" t="s">
        <v>312</v>
      </c>
      <c r="E53" s="443" t="s">
        <v>313</v>
      </c>
      <c r="F53" s="444" t="s">
        <v>346</v>
      </c>
      <c r="G53" s="444" t="s">
        <v>315</v>
      </c>
      <c r="H53" s="443" t="s">
        <v>316</v>
      </c>
      <c r="I53" s="443" t="s">
        <v>317</v>
      </c>
      <c r="J53" s="443" t="s">
        <v>347</v>
      </c>
      <c r="K53" s="443" t="s">
        <v>319</v>
      </c>
      <c r="L53" s="443" t="s">
        <v>334</v>
      </c>
      <c r="M53" s="445" t="s">
        <v>335</v>
      </c>
      <c r="N53" s="443" t="s">
        <v>349</v>
      </c>
      <c r="O53" s="444" t="s">
        <v>323</v>
      </c>
      <c r="P53" s="444" t="s">
        <v>324</v>
      </c>
      <c r="Q53" s="446" t="s">
        <v>336</v>
      </c>
      <c r="R53" s="446" t="s">
        <v>326</v>
      </c>
      <c r="S53" s="444" t="s">
        <v>327</v>
      </c>
      <c r="T53" s="446" t="s">
        <v>328</v>
      </c>
      <c r="U53" s="447" t="s">
        <v>329</v>
      </c>
    </row>
    <row r="54">
      <c r="A54" s="448" t="s">
        <v>330</v>
      </c>
      <c r="B54" s="449" t="s">
        <v>331</v>
      </c>
      <c r="C54" s="449" t="s">
        <v>331</v>
      </c>
      <c r="D54" s="450">
        <v>1500000.0</v>
      </c>
      <c r="E54" s="451">
        <f t="shared" ref="E54:E58" si="40">D54/N54</f>
        <v>0.07697268681</v>
      </c>
      <c r="F54" s="452"/>
      <c r="G54" s="453"/>
      <c r="H54" s="454"/>
      <c r="I54" s="455">
        <v>175000.0</v>
      </c>
      <c r="J54" s="454"/>
      <c r="K54" s="456">
        <f>(I54*S54)*2204.62/D54</f>
        <v>3086.468</v>
      </c>
      <c r="L54" s="456">
        <f>K54/2204.62</f>
        <v>1.4</v>
      </c>
      <c r="M54" s="457">
        <f>N54/(I54*S54)</f>
        <v>9.279729524</v>
      </c>
      <c r="N54" s="450">
        <v>1.9487432E7</v>
      </c>
      <c r="O54" s="457"/>
      <c r="P54" s="458"/>
      <c r="Q54" s="459"/>
      <c r="R54" s="459" t="str">
        <f t="shared" ref="R54:R57" si="41">IF(P54&gt;3,"Yes","No")</f>
        <v>No</v>
      </c>
      <c r="S54" s="460">
        <v>12.0</v>
      </c>
      <c r="T54" s="461"/>
      <c r="U54" s="462"/>
    </row>
    <row r="55">
      <c r="A55" s="463"/>
      <c r="B55" s="452"/>
      <c r="C55" s="452" t="str">
        <f t="shared" ref="C55:C57" si="42">IF(B55&gt;3,"Yes","No")</f>
        <v>No</v>
      </c>
      <c r="D55" s="457"/>
      <c r="E55" s="451" t="str">
        <f t="shared" si="40"/>
        <v>#DIV/0!</v>
      </c>
      <c r="F55" s="452"/>
      <c r="G55" s="464"/>
      <c r="H55" s="454"/>
      <c r="I55" s="456"/>
      <c r="J55" s="454"/>
      <c r="K55" s="456"/>
      <c r="L55" s="456"/>
      <c r="M55" s="457"/>
      <c r="N55" s="457"/>
      <c r="O55" s="457"/>
      <c r="P55" s="458"/>
      <c r="Q55" s="459"/>
      <c r="R55" s="459" t="str">
        <f t="shared" si="41"/>
        <v>No</v>
      </c>
      <c r="S55" s="459"/>
      <c r="T55" s="461"/>
      <c r="U55" s="462"/>
    </row>
    <row r="56">
      <c r="A56" s="463"/>
      <c r="B56" s="452"/>
      <c r="C56" s="452" t="str">
        <f t="shared" si="42"/>
        <v>No</v>
      </c>
      <c r="D56" s="457"/>
      <c r="E56" s="451" t="str">
        <f t="shared" si="40"/>
        <v>#DIV/0!</v>
      </c>
      <c r="F56" s="452"/>
      <c r="G56" s="464"/>
      <c r="H56" s="454"/>
      <c r="I56" s="456"/>
      <c r="J56" s="454"/>
      <c r="K56" s="456"/>
      <c r="L56" s="456"/>
      <c r="M56" s="457"/>
      <c r="N56" s="457"/>
      <c r="O56" s="457"/>
      <c r="P56" s="458"/>
      <c r="Q56" s="459"/>
      <c r="R56" s="459" t="str">
        <f t="shared" si="41"/>
        <v>No</v>
      </c>
      <c r="S56" s="459"/>
      <c r="T56" s="461"/>
      <c r="U56" s="462"/>
    </row>
    <row r="57">
      <c r="A57" s="463"/>
      <c r="B57" s="452"/>
      <c r="C57" s="452" t="str">
        <f t="shared" si="42"/>
        <v>No</v>
      </c>
      <c r="D57" s="457"/>
      <c r="E57" s="451" t="str">
        <f t="shared" si="40"/>
        <v>#DIV/0!</v>
      </c>
      <c r="F57" s="452"/>
      <c r="G57" s="464"/>
      <c r="H57" s="454"/>
      <c r="I57" s="456"/>
      <c r="J57" s="454"/>
      <c r="K57" s="456"/>
      <c r="L57" s="456"/>
      <c r="M57" s="457"/>
      <c r="N57" s="457"/>
      <c r="O57" s="457"/>
      <c r="P57" s="458"/>
      <c r="Q57" s="459"/>
      <c r="R57" s="459" t="str">
        <f t="shared" si="41"/>
        <v>No</v>
      </c>
      <c r="S57" s="459"/>
      <c r="T57" s="461"/>
      <c r="U57" s="462"/>
    </row>
    <row r="58">
      <c r="A58" s="465" t="s">
        <v>82</v>
      </c>
      <c r="B58" s="466"/>
      <c r="C58" s="466"/>
      <c r="D58" s="467">
        <f>sum(D54:D56)</f>
        <v>1500000</v>
      </c>
      <c r="E58" s="451">
        <f t="shared" si="40"/>
        <v>0.07697268681</v>
      </c>
      <c r="F58" s="466">
        <f t="shared" ref="F58:G58" si="43">sum(F54:F56)</f>
        <v>0</v>
      </c>
      <c r="G58" s="466">
        <f t="shared" si="43"/>
        <v>0</v>
      </c>
      <c r="H58" s="466"/>
      <c r="I58" s="468">
        <f t="shared" ref="I58:K58" si="44">sum(I54:I56)</f>
        <v>175000</v>
      </c>
      <c r="J58" s="466">
        <f t="shared" si="44"/>
        <v>0</v>
      </c>
      <c r="K58" s="468">
        <f t="shared" si="44"/>
        <v>3086.468</v>
      </c>
      <c r="L58" s="468"/>
      <c r="M58" s="467">
        <f>sum(M54:M57)</f>
        <v>9.279729524</v>
      </c>
      <c r="N58" s="467">
        <f t="shared" ref="N58:O58" si="45">sum(N54:N56)</f>
        <v>19487432</v>
      </c>
      <c r="O58" s="467">
        <f t="shared" si="45"/>
        <v>0</v>
      </c>
      <c r="P58" s="469"/>
      <c r="Q58" s="470"/>
      <c r="R58" s="470"/>
      <c r="S58" s="470"/>
      <c r="T58" s="469">
        <f t="shared" ref="T58:U58" si="46">sum(T54:T57)</f>
        <v>0</v>
      </c>
      <c r="U58" s="471">
        <f t="shared" si="46"/>
        <v>0</v>
      </c>
    </row>
    <row r="60">
      <c r="A60" s="227" t="s">
        <v>333</v>
      </c>
      <c r="B60" s="228"/>
      <c r="C60" s="228"/>
      <c r="D60" s="228"/>
      <c r="E60" s="229"/>
      <c r="F60" s="228" t="s">
        <v>308</v>
      </c>
      <c r="G60" s="228"/>
      <c r="H60" s="229"/>
      <c r="I60" s="229"/>
      <c r="J60" s="229"/>
      <c r="K60" s="228"/>
      <c r="L60" s="230"/>
      <c r="M60" s="230"/>
      <c r="N60" s="230"/>
      <c r="O60" s="228"/>
      <c r="P60" s="229"/>
      <c r="Q60" s="228"/>
      <c r="R60" s="228"/>
      <c r="S60" s="228"/>
      <c r="T60" s="228"/>
      <c r="U60" s="231"/>
    </row>
    <row r="61">
      <c r="A61" s="232" t="s">
        <v>309</v>
      </c>
      <c r="B61" s="233" t="s">
        <v>310</v>
      </c>
      <c r="C61" s="233" t="s">
        <v>311</v>
      </c>
      <c r="D61" s="233" t="s">
        <v>312</v>
      </c>
      <c r="E61" s="233" t="s">
        <v>313</v>
      </c>
      <c r="F61" s="234" t="s">
        <v>346</v>
      </c>
      <c r="G61" s="234" t="s">
        <v>315</v>
      </c>
      <c r="H61" s="233"/>
      <c r="I61" s="233" t="s">
        <v>317</v>
      </c>
      <c r="J61" s="233" t="s">
        <v>347</v>
      </c>
      <c r="K61" s="233" t="s">
        <v>319</v>
      </c>
      <c r="L61" s="233" t="s">
        <v>334</v>
      </c>
      <c r="M61" s="236" t="s">
        <v>335</v>
      </c>
      <c r="N61" s="233" t="s">
        <v>349</v>
      </c>
      <c r="O61" s="234" t="s">
        <v>323</v>
      </c>
      <c r="P61" s="234" t="s">
        <v>324</v>
      </c>
      <c r="Q61" s="472" t="s">
        <v>336</v>
      </c>
      <c r="R61" s="472" t="s">
        <v>326</v>
      </c>
      <c r="S61" s="234" t="s">
        <v>327</v>
      </c>
      <c r="T61" s="472" t="s">
        <v>328</v>
      </c>
      <c r="U61" s="473" t="s">
        <v>329</v>
      </c>
    </row>
    <row r="62">
      <c r="A62" s="239" t="s">
        <v>355</v>
      </c>
      <c r="B62" s="243"/>
      <c r="C62" s="243" t="str">
        <f t="shared" ref="C62:C65" si="47">IF(B62&gt;3,"Yes","No")</f>
        <v>No</v>
      </c>
      <c r="D62" s="254"/>
      <c r="E62" s="242" t="str">
        <f t="shared" ref="E62:E66" si="48">D62/N62</f>
        <v>#DIV/0!</v>
      </c>
      <c r="F62" s="243"/>
      <c r="G62" s="474"/>
      <c r="H62" s="260"/>
      <c r="I62" s="260"/>
      <c r="J62" s="260"/>
      <c r="K62" s="260"/>
      <c r="L62" s="254"/>
      <c r="M62" s="254"/>
      <c r="N62" s="254"/>
      <c r="O62" s="254"/>
      <c r="P62" s="261"/>
      <c r="Q62" s="256"/>
      <c r="R62" s="256" t="str">
        <f t="shared" ref="R62:R65" si="49">IF(P62&gt;3,"Yes","No")</f>
        <v>No</v>
      </c>
      <c r="S62" s="256"/>
      <c r="T62" s="262"/>
      <c r="U62" s="263"/>
    </row>
    <row r="63">
      <c r="A63" s="258"/>
      <c r="B63" s="243"/>
      <c r="C63" s="243" t="str">
        <f t="shared" si="47"/>
        <v>No</v>
      </c>
      <c r="D63" s="254"/>
      <c r="E63" s="242" t="str">
        <f t="shared" si="48"/>
        <v>#DIV/0!</v>
      </c>
      <c r="F63" s="243"/>
      <c r="G63" s="259"/>
      <c r="H63" s="260"/>
      <c r="I63" s="260"/>
      <c r="J63" s="260"/>
      <c r="K63" s="260"/>
      <c r="L63" s="254"/>
      <c r="M63" s="254"/>
      <c r="N63" s="254"/>
      <c r="O63" s="254"/>
      <c r="P63" s="261"/>
      <c r="Q63" s="256"/>
      <c r="R63" s="256" t="str">
        <f t="shared" si="49"/>
        <v>No</v>
      </c>
      <c r="S63" s="256"/>
      <c r="T63" s="262"/>
      <c r="U63" s="263"/>
    </row>
    <row r="64">
      <c r="A64" s="258"/>
      <c r="B64" s="243"/>
      <c r="C64" s="243" t="str">
        <f t="shared" si="47"/>
        <v>No</v>
      </c>
      <c r="D64" s="254"/>
      <c r="E64" s="242" t="str">
        <f t="shared" si="48"/>
        <v>#DIV/0!</v>
      </c>
      <c r="F64" s="243"/>
      <c r="G64" s="259"/>
      <c r="H64" s="260"/>
      <c r="I64" s="260"/>
      <c r="J64" s="260"/>
      <c r="K64" s="260"/>
      <c r="L64" s="254"/>
      <c r="M64" s="254"/>
      <c r="N64" s="254"/>
      <c r="O64" s="254"/>
      <c r="P64" s="261"/>
      <c r="Q64" s="256"/>
      <c r="R64" s="256" t="str">
        <f t="shared" si="49"/>
        <v>No</v>
      </c>
      <c r="S64" s="256"/>
      <c r="T64" s="262"/>
      <c r="U64" s="263"/>
    </row>
    <row r="65">
      <c r="A65" s="258"/>
      <c r="B65" s="243"/>
      <c r="C65" s="243" t="str">
        <f t="shared" si="47"/>
        <v>No</v>
      </c>
      <c r="D65" s="254"/>
      <c r="E65" s="242" t="str">
        <f t="shared" si="48"/>
        <v>#DIV/0!</v>
      </c>
      <c r="F65" s="243"/>
      <c r="G65" s="259"/>
      <c r="H65" s="260"/>
      <c r="I65" s="260"/>
      <c r="J65" s="260"/>
      <c r="K65" s="260"/>
      <c r="L65" s="254"/>
      <c r="M65" s="254"/>
      <c r="N65" s="254"/>
      <c r="O65" s="254"/>
      <c r="P65" s="261"/>
      <c r="Q65" s="256"/>
      <c r="R65" s="256" t="str">
        <f t="shared" si="49"/>
        <v>No</v>
      </c>
      <c r="S65" s="256"/>
      <c r="T65" s="262"/>
      <c r="U65" s="263"/>
    </row>
    <row r="66">
      <c r="A66" s="264" t="s">
        <v>82</v>
      </c>
      <c r="B66" s="265"/>
      <c r="C66" s="265"/>
      <c r="D66" s="266">
        <f>sum(D62:D65)</f>
        <v>0</v>
      </c>
      <c r="E66" s="242" t="str">
        <f t="shared" si="48"/>
        <v>#DIV/0!</v>
      </c>
      <c r="F66" s="265">
        <f t="shared" ref="F66:G66" si="50">sum(F62:F65)</f>
        <v>0</v>
      </c>
      <c r="G66" s="265">
        <f t="shared" si="50"/>
        <v>0</v>
      </c>
      <c r="H66" s="265"/>
      <c r="I66" s="265">
        <f t="shared" ref="I66:K66" si="51">sum(I62:I65)</f>
        <v>0</v>
      </c>
      <c r="J66" s="265">
        <f t="shared" si="51"/>
        <v>0</v>
      </c>
      <c r="K66" s="265">
        <f t="shared" si="51"/>
        <v>0</v>
      </c>
      <c r="L66" s="266"/>
      <c r="M66" s="266"/>
      <c r="N66" s="266">
        <f t="shared" ref="N66:O66" si="52">sum(N62:N65)</f>
        <v>0</v>
      </c>
      <c r="O66" s="266">
        <f t="shared" si="52"/>
        <v>0</v>
      </c>
      <c r="P66" s="270"/>
      <c r="Q66" s="271"/>
      <c r="R66" s="271"/>
      <c r="S66" s="271"/>
      <c r="T66" s="270">
        <f t="shared" ref="T66:U66" si="53">sum(T62:T65)</f>
        <v>0</v>
      </c>
      <c r="U66" s="270">
        <f t="shared" si="53"/>
        <v>0</v>
      </c>
    </row>
    <row r="68">
      <c r="A68" s="475" t="s">
        <v>333</v>
      </c>
      <c r="B68" s="476"/>
      <c r="C68" s="476"/>
      <c r="D68" s="476"/>
      <c r="E68" s="476"/>
      <c r="F68" s="475" t="s">
        <v>308</v>
      </c>
      <c r="G68" s="476"/>
      <c r="H68" s="476"/>
      <c r="I68" s="476"/>
      <c r="J68" s="476"/>
      <c r="K68" s="476"/>
      <c r="L68" s="476"/>
      <c r="M68" s="476"/>
      <c r="N68" s="476"/>
      <c r="O68" s="476"/>
      <c r="P68" s="476"/>
      <c r="Q68" s="476"/>
      <c r="R68" s="476"/>
      <c r="S68" s="476"/>
      <c r="T68" s="477"/>
      <c r="U68" s="231"/>
    </row>
    <row r="69">
      <c r="A69" s="478" t="s">
        <v>309</v>
      </c>
      <c r="B69" s="479" t="s">
        <v>310</v>
      </c>
      <c r="C69" s="479" t="s">
        <v>311</v>
      </c>
      <c r="D69" s="479" t="s">
        <v>312</v>
      </c>
      <c r="E69" s="479" t="s">
        <v>313</v>
      </c>
      <c r="F69" s="479" t="s">
        <v>314</v>
      </c>
      <c r="G69" s="479" t="s">
        <v>315</v>
      </c>
      <c r="H69" s="479" t="s">
        <v>316</v>
      </c>
      <c r="I69" s="479" t="s">
        <v>317</v>
      </c>
      <c r="J69" s="479" t="s">
        <v>318</v>
      </c>
      <c r="K69" s="479" t="s">
        <v>356</v>
      </c>
      <c r="L69" s="480" t="s">
        <v>322</v>
      </c>
      <c r="M69" s="480" t="s">
        <v>323</v>
      </c>
      <c r="N69" s="479" t="s">
        <v>324</v>
      </c>
      <c r="O69" s="479" t="s">
        <v>336</v>
      </c>
      <c r="P69" s="479" t="s">
        <v>326</v>
      </c>
      <c r="Q69" s="479" t="s">
        <v>327</v>
      </c>
      <c r="R69" s="479" t="s">
        <v>357</v>
      </c>
      <c r="S69" s="479" t="s">
        <v>328</v>
      </c>
      <c r="T69" s="481" t="s">
        <v>329</v>
      </c>
      <c r="U69" s="473" t="s">
        <v>329</v>
      </c>
    </row>
    <row r="70">
      <c r="A70" s="482" t="s">
        <v>358</v>
      </c>
      <c r="B70" s="483" t="s">
        <v>331</v>
      </c>
      <c r="C70" s="483" t="s">
        <v>332</v>
      </c>
      <c r="D70" s="484">
        <v>1500000.0</v>
      </c>
      <c r="E70" s="485">
        <v>0.0712</v>
      </c>
      <c r="F70" s="483">
        <v>747746.0</v>
      </c>
      <c r="G70" s="486">
        <v>593535.0</v>
      </c>
      <c r="H70" s="485">
        <v>0.7938</v>
      </c>
      <c r="I70" s="486">
        <v>31339.0</v>
      </c>
      <c r="J70" s="486">
        <v>15.0</v>
      </c>
      <c r="K70" s="487">
        <v>46.08</v>
      </c>
      <c r="L70" s="484">
        <v>2.1052659E7</v>
      </c>
      <c r="M70" s="484" t="s">
        <v>359</v>
      </c>
      <c r="N70" s="488">
        <v>8.0</v>
      </c>
      <c r="O70" s="489">
        <v>5688316.0</v>
      </c>
      <c r="P70" s="490" t="s">
        <v>332</v>
      </c>
      <c r="Q70" s="491">
        <v>35.0</v>
      </c>
      <c r="R70" s="492" t="s">
        <v>332</v>
      </c>
      <c r="S70" s="493">
        <v>4.7809104E7</v>
      </c>
      <c r="T70" s="494" t="s">
        <v>331</v>
      </c>
      <c r="U70" s="263"/>
    </row>
    <row r="71">
      <c r="A71" s="495"/>
      <c r="B71" s="496"/>
      <c r="C71" s="483" t="s">
        <v>343</v>
      </c>
      <c r="D71" s="497"/>
      <c r="E71" s="498" t="e">
        <v>#DIV/0!</v>
      </c>
      <c r="F71" s="496"/>
      <c r="G71" s="499"/>
      <c r="H71" s="500"/>
      <c r="I71" s="501"/>
      <c r="J71" s="501"/>
      <c r="K71" s="502"/>
      <c r="L71" s="497"/>
      <c r="M71" s="497"/>
      <c r="N71" s="503"/>
      <c r="O71" s="504"/>
      <c r="P71" s="490" t="s">
        <v>343</v>
      </c>
      <c r="Q71" s="505"/>
      <c r="R71" s="492" t="s">
        <v>343</v>
      </c>
      <c r="S71" s="501"/>
      <c r="T71" s="506"/>
      <c r="U71" s="263"/>
    </row>
    <row r="72">
      <c r="A72" s="507"/>
      <c r="B72" s="508"/>
      <c r="C72" s="483" t="s">
        <v>343</v>
      </c>
      <c r="D72" s="509"/>
      <c r="E72" s="498" t="e">
        <v>#DIV/0!</v>
      </c>
      <c r="F72" s="508"/>
      <c r="G72" s="510"/>
      <c r="H72" s="511"/>
      <c r="I72" s="511"/>
      <c r="J72" s="511"/>
      <c r="K72" s="511"/>
      <c r="L72" s="509"/>
      <c r="M72" s="509"/>
      <c r="N72" s="512"/>
      <c r="O72" s="509"/>
      <c r="P72" s="490" t="s">
        <v>343</v>
      </c>
      <c r="Q72" s="513"/>
      <c r="R72" s="492" t="s">
        <v>343</v>
      </c>
      <c r="S72" s="513"/>
      <c r="T72" s="514"/>
      <c r="U72" s="263"/>
    </row>
    <row r="73">
      <c r="A73" s="507"/>
      <c r="B73" s="508"/>
      <c r="C73" s="483" t="s">
        <v>343</v>
      </c>
      <c r="D73" s="509"/>
      <c r="E73" s="498" t="e">
        <v>#DIV/0!</v>
      </c>
      <c r="F73" s="508"/>
      <c r="G73" s="510"/>
      <c r="H73" s="511"/>
      <c r="I73" s="511"/>
      <c r="J73" s="511"/>
      <c r="K73" s="511"/>
      <c r="L73" s="509"/>
      <c r="M73" s="509"/>
      <c r="N73" s="512"/>
      <c r="O73" s="509"/>
      <c r="P73" s="490" t="s">
        <v>343</v>
      </c>
      <c r="Q73" s="513"/>
      <c r="R73" s="492" t="s">
        <v>343</v>
      </c>
      <c r="S73" s="513"/>
      <c r="T73" s="514"/>
      <c r="U73" s="263"/>
    </row>
    <row r="74">
      <c r="A74" s="515" t="s">
        <v>82</v>
      </c>
      <c r="B74" s="516"/>
      <c r="C74" s="516"/>
      <c r="D74" s="517">
        <v>1500000.0</v>
      </c>
      <c r="E74" s="485">
        <v>0.0712</v>
      </c>
      <c r="F74" s="518">
        <v>747746.0</v>
      </c>
      <c r="G74" s="518">
        <v>593535.0</v>
      </c>
      <c r="H74" s="519">
        <v>0.7938</v>
      </c>
      <c r="I74" s="518">
        <v>31339.0</v>
      </c>
      <c r="J74" s="520">
        <v>15.0</v>
      </c>
      <c r="K74" s="517">
        <v>46.08</v>
      </c>
      <c r="L74" s="517">
        <v>2.1052659E7</v>
      </c>
      <c r="M74" s="517">
        <v>0.0</v>
      </c>
      <c r="N74" s="521"/>
      <c r="O74" s="522"/>
      <c r="P74" s="521"/>
      <c r="Q74" s="523"/>
      <c r="R74" s="524"/>
      <c r="S74" s="525">
        <v>4.7809104E7</v>
      </c>
      <c r="T74" s="525">
        <v>0.0</v>
      </c>
      <c r="U74" s="270">
        <f>sum(U70:U73)</f>
        <v>0</v>
      </c>
    </row>
    <row r="76">
      <c r="A76" s="272" t="s">
        <v>360</v>
      </c>
      <c r="B76" s="526"/>
      <c r="C76" s="526"/>
      <c r="D76" s="526"/>
      <c r="E76" s="526"/>
      <c r="F76" s="272" t="s">
        <v>308</v>
      </c>
      <c r="G76" s="526"/>
      <c r="H76" s="526"/>
      <c r="I76" s="526"/>
      <c r="J76" s="526"/>
      <c r="K76" s="526"/>
      <c r="L76" s="526"/>
      <c r="M76" s="526"/>
      <c r="N76" s="526"/>
      <c r="O76" s="526"/>
      <c r="P76" s="526"/>
      <c r="Q76" s="526"/>
      <c r="R76" s="526"/>
      <c r="S76" s="526"/>
      <c r="T76" s="527"/>
    </row>
    <row r="77">
      <c r="A77" s="528" t="s">
        <v>309</v>
      </c>
      <c r="B77" s="529" t="s">
        <v>310</v>
      </c>
      <c r="C77" s="529" t="s">
        <v>311</v>
      </c>
      <c r="D77" s="529" t="s">
        <v>312</v>
      </c>
      <c r="E77" s="529" t="s">
        <v>313</v>
      </c>
      <c r="F77" s="529" t="s">
        <v>314</v>
      </c>
      <c r="G77" s="529" t="s">
        <v>315</v>
      </c>
      <c r="H77" s="529" t="s">
        <v>316</v>
      </c>
      <c r="I77" s="529" t="s">
        <v>317</v>
      </c>
      <c r="J77" s="529" t="s">
        <v>318</v>
      </c>
      <c r="K77" s="529" t="s">
        <v>356</v>
      </c>
      <c r="L77" s="529" t="s">
        <v>322</v>
      </c>
      <c r="M77" s="529" t="s">
        <v>323</v>
      </c>
      <c r="N77" s="529" t="s">
        <v>324</v>
      </c>
      <c r="O77" s="529" t="s">
        <v>325</v>
      </c>
      <c r="P77" s="529" t="s">
        <v>326</v>
      </c>
      <c r="Q77" s="529" t="s">
        <v>327</v>
      </c>
      <c r="R77" s="529" t="s">
        <v>357</v>
      </c>
      <c r="S77" s="529" t="s">
        <v>328</v>
      </c>
      <c r="T77" s="530" t="s">
        <v>329</v>
      </c>
    </row>
    <row r="78">
      <c r="A78" s="531" t="s">
        <v>361</v>
      </c>
      <c r="B78" s="532" t="s">
        <v>331</v>
      </c>
      <c r="C78" s="532" t="s">
        <v>332</v>
      </c>
      <c r="D78" s="533">
        <v>1500000.0</v>
      </c>
      <c r="E78" s="534"/>
      <c r="F78" s="532">
        <v>265460.0</v>
      </c>
      <c r="G78" s="535">
        <v>28000.0</v>
      </c>
      <c r="H78" s="534">
        <v>0.423</v>
      </c>
      <c r="I78" s="535">
        <v>1487.0</v>
      </c>
      <c r="J78" s="536">
        <v>2.45</v>
      </c>
      <c r="K78" s="537">
        <v>2.19</v>
      </c>
      <c r="L78" s="533">
        <v>987562.0</v>
      </c>
      <c r="M78" s="533">
        <v>215986.0</v>
      </c>
      <c r="N78" s="538">
        <v>8.1</v>
      </c>
      <c r="O78" s="539">
        <v>819197.0</v>
      </c>
      <c r="P78" s="540" t="s">
        <v>332</v>
      </c>
      <c r="Q78" s="540">
        <v>19.0</v>
      </c>
      <c r="R78" s="541" t="s">
        <v>332</v>
      </c>
      <c r="S78" s="535">
        <v>2430300.0</v>
      </c>
      <c r="T78" s="542" t="s">
        <v>331</v>
      </c>
      <c r="U78" s="543"/>
      <c r="V78" s="543"/>
      <c r="W78" s="543"/>
      <c r="X78" s="543"/>
      <c r="Y78" s="543"/>
      <c r="Z78" s="543"/>
      <c r="AA78" s="543"/>
      <c r="AB78" s="543"/>
    </row>
    <row r="79">
      <c r="A79" s="544" t="s">
        <v>362</v>
      </c>
      <c r="B79" s="545"/>
      <c r="C79" s="546" t="s">
        <v>343</v>
      </c>
      <c r="D79" s="547">
        <v>1500000.0</v>
      </c>
      <c r="E79" s="548">
        <f>D78/L79</f>
        <v>0.3458802549</v>
      </c>
      <c r="F79" s="545"/>
      <c r="G79" s="549">
        <v>84300.0</v>
      </c>
      <c r="H79" s="550"/>
      <c r="I79" s="551">
        <v>4477.0</v>
      </c>
      <c r="J79" s="552">
        <v>7.35</v>
      </c>
      <c r="K79" s="552">
        <v>6.59</v>
      </c>
      <c r="L79" s="547">
        <v>4336761.0</v>
      </c>
      <c r="M79" s="547">
        <v>536292.0</v>
      </c>
      <c r="N79" s="553">
        <v>7.8</v>
      </c>
      <c r="O79" s="554">
        <v>2196814.0</v>
      </c>
      <c r="P79" s="555" t="s">
        <v>332</v>
      </c>
      <c r="Q79" s="556">
        <v>19.0</v>
      </c>
      <c r="R79" s="557" t="s">
        <v>332</v>
      </c>
      <c r="S79" s="551">
        <v>7300000.0</v>
      </c>
      <c r="T79" s="558" t="s">
        <v>331</v>
      </c>
    </row>
    <row r="80">
      <c r="A80" s="559"/>
      <c r="B80" s="545"/>
      <c r="C80" s="546" t="s">
        <v>343</v>
      </c>
      <c r="D80" s="560"/>
      <c r="E80" s="561" t="e">
        <v>#DIV/0!</v>
      </c>
      <c r="F80" s="545"/>
      <c r="G80" s="562"/>
      <c r="H80" s="550"/>
      <c r="I80" s="550"/>
      <c r="J80" s="550"/>
      <c r="K80" s="550"/>
      <c r="L80" s="560"/>
      <c r="M80" s="560"/>
      <c r="N80" s="563"/>
      <c r="O80" s="564"/>
      <c r="P80" s="555" t="s">
        <v>343</v>
      </c>
      <c r="Q80" s="564"/>
      <c r="R80" s="557" t="s">
        <v>343</v>
      </c>
      <c r="S80" s="564"/>
      <c r="T80" s="565"/>
    </row>
    <row r="81">
      <c r="A81" s="559"/>
      <c r="B81" s="545"/>
      <c r="C81" s="546" t="s">
        <v>343</v>
      </c>
      <c r="D81" s="560"/>
      <c r="E81" s="561" t="e">
        <v>#DIV/0!</v>
      </c>
      <c r="F81" s="545"/>
      <c r="G81" s="562"/>
      <c r="H81" s="550"/>
      <c r="I81" s="550"/>
      <c r="J81" s="550"/>
      <c r="K81" s="550"/>
      <c r="L81" s="560"/>
      <c r="M81" s="560"/>
      <c r="N81" s="563"/>
      <c r="O81" s="564"/>
      <c r="P81" s="555" t="s">
        <v>343</v>
      </c>
      <c r="Q81" s="564"/>
      <c r="R81" s="557" t="s">
        <v>343</v>
      </c>
      <c r="S81" s="564"/>
      <c r="T81" s="565"/>
    </row>
    <row r="82">
      <c r="A82" s="566" t="s">
        <v>82</v>
      </c>
      <c r="B82" s="567"/>
      <c r="C82" s="567"/>
      <c r="D82" s="568">
        <v>1500000.0</v>
      </c>
      <c r="E82" s="548">
        <v>0.439</v>
      </c>
      <c r="F82" s="569">
        <v>265460.0</v>
      </c>
      <c r="G82" s="569">
        <v>112300.0</v>
      </c>
      <c r="H82" s="570">
        <v>0.423</v>
      </c>
      <c r="I82" s="569">
        <v>5964.0</v>
      </c>
      <c r="J82" s="569">
        <v>9.8</v>
      </c>
      <c r="K82" s="568">
        <v>8.78</v>
      </c>
      <c r="L82" s="568">
        <v>3416852.0</v>
      </c>
      <c r="M82" s="568">
        <v>752278.0</v>
      </c>
      <c r="N82" s="571"/>
      <c r="O82" s="572"/>
      <c r="P82" s="572"/>
      <c r="Q82" s="572"/>
      <c r="R82" s="573"/>
      <c r="S82" s="574">
        <v>9730300.0</v>
      </c>
      <c r="T82" s="574">
        <v>0.0</v>
      </c>
    </row>
  </sheetData>
  <mergeCells count="24">
    <mergeCell ref="G20:J20"/>
    <mergeCell ref="O20:P20"/>
    <mergeCell ref="D2:E2"/>
    <mergeCell ref="G2:J2"/>
    <mergeCell ref="O2:P2"/>
    <mergeCell ref="D10:E10"/>
    <mergeCell ref="G10:J10"/>
    <mergeCell ref="O10:P10"/>
    <mergeCell ref="D20:E20"/>
    <mergeCell ref="G44:J44"/>
    <mergeCell ref="O44:P44"/>
    <mergeCell ref="D52:E52"/>
    <mergeCell ref="G52:J52"/>
    <mergeCell ref="O52:P52"/>
    <mergeCell ref="D60:E60"/>
    <mergeCell ref="G60:J60"/>
    <mergeCell ref="O60:P60"/>
    <mergeCell ref="D28:E28"/>
    <mergeCell ref="G28:J28"/>
    <mergeCell ref="O28:P28"/>
    <mergeCell ref="D36:E36"/>
    <mergeCell ref="G36:J36"/>
    <mergeCell ref="O36:P36"/>
    <mergeCell ref="D44:E44"/>
  </mergeCells>
  <drawing r:id="rId1"/>
</worksheet>
</file>