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ems191\Downloads\"/>
    </mc:Choice>
  </mc:AlternateContent>
  <xr:revisionPtr revIDLastSave="0" documentId="13_ncr:1_{EFC2CD68-B7E6-48CF-B61A-3E8013BC47D2}" xr6:coauthVersionLast="46" xr6:coauthVersionMax="46" xr10:uidLastSave="{00000000-0000-0000-0000-000000000000}"/>
  <bookViews>
    <workbookView xWindow="-110" yWindow="-110" windowWidth="19420" windowHeight="10420" tabRatio="888" xr2:uid="{A12824A8-8D08-4C46-B258-A8425B0DEC61}"/>
  </bookViews>
  <sheets>
    <sheet name="P0.1 Background Data" sheetId="29" r:id="rId1"/>
    <sheet name="P0.1a Coal-NG Retirement" sheetId="30" r:id="rId2"/>
    <sheet name="P0.2 Solar AVERT Results" sheetId="31" r:id="rId3"/>
    <sheet name="P0.3 COBRA Results" sheetId="32" r:id="rId4"/>
    <sheet name="P0.3a Coal-NG Ret COBRA Results" sheetId="33" r:id="rId5"/>
    <sheet name="P0.3b Solar COBRA Results" sheetId="34" r:id="rId6"/>
    <sheet name="P0.4 Avoided NG Leakage" sheetId="35" r:id="rId7"/>
    <sheet name="P1.0 Total Avd Emissions" sheetId="36" r:id="rId8"/>
    <sheet name="P1.1 Solar Avd Emissions" sheetId="37" r:id="rId9"/>
    <sheet name="P1.2 Coal-NG Avd Emissions" sheetId="38" r:id="rId10"/>
    <sheet name="P2.0 Total Avd Pollution" sheetId="39" r:id="rId11"/>
    <sheet name="P2.1 Solar Avd Pollution" sheetId="40" r:id="rId12"/>
    <sheet name="P2.2 Coal-NG Avd Pollution" sheetId="41" r:id="rId13"/>
    <sheet name="P3.0 Total Avd Health" sheetId="42" r:id="rId14"/>
    <sheet name="P3.1 Solar Avd Health" sheetId="43" r:id="rId15"/>
    <sheet name="P3.2 Coal-NG Avd Health" sheetId="44" r:id="rId16"/>
    <sheet name="CC0.1 Background Data" sheetId="1" r:id="rId17"/>
    <sheet name="CC0.2 Project Classification" sheetId="26" r:id="rId18"/>
    <sheet name="CC0.3 AVERT Results" sheetId="22" r:id="rId19"/>
    <sheet name="CC0.4 COBRA Results" sheetId="25" r:id="rId20"/>
    <sheet name="CC1.0 Emissions" sheetId="23" r:id="rId21"/>
    <sheet name="CC2.0 Pollution" sheetId="7" r:id="rId22"/>
    <sheet name="CC3.0 Health" sheetId="24" r:id="rId23"/>
  </sheets>
  <definedNames>
    <definedName name="Wattage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4" l="1"/>
  <c r="G7" i="44"/>
  <c r="L37" i="44" s="1"/>
  <c r="L45" i="44" s="1"/>
  <c r="L74" i="44" s="1"/>
  <c r="H7" i="44"/>
  <c r="J48" i="44" s="1"/>
  <c r="J56" i="44" s="1"/>
  <c r="J75" i="44" s="1"/>
  <c r="I7" i="44"/>
  <c r="H59" i="44" s="1"/>
  <c r="F8" i="44"/>
  <c r="G8" i="44"/>
  <c r="H8" i="44"/>
  <c r="J49" i="44" s="1"/>
  <c r="I8" i="44"/>
  <c r="F21" i="44"/>
  <c r="G21" i="44"/>
  <c r="H21" i="44"/>
  <c r="H60" i="44" s="1"/>
  <c r="I21" i="44"/>
  <c r="I38" i="44" s="1"/>
  <c r="J21" i="44"/>
  <c r="K21" i="44"/>
  <c r="L21" i="44"/>
  <c r="L38" i="44" s="1"/>
  <c r="M21" i="44"/>
  <c r="N21" i="44"/>
  <c r="O21" i="44"/>
  <c r="O60" i="44" s="1"/>
  <c r="P21" i="44"/>
  <c r="P60" i="44" s="1"/>
  <c r="Q21" i="44"/>
  <c r="Q38" i="44" s="1"/>
  <c r="R21" i="44"/>
  <c r="S21" i="44"/>
  <c r="T21" i="44"/>
  <c r="T38" i="44" s="1"/>
  <c r="U21" i="44"/>
  <c r="V21" i="44"/>
  <c r="W21" i="44"/>
  <c r="W60" i="44" s="1"/>
  <c r="X21" i="44"/>
  <c r="X60" i="44" s="1"/>
  <c r="Y21" i="44"/>
  <c r="Y38" i="44" s="1"/>
  <c r="Z21" i="44"/>
  <c r="AA21" i="44"/>
  <c r="AB21" i="44"/>
  <c r="AB38" i="44" s="1"/>
  <c r="AC21" i="44"/>
  <c r="AD21" i="44"/>
  <c r="AE21" i="44"/>
  <c r="AE60" i="44" s="1"/>
  <c r="H26" i="44"/>
  <c r="I26" i="44"/>
  <c r="J26" i="44"/>
  <c r="K26" i="44"/>
  <c r="L26" i="44"/>
  <c r="L34" i="44" s="1"/>
  <c r="L73" i="44" s="1"/>
  <c r="M26" i="44"/>
  <c r="N26" i="44"/>
  <c r="O26" i="44"/>
  <c r="P26" i="44"/>
  <c r="Q26" i="44"/>
  <c r="R26" i="44"/>
  <c r="S26" i="44"/>
  <c r="T26" i="44"/>
  <c r="T34" i="44" s="1"/>
  <c r="T73" i="44" s="1"/>
  <c r="U26" i="44"/>
  <c r="V26" i="44"/>
  <c r="W26" i="44"/>
  <c r="X26" i="44"/>
  <c r="Y26" i="44"/>
  <c r="Z26" i="44"/>
  <c r="AA26" i="44"/>
  <c r="AB26" i="44"/>
  <c r="AB34" i="44" s="1"/>
  <c r="AB73" i="44" s="1"/>
  <c r="AC26" i="44"/>
  <c r="AD26" i="44"/>
  <c r="AE26" i="44"/>
  <c r="H27" i="44"/>
  <c r="I27" i="44"/>
  <c r="J27" i="44"/>
  <c r="K27" i="44"/>
  <c r="L27" i="44"/>
  <c r="M27" i="44"/>
  <c r="N27" i="44"/>
  <c r="O27" i="44"/>
  <c r="P27" i="44"/>
  <c r="Q27" i="44"/>
  <c r="R27" i="44"/>
  <c r="S27" i="44"/>
  <c r="T27" i="44"/>
  <c r="U27" i="44"/>
  <c r="V27" i="44"/>
  <c r="W27" i="44"/>
  <c r="X27" i="44"/>
  <c r="Y27" i="44"/>
  <c r="Z27" i="44"/>
  <c r="AA27" i="44"/>
  <c r="AB27" i="44"/>
  <c r="AC27" i="44"/>
  <c r="AD27" i="44"/>
  <c r="AE27" i="44"/>
  <c r="F34" i="44"/>
  <c r="F73" i="44" s="1"/>
  <c r="G34" i="44"/>
  <c r="J34" i="44"/>
  <c r="K34" i="44"/>
  <c r="M34" i="44"/>
  <c r="N34" i="44"/>
  <c r="O34" i="44"/>
  <c r="O73" i="44" s="1"/>
  <c r="R34" i="44"/>
  <c r="S34" i="44"/>
  <c r="U34" i="44"/>
  <c r="V34" i="44"/>
  <c r="W34" i="44"/>
  <c r="Z34" i="44"/>
  <c r="AA34" i="44"/>
  <c r="AC34" i="44"/>
  <c r="AD34" i="44"/>
  <c r="AD73" i="44" s="1"/>
  <c r="AE34" i="44"/>
  <c r="AE73" i="44" s="1"/>
  <c r="J37" i="44"/>
  <c r="J45" i="44" s="1"/>
  <c r="J74" i="44" s="1"/>
  <c r="M37" i="44"/>
  <c r="N37" i="44"/>
  <c r="O37" i="44"/>
  <c r="R37" i="44"/>
  <c r="R45" i="44" s="1"/>
  <c r="R74" i="44" s="1"/>
  <c r="U37" i="44"/>
  <c r="V37" i="44"/>
  <c r="V45" i="44" s="1"/>
  <c r="V74" i="44" s="1"/>
  <c r="W37" i="44"/>
  <c r="W45" i="44" s="1"/>
  <c r="W74" i="44" s="1"/>
  <c r="Z37" i="44"/>
  <c r="Z45" i="44" s="1"/>
  <c r="Z74" i="44" s="1"/>
  <c r="AC37" i="44"/>
  <c r="AD37" i="44"/>
  <c r="AD45" i="44" s="1"/>
  <c r="AD74" i="44" s="1"/>
  <c r="AE37" i="44"/>
  <c r="J38" i="44"/>
  <c r="K38" i="44"/>
  <c r="M38" i="44"/>
  <c r="N38" i="44"/>
  <c r="O38" i="44"/>
  <c r="R38" i="44"/>
  <c r="S38" i="44"/>
  <c r="U38" i="44"/>
  <c r="V38" i="44"/>
  <c r="W38" i="44"/>
  <c r="Z38" i="44"/>
  <c r="AA38" i="44"/>
  <c r="AC38" i="44"/>
  <c r="AD38" i="44"/>
  <c r="AE38" i="44"/>
  <c r="F45" i="44"/>
  <c r="G45" i="44"/>
  <c r="M45" i="44"/>
  <c r="M74" i="44" s="1"/>
  <c r="U45" i="44"/>
  <c r="AC45" i="44"/>
  <c r="AC74" i="44" s="1"/>
  <c r="L48" i="44"/>
  <c r="M48" i="44"/>
  <c r="T48" i="44"/>
  <c r="U48" i="44"/>
  <c r="AB48" i="44"/>
  <c r="AB56" i="44" s="1"/>
  <c r="AB75" i="44" s="1"/>
  <c r="AC48" i="44"/>
  <c r="AC56" i="44" s="1"/>
  <c r="AC75" i="44" s="1"/>
  <c r="K49" i="44"/>
  <c r="L49" i="44"/>
  <c r="M49" i="44"/>
  <c r="S49" i="44"/>
  <c r="T49" i="44"/>
  <c r="U49" i="44"/>
  <c r="AA49" i="44"/>
  <c r="AB49" i="44"/>
  <c r="AC49" i="44"/>
  <c r="F56" i="44"/>
  <c r="G56" i="44"/>
  <c r="I59" i="44"/>
  <c r="J59" i="44"/>
  <c r="K59" i="44"/>
  <c r="N59" i="44"/>
  <c r="Q59" i="44"/>
  <c r="Q67" i="44" s="1"/>
  <c r="Q76" i="44" s="1"/>
  <c r="R59" i="44"/>
  <c r="R67" i="44" s="1"/>
  <c r="R76" i="44" s="1"/>
  <c r="S59" i="44"/>
  <c r="V59" i="44"/>
  <c r="Y59" i="44"/>
  <c r="Y67" i="44" s="1"/>
  <c r="Y76" i="44" s="1"/>
  <c r="Z59" i="44"/>
  <c r="Z67" i="44" s="1"/>
  <c r="Z76" i="44" s="1"/>
  <c r="AA59" i="44"/>
  <c r="AD59" i="44"/>
  <c r="AD67" i="44" s="1"/>
  <c r="AD76" i="44" s="1"/>
  <c r="I60" i="44"/>
  <c r="I67" i="44" s="1"/>
  <c r="I76" i="44" s="1"/>
  <c r="J60" i="44"/>
  <c r="K60" i="44"/>
  <c r="M60" i="44"/>
  <c r="N60" i="44"/>
  <c r="Q60" i="44"/>
  <c r="R60" i="44"/>
  <c r="S60" i="44"/>
  <c r="U60" i="44"/>
  <c r="V60" i="44"/>
  <c r="Y60" i="44"/>
  <c r="Z60" i="44"/>
  <c r="AA60" i="44"/>
  <c r="AC60" i="44"/>
  <c r="AD60" i="44"/>
  <c r="F67" i="44"/>
  <c r="G67" i="44"/>
  <c r="G76" i="44" s="1"/>
  <c r="H67" i="44"/>
  <c r="H76" i="44" s="1"/>
  <c r="G73" i="44"/>
  <c r="J73" i="44"/>
  <c r="K73" i="44"/>
  <c r="M73" i="44"/>
  <c r="N73" i="44"/>
  <c r="R73" i="44"/>
  <c r="S73" i="44"/>
  <c r="U73" i="44"/>
  <c r="V73" i="44"/>
  <c r="W73" i="44"/>
  <c r="Z73" i="44"/>
  <c r="AA73" i="44"/>
  <c r="AC73" i="44"/>
  <c r="F74" i="44"/>
  <c r="G74" i="44"/>
  <c r="U74" i="44"/>
  <c r="F75" i="44"/>
  <c r="G75" i="44"/>
  <c r="F76" i="44"/>
  <c r="F21" i="43"/>
  <c r="G21" i="43"/>
  <c r="H21" i="43"/>
  <c r="I21" i="43"/>
  <c r="J21" i="43"/>
  <c r="K21" i="43"/>
  <c r="L21" i="43"/>
  <c r="M21" i="43"/>
  <c r="N21" i="43"/>
  <c r="O21" i="43"/>
  <c r="P21" i="43"/>
  <c r="Q21" i="43"/>
  <c r="R21" i="43"/>
  <c r="S21" i="43"/>
  <c r="T21" i="43"/>
  <c r="U21" i="43"/>
  <c r="V21" i="43"/>
  <c r="W21" i="43"/>
  <c r="X21" i="43"/>
  <c r="Y21" i="43"/>
  <c r="Z21" i="43"/>
  <c r="AA21" i="43"/>
  <c r="AB21" i="43"/>
  <c r="AC21" i="43"/>
  <c r="AD21" i="43"/>
  <c r="AE21" i="43"/>
  <c r="F34" i="43"/>
  <c r="G34" i="43"/>
  <c r="AE34" i="43"/>
  <c r="F45" i="43"/>
  <c r="G45" i="43"/>
  <c r="G74" i="43" s="1"/>
  <c r="AE45" i="43"/>
  <c r="AE74" i="43" s="1"/>
  <c r="F56" i="43"/>
  <c r="F75" i="43" s="1"/>
  <c r="G56" i="43"/>
  <c r="AE56" i="43"/>
  <c r="AE75" i="43" s="1"/>
  <c r="F67" i="43"/>
  <c r="G67" i="43"/>
  <c r="AE67" i="43"/>
  <c r="F73" i="43"/>
  <c r="G73" i="43"/>
  <c r="AE73" i="43"/>
  <c r="F74" i="43"/>
  <c r="G75" i="43"/>
  <c r="F76" i="43"/>
  <c r="G76" i="43"/>
  <c r="AE76" i="43"/>
  <c r="F7" i="42"/>
  <c r="G7" i="42"/>
  <c r="H7" i="42"/>
  <c r="K48" i="42" s="1"/>
  <c r="I7" i="42"/>
  <c r="F8" i="42"/>
  <c r="G8" i="42"/>
  <c r="O38" i="42" s="1"/>
  <c r="H8" i="42"/>
  <c r="I49" i="42" s="1"/>
  <c r="I8" i="42"/>
  <c r="C9" i="42"/>
  <c r="D9" i="42"/>
  <c r="C16" i="42"/>
  <c r="D16" i="42"/>
  <c r="F21" i="42"/>
  <c r="G21" i="42"/>
  <c r="H21" i="42"/>
  <c r="I21" i="42"/>
  <c r="J21" i="42"/>
  <c r="K21" i="42"/>
  <c r="L21" i="42"/>
  <c r="M21" i="42"/>
  <c r="N21" i="42"/>
  <c r="O21" i="42"/>
  <c r="P21" i="42"/>
  <c r="Q21" i="42"/>
  <c r="R21" i="42"/>
  <c r="S21" i="42"/>
  <c r="T21" i="42"/>
  <c r="U21" i="42"/>
  <c r="V21" i="42"/>
  <c r="V38" i="42" s="1"/>
  <c r="W21" i="42"/>
  <c r="X21" i="42"/>
  <c r="Y21" i="42"/>
  <c r="Z21" i="42"/>
  <c r="AA21" i="42"/>
  <c r="AB21" i="42"/>
  <c r="AC21" i="42"/>
  <c r="AD21" i="42"/>
  <c r="AD37" i="42" s="1"/>
  <c r="AE21" i="42"/>
  <c r="H26" i="42"/>
  <c r="I26" i="42"/>
  <c r="J26" i="42"/>
  <c r="K26" i="42"/>
  <c r="L26" i="42"/>
  <c r="M26" i="42"/>
  <c r="N26" i="42"/>
  <c r="O26" i="42"/>
  <c r="P26" i="42"/>
  <c r="Q26" i="42"/>
  <c r="R26" i="42"/>
  <c r="S26" i="42"/>
  <c r="T26" i="42"/>
  <c r="U26" i="42"/>
  <c r="V26" i="42"/>
  <c r="W26" i="42"/>
  <c r="X26" i="42"/>
  <c r="Y26" i="42"/>
  <c r="Z26" i="42"/>
  <c r="AA26" i="42"/>
  <c r="AB26" i="42"/>
  <c r="AC26" i="42"/>
  <c r="AD26" i="42"/>
  <c r="AE26" i="42"/>
  <c r="H27" i="42"/>
  <c r="I27" i="42"/>
  <c r="J27" i="42"/>
  <c r="K27" i="42"/>
  <c r="L27" i="42"/>
  <c r="M27" i="42"/>
  <c r="N27" i="42"/>
  <c r="O27" i="42"/>
  <c r="P27" i="42"/>
  <c r="Q27" i="42"/>
  <c r="R27" i="42"/>
  <c r="S27" i="42"/>
  <c r="T27" i="42"/>
  <c r="U27" i="42"/>
  <c r="V27" i="42"/>
  <c r="W27" i="42"/>
  <c r="X27" i="42"/>
  <c r="Y27" i="42"/>
  <c r="Z27" i="42"/>
  <c r="AA27" i="42"/>
  <c r="AB27" i="42"/>
  <c r="AC27" i="42"/>
  <c r="AD27" i="42"/>
  <c r="AE27" i="42"/>
  <c r="C28" i="42"/>
  <c r="E28" i="42"/>
  <c r="AE28" i="42"/>
  <c r="F34" i="42"/>
  <c r="G34" i="42"/>
  <c r="H37" i="42"/>
  <c r="I37" i="42"/>
  <c r="J37" i="42"/>
  <c r="K37" i="42"/>
  <c r="L37" i="42"/>
  <c r="M37" i="42"/>
  <c r="N37" i="42"/>
  <c r="O37" i="42"/>
  <c r="P37" i="42"/>
  <c r="Q37" i="42"/>
  <c r="R37" i="42"/>
  <c r="S37" i="42"/>
  <c r="T37" i="42"/>
  <c r="U37" i="42"/>
  <c r="V37" i="42"/>
  <c r="X37" i="42"/>
  <c r="Y37" i="42"/>
  <c r="Z37" i="42"/>
  <c r="AA37" i="42"/>
  <c r="AB37" i="42"/>
  <c r="AC37" i="42"/>
  <c r="I38" i="42"/>
  <c r="L38" i="42"/>
  <c r="M38" i="42"/>
  <c r="N38" i="42"/>
  <c r="Q38" i="42"/>
  <c r="T38" i="42"/>
  <c r="U38" i="42"/>
  <c r="Y38" i="42"/>
  <c r="AB38" i="42"/>
  <c r="AC38" i="42"/>
  <c r="AD38" i="42"/>
  <c r="C39" i="42"/>
  <c r="E39" i="42"/>
  <c r="AE39" i="42"/>
  <c r="F45" i="42"/>
  <c r="G45" i="42"/>
  <c r="H48" i="42"/>
  <c r="I48" i="42"/>
  <c r="J48" i="42"/>
  <c r="M48" i="42"/>
  <c r="P48" i="42"/>
  <c r="Q48" i="42"/>
  <c r="R48" i="42"/>
  <c r="U48" i="42"/>
  <c r="X48" i="42"/>
  <c r="Y48" i="42"/>
  <c r="Z48" i="42"/>
  <c r="AC48" i="42"/>
  <c r="H49" i="42"/>
  <c r="P49" i="42"/>
  <c r="R49" i="42"/>
  <c r="X49" i="42"/>
  <c r="Y49" i="42"/>
  <c r="Z49" i="42"/>
  <c r="C50" i="42"/>
  <c r="E50" i="42"/>
  <c r="AE50" i="42"/>
  <c r="F56" i="42"/>
  <c r="F75" i="42" s="1"/>
  <c r="G56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X59" i="42"/>
  <c r="Y59" i="42"/>
  <c r="Z59" i="42"/>
  <c r="AA59" i="42"/>
  <c r="AB59" i="42"/>
  <c r="AC59" i="42"/>
  <c r="AD59" i="42"/>
  <c r="I60" i="42"/>
  <c r="L60" i="42"/>
  <c r="M60" i="42"/>
  <c r="N60" i="42"/>
  <c r="Q60" i="42"/>
  <c r="T60" i="42"/>
  <c r="U60" i="42"/>
  <c r="V60" i="42"/>
  <c r="Y60" i="42"/>
  <c r="AB60" i="42"/>
  <c r="AC60" i="42"/>
  <c r="AD60" i="42"/>
  <c r="C61" i="42"/>
  <c r="E61" i="42"/>
  <c r="AE61" i="42"/>
  <c r="F67" i="42"/>
  <c r="G67" i="42"/>
  <c r="F73" i="42"/>
  <c r="G73" i="42"/>
  <c r="F74" i="42"/>
  <c r="G74" i="42"/>
  <c r="G75" i="42"/>
  <c r="F76" i="42"/>
  <c r="G76" i="42"/>
  <c r="H8" i="41"/>
  <c r="I8" i="41"/>
  <c r="J8" i="41"/>
  <c r="K8" i="41"/>
  <c r="L8" i="41"/>
  <c r="M8" i="41"/>
  <c r="N8" i="41"/>
  <c r="O8" i="41"/>
  <c r="P8" i="41"/>
  <c r="Q8" i="41"/>
  <c r="R8" i="41"/>
  <c r="S8" i="41"/>
  <c r="T8" i="41"/>
  <c r="U8" i="41"/>
  <c r="V8" i="41"/>
  <c r="W8" i="41"/>
  <c r="X8" i="41"/>
  <c r="Y8" i="41"/>
  <c r="Z8" i="41"/>
  <c r="AA8" i="41"/>
  <c r="AB8" i="41"/>
  <c r="AC8" i="41"/>
  <c r="AD8" i="41"/>
  <c r="AE8" i="41"/>
  <c r="H9" i="41"/>
  <c r="I9" i="41"/>
  <c r="J9" i="41"/>
  <c r="K9" i="41"/>
  <c r="L9" i="41"/>
  <c r="M9" i="41"/>
  <c r="N9" i="41"/>
  <c r="O9" i="41"/>
  <c r="P9" i="41"/>
  <c r="Q9" i="41"/>
  <c r="R9" i="41"/>
  <c r="S9" i="41"/>
  <c r="T9" i="41"/>
  <c r="U9" i="41"/>
  <c r="V9" i="41"/>
  <c r="W9" i="41"/>
  <c r="X9" i="41"/>
  <c r="Y9" i="41"/>
  <c r="Z9" i="41"/>
  <c r="AA9" i="41"/>
  <c r="AB9" i="41"/>
  <c r="AC9" i="41"/>
  <c r="AD9" i="41"/>
  <c r="AE9" i="41"/>
  <c r="F16" i="41"/>
  <c r="F66" i="41" s="1"/>
  <c r="G16" i="41"/>
  <c r="G66" i="41" s="1"/>
  <c r="K16" i="41"/>
  <c r="L16" i="41"/>
  <c r="N16" i="41"/>
  <c r="O16" i="41"/>
  <c r="O66" i="41" s="1"/>
  <c r="S16" i="41"/>
  <c r="T16" i="41"/>
  <c r="V16" i="41"/>
  <c r="W16" i="41"/>
  <c r="Z16" i="41"/>
  <c r="Z66" i="41" s="1"/>
  <c r="AA16" i="41"/>
  <c r="AB16" i="41"/>
  <c r="AB66" i="41" s="1"/>
  <c r="AC16" i="41"/>
  <c r="AC66" i="41" s="1"/>
  <c r="AD16" i="41"/>
  <c r="AE16" i="41"/>
  <c r="H19" i="41"/>
  <c r="I19" i="41"/>
  <c r="J19" i="41"/>
  <c r="K19" i="41"/>
  <c r="L19" i="41"/>
  <c r="M19" i="41"/>
  <c r="N19" i="41"/>
  <c r="O19" i="41"/>
  <c r="O27" i="41" s="1"/>
  <c r="P19" i="41"/>
  <c r="P27" i="41" s="1"/>
  <c r="P67" i="41" s="1"/>
  <c r="Q19" i="41"/>
  <c r="R19" i="41"/>
  <c r="S19" i="41"/>
  <c r="T19" i="41"/>
  <c r="U19" i="41"/>
  <c r="V19" i="41"/>
  <c r="W19" i="41"/>
  <c r="W27" i="41" s="1"/>
  <c r="W67" i="41" s="1"/>
  <c r="X19" i="41"/>
  <c r="Y19" i="41"/>
  <c r="Z19" i="41"/>
  <c r="AA19" i="41"/>
  <c r="AB19" i="41"/>
  <c r="AC19" i="41"/>
  <c r="AD19" i="41"/>
  <c r="AE19" i="41"/>
  <c r="AE27" i="41" s="1"/>
  <c r="H20" i="41"/>
  <c r="I20" i="41"/>
  <c r="J20" i="41"/>
  <c r="K20" i="41"/>
  <c r="L20" i="41"/>
  <c r="M20" i="41"/>
  <c r="N20" i="41"/>
  <c r="O20" i="41"/>
  <c r="P20" i="41"/>
  <c r="Q20" i="41"/>
  <c r="R20" i="41"/>
  <c r="S20" i="41"/>
  <c r="T20" i="41"/>
  <c r="U20" i="41"/>
  <c r="V20" i="41"/>
  <c r="W20" i="41"/>
  <c r="X20" i="41"/>
  <c r="Y20" i="41"/>
  <c r="Z20" i="41"/>
  <c r="AA20" i="41"/>
  <c r="AB20" i="41"/>
  <c r="AC20" i="41"/>
  <c r="AD20" i="41"/>
  <c r="AE20" i="41"/>
  <c r="F27" i="41"/>
  <c r="F67" i="41" s="1"/>
  <c r="G27" i="41"/>
  <c r="H27" i="41"/>
  <c r="H67" i="41" s="1"/>
  <c r="I27" i="41"/>
  <c r="K27" i="41"/>
  <c r="K67" i="41" s="1"/>
  <c r="N27" i="41"/>
  <c r="Q27" i="41"/>
  <c r="S27" i="41"/>
  <c r="S67" i="41" s="1"/>
  <c r="V27" i="41"/>
  <c r="Y27" i="41"/>
  <c r="AA27" i="41"/>
  <c r="AA67" i="41" s="1"/>
  <c r="AD27" i="41"/>
  <c r="H30" i="41"/>
  <c r="H38" i="41" s="1"/>
  <c r="H68" i="41" s="1"/>
  <c r="I30" i="41"/>
  <c r="J30" i="41"/>
  <c r="K30" i="41"/>
  <c r="L30" i="41"/>
  <c r="M30" i="41"/>
  <c r="M38" i="41" s="1"/>
  <c r="M68" i="41" s="1"/>
  <c r="N30" i="41"/>
  <c r="N38" i="41" s="1"/>
  <c r="N68" i="41" s="1"/>
  <c r="O30" i="41"/>
  <c r="P30" i="41"/>
  <c r="Q30" i="41"/>
  <c r="R30" i="41"/>
  <c r="S30" i="41"/>
  <c r="T30" i="41"/>
  <c r="U30" i="41"/>
  <c r="U38" i="41" s="1"/>
  <c r="U68" i="41" s="1"/>
  <c r="V30" i="41"/>
  <c r="W30" i="41"/>
  <c r="X30" i="41"/>
  <c r="X38" i="41" s="1"/>
  <c r="X68" i="41" s="1"/>
  <c r="Y30" i="41"/>
  <c r="Y38" i="41" s="1"/>
  <c r="Y68" i="41" s="1"/>
  <c r="Z30" i="41"/>
  <c r="AA30" i="41"/>
  <c r="AB30" i="41"/>
  <c r="AC30" i="41"/>
  <c r="AC38" i="41" s="1"/>
  <c r="AC68" i="41" s="1"/>
  <c r="AD30" i="41"/>
  <c r="AE30" i="41"/>
  <c r="H31" i="41"/>
  <c r="I31" i="41"/>
  <c r="J31" i="41"/>
  <c r="K31" i="41"/>
  <c r="L31" i="41"/>
  <c r="M31" i="41"/>
  <c r="N31" i="41"/>
  <c r="O31" i="41"/>
  <c r="P31" i="41"/>
  <c r="Q31" i="41"/>
  <c r="R31" i="41"/>
  <c r="S31" i="41"/>
  <c r="T31" i="41"/>
  <c r="U31" i="41"/>
  <c r="V31" i="41"/>
  <c r="W31" i="41"/>
  <c r="X31" i="41"/>
  <c r="Y31" i="41"/>
  <c r="Z31" i="41"/>
  <c r="AA31" i="41"/>
  <c r="AB31" i="41"/>
  <c r="AC31" i="41"/>
  <c r="AD31" i="41"/>
  <c r="AE31" i="41"/>
  <c r="F38" i="41"/>
  <c r="G38" i="41"/>
  <c r="G68" i="41" s="1"/>
  <c r="L38" i="41"/>
  <c r="O38" i="41"/>
  <c r="O68" i="41" s="1"/>
  <c r="P38" i="41"/>
  <c r="P68" i="41" s="1"/>
  <c r="T38" i="41"/>
  <c r="W38" i="41"/>
  <c r="AB38" i="41"/>
  <c r="AD38" i="41"/>
  <c r="AD68" i="41" s="1"/>
  <c r="AE38" i="41"/>
  <c r="H41" i="41"/>
  <c r="I41" i="41"/>
  <c r="J41" i="41"/>
  <c r="K41" i="41"/>
  <c r="K49" i="41" s="1"/>
  <c r="L41" i="41"/>
  <c r="M41" i="41"/>
  <c r="N41" i="41"/>
  <c r="N49" i="41" s="1"/>
  <c r="N69" i="41" s="1"/>
  <c r="O41" i="41"/>
  <c r="P41" i="41"/>
  <c r="Q41" i="41"/>
  <c r="R41" i="41"/>
  <c r="S41" i="41"/>
  <c r="S49" i="41" s="1"/>
  <c r="T41" i="41"/>
  <c r="U41" i="41"/>
  <c r="V41" i="41"/>
  <c r="W41" i="41"/>
  <c r="W49" i="41" s="1"/>
  <c r="W69" i="41" s="1"/>
  <c r="X41" i="41"/>
  <c r="Y41" i="41"/>
  <c r="Z41" i="41"/>
  <c r="AA41" i="41"/>
  <c r="AA49" i="41" s="1"/>
  <c r="AB41" i="41"/>
  <c r="AC41" i="41"/>
  <c r="AD41" i="41"/>
  <c r="AE41" i="41"/>
  <c r="H42" i="41"/>
  <c r="I42" i="41"/>
  <c r="J42" i="41"/>
  <c r="K42" i="41"/>
  <c r="L42" i="41"/>
  <c r="M42" i="41"/>
  <c r="N42" i="41"/>
  <c r="O42" i="41"/>
  <c r="P42" i="41"/>
  <c r="Q42" i="41"/>
  <c r="R42" i="41"/>
  <c r="S42" i="41"/>
  <c r="T42" i="41"/>
  <c r="U42" i="41"/>
  <c r="V42" i="41"/>
  <c r="W42" i="41"/>
  <c r="X42" i="41"/>
  <c r="Y42" i="41"/>
  <c r="Z42" i="41"/>
  <c r="AA42" i="41"/>
  <c r="AB42" i="41"/>
  <c r="AC42" i="41"/>
  <c r="AD42" i="41"/>
  <c r="AE42" i="41"/>
  <c r="F49" i="41"/>
  <c r="F69" i="41" s="1"/>
  <c r="G49" i="41"/>
  <c r="G69" i="41" s="1"/>
  <c r="J49" i="41"/>
  <c r="M49" i="41"/>
  <c r="O49" i="41"/>
  <c r="O69" i="41" s="1"/>
  <c r="R49" i="41"/>
  <c r="T49" i="41"/>
  <c r="T69" i="41" s="1"/>
  <c r="U49" i="41"/>
  <c r="U69" i="41" s="1"/>
  <c r="Z49" i="41"/>
  <c r="AB49" i="41"/>
  <c r="AC49" i="41"/>
  <c r="AE49" i="41"/>
  <c r="AE69" i="41" s="1"/>
  <c r="F60" i="41"/>
  <c r="G60" i="41"/>
  <c r="H60" i="41"/>
  <c r="I60" i="41"/>
  <c r="J60" i="41"/>
  <c r="K60" i="41"/>
  <c r="L60" i="41"/>
  <c r="M60" i="41"/>
  <c r="N60" i="41"/>
  <c r="O60" i="41"/>
  <c r="P60" i="41"/>
  <c r="Q60" i="41"/>
  <c r="R60" i="41"/>
  <c r="S60" i="41"/>
  <c r="T60" i="41"/>
  <c r="U60" i="41"/>
  <c r="V60" i="41"/>
  <c r="W60" i="41"/>
  <c r="X60" i="41"/>
  <c r="Y60" i="41"/>
  <c r="Z60" i="41"/>
  <c r="AA60" i="41"/>
  <c r="AB60" i="41"/>
  <c r="AC60" i="41"/>
  <c r="AD60" i="41"/>
  <c r="AE60" i="41"/>
  <c r="K66" i="41"/>
  <c r="L66" i="41"/>
  <c r="N66" i="41"/>
  <c r="S66" i="41"/>
  <c r="T66" i="41"/>
  <c r="V66" i="41"/>
  <c r="W66" i="41"/>
  <c r="AA66" i="41"/>
  <c r="AD66" i="41"/>
  <c r="AE66" i="41"/>
  <c r="G67" i="41"/>
  <c r="I67" i="41"/>
  <c r="N67" i="41"/>
  <c r="O67" i="41"/>
  <c r="Q67" i="41"/>
  <c r="V67" i="41"/>
  <c r="Y67" i="41"/>
  <c r="AD67" i="41"/>
  <c r="AE67" i="41"/>
  <c r="F68" i="41"/>
  <c r="L68" i="41"/>
  <c r="T68" i="41"/>
  <c r="W68" i="41"/>
  <c r="AB68" i="41"/>
  <c r="AE68" i="41"/>
  <c r="J69" i="41"/>
  <c r="K69" i="41"/>
  <c r="M69" i="41"/>
  <c r="R69" i="41"/>
  <c r="S69" i="41"/>
  <c r="Z69" i="41"/>
  <c r="AA69" i="41"/>
  <c r="AB69" i="41"/>
  <c r="AC69" i="41"/>
  <c r="F7" i="40"/>
  <c r="G7" i="40"/>
  <c r="H7" i="40"/>
  <c r="L48" i="40" s="1"/>
  <c r="L56" i="40" s="1"/>
  <c r="L86" i="40" s="1"/>
  <c r="I7" i="40"/>
  <c r="Y59" i="40" s="1"/>
  <c r="Y67" i="40" s="1"/>
  <c r="Y87" i="40" s="1"/>
  <c r="J7" i="40"/>
  <c r="F21" i="40"/>
  <c r="G21" i="40"/>
  <c r="H21" i="40"/>
  <c r="I21" i="40"/>
  <c r="I37" i="40" s="1"/>
  <c r="J21" i="40"/>
  <c r="K21" i="40"/>
  <c r="K26" i="40" s="1"/>
  <c r="K34" i="40" s="1"/>
  <c r="K84" i="40" s="1"/>
  <c r="L21" i="40"/>
  <c r="L26" i="40" s="1"/>
  <c r="L34" i="40" s="1"/>
  <c r="L84" i="40" s="1"/>
  <c r="M21" i="40"/>
  <c r="N21" i="40"/>
  <c r="N37" i="40" s="1"/>
  <c r="N45" i="40" s="1"/>
  <c r="N85" i="40" s="1"/>
  <c r="O21" i="40"/>
  <c r="P21" i="40"/>
  <c r="Q21" i="40"/>
  <c r="Q37" i="40" s="1"/>
  <c r="R21" i="40"/>
  <c r="S21" i="40"/>
  <c r="S26" i="40" s="1"/>
  <c r="S34" i="40" s="1"/>
  <c r="S84" i="40" s="1"/>
  <c r="T21" i="40"/>
  <c r="T26" i="40" s="1"/>
  <c r="T34" i="40" s="1"/>
  <c r="T84" i="40" s="1"/>
  <c r="U21" i="40"/>
  <c r="U26" i="40" s="1"/>
  <c r="V21" i="40"/>
  <c r="W21" i="40"/>
  <c r="X21" i="40"/>
  <c r="Y21" i="40"/>
  <c r="Y37" i="40" s="1"/>
  <c r="Z21" i="40"/>
  <c r="AA21" i="40"/>
  <c r="AA37" i="40" s="1"/>
  <c r="AA21" i="39" s="1"/>
  <c r="AB21" i="40"/>
  <c r="AB37" i="40" s="1"/>
  <c r="AB21" i="39" s="1"/>
  <c r="AC21" i="40"/>
  <c r="AC26" i="40" s="1"/>
  <c r="AC34" i="40" s="1"/>
  <c r="AC84" i="40" s="1"/>
  <c r="AD21" i="40"/>
  <c r="AD37" i="40" s="1"/>
  <c r="AE21" i="40"/>
  <c r="I26" i="40"/>
  <c r="I34" i="40" s="1"/>
  <c r="M26" i="40"/>
  <c r="N26" i="40"/>
  <c r="N34" i="40" s="1"/>
  <c r="N84" i="40" s="1"/>
  <c r="Q26" i="40"/>
  <c r="AB26" i="40"/>
  <c r="AB34" i="40" s="1"/>
  <c r="AB84" i="40" s="1"/>
  <c r="AD26" i="40"/>
  <c r="AD34" i="40" s="1"/>
  <c r="AD84" i="40" s="1"/>
  <c r="F34" i="40"/>
  <c r="G34" i="40"/>
  <c r="G84" i="40" s="1"/>
  <c r="U34" i="40"/>
  <c r="AE34" i="40"/>
  <c r="H37" i="40"/>
  <c r="J37" i="40"/>
  <c r="K37" i="40"/>
  <c r="L37" i="40"/>
  <c r="M37" i="40"/>
  <c r="O37" i="40"/>
  <c r="P37" i="40"/>
  <c r="P45" i="40" s="1"/>
  <c r="R37" i="40"/>
  <c r="S37" i="40"/>
  <c r="U37" i="40"/>
  <c r="W37" i="40"/>
  <c r="W45" i="40" s="1"/>
  <c r="W85" i="40" s="1"/>
  <c r="X37" i="40"/>
  <c r="X45" i="40" s="1"/>
  <c r="X85" i="40" s="1"/>
  <c r="Z37" i="40"/>
  <c r="AC37" i="40"/>
  <c r="F45" i="40"/>
  <c r="F85" i="40" s="1"/>
  <c r="G45" i="40"/>
  <c r="G85" i="40" s="1"/>
  <c r="I45" i="40"/>
  <c r="I85" i="40" s="1"/>
  <c r="J45" i="40"/>
  <c r="O45" i="40"/>
  <c r="O85" i="40" s="1"/>
  <c r="Q45" i="40"/>
  <c r="R45" i="40"/>
  <c r="Y45" i="40"/>
  <c r="Z45" i="40"/>
  <c r="AA45" i="40"/>
  <c r="AB45" i="40"/>
  <c r="AB85" i="40" s="1"/>
  <c r="AD45" i="40"/>
  <c r="AD85" i="40" s="1"/>
  <c r="AE45" i="40"/>
  <c r="O48" i="40"/>
  <c r="R48" i="40"/>
  <c r="R56" i="40" s="1"/>
  <c r="R86" i="40" s="1"/>
  <c r="W48" i="40"/>
  <c r="W56" i="40" s="1"/>
  <c r="W86" i="40" s="1"/>
  <c r="Y48" i="40"/>
  <c r="Z48" i="40"/>
  <c r="Z56" i="40" s="1"/>
  <c r="Z86" i="40" s="1"/>
  <c r="F56" i="40"/>
  <c r="G56" i="40"/>
  <c r="AE56" i="40"/>
  <c r="I59" i="40"/>
  <c r="P59" i="40"/>
  <c r="Q59" i="40"/>
  <c r="R59" i="40"/>
  <c r="R67" i="40" s="1"/>
  <c r="R87" i="40" s="1"/>
  <c r="S59" i="40"/>
  <c r="S67" i="40" s="1"/>
  <c r="AA59" i="40"/>
  <c r="AD59" i="40"/>
  <c r="AD67" i="40" s="1"/>
  <c r="AD87" i="40" s="1"/>
  <c r="F67" i="40"/>
  <c r="G67" i="40"/>
  <c r="AE67" i="40"/>
  <c r="H70" i="40"/>
  <c r="H78" i="40" s="1"/>
  <c r="H88" i="40" s="1"/>
  <c r="I70" i="40"/>
  <c r="I78" i="40" s="1"/>
  <c r="J70" i="40"/>
  <c r="L70" i="40"/>
  <c r="Q70" i="40"/>
  <c r="Q52" i="39" s="1"/>
  <c r="R70" i="40"/>
  <c r="R78" i="40" s="1"/>
  <c r="U70" i="40"/>
  <c r="U78" i="40" s="1"/>
  <c r="W70" i="40"/>
  <c r="W78" i="40" s="1"/>
  <c r="W88" i="40" s="1"/>
  <c r="AC70" i="40"/>
  <c r="AC78" i="40" s="1"/>
  <c r="F78" i="40"/>
  <c r="F88" i="40" s="1"/>
  <c r="G78" i="40"/>
  <c r="G88" i="40" s="1"/>
  <c r="AE78" i="40"/>
  <c r="AE88" i="40" s="1"/>
  <c r="F84" i="40"/>
  <c r="I84" i="40"/>
  <c r="U84" i="40"/>
  <c r="AE84" i="40"/>
  <c r="J85" i="40"/>
  <c r="P85" i="40"/>
  <c r="Q85" i="40"/>
  <c r="R85" i="40"/>
  <c r="Y85" i="40"/>
  <c r="Z85" i="40"/>
  <c r="AA85" i="40"/>
  <c r="AE85" i="40"/>
  <c r="F86" i="40"/>
  <c r="G86" i="40"/>
  <c r="AE86" i="40"/>
  <c r="F87" i="40"/>
  <c r="G87" i="40"/>
  <c r="S87" i="40"/>
  <c r="AE87" i="40"/>
  <c r="I88" i="40"/>
  <c r="R88" i="40"/>
  <c r="U88" i="40"/>
  <c r="AC88" i="40"/>
  <c r="H8" i="39"/>
  <c r="I8" i="39"/>
  <c r="J8" i="39"/>
  <c r="K8" i="39"/>
  <c r="L8" i="39"/>
  <c r="M8" i="39"/>
  <c r="N8" i="39"/>
  <c r="O8" i="39"/>
  <c r="P8" i="39"/>
  <c r="Q8" i="39"/>
  <c r="R8" i="39"/>
  <c r="S8" i="39"/>
  <c r="T8" i="39"/>
  <c r="U8" i="39"/>
  <c r="V8" i="39"/>
  <c r="W8" i="39"/>
  <c r="X8" i="39"/>
  <c r="Y8" i="39"/>
  <c r="Z8" i="39"/>
  <c r="AA8" i="39"/>
  <c r="AB8" i="39"/>
  <c r="AC8" i="39"/>
  <c r="AD8" i="39"/>
  <c r="AE8" i="39"/>
  <c r="H9" i="39"/>
  <c r="I9" i="39"/>
  <c r="J9" i="39"/>
  <c r="K9" i="39"/>
  <c r="L9" i="39"/>
  <c r="M9" i="39"/>
  <c r="N9" i="39"/>
  <c r="O9" i="39"/>
  <c r="P9" i="39"/>
  <c r="Q9" i="39"/>
  <c r="R9" i="39"/>
  <c r="S9" i="39"/>
  <c r="T9" i="39"/>
  <c r="U9" i="39"/>
  <c r="V9" i="39"/>
  <c r="W9" i="39"/>
  <c r="X9" i="39"/>
  <c r="Y9" i="39"/>
  <c r="Z9" i="39"/>
  <c r="AA9" i="39"/>
  <c r="AB9" i="39"/>
  <c r="AC9" i="39"/>
  <c r="AD9" i="39"/>
  <c r="AE9" i="39"/>
  <c r="E10" i="39"/>
  <c r="F10" i="39"/>
  <c r="F16" i="39" s="1"/>
  <c r="F66" i="39" s="1"/>
  <c r="G10" i="39"/>
  <c r="G16" i="39" s="1"/>
  <c r="I10" i="39"/>
  <c r="L10" i="39"/>
  <c r="L16" i="39" s="1"/>
  <c r="L66" i="39" s="1"/>
  <c r="N10" i="39"/>
  <c r="S10" i="39"/>
  <c r="S16" i="39" s="1"/>
  <c r="T10" i="39"/>
  <c r="T16" i="39" s="1"/>
  <c r="U10" i="39"/>
  <c r="AB10" i="39"/>
  <c r="AC10" i="39"/>
  <c r="AD10" i="39"/>
  <c r="AE10" i="39"/>
  <c r="AB16" i="39"/>
  <c r="H19" i="39"/>
  <c r="I19" i="39"/>
  <c r="J19" i="39"/>
  <c r="K19" i="39"/>
  <c r="L19" i="39"/>
  <c r="M19" i="39"/>
  <c r="N19" i="39"/>
  <c r="O19" i="39"/>
  <c r="P19" i="39"/>
  <c r="P27" i="39" s="1"/>
  <c r="P67" i="39" s="1"/>
  <c r="Q19" i="39"/>
  <c r="R19" i="39"/>
  <c r="S19" i="39"/>
  <c r="T19" i="39"/>
  <c r="U19" i="39"/>
  <c r="V19" i="39"/>
  <c r="W19" i="39"/>
  <c r="X19" i="39"/>
  <c r="Y19" i="39"/>
  <c r="Z19" i="39"/>
  <c r="AA19" i="39"/>
  <c r="AB19" i="39"/>
  <c r="AC19" i="39"/>
  <c r="AD19" i="39"/>
  <c r="AE19" i="39"/>
  <c r="H20" i="39"/>
  <c r="I20" i="39"/>
  <c r="J20" i="39"/>
  <c r="K20" i="39"/>
  <c r="L20" i="39"/>
  <c r="M20" i="39"/>
  <c r="N20" i="39"/>
  <c r="O20" i="39"/>
  <c r="P20" i="39"/>
  <c r="Q20" i="39"/>
  <c r="R20" i="39"/>
  <c r="S20" i="39"/>
  <c r="T20" i="39"/>
  <c r="U20" i="39"/>
  <c r="V20" i="39"/>
  <c r="W20" i="39"/>
  <c r="X20" i="39"/>
  <c r="Y20" i="39"/>
  <c r="Z20" i="39"/>
  <c r="AA20" i="39"/>
  <c r="AB20" i="39"/>
  <c r="AC20" i="39"/>
  <c r="AD20" i="39"/>
  <c r="AE20" i="39"/>
  <c r="F21" i="39"/>
  <c r="F27" i="39" s="1"/>
  <c r="F67" i="39" s="1"/>
  <c r="G21" i="39"/>
  <c r="I21" i="39"/>
  <c r="J21" i="39"/>
  <c r="N21" i="39"/>
  <c r="N27" i="39" s="1"/>
  <c r="N67" i="39" s="1"/>
  <c r="O21" i="39"/>
  <c r="P21" i="39"/>
  <c r="Q21" i="39"/>
  <c r="R21" i="39"/>
  <c r="W21" i="39"/>
  <c r="W27" i="39" s="1"/>
  <c r="W67" i="39" s="1"/>
  <c r="Y21" i="39"/>
  <c r="Y27" i="39" s="1"/>
  <c r="Y67" i="39" s="1"/>
  <c r="Z21" i="39"/>
  <c r="AD21" i="39"/>
  <c r="AD27" i="39" s="1"/>
  <c r="AD67" i="39" s="1"/>
  <c r="AE21" i="39"/>
  <c r="AE27" i="39" s="1"/>
  <c r="G27" i="39"/>
  <c r="O27" i="39"/>
  <c r="AB27" i="39"/>
  <c r="AB67" i="39" s="1"/>
  <c r="H30" i="39"/>
  <c r="I30" i="39"/>
  <c r="J30" i="39"/>
  <c r="K30" i="39"/>
  <c r="L30" i="39"/>
  <c r="M30" i="39"/>
  <c r="N30" i="39"/>
  <c r="O30" i="39"/>
  <c r="P30" i="39"/>
  <c r="Q30" i="39"/>
  <c r="R30" i="39"/>
  <c r="S30" i="39"/>
  <c r="T30" i="39"/>
  <c r="U30" i="39"/>
  <c r="V30" i="39"/>
  <c r="W30" i="39"/>
  <c r="X30" i="39"/>
  <c r="Y30" i="39"/>
  <c r="Z30" i="39"/>
  <c r="AA30" i="39"/>
  <c r="AB30" i="39"/>
  <c r="AC30" i="39"/>
  <c r="AD30" i="39"/>
  <c r="AE30" i="39"/>
  <c r="H31" i="39"/>
  <c r="I31" i="39"/>
  <c r="J31" i="39"/>
  <c r="K31" i="39"/>
  <c r="L31" i="39"/>
  <c r="M31" i="39"/>
  <c r="N31" i="39"/>
  <c r="O31" i="39"/>
  <c r="P31" i="39"/>
  <c r="Q31" i="39"/>
  <c r="R31" i="39"/>
  <c r="S31" i="39"/>
  <c r="T31" i="39"/>
  <c r="U31" i="39"/>
  <c r="V31" i="39"/>
  <c r="W31" i="39"/>
  <c r="X31" i="39"/>
  <c r="Y31" i="39"/>
  <c r="Z31" i="39"/>
  <c r="AA31" i="39"/>
  <c r="AB31" i="39"/>
  <c r="AC31" i="39"/>
  <c r="AD31" i="39"/>
  <c r="AE31" i="39"/>
  <c r="F32" i="39"/>
  <c r="F38" i="39" s="1"/>
  <c r="G32" i="39"/>
  <c r="G38" i="39" s="1"/>
  <c r="L32" i="39"/>
  <c r="R32" i="39"/>
  <c r="W32" i="39"/>
  <c r="AE32" i="39"/>
  <c r="L38" i="39"/>
  <c r="L68" i="39" s="1"/>
  <c r="R38" i="39"/>
  <c r="R68" i="39" s="1"/>
  <c r="H41" i="39"/>
  <c r="I41" i="39"/>
  <c r="J41" i="39"/>
  <c r="K41" i="39"/>
  <c r="L41" i="39"/>
  <c r="M41" i="39"/>
  <c r="N41" i="39"/>
  <c r="O41" i="39"/>
  <c r="P41" i="39"/>
  <c r="Q41" i="39"/>
  <c r="R41" i="39"/>
  <c r="S41" i="39"/>
  <c r="T41" i="39"/>
  <c r="U41" i="39"/>
  <c r="V41" i="39"/>
  <c r="W41" i="39"/>
  <c r="X41" i="39"/>
  <c r="Y41" i="39"/>
  <c r="Z41" i="39"/>
  <c r="AA41" i="39"/>
  <c r="AB41" i="39"/>
  <c r="AC41" i="39"/>
  <c r="AD41" i="39"/>
  <c r="AE41" i="39"/>
  <c r="H42" i="39"/>
  <c r="I42" i="39"/>
  <c r="J42" i="39"/>
  <c r="K42" i="39"/>
  <c r="L42" i="39"/>
  <c r="M42" i="39"/>
  <c r="N42" i="39"/>
  <c r="O42" i="39"/>
  <c r="P42" i="39"/>
  <c r="Q42" i="39"/>
  <c r="R42" i="39"/>
  <c r="S42" i="39"/>
  <c r="T42" i="39"/>
  <c r="U42" i="39"/>
  <c r="V42" i="39"/>
  <c r="W42" i="39"/>
  <c r="X42" i="39"/>
  <c r="Y42" i="39"/>
  <c r="Z42" i="39"/>
  <c r="AA42" i="39"/>
  <c r="AB42" i="39"/>
  <c r="AC42" i="39"/>
  <c r="AD42" i="39"/>
  <c r="AE42" i="39"/>
  <c r="F43" i="39"/>
  <c r="G43" i="39"/>
  <c r="R43" i="39"/>
  <c r="Y43" i="39"/>
  <c r="AD43" i="39"/>
  <c r="AD49" i="39" s="1"/>
  <c r="AE43" i="39"/>
  <c r="F49" i="39"/>
  <c r="G49" i="39"/>
  <c r="G69" i="39" s="1"/>
  <c r="R49" i="39"/>
  <c r="R69" i="39" s="1"/>
  <c r="Y49" i="39"/>
  <c r="AE49" i="39"/>
  <c r="AE69" i="39" s="1"/>
  <c r="F52" i="39"/>
  <c r="F60" i="39" s="1"/>
  <c r="F70" i="39" s="1"/>
  <c r="G52" i="39"/>
  <c r="G60" i="39" s="1"/>
  <c r="H52" i="39"/>
  <c r="H60" i="39" s="1"/>
  <c r="H70" i="39" s="1"/>
  <c r="I52" i="39"/>
  <c r="U52" i="39"/>
  <c r="W52" i="39"/>
  <c r="W60" i="39" s="1"/>
  <c r="AC52" i="39"/>
  <c r="AE52" i="39"/>
  <c r="AE60" i="39" s="1"/>
  <c r="I60" i="39"/>
  <c r="I70" i="39" s="1"/>
  <c r="Q60" i="39"/>
  <c r="Q70" i="39" s="1"/>
  <c r="U60" i="39"/>
  <c r="U70" i="39" s="1"/>
  <c r="AC60" i="39"/>
  <c r="AC70" i="39" s="1"/>
  <c r="G66" i="39"/>
  <c r="S66" i="39"/>
  <c r="T66" i="39"/>
  <c r="AB66" i="39"/>
  <c r="G67" i="39"/>
  <c r="O67" i="39"/>
  <c r="AE67" i="39"/>
  <c r="F68" i="39"/>
  <c r="G68" i="39"/>
  <c r="F69" i="39"/>
  <c r="Y69" i="39"/>
  <c r="AD69" i="39"/>
  <c r="G70" i="39"/>
  <c r="W70" i="39"/>
  <c r="AE70" i="39"/>
  <c r="H8" i="38"/>
  <c r="I8" i="38"/>
  <c r="J8" i="38"/>
  <c r="K8" i="38"/>
  <c r="K8" i="36" s="1"/>
  <c r="L8" i="38"/>
  <c r="M8" i="38"/>
  <c r="N8" i="38"/>
  <c r="O8" i="38"/>
  <c r="P8" i="38"/>
  <c r="Q8" i="38"/>
  <c r="R8" i="38"/>
  <c r="S8" i="38"/>
  <c r="S8" i="36" s="1"/>
  <c r="T8" i="38"/>
  <c r="U8" i="38"/>
  <c r="V8" i="38"/>
  <c r="V10" i="38" s="1"/>
  <c r="W8" i="38"/>
  <c r="X8" i="38"/>
  <c r="Y8" i="38"/>
  <c r="Z8" i="38"/>
  <c r="AA8" i="38"/>
  <c r="AA10" i="38" s="1"/>
  <c r="AB8" i="38"/>
  <c r="AC8" i="38"/>
  <c r="AD8" i="38"/>
  <c r="AD10" i="38" s="1"/>
  <c r="AE8" i="38"/>
  <c r="H9" i="38"/>
  <c r="I9" i="38"/>
  <c r="J9" i="38"/>
  <c r="J10" i="38" s="1"/>
  <c r="K9" i="38"/>
  <c r="L9" i="38"/>
  <c r="M9" i="38"/>
  <c r="N9" i="38"/>
  <c r="O9" i="38"/>
  <c r="P9" i="38"/>
  <c r="Q9" i="38"/>
  <c r="R9" i="38"/>
  <c r="S9" i="38"/>
  <c r="F23" i="38" s="1"/>
  <c r="F24" i="38" s="1"/>
  <c r="T9" i="38"/>
  <c r="U9" i="38"/>
  <c r="V9" i="38"/>
  <c r="W9" i="38"/>
  <c r="X9" i="38"/>
  <c r="Y9" i="38"/>
  <c r="Z9" i="38"/>
  <c r="AA9" i="38"/>
  <c r="AB9" i="38"/>
  <c r="AC9" i="38"/>
  <c r="AD9" i="38"/>
  <c r="AE9" i="38"/>
  <c r="F10" i="38"/>
  <c r="G10" i="38"/>
  <c r="I10" i="38"/>
  <c r="K10" i="38"/>
  <c r="L10" i="38"/>
  <c r="M10" i="38"/>
  <c r="N10" i="38"/>
  <c r="Q10" i="38"/>
  <c r="R10" i="38"/>
  <c r="T10" i="38"/>
  <c r="U10" i="38"/>
  <c r="Y10" i="38"/>
  <c r="Z10" i="38"/>
  <c r="AB10" i="38"/>
  <c r="AC10" i="38"/>
  <c r="F10" i="37"/>
  <c r="G10" i="37"/>
  <c r="H10" i="37"/>
  <c r="I10" i="37"/>
  <c r="J10" i="37"/>
  <c r="H11" i="37"/>
  <c r="H14" i="37" s="1"/>
  <c r="F14" i="37"/>
  <c r="G14" i="37"/>
  <c r="I14" i="37"/>
  <c r="J14" i="37"/>
  <c r="H15" i="37"/>
  <c r="F18" i="37"/>
  <c r="G18" i="37"/>
  <c r="H18" i="37"/>
  <c r="I18" i="37"/>
  <c r="J18" i="37"/>
  <c r="F22" i="37"/>
  <c r="G22" i="37"/>
  <c r="F25" i="37"/>
  <c r="F26" i="37"/>
  <c r="G26" i="37" s="1"/>
  <c r="F29" i="37"/>
  <c r="F30" i="37"/>
  <c r="G30" i="37"/>
  <c r="F33" i="37"/>
  <c r="F37" i="37"/>
  <c r="F40" i="37"/>
  <c r="F41" i="37"/>
  <c r="F44" i="37"/>
  <c r="F55" i="37"/>
  <c r="F56" i="37"/>
  <c r="F57" i="37"/>
  <c r="F58" i="37" s="1"/>
  <c r="F59" i="37"/>
  <c r="F60" i="37" s="1"/>
  <c r="F63" i="37"/>
  <c r="F64" i="37"/>
  <c r="F65" i="37"/>
  <c r="F66" i="37"/>
  <c r="F67" i="37"/>
  <c r="F68" i="37" s="1"/>
  <c r="F7" i="36"/>
  <c r="C8" i="36"/>
  <c r="D8" i="36"/>
  <c r="F8" i="36"/>
  <c r="G8" i="36"/>
  <c r="H8" i="36"/>
  <c r="I8" i="36"/>
  <c r="J8" i="36"/>
  <c r="L8" i="36"/>
  <c r="M8" i="36"/>
  <c r="N8" i="36"/>
  <c r="O8" i="36"/>
  <c r="P8" i="36"/>
  <c r="Q8" i="36"/>
  <c r="R8" i="36"/>
  <c r="T8" i="36"/>
  <c r="U8" i="36"/>
  <c r="V8" i="36"/>
  <c r="W8" i="36"/>
  <c r="X8" i="36"/>
  <c r="Y8" i="36"/>
  <c r="Z8" i="36"/>
  <c r="AB8" i="36"/>
  <c r="AC8" i="36"/>
  <c r="AD8" i="36"/>
  <c r="AE8" i="36"/>
  <c r="C9" i="36"/>
  <c r="D9" i="36"/>
  <c r="F9" i="36"/>
  <c r="G9" i="36"/>
  <c r="G4" i="35"/>
  <c r="H4" i="35"/>
  <c r="H5" i="35" s="1"/>
  <c r="H13" i="35" s="1"/>
  <c r="I4" i="35"/>
  <c r="J4" i="35"/>
  <c r="K4" i="35"/>
  <c r="L4" i="35"/>
  <c r="M4" i="35"/>
  <c r="N4" i="35"/>
  <c r="O4" i="35"/>
  <c r="P4" i="35"/>
  <c r="P5" i="35" s="1"/>
  <c r="P13" i="35" s="1"/>
  <c r="Q4" i="35"/>
  <c r="R4" i="35"/>
  <c r="S4" i="35"/>
  <c r="T4" i="35"/>
  <c r="U4" i="35"/>
  <c r="V4" i="35"/>
  <c r="W4" i="35"/>
  <c r="X4" i="35"/>
  <c r="X5" i="35" s="1"/>
  <c r="X13" i="35" s="1"/>
  <c r="Y4" i="35"/>
  <c r="Z4" i="35"/>
  <c r="AA4" i="35"/>
  <c r="AB4" i="35"/>
  <c r="AC4" i="35"/>
  <c r="AD4" i="35"/>
  <c r="E5" i="35"/>
  <c r="F5" i="35"/>
  <c r="F13" i="35" s="1"/>
  <c r="G5" i="35"/>
  <c r="I5" i="35"/>
  <c r="J5" i="35"/>
  <c r="K5" i="35"/>
  <c r="L5" i="35"/>
  <c r="M5" i="35"/>
  <c r="N5" i="35"/>
  <c r="N13" i="35" s="1"/>
  <c r="N14" i="35" s="1"/>
  <c r="N15" i="35" s="1"/>
  <c r="N18" i="35" s="1"/>
  <c r="O5" i="35"/>
  <c r="Q5" i="35"/>
  <c r="R5" i="35"/>
  <c r="S5" i="35"/>
  <c r="T5" i="35"/>
  <c r="T13" i="35" s="1"/>
  <c r="T14" i="35" s="1"/>
  <c r="T15" i="35" s="1"/>
  <c r="T18" i="35" s="1"/>
  <c r="U5" i="35"/>
  <c r="V5" i="35"/>
  <c r="V13" i="35" s="1"/>
  <c r="W5" i="35"/>
  <c r="Y5" i="35"/>
  <c r="Z5" i="35"/>
  <c r="AA5" i="35"/>
  <c r="AB5" i="35"/>
  <c r="AC5" i="35"/>
  <c r="AD5" i="35"/>
  <c r="AD13" i="35" s="1"/>
  <c r="AD14" i="35" s="1"/>
  <c r="AD15" i="35" s="1"/>
  <c r="AD18" i="35" s="1"/>
  <c r="E13" i="35"/>
  <c r="G13" i="35"/>
  <c r="I13" i="35"/>
  <c r="J13" i="35"/>
  <c r="K13" i="35"/>
  <c r="L13" i="35"/>
  <c r="L14" i="35" s="1"/>
  <c r="L15" i="35" s="1"/>
  <c r="L18" i="35" s="1"/>
  <c r="M13" i="35"/>
  <c r="O13" i="35"/>
  <c r="Q13" i="35"/>
  <c r="R13" i="35"/>
  <c r="S13" i="35"/>
  <c r="U13" i="35"/>
  <c r="W13" i="35"/>
  <c r="Y13" i="35"/>
  <c r="Y14" i="35" s="1"/>
  <c r="Y15" i="35" s="1"/>
  <c r="Y18" i="35" s="1"/>
  <c r="Z13" i="35"/>
  <c r="AA13" i="35"/>
  <c r="AA14" i="35" s="1"/>
  <c r="AA15" i="35" s="1"/>
  <c r="AA18" i="35" s="1"/>
  <c r="AB13" i="35"/>
  <c r="AB14" i="35" s="1"/>
  <c r="AB15" i="35" s="1"/>
  <c r="AB18" i="35" s="1"/>
  <c r="AC13" i="35"/>
  <c r="E14" i="35"/>
  <c r="F14" i="35"/>
  <c r="G14" i="35"/>
  <c r="G15" i="35" s="1"/>
  <c r="G18" i="35" s="1"/>
  <c r="H14" i="35"/>
  <c r="I14" i="35"/>
  <c r="I15" i="35" s="1"/>
  <c r="I18" i="35" s="1"/>
  <c r="J14" i="35"/>
  <c r="J15" i="35" s="1"/>
  <c r="J18" i="35" s="1"/>
  <c r="K14" i="35"/>
  <c r="M14" i="35"/>
  <c r="O14" i="35"/>
  <c r="O15" i="35" s="1"/>
  <c r="O18" i="35" s="1"/>
  <c r="P14" i="35"/>
  <c r="Q14" i="35"/>
  <c r="Q15" i="35" s="1"/>
  <c r="Q18" i="35" s="1"/>
  <c r="R14" i="35"/>
  <c r="R15" i="35" s="1"/>
  <c r="R18" i="35" s="1"/>
  <c r="S14" i="35"/>
  <c r="U14" i="35"/>
  <c r="V14" i="35"/>
  <c r="W14" i="35"/>
  <c r="W15" i="35" s="1"/>
  <c r="W18" i="35" s="1"/>
  <c r="X14" i="35"/>
  <c r="Z14" i="35"/>
  <c r="Z15" i="35" s="1"/>
  <c r="Z18" i="35" s="1"/>
  <c r="AC14" i="35"/>
  <c r="E15" i="35"/>
  <c r="E18" i="35" s="1"/>
  <c r="F15" i="35"/>
  <c r="H15" i="35"/>
  <c r="H18" i="35" s="1"/>
  <c r="K15" i="35"/>
  <c r="M15" i="35"/>
  <c r="M18" i="35" s="1"/>
  <c r="P15" i="35"/>
  <c r="P18" i="35" s="1"/>
  <c r="S15" i="35"/>
  <c r="U15" i="35"/>
  <c r="U18" i="35" s="1"/>
  <c r="V15" i="35"/>
  <c r="X15" i="35"/>
  <c r="X18" i="35" s="1"/>
  <c r="AC15" i="35"/>
  <c r="AC18" i="35" s="1"/>
  <c r="F18" i="35"/>
  <c r="F19" i="35" s="1"/>
  <c r="K18" i="35"/>
  <c r="K20" i="35" s="1"/>
  <c r="S18" i="35"/>
  <c r="S20" i="35" s="1"/>
  <c r="V18" i="35"/>
  <c r="V19" i="35" s="1"/>
  <c r="E21" i="35"/>
  <c r="F21" i="35"/>
  <c r="G21" i="35"/>
  <c r="H21" i="35"/>
  <c r="I21" i="35"/>
  <c r="J21" i="35"/>
  <c r="K21" i="35"/>
  <c r="L21" i="35"/>
  <c r="M21" i="35"/>
  <c r="N21" i="35"/>
  <c r="O21" i="35"/>
  <c r="P21" i="35"/>
  <c r="Q21" i="35"/>
  <c r="R21" i="35"/>
  <c r="S21" i="35"/>
  <c r="T21" i="35"/>
  <c r="U21" i="35"/>
  <c r="V21" i="35"/>
  <c r="W21" i="35"/>
  <c r="X21" i="35"/>
  <c r="Y21" i="35"/>
  <c r="Z21" i="35"/>
  <c r="AA21" i="35"/>
  <c r="AB21" i="35"/>
  <c r="AC21" i="35"/>
  <c r="AD21" i="35"/>
  <c r="E19" i="34"/>
  <c r="F7" i="43" s="1"/>
  <c r="F19" i="34"/>
  <c r="G7" i="43" s="1"/>
  <c r="G19" i="34"/>
  <c r="H19" i="34"/>
  <c r="I19" i="34"/>
  <c r="J19" i="34"/>
  <c r="K19" i="34"/>
  <c r="L19" i="34"/>
  <c r="M19" i="34"/>
  <c r="N19" i="34"/>
  <c r="O19" i="34"/>
  <c r="P19" i="34"/>
  <c r="Q19" i="34"/>
  <c r="R19" i="34"/>
  <c r="S19" i="34"/>
  <c r="T19" i="34"/>
  <c r="U19" i="34"/>
  <c r="V19" i="34"/>
  <c r="W19" i="34"/>
  <c r="X19" i="34"/>
  <c r="Y19" i="34"/>
  <c r="Z19" i="34"/>
  <c r="AA19" i="34"/>
  <c r="AB19" i="34"/>
  <c r="AC19" i="34"/>
  <c r="AD19" i="34"/>
  <c r="AE19" i="34"/>
  <c r="AF19" i="34"/>
  <c r="H7" i="43" s="1"/>
  <c r="AG19" i="34"/>
  <c r="AH19" i="34"/>
  <c r="I7" i="43" s="1"/>
  <c r="AI19" i="34"/>
  <c r="AJ19" i="34"/>
  <c r="AK19" i="34"/>
  <c r="AL19" i="34"/>
  <c r="AM19" i="34"/>
  <c r="AN19" i="34"/>
  <c r="E19" i="33"/>
  <c r="F19" i="33"/>
  <c r="G19" i="33"/>
  <c r="H19" i="33"/>
  <c r="I19" i="33"/>
  <c r="J19" i="33"/>
  <c r="K19" i="33"/>
  <c r="L19" i="33"/>
  <c r="M19" i="33"/>
  <c r="N19" i="33"/>
  <c r="O19" i="33"/>
  <c r="P19" i="33"/>
  <c r="Q19" i="33"/>
  <c r="R19" i="33"/>
  <c r="S19" i="33"/>
  <c r="T19" i="33"/>
  <c r="U19" i="33"/>
  <c r="V19" i="33"/>
  <c r="W19" i="33"/>
  <c r="X19" i="33"/>
  <c r="Y19" i="33"/>
  <c r="Z19" i="33"/>
  <c r="AA19" i="33"/>
  <c r="AB19" i="33"/>
  <c r="AC19" i="33"/>
  <c r="AD19" i="33"/>
  <c r="AE19" i="33"/>
  <c r="AF19" i="33"/>
  <c r="AG19" i="33"/>
  <c r="AH19" i="33"/>
  <c r="AI19" i="33"/>
  <c r="AJ19" i="33"/>
  <c r="AK19" i="33"/>
  <c r="AL19" i="33"/>
  <c r="AM19" i="33"/>
  <c r="AN19" i="33"/>
  <c r="E20" i="33"/>
  <c r="E23" i="33" s="1"/>
  <c r="F20" i="33"/>
  <c r="F23" i="33" s="1"/>
  <c r="G20" i="33"/>
  <c r="G23" i="33" s="1"/>
  <c r="H20" i="33"/>
  <c r="H23" i="33" s="1"/>
  <c r="I20" i="33"/>
  <c r="J20" i="33"/>
  <c r="K20" i="33"/>
  <c r="L20" i="33"/>
  <c r="M20" i="33"/>
  <c r="N20" i="33"/>
  <c r="N23" i="33" s="1"/>
  <c r="O20" i="33"/>
  <c r="O23" i="33" s="1"/>
  <c r="P20" i="33"/>
  <c r="Q20" i="33"/>
  <c r="R20" i="33"/>
  <c r="S20" i="33"/>
  <c r="T20" i="33"/>
  <c r="U20" i="33"/>
  <c r="V20" i="33"/>
  <c r="V23" i="33" s="1"/>
  <c r="W20" i="33"/>
  <c r="W23" i="33" s="1"/>
  <c r="X20" i="33"/>
  <c r="Y20" i="33"/>
  <c r="Z20" i="33"/>
  <c r="AA20" i="33"/>
  <c r="AB20" i="33"/>
  <c r="AC20" i="33"/>
  <c r="AD20" i="33"/>
  <c r="AD23" i="33" s="1"/>
  <c r="AE20" i="33"/>
  <c r="AE23" i="33" s="1"/>
  <c r="AF20" i="33"/>
  <c r="AG20" i="33"/>
  <c r="AH20" i="33"/>
  <c r="AI20" i="33"/>
  <c r="AJ20" i="33"/>
  <c r="AK20" i="33"/>
  <c r="AL20" i="33"/>
  <c r="AL23" i="33" s="1"/>
  <c r="AM20" i="33"/>
  <c r="AM23" i="33" s="1"/>
  <c r="AN20" i="33"/>
  <c r="I23" i="33"/>
  <c r="J23" i="33"/>
  <c r="K23" i="33"/>
  <c r="L23" i="33"/>
  <c r="M23" i="33"/>
  <c r="P23" i="33"/>
  <c r="Q23" i="33"/>
  <c r="R23" i="33"/>
  <c r="S23" i="33"/>
  <c r="T23" i="33"/>
  <c r="U23" i="33"/>
  <c r="X23" i="33"/>
  <c r="Y23" i="33"/>
  <c r="Z23" i="33"/>
  <c r="AA23" i="33"/>
  <c r="AB23" i="33"/>
  <c r="AC23" i="33"/>
  <c r="AF23" i="33"/>
  <c r="AG23" i="33"/>
  <c r="AH23" i="33"/>
  <c r="AI23" i="33"/>
  <c r="AJ23" i="33"/>
  <c r="AK23" i="33"/>
  <c r="AN23" i="33"/>
  <c r="B7" i="32"/>
  <c r="E21" i="32"/>
  <c r="F21" i="32"/>
  <c r="G21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E22" i="32"/>
  <c r="F22" i="32"/>
  <c r="G22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E23" i="32"/>
  <c r="F23" i="32"/>
  <c r="G23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E24" i="32"/>
  <c r="F24" i="32"/>
  <c r="G24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B25" i="32"/>
  <c r="C25" i="32"/>
  <c r="D25" i="32"/>
  <c r="E25" i="32"/>
  <c r="F25" i="32"/>
  <c r="G25" i="32"/>
  <c r="H25" i="32"/>
  <c r="I25" i="32"/>
  <c r="J25" i="32"/>
  <c r="J33" i="32" s="1"/>
  <c r="K25" i="32"/>
  <c r="K33" i="32" s="1"/>
  <c r="L25" i="32"/>
  <c r="L33" i="32" s="1"/>
  <c r="M25" i="32"/>
  <c r="N25" i="32"/>
  <c r="O25" i="32"/>
  <c r="P25" i="32"/>
  <c r="Q25" i="32"/>
  <c r="R25" i="32"/>
  <c r="R33" i="32" s="1"/>
  <c r="R35" i="32" s="1"/>
  <c r="S25" i="32"/>
  <c r="S33" i="32" s="1"/>
  <c r="T25" i="32"/>
  <c r="T33" i="32" s="1"/>
  <c r="U25" i="32"/>
  <c r="V25" i="32"/>
  <c r="W25" i="32"/>
  <c r="X25" i="32"/>
  <c r="Y25" i="32"/>
  <c r="Z25" i="32"/>
  <c r="Z33" i="32" s="1"/>
  <c r="Z35" i="32" s="1"/>
  <c r="AA25" i="32"/>
  <c r="AA33" i="32" s="1"/>
  <c r="AB25" i="32"/>
  <c r="AB33" i="32" s="1"/>
  <c r="AC25" i="32"/>
  <c r="AD25" i="32"/>
  <c r="AE25" i="32"/>
  <c r="AF25" i="32"/>
  <c r="AG25" i="32"/>
  <c r="AH25" i="32"/>
  <c r="AH33" i="32" s="1"/>
  <c r="AH35" i="32" s="1"/>
  <c r="AI25" i="32"/>
  <c r="AI33" i="32" s="1"/>
  <c r="AJ25" i="32"/>
  <c r="AJ33" i="32" s="1"/>
  <c r="AK25" i="32"/>
  <c r="AL25" i="32"/>
  <c r="AM25" i="32"/>
  <c r="AN25" i="32"/>
  <c r="B26" i="32"/>
  <c r="C26" i="32"/>
  <c r="D26" i="32"/>
  <c r="E26" i="32"/>
  <c r="E34" i="32" s="1"/>
  <c r="E35" i="32" s="1"/>
  <c r="C8" i="32" s="1"/>
  <c r="F26" i="32"/>
  <c r="G26" i="32"/>
  <c r="H26" i="32"/>
  <c r="I26" i="32"/>
  <c r="J26" i="32"/>
  <c r="K26" i="32"/>
  <c r="K34" i="32" s="1"/>
  <c r="L26" i="32"/>
  <c r="L34" i="32" s="1"/>
  <c r="M26" i="32"/>
  <c r="M34" i="32" s="1"/>
  <c r="M35" i="32" s="1"/>
  <c r="N26" i="32"/>
  <c r="O26" i="32"/>
  <c r="P26" i="32"/>
  <c r="Q26" i="32"/>
  <c r="R26" i="32"/>
  <c r="S26" i="32"/>
  <c r="S34" i="32" s="1"/>
  <c r="T26" i="32"/>
  <c r="T34" i="32" s="1"/>
  <c r="U26" i="32"/>
  <c r="U34" i="32" s="1"/>
  <c r="U35" i="32" s="1"/>
  <c r="V26" i="32"/>
  <c r="W26" i="32"/>
  <c r="X26" i="32"/>
  <c r="Y26" i="32"/>
  <c r="Z26" i="32"/>
  <c r="AA26" i="32"/>
  <c r="AA34" i="32" s="1"/>
  <c r="AB26" i="32"/>
  <c r="AB34" i="32" s="1"/>
  <c r="AC26" i="32"/>
  <c r="AC34" i="32" s="1"/>
  <c r="AC35" i="32" s="1"/>
  <c r="AD26" i="32"/>
  <c r="AE26" i="32"/>
  <c r="AF26" i="32"/>
  <c r="AG26" i="32"/>
  <c r="AH26" i="32"/>
  <c r="AI26" i="32"/>
  <c r="AI34" i="32" s="1"/>
  <c r="AJ26" i="32"/>
  <c r="AJ34" i="32" s="1"/>
  <c r="AK26" i="32"/>
  <c r="AK34" i="32" s="1"/>
  <c r="AK35" i="32" s="1"/>
  <c r="AL26" i="32"/>
  <c r="AM26" i="32"/>
  <c r="AN26" i="32"/>
  <c r="E33" i="32"/>
  <c r="F33" i="32"/>
  <c r="G33" i="32"/>
  <c r="G35" i="32" s="1"/>
  <c r="H33" i="32"/>
  <c r="H35" i="32" s="1"/>
  <c r="C9" i="32" s="1"/>
  <c r="I33" i="32"/>
  <c r="I35" i="32" s="1"/>
  <c r="M33" i="32"/>
  <c r="N33" i="32"/>
  <c r="O33" i="32"/>
  <c r="P33" i="32"/>
  <c r="Q33" i="32"/>
  <c r="U33" i="32"/>
  <c r="V33" i="32"/>
  <c r="W33" i="32"/>
  <c r="W35" i="32" s="1"/>
  <c r="X33" i="32"/>
  <c r="Y33" i="32"/>
  <c r="AC33" i="32"/>
  <c r="AD33" i="32"/>
  <c r="AE33" i="32"/>
  <c r="AF33" i="32"/>
  <c r="AG33" i="32"/>
  <c r="AK33" i="32"/>
  <c r="AL33" i="32"/>
  <c r="AM33" i="32"/>
  <c r="AN33" i="32"/>
  <c r="F34" i="32"/>
  <c r="G34" i="32"/>
  <c r="H34" i="32"/>
  <c r="I34" i="32"/>
  <c r="J34" i="32"/>
  <c r="N34" i="32"/>
  <c r="O34" i="32"/>
  <c r="O35" i="32" s="1"/>
  <c r="P34" i="32"/>
  <c r="P35" i="32" s="1"/>
  <c r="Q34" i="32"/>
  <c r="R34" i="32"/>
  <c r="V34" i="32"/>
  <c r="W34" i="32"/>
  <c r="X34" i="32"/>
  <c r="X35" i="32" s="1"/>
  <c r="Y34" i="32"/>
  <c r="Y35" i="32" s="1"/>
  <c r="Z34" i="32"/>
  <c r="AD34" i="32"/>
  <c r="AE34" i="32"/>
  <c r="AE35" i="32" s="1"/>
  <c r="AF34" i="32"/>
  <c r="AF35" i="32" s="1"/>
  <c r="C10" i="32" s="1"/>
  <c r="AG34" i="32"/>
  <c r="AH34" i="32"/>
  <c r="AL34" i="32"/>
  <c r="AM34" i="32"/>
  <c r="AM35" i="32" s="1"/>
  <c r="C15" i="32" s="1"/>
  <c r="AN34" i="32"/>
  <c r="AN35" i="32" s="1"/>
  <c r="F35" i="32"/>
  <c r="D8" i="32" s="1"/>
  <c r="N35" i="32"/>
  <c r="Q35" i="32"/>
  <c r="V35" i="32"/>
  <c r="AD35" i="32"/>
  <c r="AG35" i="32"/>
  <c r="AL35" i="32"/>
  <c r="C14" i="32" s="1"/>
  <c r="H9" i="30"/>
  <c r="I9" i="30" s="1"/>
  <c r="H10" i="30"/>
  <c r="H11" i="30" s="1"/>
  <c r="E11" i="30"/>
  <c r="F11" i="30"/>
  <c r="G11" i="30"/>
  <c r="E20" i="30"/>
  <c r="F20" i="30"/>
  <c r="G20" i="30"/>
  <c r="H20" i="30"/>
  <c r="I20" i="30"/>
  <c r="F21" i="30"/>
  <c r="G21" i="30"/>
  <c r="H21" i="30"/>
  <c r="I21" i="30"/>
  <c r="F22" i="30"/>
  <c r="F23" i="30" s="1"/>
  <c r="G22" i="30"/>
  <c r="H22" i="30"/>
  <c r="I22" i="30"/>
  <c r="E23" i="30"/>
  <c r="G23" i="30"/>
  <c r="H23" i="30"/>
  <c r="I23" i="30"/>
  <c r="H7" i="29"/>
  <c r="I7" i="29"/>
  <c r="J7" i="29" s="1"/>
  <c r="Z19" i="35" l="1"/>
  <c r="Z20" i="35"/>
  <c r="O19" i="35"/>
  <c r="O20" i="35"/>
  <c r="N19" i="35"/>
  <c r="N20" i="35"/>
  <c r="W19" i="35"/>
  <c r="W20" i="35"/>
  <c r="AB20" i="35"/>
  <c r="AB19" i="35"/>
  <c r="AB23" i="35" s="1"/>
  <c r="P19" i="35"/>
  <c r="P23" i="35" s="1"/>
  <c r="P20" i="35"/>
  <c r="AC19" i="35"/>
  <c r="AC20" i="35"/>
  <c r="H19" i="35"/>
  <c r="H20" i="35"/>
  <c r="J19" i="35"/>
  <c r="J20" i="35"/>
  <c r="AA20" i="35"/>
  <c r="AA19" i="35"/>
  <c r="AD19" i="35"/>
  <c r="AD20" i="35"/>
  <c r="M19" i="35"/>
  <c r="M20" i="35"/>
  <c r="X19" i="35"/>
  <c r="X20" i="35"/>
  <c r="I19" i="35"/>
  <c r="I23" i="35" s="1"/>
  <c r="I20" i="35"/>
  <c r="T20" i="35"/>
  <c r="T19" i="35"/>
  <c r="T23" i="35" s="1"/>
  <c r="E19" i="35"/>
  <c r="E23" i="35" s="1"/>
  <c r="F10" i="36" s="1"/>
  <c r="F11" i="36" s="1"/>
  <c r="E20" i="35"/>
  <c r="R19" i="35"/>
  <c r="R23" i="35" s="1"/>
  <c r="R20" i="35"/>
  <c r="Y19" i="35"/>
  <c r="Y23" i="35" s="1"/>
  <c r="Y20" i="35"/>
  <c r="L20" i="35"/>
  <c r="L19" i="35"/>
  <c r="L23" i="35" s="1"/>
  <c r="U19" i="35"/>
  <c r="U23" i="35" s="1"/>
  <c r="U20" i="35"/>
  <c r="Q19" i="35"/>
  <c r="Q23" i="35" s="1"/>
  <c r="Q20" i="35"/>
  <c r="G19" i="35"/>
  <c r="G23" i="35" s="1"/>
  <c r="G20" i="35"/>
  <c r="AJ35" i="32"/>
  <c r="AB35" i="32"/>
  <c r="T35" i="32"/>
  <c r="L35" i="32"/>
  <c r="AI35" i="32"/>
  <c r="AA35" i="32"/>
  <c r="S35" i="32"/>
  <c r="K35" i="32"/>
  <c r="S19" i="35"/>
  <c r="S23" i="35" s="1"/>
  <c r="K19" i="35"/>
  <c r="K23" i="35" s="1"/>
  <c r="J35" i="32"/>
  <c r="D9" i="32" s="1"/>
  <c r="M59" i="43"/>
  <c r="U59" i="43"/>
  <c r="AC59" i="43"/>
  <c r="I59" i="43"/>
  <c r="Q59" i="43"/>
  <c r="Y59" i="43"/>
  <c r="J59" i="43"/>
  <c r="R59" i="43"/>
  <c r="Z59" i="43"/>
  <c r="L59" i="43"/>
  <c r="T59" i="43"/>
  <c r="AB59" i="43"/>
  <c r="S59" i="43"/>
  <c r="H59" i="43"/>
  <c r="X59" i="43"/>
  <c r="K59" i="43"/>
  <c r="AA59" i="43"/>
  <c r="N59" i="43"/>
  <c r="AD59" i="43"/>
  <c r="O59" i="43"/>
  <c r="I9" i="42"/>
  <c r="P59" i="43"/>
  <c r="V59" i="43"/>
  <c r="W59" i="43"/>
  <c r="H30" i="37"/>
  <c r="G33" i="37"/>
  <c r="G37" i="37"/>
  <c r="H26" i="37"/>
  <c r="G29" i="37"/>
  <c r="H22" i="37"/>
  <c r="G25" i="37"/>
  <c r="N48" i="43"/>
  <c r="V48" i="43"/>
  <c r="AD48" i="43"/>
  <c r="H9" i="42"/>
  <c r="J48" i="43"/>
  <c r="R48" i="43"/>
  <c r="Z48" i="43"/>
  <c r="K48" i="43"/>
  <c r="S48" i="43"/>
  <c r="AA48" i="43"/>
  <c r="M48" i="43"/>
  <c r="U48" i="43"/>
  <c r="AC48" i="43"/>
  <c r="T48" i="43"/>
  <c r="W48" i="43"/>
  <c r="I48" i="43"/>
  <c r="Y48" i="43"/>
  <c r="L48" i="43"/>
  <c r="AB48" i="43"/>
  <c r="O48" i="43"/>
  <c r="P48" i="43"/>
  <c r="Q48" i="43"/>
  <c r="H48" i="43"/>
  <c r="X48" i="43"/>
  <c r="V20" i="35"/>
  <c r="V23" i="35" s="1"/>
  <c r="F20" i="35"/>
  <c r="F23" i="35" s="1"/>
  <c r="G10" i="36" s="1"/>
  <c r="O37" i="43"/>
  <c r="W37" i="43"/>
  <c r="K37" i="43"/>
  <c r="S37" i="43"/>
  <c r="AA37" i="43"/>
  <c r="L37" i="43"/>
  <c r="T37" i="43"/>
  <c r="AB37" i="43"/>
  <c r="N37" i="43"/>
  <c r="V37" i="43"/>
  <c r="AD37" i="43"/>
  <c r="G9" i="42"/>
  <c r="H37" i="43"/>
  <c r="X37" i="43"/>
  <c r="I37" i="43"/>
  <c r="Y37" i="43"/>
  <c r="J37" i="43"/>
  <c r="Z37" i="43"/>
  <c r="M37" i="43"/>
  <c r="AC37" i="43"/>
  <c r="P37" i="43"/>
  <c r="Q37" i="43"/>
  <c r="R37" i="43"/>
  <c r="U37" i="43"/>
  <c r="H26" i="43"/>
  <c r="P26" i="43"/>
  <c r="X26" i="43"/>
  <c r="L26" i="43"/>
  <c r="T26" i="43"/>
  <c r="AB26" i="43"/>
  <c r="M26" i="43"/>
  <c r="U26" i="43"/>
  <c r="AC26" i="43"/>
  <c r="O26" i="43"/>
  <c r="W26" i="43"/>
  <c r="N26" i="43"/>
  <c r="AD26" i="43"/>
  <c r="Q26" i="43"/>
  <c r="R26" i="43"/>
  <c r="S26" i="43"/>
  <c r="V26" i="43"/>
  <c r="I26" i="43"/>
  <c r="Y26" i="43"/>
  <c r="F9" i="42"/>
  <c r="J26" i="43"/>
  <c r="Z26" i="43"/>
  <c r="K26" i="43"/>
  <c r="AA26" i="43"/>
  <c r="F20" i="36"/>
  <c r="F21" i="36" s="1"/>
  <c r="O56" i="40"/>
  <c r="O86" i="40" s="1"/>
  <c r="O32" i="39"/>
  <c r="O38" i="39" s="1"/>
  <c r="O68" i="39" s="1"/>
  <c r="AA27" i="39"/>
  <c r="AA67" i="39" s="1"/>
  <c r="Q67" i="40"/>
  <c r="Q87" i="40" s="1"/>
  <c r="Q43" i="39"/>
  <c r="Q49" i="39" s="1"/>
  <c r="Q69" i="39" s="1"/>
  <c r="K45" i="40"/>
  <c r="K85" i="40" s="1"/>
  <c r="K21" i="39"/>
  <c r="K27" i="39" s="1"/>
  <c r="K67" i="39" s="1"/>
  <c r="S10" i="38"/>
  <c r="P67" i="40"/>
  <c r="P87" i="40" s="1"/>
  <c r="P43" i="39"/>
  <c r="P49" i="39" s="1"/>
  <c r="P69" i="39" s="1"/>
  <c r="U45" i="40"/>
  <c r="U85" i="40" s="1"/>
  <c r="U21" i="39"/>
  <c r="U27" i="39" s="1"/>
  <c r="U67" i="39" s="1"/>
  <c r="F25" i="38"/>
  <c r="F26" i="38" s="1"/>
  <c r="X10" i="38"/>
  <c r="P10" i="38"/>
  <c r="H10" i="38"/>
  <c r="F29" i="38" s="1"/>
  <c r="F30" i="38" s="1"/>
  <c r="F13" i="38"/>
  <c r="F14" i="38" s="1"/>
  <c r="I16" i="39"/>
  <c r="I66" i="39" s="1"/>
  <c r="L78" i="40"/>
  <c r="L88" i="40" s="1"/>
  <c r="L52" i="39"/>
  <c r="L60" i="39" s="1"/>
  <c r="L70" i="39" s="1"/>
  <c r="I67" i="40"/>
  <c r="I87" i="40" s="1"/>
  <c r="I43" i="39"/>
  <c r="I49" i="39" s="1"/>
  <c r="I69" i="39" s="1"/>
  <c r="S21" i="39"/>
  <c r="S27" i="39" s="1"/>
  <c r="S67" i="39" s="1"/>
  <c r="S45" i="40"/>
  <c r="S85" i="40" s="1"/>
  <c r="H45" i="40"/>
  <c r="H85" i="40" s="1"/>
  <c r="H21" i="39"/>
  <c r="H27" i="39" s="1"/>
  <c r="H67" i="39" s="1"/>
  <c r="Z27" i="41"/>
  <c r="Z67" i="41" s="1"/>
  <c r="R27" i="41"/>
  <c r="R67" i="41" s="1"/>
  <c r="J27" i="41"/>
  <c r="J67" i="41" s="1"/>
  <c r="G78" i="41" s="1"/>
  <c r="G79" i="41" s="1"/>
  <c r="AA8" i="36"/>
  <c r="F22" i="36" s="1"/>
  <c r="F23" i="36" s="1"/>
  <c r="F21" i="38"/>
  <c r="F22" i="38" s="1"/>
  <c r="AE10" i="38"/>
  <c r="W10" i="38"/>
  <c r="O10" i="38"/>
  <c r="F31" i="38" s="1"/>
  <c r="F32" i="38" s="1"/>
  <c r="J78" i="40"/>
  <c r="J88" i="40" s="1"/>
  <c r="J52" i="39"/>
  <c r="J60" i="39" s="1"/>
  <c r="J70" i="39" s="1"/>
  <c r="G94" i="40"/>
  <c r="G95" i="40" s="1"/>
  <c r="M34" i="40"/>
  <c r="M84" i="40" s="1"/>
  <c r="M10" i="39"/>
  <c r="G76" i="41"/>
  <c r="G77" i="41" s="1"/>
  <c r="F17" i="38"/>
  <c r="F18" i="38" s="1"/>
  <c r="F15" i="38"/>
  <c r="F16" i="38" s="1"/>
  <c r="AD16" i="39"/>
  <c r="AD66" i="39" s="1"/>
  <c r="N16" i="39"/>
  <c r="N66" i="39" s="1"/>
  <c r="AA67" i="40"/>
  <c r="AA87" i="40" s="1"/>
  <c r="AA43" i="39"/>
  <c r="AA49" i="39" s="1"/>
  <c r="AA69" i="39" s="1"/>
  <c r="I76" i="41"/>
  <c r="I77" i="41" s="1"/>
  <c r="X49" i="41"/>
  <c r="X69" i="41" s="1"/>
  <c r="P49" i="41"/>
  <c r="P69" i="41" s="1"/>
  <c r="H49" i="41"/>
  <c r="H69" i="41" s="1"/>
  <c r="I78" i="41" s="1"/>
  <c r="I79" i="41" s="1"/>
  <c r="S43" i="39"/>
  <c r="S49" i="39" s="1"/>
  <c r="S69" i="39" s="1"/>
  <c r="X21" i="39"/>
  <c r="X27" i="39" s="1"/>
  <c r="X67" i="39" s="1"/>
  <c r="AE16" i="39"/>
  <c r="AE66" i="39" s="1"/>
  <c r="Q78" i="40"/>
  <c r="Q88" i="40" s="1"/>
  <c r="AB70" i="40"/>
  <c r="AC59" i="40"/>
  <c r="N59" i="40"/>
  <c r="Q48" i="40"/>
  <c r="T37" i="40"/>
  <c r="AD49" i="41"/>
  <c r="AD69" i="41" s="1"/>
  <c r="V49" i="41"/>
  <c r="V69" i="41" s="1"/>
  <c r="X27" i="41"/>
  <c r="X67" i="41" s="1"/>
  <c r="X16" i="41"/>
  <c r="X66" i="41" s="1"/>
  <c r="P16" i="41"/>
  <c r="P66" i="41" s="1"/>
  <c r="H16" i="41"/>
  <c r="H66" i="41" s="1"/>
  <c r="F76" i="41" s="1"/>
  <c r="F77" i="41" s="1"/>
  <c r="R52" i="39"/>
  <c r="R60" i="39" s="1"/>
  <c r="R70" i="39" s="1"/>
  <c r="AE38" i="39"/>
  <c r="AE68" i="39" s="1"/>
  <c r="W38" i="39"/>
  <c r="W68" i="39" s="1"/>
  <c r="Z27" i="39"/>
  <c r="Z67" i="39" s="1"/>
  <c r="R27" i="39"/>
  <c r="R67" i="39" s="1"/>
  <c r="J27" i="39"/>
  <c r="J67" i="39" s="1"/>
  <c r="K10" i="39"/>
  <c r="K16" i="39" s="1"/>
  <c r="K66" i="39" s="1"/>
  <c r="AC16" i="39"/>
  <c r="AC66" i="39" s="1"/>
  <c r="U16" i="39"/>
  <c r="U66" i="39" s="1"/>
  <c r="M16" i="39"/>
  <c r="M66" i="39" s="1"/>
  <c r="Z59" i="40"/>
  <c r="H59" i="40"/>
  <c r="AB48" i="40"/>
  <c r="N48" i="40"/>
  <c r="AA26" i="40"/>
  <c r="V37" i="40"/>
  <c r="V26" i="40"/>
  <c r="Q38" i="41"/>
  <c r="Q68" i="41" s="1"/>
  <c r="I38" i="41"/>
  <c r="I68" i="41" s="1"/>
  <c r="Z32" i="39"/>
  <c r="Z38" i="39" s="1"/>
  <c r="Z68" i="39" s="1"/>
  <c r="Q27" i="39"/>
  <c r="Q67" i="39" s="1"/>
  <c r="I27" i="39"/>
  <c r="I67" i="39" s="1"/>
  <c r="T70" i="40"/>
  <c r="AA48" i="40"/>
  <c r="AC45" i="40"/>
  <c r="AC85" i="40" s="1"/>
  <c r="AC21" i="39"/>
  <c r="AC27" i="39" s="1"/>
  <c r="AC67" i="39" s="1"/>
  <c r="K70" i="40"/>
  <c r="S70" i="40"/>
  <c r="AA70" i="40"/>
  <c r="N70" i="40"/>
  <c r="V70" i="40"/>
  <c r="AD70" i="40"/>
  <c r="M70" i="40"/>
  <c r="X70" i="40"/>
  <c r="O70" i="40"/>
  <c r="Y70" i="40"/>
  <c r="P70" i="40"/>
  <c r="Z70" i="40"/>
  <c r="L49" i="41"/>
  <c r="L69" i="41" s="1"/>
  <c r="L59" i="40"/>
  <c r="T59" i="40"/>
  <c r="AB59" i="40"/>
  <c r="O59" i="40"/>
  <c r="W59" i="40"/>
  <c r="J59" i="40"/>
  <c r="U59" i="40"/>
  <c r="K59" i="40"/>
  <c r="V59" i="40"/>
  <c r="M59" i="40"/>
  <c r="X59" i="40"/>
  <c r="Y56" i="40"/>
  <c r="Y86" i="40" s="1"/>
  <c r="Y32" i="39"/>
  <c r="Y38" i="39" s="1"/>
  <c r="Y68" i="39" s="1"/>
  <c r="M45" i="40"/>
  <c r="M85" i="40" s="1"/>
  <c r="M21" i="39"/>
  <c r="M27" i="39" s="1"/>
  <c r="M67" i="39" s="1"/>
  <c r="Q34" i="40"/>
  <c r="Q84" i="40" s="1"/>
  <c r="Q10" i="39"/>
  <c r="Q16" i="39" s="1"/>
  <c r="Q66" i="39" s="1"/>
  <c r="M48" i="40"/>
  <c r="U48" i="40"/>
  <c r="AC48" i="40"/>
  <c r="H48" i="40"/>
  <c r="P48" i="40"/>
  <c r="X48" i="40"/>
  <c r="I48" i="40"/>
  <c r="S48" i="40"/>
  <c r="AD48" i="40"/>
  <c r="J48" i="40"/>
  <c r="T48" i="40"/>
  <c r="K48" i="40"/>
  <c r="V48" i="40"/>
  <c r="V38" i="41"/>
  <c r="V68" i="41" s="1"/>
  <c r="L45" i="40"/>
  <c r="L85" i="40" s="1"/>
  <c r="L21" i="39"/>
  <c r="L27" i="39" s="1"/>
  <c r="L67" i="39" s="1"/>
  <c r="Y26" i="40"/>
  <c r="AC27" i="41"/>
  <c r="AC67" i="41" s="1"/>
  <c r="U27" i="41"/>
  <c r="U67" i="41" s="1"/>
  <c r="M27" i="41"/>
  <c r="M67" i="41" s="1"/>
  <c r="O26" i="40"/>
  <c r="W26" i="40"/>
  <c r="H26" i="40"/>
  <c r="P26" i="40"/>
  <c r="X26" i="40"/>
  <c r="J26" i="40"/>
  <c r="R26" i="40"/>
  <c r="Z26" i="40"/>
  <c r="AA38" i="41"/>
  <c r="AA68" i="41" s="1"/>
  <c r="S38" i="41"/>
  <c r="S68" i="41" s="1"/>
  <c r="H78" i="41" s="1"/>
  <c r="H79" i="41" s="1"/>
  <c r="K38" i="41"/>
  <c r="K68" i="41" s="1"/>
  <c r="AB27" i="41"/>
  <c r="AB67" i="41" s="1"/>
  <c r="T27" i="41"/>
  <c r="T67" i="41" s="1"/>
  <c r="L27" i="41"/>
  <c r="L67" i="41" s="1"/>
  <c r="Y49" i="41"/>
  <c r="Y69" i="41" s="1"/>
  <c r="Q49" i="41"/>
  <c r="Q69" i="41" s="1"/>
  <c r="I49" i="41"/>
  <c r="I69" i="41" s="1"/>
  <c r="Z38" i="41"/>
  <c r="Z68" i="41" s="1"/>
  <c r="R38" i="41"/>
  <c r="R68" i="41" s="1"/>
  <c r="J38" i="41"/>
  <c r="J68" i="41" s="1"/>
  <c r="H76" i="41" s="1"/>
  <c r="H77" i="41" s="1"/>
  <c r="Y16" i="41"/>
  <c r="Y66" i="41" s="1"/>
  <c r="Q16" i="41"/>
  <c r="Q66" i="41" s="1"/>
  <c r="I16" i="41"/>
  <c r="I66" i="41" s="1"/>
  <c r="F78" i="41" s="1"/>
  <c r="F79" i="41" s="1"/>
  <c r="U16" i="41"/>
  <c r="U66" i="41" s="1"/>
  <c r="M16" i="41"/>
  <c r="M66" i="41" s="1"/>
  <c r="Q49" i="42"/>
  <c r="J49" i="42"/>
  <c r="R16" i="41"/>
  <c r="R66" i="41" s="1"/>
  <c r="J16" i="41"/>
  <c r="J66" i="41" s="1"/>
  <c r="O60" i="42"/>
  <c r="W60" i="42"/>
  <c r="AE60" i="42"/>
  <c r="H60" i="42"/>
  <c r="P60" i="42"/>
  <c r="X60" i="42"/>
  <c r="J60" i="42"/>
  <c r="R60" i="42"/>
  <c r="Z60" i="42"/>
  <c r="K60" i="42"/>
  <c r="S60" i="42"/>
  <c r="AA60" i="42"/>
  <c r="K49" i="42"/>
  <c r="S49" i="42"/>
  <c r="AA49" i="42"/>
  <c r="L49" i="42"/>
  <c r="T49" i="42"/>
  <c r="AB49" i="42"/>
  <c r="M49" i="42"/>
  <c r="U49" i="42"/>
  <c r="AC49" i="42"/>
  <c r="N49" i="42"/>
  <c r="V49" i="42"/>
  <c r="AD49" i="42"/>
  <c r="O49" i="42"/>
  <c r="W49" i="42"/>
  <c r="AE49" i="42"/>
  <c r="AE34" i="42"/>
  <c r="AE73" i="42" s="1"/>
  <c r="AE37" i="42"/>
  <c r="AE59" i="42"/>
  <c r="AE67" i="42" s="1"/>
  <c r="AE76" i="42" s="1"/>
  <c r="W37" i="42"/>
  <c r="W59" i="42"/>
  <c r="I82" i="44"/>
  <c r="I83" i="44" s="1"/>
  <c r="AE48" i="42"/>
  <c r="AE56" i="42" s="1"/>
  <c r="AE75" i="42" s="1"/>
  <c r="W48" i="42"/>
  <c r="O48" i="42"/>
  <c r="AA38" i="42"/>
  <c r="S38" i="42"/>
  <c r="K38" i="42"/>
  <c r="AA67" i="44"/>
  <c r="AA76" i="44" s="1"/>
  <c r="K67" i="44"/>
  <c r="K76" i="44" s="1"/>
  <c r="M56" i="44"/>
  <c r="M75" i="44" s="1"/>
  <c r="AD48" i="42"/>
  <c r="V48" i="42"/>
  <c r="N48" i="42"/>
  <c r="Z38" i="42"/>
  <c r="R38" i="42"/>
  <c r="J38" i="42"/>
  <c r="J67" i="44"/>
  <c r="J76" i="44" s="1"/>
  <c r="L56" i="44"/>
  <c r="L75" i="44" s="1"/>
  <c r="AE45" i="44"/>
  <c r="AE74" i="44" s="1"/>
  <c r="O45" i="44"/>
  <c r="O74" i="44" s="1"/>
  <c r="N45" i="44"/>
  <c r="N74" i="44" s="1"/>
  <c r="AB48" i="42"/>
  <c r="T48" i="42"/>
  <c r="L48" i="42"/>
  <c r="X38" i="42"/>
  <c r="P38" i="42"/>
  <c r="H38" i="42"/>
  <c r="V67" i="44"/>
  <c r="V76" i="44" s="1"/>
  <c r="AA48" i="42"/>
  <c r="S48" i="42"/>
  <c r="AE38" i="42"/>
  <c r="W38" i="42"/>
  <c r="S67" i="44"/>
  <c r="S76" i="44" s="1"/>
  <c r="Y34" i="44"/>
  <c r="Y73" i="44" s="1"/>
  <c r="Q34" i="44"/>
  <c r="Q73" i="44" s="1"/>
  <c r="I34" i="44"/>
  <c r="I73" i="44" s="1"/>
  <c r="X34" i="44"/>
  <c r="X73" i="44" s="1"/>
  <c r="P34" i="44"/>
  <c r="P73" i="44" s="1"/>
  <c r="H34" i="44"/>
  <c r="H73" i="44" s="1"/>
  <c r="F82" i="44" s="1"/>
  <c r="F83" i="44" s="1"/>
  <c r="U56" i="44"/>
  <c r="U75" i="44" s="1"/>
  <c r="N67" i="44"/>
  <c r="N76" i="44" s="1"/>
  <c r="T56" i="44"/>
  <c r="T75" i="44" s="1"/>
  <c r="AE59" i="44"/>
  <c r="AE67" i="44" s="1"/>
  <c r="AE76" i="44" s="1"/>
  <c r="W59" i="44"/>
  <c r="W67" i="44" s="1"/>
  <c r="W76" i="44" s="1"/>
  <c r="O59" i="44"/>
  <c r="O67" i="44" s="1"/>
  <c r="O76" i="44" s="1"/>
  <c r="Y49" i="44"/>
  <c r="Q49" i="44"/>
  <c r="I49" i="44"/>
  <c r="Y48" i="44"/>
  <c r="Y56" i="44" s="1"/>
  <c r="Y75" i="44" s="1"/>
  <c r="Q48" i="44"/>
  <c r="I48" i="44"/>
  <c r="AA37" i="44"/>
  <c r="AA45" i="44" s="1"/>
  <c r="AA74" i="44" s="1"/>
  <c r="S37" i="44"/>
  <c r="S45" i="44" s="1"/>
  <c r="S74" i="44" s="1"/>
  <c r="K37" i="44"/>
  <c r="K45" i="44" s="1"/>
  <c r="K74" i="44" s="1"/>
  <c r="X49" i="44"/>
  <c r="P49" i="44"/>
  <c r="H49" i="44"/>
  <c r="X48" i="44"/>
  <c r="P48" i="44"/>
  <c r="H48" i="44"/>
  <c r="AC59" i="44"/>
  <c r="AC67" i="44" s="1"/>
  <c r="AC76" i="44" s="1"/>
  <c r="U59" i="44"/>
  <c r="U67" i="44" s="1"/>
  <c r="U76" i="44" s="1"/>
  <c r="M59" i="44"/>
  <c r="M67" i="44" s="1"/>
  <c r="M76" i="44" s="1"/>
  <c r="AE49" i="44"/>
  <c r="W49" i="44"/>
  <c r="O49" i="44"/>
  <c r="AE48" i="44"/>
  <c r="W48" i="44"/>
  <c r="O48" i="44"/>
  <c r="O56" i="44" s="1"/>
  <c r="O75" i="44" s="1"/>
  <c r="Y37" i="44"/>
  <c r="Y45" i="44" s="1"/>
  <c r="Y74" i="44" s="1"/>
  <c r="Q37" i="44"/>
  <c r="Q45" i="44" s="1"/>
  <c r="Q74" i="44" s="1"/>
  <c r="I37" i="44"/>
  <c r="I45" i="44" s="1"/>
  <c r="I74" i="44" s="1"/>
  <c r="AB60" i="44"/>
  <c r="T60" i="44"/>
  <c r="L60" i="44"/>
  <c r="AB59" i="44"/>
  <c r="T59" i="44"/>
  <c r="T67" i="44" s="1"/>
  <c r="T76" i="44" s="1"/>
  <c r="L59" i="44"/>
  <c r="AD49" i="44"/>
  <c r="V49" i="44"/>
  <c r="N49" i="44"/>
  <c r="AD48" i="44"/>
  <c r="V48" i="44"/>
  <c r="N48" i="44"/>
  <c r="X38" i="44"/>
  <c r="P38" i="44"/>
  <c r="H38" i="44"/>
  <c r="X37" i="44"/>
  <c r="X45" i="44" s="1"/>
  <c r="X74" i="44" s="1"/>
  <c r="P37" i="44"/>
  <c r="P45" i="44" s="1"/>
  <c r="P74" i="44" s="1"/>
  <c r="H37" i="44"/>
  <c r="AA48" i="44"/>
  <c r="AA56" i="44" s="1"/>
  <c r="AA75" i="44" s="1"/>
  <c r="S48" i="44"/>
  <c r="S56" i="44" s="1"/>
  <c r="S75" i="44" s="1"/>
  <c r="K48" i="44"/>
  <c r="K56" i="44" s="1"/>
  <c r="K75" i="44" s="1"/>
  <c r="X59" i="44"/>
  <c r="X67" i="44" s="1"/>
  <c r="X76" i="44" s="1"/>
  <c r="P59" i="44"/>
  <c r="P67" i="44" s="1"/>
  <c r="P76" i="44" s="1"/>
  <c r="Z49" i="44"/>
  <c r="R49" i="44"/>
  <c r="Z48" i="44"/>
  <c r="R48" i="44"/>
  <c r="AB37" i="44"/>
  <c r="AB45" i="44" s="1"/>
  <c r="AB74" i="44" s="1"/>
  <c r="T37" i="44"/>
  <c r="T45" i="44" s="1"/>
  <c r="T74" i="44" s="1"/>
  <c r="D13" i="32"/>
  <c r="C13" i="32"/>
  <c r="K7" i="29"/>
  <c r="J8" i="29"/>
  <c r="C12" i="32"/>
  <c r="D12" i="32"/>
  <c r="C11" i="32"/>
  <c r="D11" i="32"/>
  <c r="I10" i="30"/>
  <c r="D15" i="32"/>
  <c r="D14" i="32"/>
  <c r="D10" i="32"/>
  <c r="W9" i="36" l="1"/>
  <c r="W10" i="36"/>
  <c r="G76" i="39"/>
  <c r="G77" i="39" s="1"/>
  <c r="M9" i="36"/>
  <c r="M10" i="36"/>
  <c r="AD56" i="40"/>
  <c r="AD86" i="40" s="1"/>
  <c r="AD32" i="39"/>
  <c r="AD38" i="39" s="1"/>
  <c r="AD68" i="39" s="1"/>
  <c r="J45" i="43"/>
  <c r="J74" i="43" s="1"/>
  <c r="J39" i="42"/>
  <c r="O45" i="43"/>
  <c r="O74" i="43" s="1"/>
  <c r="O39" i="42"/>
  <c r="O45" i="42" s="1"/>
  <c r="O74" i="42" s="1"/>
  <c r="W56" i="43"/>
  <c r="W75" i="43" s="1"/>
  <c r="W50" i="42"/>
  <c r="W56" i="42" s="1"/>
  <c r="W75" i="42" s="1"/>
  <c r="N61" i="42"/>
  <c r="N67" i="42" s="1"/>
  <c r="N76" i="42" s="1"/>
  <c r="N67" i="43"/>
  <c r="N76" i="43" s="1"/>
  <c r="L67" i="43"/>
  <c r="L76" i="43" s="1"/>
  <c r="L61" i="42"/>
  <c r="L67" i="42" s="1"/>
  <c r="L76" i="42" s="1"/>
  <c r="T9" i="36"/>
  <c r="T10" i="36"/>
  <c r="AD23" i="35"/>
  <c r="AC23" i="35"/>
  <c r="W23" i="35"/>
  <c r="W10" i="39"/>
  <c r="W16" i="39" s="1"/>
  <c r="W66" i="39" s="1"/>
  <c r="W34" i="40"/>
  <c r="W84" i="40" s="1"/>
  <c r="Y78" i="40"/>
  <c r="Y88" i="40" s="1"/>
  <c r="Y52" i="39"/>
  <c r="Y60" i="39" s="1"/>
  <c r="Y70" i="39" s="1"/>
  <c r="V45" i="43"/>
  <c r="V74" i="43" s="1"/>
  <c r="V39" i="42"/>
  <c r="V45" i="42" s="1"/>
  <c r="V74" i="42" s="1"/>
  <c r="O78" i="40"/>
  <c r="O88" i="40" s="1"/>
  <c r="O52" i="39"/>
  <c r="O60" i="39" s="1"/>
  <c r="O70" i="39" s="1"/>
  <c r="U61" i="42"/>
  <c r="U67" i="42" s="1"/>
  <c r="U76" i="42" s="1"/>
  <c r="U67" i="43"/>
  <c r="U76" i="43" s="1"/>
  <c r="L67" i="44"/>
  <c r="L76" i="44" s="1"/>
  <c r="AA45" i="42"/>
  <c r="AA74" i="42" s="1"/>
  <c r="Z34" i="40"/>
  <c r="Z84" i="40" s="1"/>
  <c r="Z10" i="39"/>
  <c r="Z16" i="39" s="1"/>
  <c r="Z66" i="39" s="1"/>
  <c r="S32" i="39"/>
  <c r="S38" i="39" s="1"/>
  <c r="S68" i="39" s="1"/>
  <c r="S56" i="40"/>
  <c r="S86" i="40" s="1"/>
  <c r="M43" i="39"/>
  <c r="M49" i="39" s="1"/>
  <c r="M69" i="39" s="1"/>
  <c r="M67" i="40"/>
  <c r="M87" i="40" s="1"/>
  <c r="T43" i="39"/>
  <c r="T49" i="39" s="1"/>
  <c r="T69" i="39" s="1"/>
  <c r="T67" i="40"/>
  <c r="T87" i="40" s="1"/>
  <c r="X52" i="39"/>
  <c r="X60" i="39" s="1"/>
  <c r="X70" i="39" s="1"/>
  <c r="X78" i="40"/>
  <c r="X88" i="40" s="1"/>
  <c r="N56" i="40"/>
  <c r="N86" i="40" s="1"/>
  <c r="N32" i="39"/>
  <c r="N38" i="39" s="1"/>
  <c r="N68" i="39" s="1"/>
  <c r="Q56" i="40"/>
  <c r="Q86" i="40" s="1"/>
  <c r="Q32" i="39"/>
  <c r="Q38" i="39" s="1"/>
  <c r="Q68" i="39" s="1"/>
  <c r="J94" i="40"/>
  <c r="J95" i="40" s="1"/>
  <c r="Z28" i="42"/>
  <c r="Z34" i="42" s="1"/>
  <c r="Z73" i="42" s="1"/>
  <c r="Z34" i="43"/>
  <c r="Z73" i="43" s="1"/>
  <c r="Q34" i="43"/>
  <c r="Q73" i="43" s="1"/>
  <c r="Q28" i="42"/>
  <c r="Q34" i="42" s="1"/>
  <c r="Q73" i="42" s="1"/>
  <c r="AB34" i="43"/>
  <c r="AB73" i="43" s="1"/>
  <c r="AB28" i="42"/>
  <c r="AB34" i="42" s="1"/>
  <c r="AB73" i="42" s="1"/>
  <c r="U45" i="43"/>
  <c r="U74" i="43" s="1"/>
  <c r="U39" i="42"/>
  <c r="U45" i="42" s="1"/>
  <c r="U74" i="42" s="1"/>
  <c r="Y45" i="43"/>
  <c r="Y74" i="43" s="1"/>
  <c r="Y39" i="42"/>
  <c r="Y45" i="42" s="1"/>
  <c r="Y74" i="42" s="1"/>
  <c r="AB45" i="43"/>
  <c r="AB74" i="43" s="1"/>
  <c r="AB39" i="42"/>
  <c r="AB45" i="42" s="1"/>
  <c r="AB74" i="42" s="1"/>
  <c r="Q56" i="43"/>
  <c r="Q75" i="43" s="1"/>
  <c r="Q50" i="42"/>
  <c r="T56" i="43"/>
  <c r="T75" i="43" s="1"/>
  <c r="T50" i="42"/>
  <c r="T56" i="42" s="1"/>
  <c r="T75" i="42" s="1"/>
  <c r="R56" i="43"/>
  <c r="R75" i="43" s="1"/>
  <c r="R50" i="42"/>
  <c r="R56" i="42" s="1"/>
  <c r="R75" i="42" s="1"/>
  <c r="I30" i="37"/>
  <c r="H33" i="37"/>
  <c r="H37" i="37"/>
  <c r="AA67" i="43"/>
  <c r="AA76" i="43" s="1"/>
  <c r="AA61" i="42"/>
  <c r="Z67" i="43"/>
  <c r="Z76" i="43" s="1"/>
  <c r="Z61" i="42"/>
  <c r="M61" i="42"/>
  <c r="M67" i="42" s="1"/>
  <c r="M76" i="42" s="1"/>
  <c r="M67" i="43"/>
  <c r="M76" i="43" s="1"/>
  <c r="AA23" i="35"/>
  <c r="U28" i="42"/>
  <c r="U34" i="42" s="1"/>
  <c r="U73" i="42" s="1"/>
  <c r="U34" i="43"/>
  <c r="U73" i="43" s="1"/>
  <c r="I56" i="43"/>
  <c r="I75" i="43" s="1"/>
  <c r="I50" i="42"/>
  <c r="I56" i="42" s="1"/>
  <c r="I75" i="42" s="1"/>
  <c r="AC61" i="42"/>
  <c r="AC67" i="42" s="1"/>
  <c r="AC76" i="42" s="1"/>
  <c r="AC67" i="43"/>
  <c r="AC76" i="43" s="1"/>
  <c r="K78" i="40"/>
  <c r="K88" i="40" s="1"/>
  <c r="K52" i="39"/>
  <c r="K60" i="39" s="1"/>
  <c r="K70" i="39" s="1"/>
  <c r="J76" i="39" s="1"/>
  <c r="J77" i="39" s="1"/>
  <c r="T21" i="39"/>
  <c r="T27" i="39" s="1"/>
  <c r="T67" i="39" s="1"/>
  <c r="G78" i="39" s="1"/>
  <c r="G79" i="39" s="1"/>
  <c r="T45" i="40"/>
  <c r="T85" i="40" s="1"/>
  <c r="R34" i="43"/>
  <c r="R73" i="43" s="1"/>
  <c r="R28" i="42"/>
  <c r="R34" i="42" s="1"/>
  <c r="R73" i="42" s="1"/>
  <c r="F33" i="38"/>
  <c r="F34" i="38" s="1"/>
  <c r="AA67" i="42"/>
  <c r="AA76" i="42" s="1"/>
  <c r="R34" i="40"/>
  <c r="R84" i="40" s="1"/>
  <c r="R10" i="39"/>
  <c r="R16" i="39" s="1"/>
  <c r="R66" i="39" s="1"/>
  <c r="I32" i="39"/>
  <c r="I38" i="39" s="1"/>
  <c r="I68" i="39" s="1"/>
  <c r="I56" i="40"/>
  <c r="I86" i="40" s="1"/>
  <c r="V67" i="40"/>
  <c r="V87" i="40" s="1"/>
  <c r="V43" i="39"/>
  <c r="V49" i="39" s="1"/>
  <c r="V69" i="39" s="1"/>
  <c r="L43" i="39"/>
  <c r="L49" i="39" s="1"/>
  <c r="L69" i="39" s="1"/>
  <c r="L67" i="40"/>
  <c r="L87" i="40" s="1"/>
  <c r="M78" i="40"/>
  <c r="M88" i="40" s="1"/>
  <c r="J96" i="40" s="1"/>
  <c r="J97" i="40" s="1"/>
  <c r="M52" i="39"/>
  <c r="M60" i="39" s="1"/>
  <c r="M70" i="39" s="1"/>
  <c r="AB56" i="40"/>
  <c r="AB86" i="40" s="1"/>
  <c r="AB32" i="39"/>
  <c r="AB38" i="39" s="1"/>
  <c r="AB68" i="39" s="1"/>
  <c r="N67" i="40"/>
  <c r="N87" i="40" s="1"/>
  <c r="N43" i="39"/>
  <c r="N49" i="39" s="1"/>
  <c r="N69" i="39" s="1"/>
  <c r="J34" i="43"/>
  <c r="J73" i="43" s="1"/>
  <c r="J28" i="42"/>
  <c r="J34" i="42" s="1"/>
  <c r="J73" i="42" s="1"/>
  <c r="AD34" i="43"/>
  <c r="AD73" i="43" s="1"/>
  <c r="AD28" i="42"/>
  <c r="AD34" i="42" s="1"/>
  <c r="AD73" i="42" s="1"/>
  <c r="T34" i="43"/>
  <c r="T73" i="43" s="1"/>
  <c r="T28" i="42"/>
  <c r="T34" i="42" s="1"/>
  <c r="T73" i="42" s="1"/>
  <c r="R45" i="43"/>
  <c r="R74" i="43" s="1"/>
  <c r="R39" i="42"/>
  <c r="I45" i="43"/>
  <c r="I74" i="43" s="1"/>
  <c r="I39" i="42"/>
  <c r="I45" i="42" s="1"/>
  <c r="I74" i="42" s="1"/>
  <c r="T45" i="43"/>
  <c r="T74" i="43" s="1"/>
  <c r="T39" i="42"/>
  <c r="T45" i="42" s="1"/>
  <c r="T74" i="42" s="1"/>
  <c r="P56" i="43"/>
  <c r="P75" i="43" s="1"/>
  <c r="P50" i="42"/>
  <c r="P56" i="42" s="1"/>
  <c r="P75" i="42" s="1"/>
  <c r="AC56" i="43"/>
  <c r="AC75" i="43" s="1"/>
  <c r="AC50" i="42"/>
  <c r="J56" i="43"/>
  <c r="J75" i="43" s="1"/>
  <c r="J50" i="42"/>
  <c r="J56" i="42" s="1"/>
  <c r="J75" i="42" s="1"/>
  <c r="I22" i="37"/>
  <c r="H25" i="37"/>
  <c r="W67" i="43"/>
  <c r="W76" i="43" s="1"/>
  <c r="W61" i="42"/>
  <c r="K67" i="43"/>
  <c r="K76" i="43" s="1"/>
  <c r="K61" i="42"/>
  <c r="R67" i="43"/>
  <c r="R76" i="43" s="1"/>
  <c r="R61" i="42"/>
  <c r="H9" i="36"/>
  <c r="H10" i="36"/>
  <c r="Z10" i="36"/>
  <c r="Z9" i="36"/>
  <c r="J10" i="36"/>
  <c r="J9" i="36"/>
  <c r="Q9" i="36"/>
  <c r="Q10" i="36"/>
  <c r="N23" i="35"/>
  <c r="J56" i="40"/>
  <c r="J86" i="40" s="1"/>
  <c r="J32" i="39"/>
  <c r="J38" i="39" s="1"/>
  <c r="J68" i="39" s="1"/>
  <c r="S78" i="40"/>
  <c r="S88" i="40" s="1"/>
  <c r="S52" i="39"/>
  <c r="S60" i="39" s="1"/>
  <c r="S70" i="39" s="1"/>
  <c r="S34" i="43"/>
  <c r="S73" i="43" s="1"/>
  <c r="S28" i="42"/>
  <c r="S34" i="42" s="1"/>
  <c r="S73" i="42" s="1"/>
  <c r="X56" i="43"/>
  <c r="X75" i="43" s="1"/>
  <c r="X50" i="42"/>
  <c r="X56" i="42" s="1"/>
  <c r="X75" i="42" s="1"/>
  <c r="T67" i="43"/>
  <c r="T76" i="43" s="1"/>
  <c r="T61" i="42"/>
  <c r="T67" i="42" s="1"/>
  <c r="T76" i="42" s="1"/>
  <c r="O10" i="39"/>
  <c r="O16" i="39" s="1"/>
  <c r="O66" i="39" s="1"/>
  <c r="O34" i="40"/>
  <c r="O84" i="40" s="1"/>
  <c r="AB67" i="40"/>
  <c r="AB87" i="40" s="1"/>
  <c r="AB43" i="39"/>
  <c r="AB49" i="39" s="1"/>
  <c r="AB69" i="39" s="1"/>
  <c r="AA34" i="40"/>
  <c r="AA84" i="40" s="1"/>
  <c r="AA10" i="39"/>
  <c r="AA16" i="39" s="1"/>
  <c r="AA66" i="39" s="1"/>
  <c r="N45" i="43"/>
  <c r="N74" i="43" s="1"/>
  <c r="N39" i="42"/>
  <c r="N45" i="42" s="1"/>
  <c r="N74" i="42" s="1"/>
  <c r="N56" i="44"/>
  <c r="N75" i="44" s="1"/>
  <c r="AB67" i="44"/>
  <c r="AB76" i="44" s="1"/>
  <c r="I84" i="44" s="1"/>
  <c r="I85" i="44" s="1"/>
  <c r="W56" i="44"/>
  <c r="W75" i="44" s="1"/>
  <c r="H56" i="44"/>
  <c r="H75" i="44" s="1"/>
  <c r="AB56" i="42"/>
  <c r="AB75" i="42" s="1"/>
  <c r="W67" i="42"/>
  <c r="W76" i="42" s="1"/>
  <c r="F84" i="44"/>
  <c r="F85" i="44" s="1"/>
  <c r="AC56" i="42"/>
  <c r="AC75" i="42" s="1"/>
  <c r="Q56" i="42"/>
  <c r="Q75" i="42" s="1"/>
  <c r="J34" i="40"/>
  <c r="J84" i="40" s="1"/>
  <c r="J10" i="39"/>
  <c r="J16" i="39" s="1"/>
  <c r="J66" i="39" s="1"/>
  <c r="X32" i="39"/>
  <c r="X38" i="39" s="1"/>
  <c r="X68" i="39" s="1"/>
  <c r="X56" i="40"/>
  <c r="X86" i="40" s="1"/>
  <c r="K67" i="40"/>
  <c r="K87" i="40" s="1"/>
  <c r="K43" i="39"/>
  <c r="K49" i="39" s="1"/>
  <c r="K69" i="39" s="1"/>
  <c r="AD78" i="40"/>
  <c r="AD88" i="40" s="1"/>
  <c r="AD52" i="39"/>
  <c r="AD60" i="39" s="1"/>
  <c r="AD70" i="39" s="1"/>
  <c r="AA56" i="40"/>
  <c r="AA86" i="40" s="1"/>
  <c r="AA32" i="39"/>
  <c r="AA38" i="39" s="1"/>
  <c r="AA68" i="39" s="1"/>
  <c r="H67" i="40"/>
  <c r="H87" i="40" s="1"/>
  <c r="H43" i="39"/>
  <c r="H49" i="39" s="1"/>
  <c r="H69" i="39" s="1"/>
  <c r="AC67" i="40"/>
  <c r="AC87" i="40" s="1"/>
  <c r="AC43" i="39"/>
  <c r="AC49" i="39" s="1"/>
  <c r="AC69" i="39" s="1"/>
  <c r="N34" i="43"/>
  <c r="N73" i="43" s="1"/>
  <c r="N28" i="42"/>
  <c r="N34" i="42" s="1"/>
  <c r="N73" i="42" s="1"/>
  <c r="L34" i="43"/>
  <c r="L73" i="43" s="1"/>
  <c r="L28" i="42"/>
  <c r="L34" i="42" s="1"/>
  <c r="L73" i="42" s="1"/>
  <c r="Q45" i="43"/>
  <c r="Q74" i="43" s="1"/>
  <c r="Q39" i="42"/>
  <c r="Q45" i="42" s="1"/>
  <c r="Q74" i="42" s="1"/>
  <c r="X45" i="43"/>
  <c r="X74" i="43" s="1"/>
  <c r="X39" i="42"/>
  <c r="L45" i="43"/>
  <c r="L74" i="43" s="1"/>
  <c r="L39" i="42"/>
  <c r="L45" i="42" s="1"/>
  <c r="L74" i="42" s="1"/>
  <c r="O56" i="43"/>
  <c r="O75" i="43" s="1"/>
  <c r="O50" i="42"/>
  <c r="O56" i="42" s="1"/>
  <c r="O75" i="42" s="1"/>
  <c r="U56" i="43"/>
  <c r="U75" i="43" s="1"/>
  <c r="U50" i="42"/>
  <c r="U56" i="42" s="1"/>
  <c r="U75" i="42" s="1"/>
  <c r="V61" i="42"/>
  <c r="V67" i="42" s="1"/>
  <c r="V76" i="42" s="1"/>
  <c r="V67" i="43"/>
  <c r="V76" i="43" s="1"/>
  <c r="X67" i="43"/>
  <c r="X76" i="43" s="1"/>
  <c r="X61" i="42"/>
  <c r="J67" i="43"/>
  <c r="J76" i="43" s="1"/>
  <c r="J61" i="42"/>
  <c r="J67" i="42"/>
  <c r="J76" i="42" s="1"/>
  <c r="U56" i="40"/>
  <c r="U86" i="40" s="1"/>
  <c r="U32" i="39"/>
  <c r="U38" i="39" s="1"/>
  <c r="U68" i="39" s="1"/>
  <c r="AA34" i="43"/>
  <c r="AA73" i="43" s="1"/>
  <c r="AA28" i="42"/>
  <c r="AA34" i="42" s="1"/>
  <c r="AA73" i="42" s="1"/>
  <c r="W45" i="43"/>
  <c r="W74" i="43" s="1"/>
  <c r="W39" i="42"/>
  <c r="W45" i="42" s="1"/>
  <c r="W74" i="42" s="1"/>
  <c r="K56" i="43"/>
  <c r="K75" i="43" s="1"/>
  <c r="K50" i="42"/>
  <c r="K56" i="42" s="1"/>
  <c r="K75" i="42" s="1"/>
  <c r="AD61" i="42"/>
  <c r="AD67" i="42" s="1"/>
  <c r="AD76" i="42" s="1"/>
  <c r="AD67" i="43"/>
  <c r="AD76" i="43" s="1"/>
  <c r="H56" i="43"/>
  <c r="H75" i="43" s="1"/>
  <c r="H50" i="42"/>
  <c r="H56" i="42" s="1"/>
  <c r="H75" i="42" s="1"/>
  <c r="R56" i="44"/>
  <c r="R75" i="44" s="1"/>
  <c r="V56" i="44"/>
  <c r="V75" i="44" s="1"/>
  <c r="AE56" i="44"/>
  <c r="AE75" i="44" s="1"/>
  <c r="P56" i="44"/>
  <c r="P75" i="44" s="1"/>
  <c r="I56" i="44"/>
  <c r="I75" i="44" s="1"/>
  <c r="K67" i="42"/>
  <c r="K76" i="42" s="1"/>
  <c r="X10" i="39"/>
  <c r="X16" i="39" s="1"/>
  <c r="X66" i="39" s="1"/>
  <c r="X34" i="40"/>
  <c r="X84" i="40" s="1"/>
  <c r="V56" i="40"/>
  <c r="V86" i="40" s="1"/>
  <c r="V32" i="39"/>
  <c r="V38" i="39" s="1"/>
  <c r="V68" i="39" s="1"/>
  <c r="P56" i="40"/>
  <c r="P86" i="40" s="1"/>
  <c r="P32" i="39"/>
  <c r="P38" i="39" s="1"/>
  <c r="P68" i="39" s="1"/>
  <c r="U43" i="39"/>
  <c r="U49" i="39" s="1"/>
  <c r="U69" i="39" s="1"/>
  <c r="U67" i="40"/>
  <c r="U87" i="40" s="1"/>
  <c r="V78" i="40"/>
  <c r="V88" i="40" s="1"/>
  <c r="V52" i="39"/>
  <c r="V60" i="39" s="1"/>
  <c r="V70" i="39" s="1"/>
  <c r="T78" i="40"/>
  <c r="T88" i="40" s="1"/>
  <c r="T52" i="39"/>
  <c r="T60" i="39" s="1"/>
  <c r="T70" i="39" s="1"/>
  <c r="Z67" i="40"/>
  <c r="Z87" i="40" s="1"/>
  <c r="Z43" i="39"/>
  <c r="Z49" i="39" s="1"/>
  <c r="Z69" i="39" s="1"/>
  <c r="AB78" i="40"/>
  <c r="AB88" i="40" s="1"/>
  <c r="AB52" i="39"/>
  <c r="AB60" i="39" s="1"/>
  <c r="AB70" i="39" s="1"/>
  <c r="Y28" i="42"/>
  <c r="Y34" i="42" s="1"/>
  <c r="Y73" i="42" s="1"/>
  <c r="Y34" i="43"/>
  <c r="Y73" i="43" s="1"/>
  <c r="W34" i="43"/>
  <c r="W73" i="43" s="1"/>
  <c r="W28" i="42"/>
  <c r="W34" i="42" s="1"/>
  <c r="W73" i="42" s="1"/>
  <c r="X28" i="42"/>
  <c r="X34" i="42" s="1"/>
  <c r="X73" i="42" s="1"/>
  <c r="X34" i="43"/>
  <c r="X73" i="43" s="1"/>
  <c r="P39" i="42"/>
  <c r="P45" i="42" s="1"/>
  <c r="P74" i="42" s="1"/>
  <c r="P45" i="43"/>
  <c r="P74" i="43" s="1"/>
  <c r="H45" i="43"/>
  <c r="H74" i="43" s="1"/>
  <c r="H39" i="42"/>
  <c r="AA45" i="43"/>
  <c r="AA74" i="43" s="1"/>
  <c r="AA39" i="42"/>
  <c r="AB56" i="43"/>
  <c r="AB75" i="43" s="1"/>
  <c r="AB50" i="42"/>
  <c r="M56" i="43"/>
  <c r="M75" i="43" s="1"/>
  <c r="M50" i="42"/>
  <c r="AD56" i="43"/>
  <c r="AD75" i="43" s="1"/>
  <c r="AD50" i="42"/>
  <c r="AD56" i="42" s="1"/>
  <c r="AD75" i="42" s="1"/>
  <c r="I26" i="37"/>
  <c r="H29" i="37"/>
  <c r="P67" i="43"/>
  <c r="P76" i="43" s="1"/>
  <c r="P61" i="42"/>
  <c r="P67" i="42" s="1"/>
  <c r="P76" i="42" s="1"/>
  <c r="H67" i="43"/>
  <c r="H76" i="43" s="1"/>
  <c r="H61" i="42"/>
  <c r="H67" i="42" s="1"/>
  <c r="H76" i="42" s="1"/>
  <c r="Y67" i="43"/>
  <c r="Y76" i="43" s="1"/>
  <c r="Y61" i="42"/>
  <c r="Y67" i="42" s="1"/>
  <c r="Y76" i="42" s="1"/>
  <c r="R10" i="36"/>
  <c r="R9" i="36"/>
  <c r="S10" i="36"/>
  <c r="S9" i="36"/>
  <c r="X23" i="35"/>
  <c r="J23" i="35"/>
  <c r="AC9" i="36"/>
  <c r="AC10" i="36"/>
  <c r="O23" i="35"/>
  <c r="V45" i="40"/>
  <c r="V85" i="40" s="1"/>
  <c r="G96" i="40" s="1"/>
  <c r="G97" i="40" s="1"/>
  <c r="V21" i="39"/>
  <c r="V27" i="39" s="1"/>
  <c r="V67" i="39" s="1"/>
  <c r="L9" i="36"/>
  <c r="L10" i="36"/>
  <c r="X67" i="42"/>
  <c r="X76" i="42" s="1"/>
  <c r="X67" i="40"/>
  <c r="X87" i="40" s="1"/>
  <c r="X43" i="39"/>
  <c r="X49" i="39" s="1"/>
  <c r="X69" i="39" s="1"/>
  <c r="K34" i="43"/>
  <c r="K73" i="43" s="1"/>
  <c r="K28" i="42"/>
  <c r="K34" i="42" s="1"/>
  <c r="K73" i="42" s="1"/>
  <c r="Z56" i="43"/>
  <c r="Z75" i="43" s="1"/>
  <c r="Z50" i="42"/>
  <c r="Z56" i="42" s="1"/>
  <c r="Z75" i="42" s="1"/>
  <c r="Z56" i="44"/>
  <c r="Z75" i="44" s="1"/>
  <c r="H45" i="44"/>
  <c r="H74" i="44" s="1"/>
  <c r="AD56" i="44"/>
  <c r="AD75" i="44" s="1"/>
  <c r="X56" i="44"/>
  <c r="X75" i="44" s="1"/>
  <c r="Q56" i="44"/>
  <c r="Q75" i="44" s="1"/>
  <c r="J45" i="42"/>
  <c r="J74" i="42" s="1"/>
  <c r="M56" i="42"/>
  <c r="M75" i="42" s="1"/>
  <c r="Z67" i="42"/>
  <c r="Z76" i="42" s="1"/>
  <c r="O67" i="42"/>
  <c r="O76" i="42" s="1"/>
  <c r="P10" i="39"/>
  <c r="P16" i="39" s="1"/>
  <c r="P66" i="39" s="1"/>
  <c r="P34" i="40"/>
  <c r="P84" i="40" s="1"/>
  <c r="Y34" i="40"/>
  <c r="Y84" i="40" s="1"/>
  <c r="Y10" i="39"/>
  <c r="Y16" i="39" s="1"/>
  <c r="Y66" i="39" s="1"/>
  <c r="K56" i="40"/>
  <c r="K86" i="40" s="1"/>
  <c r="K32" i="39"/>
  <c r="K38" i="39" s="1"/>
  <c r="K68" i="39" s="1"/>
  <c r="H32" i="39"/>
  <c r="H38" i="39" s="1"/>
  <c r="H68" i="39" s="1"/>
  <c r="H56" i="40"/>
  <c r="H86" i="40" s="1"/>
  <c r="J67" i="40"/>
  <c r="J87" i="40" s="1"/>
  <c r="J43" i="39"/>
  <c r="J49" i="39" s="1"/>
  <c r="J69" i="39" s="1"/>
  <c r="Z78" i="40"/>
  <c r="Z88" i="40" s="1"/>
  <c r="Z52" i="39"/>
  <c r="Z60" i="39" s="1"/>
  <c r="Z70" i="39" s="1"/>
  <c r="N78" i="40"/>
  <c r="N88" i="40" s="1"/>
  <c r="N52" i="39"/>
  <c r="N60" i="39" s="1"/>
  <c r="N70" i="39" s="1"/>
  <c r="I34" i="43"/>
  <c r="I73" i="43" s="1"/>
  <c r="I28" i="42"/>
  <c r="I34" i="42" s="1"/>
  <c r="I73" i="42" s="1"/>
  <c r="O34" i="43"/>
  <c r="O73" i="43" s="1"/>
  <c r="O28" i="42"/>
  <c r="O34" i="42" s="1"/>
  <c r="O73" i="42" s="1"/>
  <c r="P28" i="42"/>
  <c r="P34" i="42" s="1"/>
  <c r="P73" i="42" s="1"/>
  <c r="P34" i="43"/>
  <c r="P73" i="43" s="1"/>
  <c r="AC45" i="43"/>
  <c r="AC74" i="43" s="1"/>
  <c r="AC39" i="42"/>
  <c r="AC45" i="42" s="1"/>
  <c r="AC74" i="42" s="1"/>
  <c r="S45" i="43"/>
  <c r="S74" i="43" s="1"/>
  <c r="S39" i="42"/>
  <c r="S45" i="42" s="1"/>
  <c r="S74" i="42" s="1"/>
  <c r="L56" i="43"/>
  <c r="L75" i="43" s="1"/>
  <c r="L50" i="42"/>
  <c r="L56" i="42" s="1"/>
  <c r="L75" i="42" s="1"/>
  <c r="AA56" i="43"/>
  <c r="AA75" i="43" s="1"/>
  <c r="AA50" i="42"/>
  <c r="AA56" i="42" s="1"/>
  <c r="AA75" i="42" s="1"/>
  <c r="V56" i="43"/>
  <c r="V75" i="43" s="1"/>
  <c r="V50" i="42"/>
  <c r="V56" i="42" s="1"/>
  <c r="V75" i="42" s="1"/>
  <c r="S67" i="43"/>
  <c r="S76" i="43" s="1"/>
  <c r="S61" i="42"/>
  <c r="S67" i="42" s="1"/>
  <c r="S76" i="42" s="1"/>
  <c r="Q67" i="43"/>
  <c r="Q76" i="43" s="1"/>
  <c r="Q61" i="42"/>
  <c r="Q67" i="42" s="1"/>
  <c r="Q76" i="42" s="1"/>
  <c r="O67" i="40"/>
  <c r="O87" i="40" s="1"/>
  <c r="O43" i="39"/>
  <c r="O49" i="39" s="1"/>
  <c r="O69" i="39" s="1"/>
  <c r="Z45" i="43"/>
  <c r="Z74" i="43" s="1"/>
  <c r="Z39" i="42"/>
  <c r="Z45" i="42" s="1"/>
  <c r="Z74" i="42" s="1"/>
  <c r="G40" i="37"/>
  <c r="G41" i="37"/>
  <c r="U9" i="36"/>
  <c r="U10" i="36"/>
  <c r="X45" i="42"/>
  <c r="X74" i="42" s="1"/>
  <c r="M56" i="40"/>
  <c r="M86" i="40" s="1"/>
  <c r="M32" i="39"/>
  <c r="M38" i="39" s="1"/>
  <c r="M68" i="39" s="1"/>
  <c r="M34" i="43"/>
  <c r="M73" i="43" s="1"/>
  <c r="M28" i="42"/>
  <c r="M34" i="42" s="1"/>
  <c r="M73" i="42" s="1"/>
  <c r="H45" i="42"/>
  <c r="H74" i="42" s="1"/>
  <c r="R45" i="42"/>
  <c r="R74" i="42" s="1"/>
  <c r="AE45" i="42"/>
  <c r="AE74" i="42" s="1"/>
  <c r="R67" i="42"/>
  <c r="R76" i="42" s="1"/>
  <c r="H34" i="40"/>
  <c r="H84" i="40" s="1"/>
  <c r="H10" i="39"/>
  <c r="H16" i="39" s="1"/>
  <c r="H66" i="39" s="1"/>
  <c r="T56" i="40"/>
  <c r="T86" i="40" s="1"/>
  <c r="T32" i="39"/>
  <c r="T38" i="39" s="1"/>
  <c r="T68" i="39" s="1"/>
  <c r="AC56" i="40"/>
  <c r="AC86" i="40" s="1"/>
  <c r="AC32" i="39"/>
  <c r="AC38" i="39" s="1"/>
  <c r="AC68" i="39" s="1"/>
  <c r="W67" i="40"/>
  <c r="W87" i="40" s="1"/>
  <c r="W43" i="39"/>
  <c r="W49" i="39" s="1"/>
  <c r="W69" i="39" s="1"/>
  <c r="P78" i="40"/>
  <c r="P88" i="40" s="1"/>
  <c r="P52" i="39"/>
  <c r="P60" i="39" s="1"/>
  <c r="P70" i="39" s="1"/>
  <c r="AA78" i="40"/>
  <c r="AA88" i="40" s="1"/>
  <c r="AA52" i="39"/>
  <c r="AA60" i="39" s="1"/>
  <c r="AA70" i="39" s="1"/>
  <c r="V34" i="40"/>
  <c r="V84" i="40" s="1"/>
  <c r="V10" i="39"/>
  <c r="V16" i="39" s="1"/>
  <c r="V66" i="39" s="1"/>
  <c r="V34" i="43"/>
  <c r="V73" i="43" s="1"/>
  <c r="V28" i="42"/>
  <c r="V34" i="42" s="1"/>
  <c r="V73" i="42" s="1"/>
  <c r="AC34" i="43"/>
  <c r="AC73" i="43" s="1"/>
  <c r="AC28" i="42"/>
  <c r="AC34" i="42" s="1"/>
  <c r="AC73" i="42" s="1"/>
  <c r="H28" i="42"/>
  <c r="H34" i="42" s="1"/>
  <c r="H73" i="42" s="1"/>
  <c r="H34" i="43"/>
  <c r="H73" i="43" s="1"/>
  <c r="M45" i="43"/>
  <c r="M74" i="43" s="1"/>
  <c r="M39" i="42"/>
  <c r="M45" i="42" s="1"/>
  <c r="M74" i="42" s="1"/>
  <c r="AD45" i="43"/>
  <c r="AD74" i="43" s="1"/>
  <c r="AD39" i="42"/>
  <c r="AD45" i="42" s="1"/>
  <c r="AD74" i="42" s="1"/>
  <c r="K45" i="43"/>
  <c r="K74" i="43" s="1"/>
  <c r="K39" i="42"/>
  <c r="K45" i="42" s="1"/>
  <c r="K74" i="42" s="1"/>
  <c r="Y56" i="43"/>
  <c r="Y75" i="43" s="1"/>
  <c r="Y50" i="42"/>
  <c r="Y56" i="42" s="1"/>
  <c r="Y75" i="42" s="1"/>
  <c r="S56" i="43"/>
  <c r="S75" i="43" s="1"/>
  <c r="S50" i="42"/>
  <c r="S56" i="42" s="1"/>
  <c r="S75" i="42" s="1"/>
  <c r="N56" i="43"/>
  <c r="N75" i="43" s="1"/>
  <c r="N50" i="42"/>
  <c r="N56" i="42" s="1"/>
  <c r="N75" i="42" s="1"/>
  <c r="O67" i="43"/>
  <c r="O76" i="43" s="1"/>
  <c r="O61" i="42"/>
  <c r="AB67" i="43"/>
  <c r="AB76" i="43" s="1"/>
  <c r="AB61" i="42"/>
  <c r="AB67" i="42" s="1"/>
  <c r="AB76" i="42" s="1"/>
  <c r="I67" i="43"/>
  <c r="I76" i="43" s="1"/>
  <c r="I61" i="42"/>
  <c r="I67" i="42" s="1"/>
  <c r="I76" i="42" s="1"/>
  <c r="V9" i="36"/>
  <c r="V10" i="36"/>
  <c r="M23" i="35"/>
  <c r="H23" i="35"/>
  <c r="Z23" i="35"/>
  <c r="J20" i="30"/>
  <c r="J8" i="30"/>
  <c r="J10" i="30" s="1"/>
  <c r="L7" i="29"/>
  <c r="K8" i="29"/>
  <c r="I11" i="30"/>
  <c r="I82" i="42" l="1"/>
  <c r="I83" i="42" s="1"/>
  <c r="I84" i="42"/>
  <c r="I85" i="42" s="1"/>
  <c r="N9" i="36"/>
  <c r="N10" i="36"/>
  <c r="I82" i="43"/>
  <c r="I83" i="43" s="1"/>
  <c r="I84" i="43"/>
  <c r="I85" i="43" s="1"/>
  <c r="J22" i="37"/>
  <c r="I25" i="37"/>
  <c r="AD9" i="36"/>
  <c r="AD10" i="36"/>
  <c r="F78" i="39"/>
  <c r="F79" i="39" s="1"/>
  <c r="F76" i="39"/>
  <c r="F77" i="39" s="1"/>
  <c r="H84" i="42"/>
  <c r="H85" i="42" s="1"/>
  <c r="H82" i="42"/>
  <c r="H83" i="42" s="1"/>
  <c r="AE9" i="36"/>
  <c r="AE10" i="36"/>
  <c r="Y9" i="36"/>
  <c r="Y10" i="36"/>
  <c r="H84" i="43"/>
  <c r="H85" i="43" s="1"/>
  <c r="H82" i="43"/>
  <c r="H83" i="43" s="1"/>
  <c r="H82" i="44"/>
  <c r="H83" i="44" s="1"/>
  <c r="H84" i="44"/>
  <c r="H85" i="44" s="1"/>
  <c r="J78" i="39"/>
  <c r="J79" i="39" s="1"/>
  <c r="O9" i="36"/>
  <c r="O10" i="36"/>
  <c r="F96" i="40"/>
  <c r="F97" i="40" s="1"/>
  <c r="F94" i="40"/>
  <c r="F95" i="40" s="1"/>
  <c r="H41" i="37"/>
  <c r="H44" i="37" s="1"/>
  <c r="H7" i="36" s="1"/>
  <c r="H11" i="36" s="1"/>
  <c r="H40" i="37"/>
  <c r="F82" i="42"/>
  <c r="F83" i="42" s="1"/>
  <c r="F84" i="42"/>
  <c r="F85" i="42" s="1"/>
  <c r="P9" i="36"/>
  <c r="P10" i="36"/>
  <c r="J26" i="37"/>
  <c r="I29" i="37"/>
  <c r="AB9" i="36"/>
  <c r="AB10" i="36"/>
  <c r="G82" i="44"/>
  <c r="G83" i="44" s="1"/>
  <c r="G84" i="44"/>
  <c r="G85" i="44" s="1"/>
  <c r="J30" i="37"/>
  <c r="I33" i="37"/>
  <c r="I37" i="37"/>
  <c r="H96" i="40"/>
  <c r="H97" i="40" s="1"/>
  <c r="H94" i="40"/>
  <c r="H95" i="40" s="1"/>
  <c r="G84" i="43"/>
  <c r="G85" i="43" s="1"/>
  <c r="G82" i="43"/>
  <c r="G83" i="43" s="1"/>
  <c r="I78" i="39"/>
  <c r="I79" i="39" s="1"/>
  <c r="I76" i="39"/>
  <c r="I77" i="39" s="1"/>
  <c r="AA10" i="36"/>
  <c r="AA9" i="36"/>
  <c r="G82" i="42"/>
  <c r="G83" i="42" s="1"/>
  <c r="G84" i="42"/>
  <c r="G85" i="42" s="1"/>
  <c r="G44" i="37"/>
  <c r="I9" i="36"/>
  <c r="F26" i="36" s="1"/>
  <c r="F27" i="36" s="1"/>
  <c r="I10" i="36"/>
  <c r="F82" i="43"/>
  <c r="F83" i="43" s="1"/>
  <c r="F84" i="43"/>
  <c r="F85" i="43" s="1"/>
  <c r="H78" i="39"/>
  <c r="H79" i="39" s="1"/>
  <c r="H76" i="39"/>
  <c r="H77" i="39" s="1"/>
  <c r="K10" i="36"/>
  <c r="K9" i="36"/>
  <c r="I94" i="40"/>
  <c r="I95" i="40" s="1"/>
  <c r="I96" i="40"/>
  <c r="I97" i="40" s="1"/>
  <c r="X9" i="36"/>
  <c r="X10" i="36"/>
  <c r="K8" i="30"/>
  <c r="K20" i="30"/>
  <c r="L8" i="29"/>
  <c r="M7" i="29"/>
  <c r="J9" i="30"/>
  <c r="J11" i="30" s="1"/>
  <c r="J22" i="30"/>
  <c r="J21" i="30"/>
  <c r="K21" i="30" s="1"/>
  <c r="K22" i="37" l="1"/>
  <c r="L22" i="37" s="1"/>
  <c r="M22" i="37" s="1"/>
  <c r="N22" i="37" s="1"/>
  <c r="O22" i="37" s="1"/>
  <c r="P22" i="37" s="1"/>
  <c r="Q22" i="37" s="1"/>
  <c r="R22" i="37" s="1"/>
  <c r="S22" i="37" s="1"/>
  <c r="T22" i="37" s="1"/>
  <c r="U22" i="37" s="1"/>
  <c r="V22" i="37" s="1"/>
  <c r="W22" i="37" s="1"/>
  <c r="X22" i="37" s="1"/>
  <c r="Y22" i="37" s="1"/>
  <c r="Z22" i="37" s="1"/>
  <c r="AA22" i="37" s="1"/>
  <c r="AB22" i="37" s="1"/>
  <c r="AC22" i="37" s="1"/>
  <c r="AD22" i="37" s="1"/>
  <c r="AE22" i="37" s="1"/>
  <c r="J25" i="37"/>
  <c r="K25" i="37" s="1"/>
  <c r="L25" i="37" s="1"/>
  <c r="M25" i="37" s="1"/>
  <c r="N25" i="37" s="1"/>
  <c r="O25" i="37" s="1"/>
  <c r="P25" i="37" s="1"/>
  <c r="Q25" i="37" s="1"/>
  <c r="R25" i="37" s="1"/>
  <c r="S25" i="37" s="1"/>
  <c r="T25" i="37" s="1"/>
  <c r="U25" i="37" s="1"/>
  <c r="V25" i="37" s="1"/>
  <c r="W25" i="37" s="1"/>
  <c r="X25" i="37" s="1"/>
  <c r="Y25" i="37" s="1"/>
  <c r="Z25" i="37" s="1"/>
  <c r="AA25" i="37" s="1"/>
  <c r="AB25" i="37" s="1"/>
  <c r="AC25" i="37" s="1"/>
  <c r="AD25" i="37" s="1"/>
  <c r="AE25" i="37" s="1"/>
  <c r="F28" i="36"/>
  <c r="F29" i="36" s="1"/>
  <c r="I41" i="37"/>
  <c r="I40" i="37"/>
  <c r="J29" i="37"/>
  <c r="K29" i="37" s="1"/>
  <c r="L29" i="37" s="1"/>
  <c r="M29" i="37" s="1"/>
  <c r="N29" i="37" s="1"/>
  <c r="O29" i="37" s="1"/>
  <c r="P29" i="37" s="1"/>
  <c r="Q29" i="37" s="1"/>
  <c r="R29" i="37" s="1"/>
  <c r="S29" i="37" s="1"/>
  <c r="T29" i="37" s="1"/>
  <c r="U29" i="37" s="1"/>
  <c r="V29" i="37" s="1"/>
  <c r="W29" i="37" s="1"/>
  <c r="X29" i="37" s="1"/>
  <c r="Y29" i="37" s="1"/>
  <c r="Z29" i="37" s="1"/>
  <c r="AA29" i="37" s="1"/>
  <c r="AB29" i="37" s="1"/>
  <c r="AC29" i="37" s="1"/>
  <c r="AD29" i="37" s="1"/>
  <c r="AE29" i="37" s="1"/>
  <c r="K26" i="37"/>
  <c r="L26" i="37" s="1"/>
  <c r="M26" i="37" s="1"/>
  <c r="N26" i="37" s="1"/>
  <c r="O26" i="37" s="1"/>
  <c r="P26" i="37" s="1"/>
  <c r="Q26" i="37" s="1"/>
  <c r="R26" i="37" s="1"/>
  <c r="S26" i="37" s="1"/>
  <c r="T26" i="37" s="1"/>
  <c r="U26" i="37" s="1"/>
  <c r="V26" i="37" s="1"/>
  <c r="W26" i="37" s="1"/>
  <c r="X26" i="37" s="1"/>
  <c r="Y26" i="37" s="1"/>
  <c r="Z26" i="37" s="1"/>
  <c r="AA26" i="37" s="1"/>
  <c r="AB26" i="37" s="1"/>
  <c r="AC26" i="37" s="1"/>
  <c r="AD26" i="37" s="1"/>
  <c r="AE26" i="37" s="1"/>
  <c r="K30" i="37"/>
  <c r="J33" i="37"/>
  <c r="J37" i="37"/>
  <c r="G7" i="36"/>
  <c r="K22" i="30"/>
  <c r="J23" i="30"/>
  <c r="N7" i="29"/>
  <c r="M8" i="29"/>
  <c r="K10" i="30"/>
  <c r="K23" i="30"/>
  <c r="K9" i="30"/>
  <c r="L9" i="30" s="1"/>
  <c r="L8" i="30"/>
  <c r="L20" i="30"/>
  <c r="L21" i="30" s="1"/>
  <c r="L30" i="37" l="1"/>
  <c r="K33" i="37"/>
  <c r="K37" i="37"/>
  <c r="I44" i="37"/>
  <c r="G11" i="36"/>
  <c r="J40" i="37"/>
  <c r="J41" i="37"/>
  <c r="L10" i="30"/>
  <c r="L11" i="30" s="1"/>
  <c r="M20" i="30"/>
  <c r="M8" i="30"/>
  <c r="L22" i="30"/>
  <c r="O7" i="29"/>
  <c r="N8" i="29"/>
  <c r="K11" i="30"/>
  <c r="L37" i="37" l="1"/>
  <c r="M30" i="37"/>
  <c r="L33" i="37"/>
  <c r="I7" i="36"/>
  <c r="F71" i="37"/>
  <c r="F72" i="37" s="1"/>
  <c r="K40" i="37"/>
  <c r="K41" i="37"/>
  <c r="K44" i="37" s="1"/>
  <c r="K7" i="36" s="1"/>
  <c r="K11" i="36" s="1"/>
  <c r="J44" i="37"/>
  <c r="J7" i="36" s="1"/>
  <c r="J11" i="36" s="1"/>
  <c r="M22" i="30"/>
  <c r="M10" i="30"/>
  <c r="M21" i="30"/>
  <c r="N20" i="30"/>
  <c r="N8" i="30"/>
  <c r="M9" i="30"/>
  <c r="L23" i="30"/>
  <c r="P7" i="29"/>
  <c r="O8" i="29"/>
  <c r="I11" i="36" l="1"/>
  <c r="F14" i="36"/>
  <c r="F15" i="36" s="1"/>
  <c r="M37" i="37"/>
  <c r="N30" i="37"/>
  <c r="M33" i="37"/>
  <c r="L40" i="37"/>
  <c r="L41" i="37"/>
  <c r="F47" i="37"/>
  <c r="F48" i="37" s="1"/>
  <c r="N23" i="30"/>
  <c r="N10" i="30"/>
  <c r="O10" i="30" s="1"/>
  <c r="O20" i="30"/>
  <c r="O8" i="30"/>
  <c r="M11" i="30"/>
  <c r="Q7" i="29"/>
  <c r="P8" i="29"/>
  <c r="N22" i="30"/>
  <c r="N21" i="30"/>
  <c r="O21" i="30" s="1"/>
  <c r="N9" i="30"/>
  <c r="O9" i="30" s="1"/>
  <c r="M23" i="30"/>
  <c r="M40" i="37" l="1"/>
  <c r="M41" i="37"/>
  <c r="M44" i="37" s="1"/>
  <c r="M7" i="36" s="1"/>
  <c r="M11" i="36" s="1"/>
  <c r="L44" i="37"/>
  <c r="N33" i="37"/>
  <c r="N37" i="37"/>
  <c r="O30" i="37"/>
  <c r="F32" i="36"/>
  <c r="F33" i="36" s="1"/>
  <c r="R7" i="29"/>
  <c r="Q8" i="29"/>
  <c r="O11" i="30"/>
  <c r="P21" i="30"/>
  <c r="O22" i="30"/>
  <c r="P22" i="30" s="1"/>
  <c r="N11" i="30"/>
  <c r="P20" i="30"/>
  <c r="P8" i="30"/>
  <c r="P9" i="30" s="1"/>
  <c r="P30" i="37" l="1"/>
  <c r="O33" i="37"/>
  <c r="O37" i="37"/>
  <c r="N40" i="37"/>
  <c r="N41" i="37"/>
  <c r="N44" i="37" s="1"/>
  <c r="N7" i="36" s="1"/>
  <c r="N11" i="36" s="1"/>
  <c r="L7" i="36"/>
  <c r="O23" i="30"/>
  <c r="P10" i="30"/>
  <c r="Q21" i="30"/>
  <c r="P23" i="30"/>
  <c r="Q20" i="30"/>
  <c r="Q8" i="30"/>
  <c r="S7" i="29"/>
  <c r="R8" i="29"/>
  <c r="P11" i="30"/>
  <c r="Q22" i="30"/>
  <c r="L11" i="36" l="1"/>
  <c r="Q30" i="37"/>
  <c r="P33" i="37"/>
  <c r="P37" i="37"/>
  <c r="O40" i="37"/>
  <c r="O41" i="37"/>
  <c r="T7" i="29"/>
  <c r="S8" i="29"/>
  <c r="Q10" i="30"/>
  <c r="R20" i="30"/>
  <c r="R8" i="30"/>
  <c r="Q23" i="30"/>
  <c r="Q9" i="30"/>
  <c r="R9" i="30" s="1"/>
  <c r="P41" i="37" l="1"/>
  <c r="P44" i="37" s="1"/>
  <c r="P7" i="36" s="1"/>
  <c r="P11" i="36" s="1"/>
  <c r="P40" i="37"/>
  <c r="O44" i="37"/>
  <c r="R30" i="37"/>
  <c r="Q33" i="37"/>
  <c r="Q37" i="37"/>
  <c r="S8" i="30"/>
  <c r="S20" i="30"/>
  <c r="T8" i="29"/>
  <c r="U7" i="29"/>
  <c r="R22" i="30"/>
  <c r="S22" i="30" s="1"/>
  <c r="S9" i="30"/>
  <c r="Q11" i="30"/>
  <c r="R10" i="30"/>
  <c r="S10" i="30" s="1"/>
  <c r="R21" i="30"/>
  <c r="Q41" i="37" l="1"/>
  <c r="Q44" i="37" s="1"/>
  <c r="Q7" i="36" s="1"/>
  <c r="Q11" i="36" s="1"/>
  <c r="Q40" i="37"/>
  <c r="S30" i="37"/>
  <c r="R33" i="37"/>
  <c r="R37" i="37"/>
  <c r="O7" i="36"/>
  <c r="T8" i="30"/>
  <c r="T10" i="30" s="1"/>
  <c r="T20" i="30"/>
  <c r="T9" i="30"/>
  <c r="V7" i="29"/>
  <c r="U8" i="29"/>
  <c r="T22" i="30"/>
  <c r="S11" i="30"/>
  <c r="R23" i="30"/>
  <c r="S21" i="30"/>
  <c r="T21" i="30" s="1"/>
  <c r="R11" i="30"/>
  <c r="R40" i="37" l="1"/>
  <c r="R41" i="37"/>
  <c r="R44" i="37" s="1"/>
  <c r="O11" i="36"/>
  <c r="T30" i="37"/>
  <c r="S33" i="37"/>
  <c r="S37" i="37"/>
  <c r="W7" i="29"/>
  <c r="V8" i="29"/>
  <c r="U22" i="30"/>
  <c r="U9" i="30"/>
  <c r="U20" i="30"/>
  <c r="U8" i="30"/>
  <c r="T23" i="30"/>
  <c r="T11" i="30"/>
  <c r="U21" i="30"/>
  <c r="S23" i="30"/>
  <c r="T37" i="37" l="1"/>
  <c r="U30" i="37"/>
  <c r="T33" i="37"/>
  <c r="S40" i="37"/>
  <c r="S41" i="37"/>
  <c r="S44" i="37" s="1"/>
  <c r="R7" i="36"/>
  <c r="V20" i="30"/>
  <c r="V8" i="30"/>
  <c r="X7" i="29"/>
  <c r="W8" i="29"/>
  <c r="U10" i="30"/>
  <c r="U23" i="30"/>
  <c r="S7" i="36" l="1"/>
  <c r="S11" i="36" s="1"/>
  <c r="R11" i="36"/>
  <c r="T40" i="37"/>
  <c r="T41" i="37"/>
  <c r="T44" i="37" s="1"/>
  <c r="T7" i="36" s="1"/>
  <c r="T11" i="36" s="1"/>
  <c r="U37" i="37"/>
  <c r="V30" i="37"/>
  <c r="U33" i="37"/>
  <c r="V10" i="30"/>
  <c r="V9" i="30"/>
  <c r="Y7" i="29"/>
  <c r="X8" i="29"/>
  <c r="U11" i="30"/>
  <c r="W20" i="30"/>
  <c r="W8" i="30"/>
  <c r="V22" i="30"/>
  <c r="W22" i="30" s="1"/>
  <c r="V21" i="30"/>
  <c r="W21" i="30" s="1"/>
  <c r="V33" i="37" l="1"/>
  <c r="V37" i="37"/>
  <c r="W30" i="37"/>
  <c r="U40" i="37"/>
  <c r="U41" i="37"/>
  <c r="U44" i="37" s="1"/>
  <c r="X20" i="30"/>
  <c r="X8" i="30"/>
  <c r="Z7" i="29"/>
  <c r="Y8" i="29"/>
  <c r="X21" i="30"/>
  <c r="W9" i="30"/>
  <c r="X9" i="30" s="1"/>
  <c r="X22" i="30"/>
  <c r="V23" i="30"/>
  <c r="W10" i="30"/>
  <c r="X10" i="30" s="1"/>
  <c r="W23" i="30"/>
  <c r="V11" i="30"/>
  <c r="U7" i="36" l="1"/>
  <c r="U11" i="36" s="1"/>
  <c r="X30" i="37"/>
  <c r="W33" i="37"/>
  <c r="W37" i="37"/>
  <c r="V40" i="37"/>
  <c r="V41" i="37"/>
  <c r="V44" i="37" s="1"/>
  <c r="V7" i="36" s="1"/>
  <c r="V11" i="36" s="1"/>
  <c r="Y20" i="30"/>
  <c r="Y8" i="30"/>
  <c r="Y10" i="30"/>
  <c r="AA7" i="29"/>
  <c r="Z8" i="29"/>
  <c r="W11" i="30"/>
  <c r="X11" i="30"/>
  <c r="Y22" i="30"/>
  <c r="X23" i="30"/>
  <c r="Y30" i="37" l="1"/>
  <c r="X33" i="37"/>
  <c r="X37" i="37"/>
  <c r="W40" i="37"/>
  <c r="W41" i="37"/>
  <c r="W44" i="37" s="1"/>
  <c r="W7" i="36" s="1"/>
  <c r="W11" i="36" s="1"/>
  <c r="AB7" i="29"/>
  <c r="AA8" i="29"/>
  <c r="Z20" i="30"/>
  <c r="Z8" i="30"/>
  <c r="Y9" i="30"/>
  <c r="Z9" i="30" s="1"/>
  <c r="Y21" i="30"/>
  <c r="Z21" i="30" s="1"/>
  <c r="X41" i="37" l="1"/>
  <c r="X44" i="37" s="1"/>
  <c r="X7" i="36" s="1"/>
  <c r="X11" i="36" s="1"/>
  <c r="X40" i="37"/>
  <c r="Z30" i="37"/>
  <c r="Y33" i="37"/>
  <c r="Y37" i="37"/>
  <c r="Y11" i="30"/>
  <c r="AA9" i="30"/>
  <c r="Z22" i="30"/>
  <c r="AA22" i="30" s="1"/>
  <c r="Z10" i="30"/>
  <c r="AA10" i="30" s="1"/>
  <c r="Y23" i="30"/>
  <c r="AA8" i="30"/>
  <c r="AA20" i="30"/>
  <c r="AA21" i="30" s="1"/>
  <c r="AB8" i="29"/>
  <c r="AC7" i="29"/>
  <c r="Y41" i="37" l="1"/>
  <c r="Y44" i="37" s="1"/>
  <c r="Y7" i="36" s="1"/>
  <c r="Y11" i="36" s="1"/>
  <c r="Y40" i="37"/>
  <c r="AA30" i="37"/>
  <c r="Z33" i="37"/>
  <c r="Z37" i="37"/>
  <c r="AD7" i="29"/>
  <c r="AC8" i="29"/>
  <c r="AB22" i="30"/>
  <c r="AB9" i="30"/>
  <c r="AB8" i="30"/>
  <c r="AB10" i="30" s="1"/>
  <c r="AB20" i="30"/>
  <c r="AA23" i="30"/>
  <c r="Z23" i="30"/>
  <c r="AA11" i="30"/>
  <c r="Z11" i="30"/>
  <c r="AB30" i="37" l="1"/>
  <c r="AA33" i="37"/>
  <c r="AA37" i="37"/>
  <c r="Z40" i="37"/>
  <c r="Z41" i="37"/>
  <c r="Z44" i="37" s="1"/>
  <c r="Z7" i="36" s="1"/>
  <c r="Z11" i="36" s="1"/>
  <c r="AC20" i="30"/>
  <c r="AC8" i="30"/>
  <c r="AE7" i="29"/>
  <c r="AD8" i="29"/>
  <c r="AB11" i="30"/>
  <c r="AB21" i="30"/>
  <c r="AC21" i="30" s="1"/>
  <c r="AA40" i="37" l="1"/>
  <c r="AA41" i="37"/>
  <c r="AA44" i="37" s="1"/>
  <c r="AA7" i="36" s="1"/>
  <c r="AA11" i="36" s="1"/>
  <c r="AB37" i="37"/>
  <c r="AC30" i="37"/>
  <c r="AB33" i="37"/>
  <c r="AD21" i="30"/>
  <c r="AC22" i="30"/>
  <c r="AD22" i="30" s="1"/>
  <c r="AB23" i="30"/>
  <c r="AD20" i="30"/>
  <c r="AD8" i="30"/>
  <c r="AC9" i="30"/>
  <c r="AD9" i="30" s="1"/>
  <c r="AF7" i="29"/>
  <c r="AE8" i="29"/>
  <c r="AC10" i="30"/>
  <c r="AC37" i="37" l="1"/>
  <c r="AD30" i="37"/>
  <c r="AC33" i="37"/>
  <c r="AB40" i="37"/>
  <c r="AB41" i="37"/>
  <c r="AB44" i="37" s="1"/>
  <c r="AB7" i="36" s="1"/>
  <c r="AB11" i="36" s="1"/>
  <c r="AG7" i="29"/>
  <c r="AF8" i="29"/>
  <c r="AE20" i="30"/>
  <c r="AE8" i="30"/>
  <c r="AE9" i="30"/>
  <c r="AE22" i="30"/>
  <c r="AC23" i="30"/>
  <c r="AC11" i="30"/>
  <c r="AD10" i="30"/>
  <c r="AE10" i="30" s="1"/>
  <c r="AD23" i="30"/>
  <c r="AC40" i="37" l="1"/>
  <c r="AC41" i="37"/>
  <c r="AC44" i="37" s="1"/>
  <c r="AC7" i="36" s="1"/>
  <c r="AC11" i="36" s="1"/>
  <c r="AD33" i="37"/>
  <c r="AD37" i="37"/>
  <c r="AE30" i="37"/>
  <c r="AD11" i="30"/>
  <c r="AE11" i="30"/>
  <c r="AE21" i="30"/>
  <c r="AF20" i="30"/>
  <c r="AF22" i="30" s="1"/>
  <c r="AF8" i="30"/>
  <c r="AF10" i="30"/>
  <c r="AH7" i="29"/>
  <c r="AG8" i="29"/>
  <c r="AE33" i="37" l="1"/>
  <c r="AE37" i="37"/>
  <c r="AD40" i="37"/>
  <c r="AD41" i="37"/>
  <c r="AD44" i="37" s="1"/>
  <c r="AD7" i="36" s="1"/>
  <c r="AD11" i="36" s="1"/>
  <c r="AG20" i="30"/>
  <c r="AG8" i="30"/>
  <c r="AF21" i="30"/>
  <c r="AG21" i="30" s="1"/>
  <c r="AI7" i="29"/>
  <c r="AI8" i="29" s="1"/>
  <c r="AH8" i="29"/>
  <c r="AE23" i="30"/>
  <c r="AF23" i="30"/>
  <c r="AF9" i="30"/>
  <c r="AG9" i="30" s="1"/>
  <c r="AE40" i="37" l="1"/>
  <c r="AE41" i="37"/>
  <c r="AI8" i="30"/>
  <c r="AI20" i="30"/>
  <c r="AH20" i="30"/>
  <c r="AH8" i="30"/>
  <c r="AH9" i="30" s="1"/>
  <c r="AI9" i="30" s="1"/>
  <c r="AF11" i="30"/>
  <c r="AG10" i="30"/>
  <c r="AG23" i="30"/>
  <c r="AG22" i="30"/>
  <c r="AE44" i="37" l="1"/>
  <c r="F51" i="37"/>
  <c r="F52" i="37" s="1"/>
  <c r="F49" i="37"/>
  <c r="F50" i="37" s="1"/>
  <c r="AH10" i="30"/>
  <c r="AI10" i="30" s="1"/>
  <c r="AH21" i="30"/>
  <c r="AI21" i="30" s="1"/>
  <c r="AG11" i="30"/>
  <c r="AH11" i="30"/>
  <c r="AH22" i="30"/>
  <c r="AI22" i="30" s="1"/>
  <c r="AI23" i="30"/>
  <c r="AI11" i="30"/>
  <c r="AE7" i="36" l="1"/>
  <c r="F75" i="37"/>
  <c r="F76" i="37" s="1"/>
  <c r="F73" i="37"/>
  <c r="F74" i="37" s="1"/>
  <c r="AH23" i="30"/>
  <c r="AE11" i="36" l="1"/>
  <c r="F34" i="36" s="1"/>
  <c r="F35" i="36" s="1"/>
  <c r="F16" i="36"/>
  <c r="F17" i="36" s="1"/>
  <c r="F94" i="7"/>
  <c r="G94" i="7"/>
  <c r="H94" i="7"/>
  <c r="I94" i="7"/>
  <c r="J94" i="7"/>
  <c r="F95" i="7"/>
  <c r="G95" i="7"/>
  <c r="H95" i="7"/>
  <c r="I95" i="7"/>
  <c r="J95" i="7"/>
  <c r="F96" i="7"/>
  <c r="G96" i="7"/>
  <c r="H96" i="7"/>
  <c r="I96" i="7"/>
  <c r="J96" i="7"/>
  <c r="F97" i="7"/>
  <c r="G97" i="7"/>
  <c r="H97" i="7"/>
  <c r="I97" i="7"/>
  <c r="J97" i="7"/>
  <c r="J7" i="7"/>
  <c r="I7" i="7"/>
  <c r="H7" i="7"/>
  <c r="G7" i="7"/>
  <c r="F7" i="7"/>
  <c r="H15" i="23" l="1"/>
  <c r="H18" i="23" s="1"/>
  <c r="H11" i="23"/>
  <c r="H14" i="23" s="1"/>
  <c r="C19" i="26"/>
  <c r="C18" i="26"/>
  <c r="H7" i="23" s="1"/>
  <c r="H10" i="23" s="1"/>
  <c r="H7" i="24"/>
  <c r="F19" i="25"/>
  <c r="G7" i="24" s="1"/>
  <c r="G19" i="25"/>
  <c r="H19" i="25"/>
  <c r="I19" i="25"/>
  <c r="J19" i="25"/>
  <c r="K19" i="25"/>
  <c r="L19" i="25"/>
  <c r="M19" i="25"/>
  <c r="N19" i="25"/>
  <c r="O19" i="25"/>
  <c r="P19" i="25"/>
  <c r="Q19" i="25"/>
  <c r="R19" i="25"/>
  <c r="S19" i="25"/>
  <c r="T19" i="25"/>
  <c r="U19" i="25"/>
  <c r="V19" i="25"/>
  <c r="W19" i="25"/>
  <c r="X19" i="25"/>
  <c r="Y19" i="25"/>
  <c r="Z19" i="25"/>
  <c r="AA19" i="25"/>
  <c r="AB19" i="25"/>
  <c r="AC19" i="25"/>
  <c r="AD19" i="25"/>
  <c r="AE19" i="25"/>
  <c r="AF19" i="25"/>
  <c r="AG19" i="25"/>
  <c r="AH19" i="25"/>
  <c r="I7" i="24" s="1"/>
  <c r="AI19" i="25"/>
  <c r="AJ19" i="25"/>
  <c r="AK19" i="25"/>
  <c r="AL19" i="25"/>
  <c r="AM19" i="25"/>
  <c r="AN19" i="25"/>
  <c r="E19" i="25"/>
  <c r="F7" i="24" s="1"/>
  <c r="F30" i="23"/>
  <c r="F33" i="23" s="1"/>
  <c r="F26" i="23"/>
  <c r="F29" i="23" s="1"/>
  <c r="F22" i="23"/>
  <c r="F25" i="23" s="1"/>
  <c r="J18" i="23"/>
  <c r="I18" i="23"/>
  <c r="G18" i="23"/>
  <c r="F18" i="23"/>
  <c r="J14" i="23"/>
  <c r="I14" i="23"/>
  <c r="G14" i="23"/>
  <c r="F14" i="23"/>
  <c r="J10" i="23"/>
  <c r="I10" i="23"/>
  <c r="G10" i="23"/>
  <c r="F10" i="23"/>
  <c r="G26" i="23" l="1"/>
  <c r="H26" i="23"/>
  <c r="I26" i="23" s="1"/>
  <c r="G22" i="23"/>
  <c r="G30" i="23"/>
  <c r="G29" i="23"/>
  <c r="G33" i="23" l="1"/>
  <c r="H30" i="23"/>
  <c r="G25" i="23"/>
  <c r="H22" i="23"/>
  <c r="H29" i="23"/>
  <c r="J26" i="23"/>
  <c r="I29" i="23"/>
  <c r="I22" i="23" l="1"/>
  <c r="H25" i="23"/>
  <c r="I30" i="23"/>
  <c r="H33" i="23"/>
  <c r="K26" i="23"/>
  <c r="L26" i="23" s="1"/>
  <c r="M26" i="23" s="1"/>
  <c r="N26" i="23" s="1"/>
  <c r="O26" i="23" s="1"/>
  <c r="P26" i="23" s="1"/>
  <c r="Q26" i="23" s="1"/>
  <c r="R26" i="23" s="1"/>
  <c r="S26" i="23" s="1"/>
  <c r="T26" i="23" s="1"/>
  <c r="U26" i="23" s="1"/>
  <c r="V26" i="23" s="1"/>
  <c r="W26" i="23" s="1"/>
  <c r="X26" i="23" s="1"/>
  <c r="Y26" i="23" s="1"/>
  <c r="Z26" i="23" s="1"/>
  <c r="AA26" i="23" s="1"/>
  <c r="AB26" i="23" s="1"/>
  <c r="AC26" i="23" s="1"/>
  <c r="AD26" i="23" s="1"/>
  <c r="AE26" i="23" s="1"/>
  <c r="J29" i="23"/>
  <c r="K29" i="23" s="1"/>
  <c r="L29" i="23" s="1"/>
  <c r="M29" i="23" s="1"/>
  <c r="N29" i="23" s="1"/>
  <c r="O29" i="23" s="1"/>
  <c r="P29" i="23" s="1"/>
  <c r="Q29" i="23" s="1"/>
  <c r="R29" i="23" s="1"/>
  <c r="S29" i="23" s="1"/>
  <c r="T29" i="23" s="1"/>
  <c r="U29" i="23" s="1"/>
  <c r="V29" i="23" s="1"/>
  <c r="W29" i="23" s="1"/>
  <c r="X29" i="23" s="1"/>
  <c r="Y29" i="23" s="1"/>
  <c r="Z29" i="23" s="1"/>
  <c r="AA29" i="23" s="1"/>
  <c r="AB29" i="23" s="1"/>
  <c r="AC29" i="23" s="1"/>
  <c r="AD29" i="23" s="1"/>
  <c r="AE29" i="23" s="1"/>
  <c r="J30" i="23" l="1"/>
  <c r="I33" i="23"/>
  <c r="J22" i="23"/>
  <c r="I25" i="23"/>
  <c r="K22" i="23" l="1"/>
  <c r="L22" i="23" s="1"/>
  <c r="M22" i="23" s="1"/>
  <c r="N22" i="23" s="1"/>
  <c r="O22" i="23" s="1"/>
  <c r="P22" i="23" s="1"/>
  <c r="Q22" i="23" s="1"/>
  <c r="R22" i="23" s="1"/>
  <c r="S22" i="23" s="1"/>
  <c r="T22" i="23" s="1"/>
  <c r="U22" i="23" s="1"/>
  <c r="V22" i="23" s="1"/>
  <c r="W22" i="23" s="1"/>
  <c r="X22" i="23" s="1"/>
  <c r="Y22" i="23" s="1"/>
  <c r="Z22" i="23" s="1"/>
  <c r="AA22" i="23" s="1"/>
  <c r="AB22" i="23" s="1"/>
  <c r="AC22" i="23" s="1"/>
  <c r="AD22" i="23" s="1"/>
  <c r="AE22" i="23" s="1"/>
  <c r="J25" i="23"/>
  <c r="K25" i="23" s="1"/>
  <c r="L25" i="23" s="1"/>
  <c r="M25" i="23" s="1"/>
  <c r="N25" i="23" s="1"/>
  <c r="O25" i="23" s="1"/>
  <c r="P25" i="23" s="1"/>
  <c r="Q25" i="23" s="1"/>
  <c r="R25" i="23" s="1"/>
  <c r="S25" i="23" s="1"/>
  <c r="T25" i="23" s="1"/>
  <c r="U25" i="23" s="1"/>
  <c r="V25" i="23" s="1"/>
  <c r="W25" i="23" s="1"/>
  <c r="X25" i="23" s="1"/>
  <c r="Y25" i="23" s="1"/>
  <c r="Z25" i="23" s="1"/>
  <c r="AA25" i="23" s="1"/>
  <c r="AB25" i="23" s="1"/>
  <c r="AC25" i="23" s="1"/>
  <c r="AD25" i="23" s="1"/>
  <c r="AE25" i="23" s="1"/>
  <c r="K30" i="23"/>
  <c r="J33" i="23"/>
  <c r="L30" i="23" l="1"/>
  <c r="K33" i="23"/>
  <c r="M30" i="23" l="1"/>
  <c r="L33" i="23"/>
  <c r="N30" i="23" l="1"/>
  <c r="M33" i="23"/>
  <c r="O30" i="23" l="1"/>
  <c r="N33" i="23"/>
  <c r="P30" i="23" l="1"/>
  <c r="O33" i="23"/>
  <c r="Q30" i="23" l="1"/>
  <c r="P33" i="23"/>
  <c r="R30" i="23" l="1"/>
  <c r="Q33" i="23"/>
  <c r="S30" i="23" l="1"/>
  <c r="R33" i="23"/>
  <c r="T30" i="23" l="1"/>
  <c r="S33" i="23"/>
  <c r="U30" i="23" l="1"/>
  <c r="T33" i="23"/>
  <c r="U33" i="23" l="1"/>
  <c r="V30" i="23"/>
  <c r="V33" i="23" l="1"/>
  <c r="W30" i="23"/>
  <c r="W33" i="23" l="1"/>
  <c r="X30" i="23"/>
  <c r="Y30" i="23" l="1"/>
  <c r="X33" i="23"/>
  <c r="Z30" i="23" l="1"/>
  <c r="Y33" i="23"/>
  <c r="AA30" i="23" l="1"/>
  <c r="Z33" i="23"/>
  <c r="AB30" i="23" l="1"/>
  <c r="AA33" i="23"/>
  <c r="AC30" i="23" l="1"/>
  <c r="AB33" i="23"/>
  <c r="AD30" i="23" l="1"/>
  <c r="AC33" i="23"/>
  <c r="AE30" i="23" l="1"/>
  <c r="AD33" i="23"/>
  <c r="AE33" i="23" l="1"/>
  <c r="H13" i="1" l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  <c r="H11" i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H7" i="1"/>
  <c r="I7" i="1" l="1"/>
  <c r="J7" i="1" l="1"/>
  <c r="J8" i="1" l="1"/>
  <c r="K7" i="1"/>
  <c r="F21" i="7" l="1"/>
  <c r="F21" i="24"/>
  <c r="F37" i="23"/>
  <c r="K8" i="1"/>
  <c r="L7" i="1"/>
  <c r="F41" i="23" l="1"/>
  <c r="F40" i="23"/>
  <c r="G21" i="24"/>
  <c r="G21" i="7"/>
  <c r="G37" i="23"/>
  <c r="F26" i="24"/>
  <c r="F34" i="24" s="1"/>
  <c r="F73" i="24" s="1"/>
  <c r="F59" i="24"/>
  <c r="F67" i="24" s="1"/>
  <c r="F76" i="24" s="1"/>
  <c r="F48" i="24"/>
  <c r="F56" i="24" s="1"/>
  <c r="F75" i="24" s="1"/>
  <c r="F37" i="24"/>
  <c r="F45" i="24" s="1"/>
  <c r="F74" i="24" s="1"/>
  <c r="F34" i="7"/>
  <c r="F84" i="7" s="1"/>
  <c r="F78" i="7"/>
  <c r="F88" i="7" s="1"/>
  <c r="F45" i="7"/>
  <c r="F85" i="7" s="1"/>
  <c r="F67" i="7"/>
  <c r="F87" i="7" s="1"/>
  <c r="F56" i="7"/>
  <c r="F86" i="7" s="1"/>
  <c r="L8" i="1"/>
  <c r="M7" i="1"/>
  <c r="G40" i="23" l="1"/>
  <c r="G41" i="23"/>
  <c r="G44" i="23" s="1"/>
  <c r="G26" i="24"/>
  <c r="G48" i="24"/>
  <c r="G59" i="24"/>
  <c r="G37" i="24"/>
  <c r="G45" i="24" s="1"/>
  <c r="G74" i="24" s="1"/>
  <c r="G67" i="24"/>
  <c r="G76" i="24" s="1"/>
  <c r="G78" i="7"/>
  <c r="G88" i="7" s="1"/>
  <c r="G67" i="7"/>
  <c r="G87" i="7" s="1"/>
  <c r="G34" i="7"/>
  <c r="G84" i="7" s="1"/>
  <c r="G45" i="7"/>
  <c r="G85" i="7" s="1"/>
  <c r="F44" i="23"/>
  <c r="H21" i="7"/>
  <c r="H21" i="24"/>
  <c r="H37" i="23"/>
  <c r="M8" i="1"/>
  <c r="N7" i="1"/>
  <c r="G34" i="24" l="1"/>
  <c r="G73" i="24" s="1"/>
  <c r="H41" i="23"/>
  <c r="H44" i="23" s="1"/>
  <c r="H40" i="23"/>
  <c r="G56" i="24"/>
  <c r="G75" i="24" s="1"/>
  <c r="H26" i="24"/>
  <c r="H48" i="24"/>
  <c r="H59" i="24"/>
  <c r="H67" i="24" s="1"/>
  <c r="H76" i="24" s="1"/>
  <c r="H37" i="24"/>
  <c r="G56" i="7"/>
  <c r="G86" i="7" s="1"/>
  <c r="H70" i="7"/>
  <c r="H48" i="7"/>
  <c r="H59" i="7"/>
  <c r="H26" i="7"/>
  <c r="H37" i="7"/>
  <c r="I21" i="24"/>
  <c r="I21" i="7"/>
  <c r="I37" i="23"/>
  <c r="N8" i="1"/>
  <c r="O7" i="1"/>
  <c r="H56" i="24" l="1"/>
  <c r="H75" i="24" s="1"/>
  <c r="H45" i="7"/>
  <c r="H85" i="7" s="1"/>
  <c r="H56" i="7"/>
  <c r="H86" i="7" s="1"/>
  <c r="H78" i="7"/>
  <c r="H88" i="7" s="1"/>
  <c r="J21" i="7"/>
  <c r="J21" i="24"/>
  <c r="J37" i="23"/>
  <c r="H34" i="24"/>
  <c r="H73" i="24" s="1"/>
  <c r="I40" i="23"/>
  <c r="I41" i="23"/>
  <c r="H34" i="7"/>
  <c r="H84" i="7" s="1"/>
  <c r="H45" i="24"/>
  <c r="H74" i="24" s="1"/>
  <c r="I70" i="7"/>
  <c r="I37" i="7"/>
  <c r="I26" i="7"/>
  <c r="I48" i="7"/>
  <c r="I59" i="7"/>
  <c r="I48" i="24"/>
  <c r="I59" i="24"/>
  <c r="I37" i="24"/>
  <c r="I26" i="24"/>
  <c r="H67" i="7"/>
  <c r="H87" i="7" s="1"/>
  <c r="O8" i="1"/>
  <c r="P7" i="1"/>
  <c r="I67" i="24" l="1"/>
  <c r="I76" i="24" s="1"/>
  <c r="I45" i="7"/>
  <c r="I85" i="7" s="1"/>
  <c r="J40" i="23"/>
  <c r="J41" i="23"/>
  <c r="J44" i="23" s="1"/>
  <c r="J26" i="24"/>
  <c r="J59" i="24"/>
  <c r="J37" i="24"/>
  <c r="J48" i="24"/>
  <c r="I34" i="24"/>
  <c r="I73" i="24" s="1"/>
  <c r="J59" i="7"/>
  <c r="J70" i="7"/>
  <c r="J48" i="7"/>
  <c r="J37" i="7"/>
  <c r="J26" i="7"/>
  <c r="I56" i="24"/>
  <c r="I75" i="24" s="1"/>
  <c r="I45" i="24"/>
  <c r="I74" i="24" s="1"/>
  <c r="I67" i="7"/>
  <c r="I87" i="7" s="1"/>
  <c r="K21" i="7"/>
  <c r="K21" i="24"/>
  <c r="K37" i="23"/>
  <c r="I56" i="7"/>
  <c r="I86" i="7" s="1"/>
  <c r="I78" i="7"/>
  <c r="I88" i="7" s="1"/>
  <c r="I44" i="23"/>
  <c r="I34" i="7"/>
  <c r="I84" i="7" s="1"/>
  <c r="P8" i="1"/>
  <c r="Q7" i="1"/>
  <c r="J45" i="7" l="1"/>
  <c r="J85" i="7" s="1"/>
  <c r="J34" i="24"/>
  <c r="J73" i="24" s="1"/>
  <c r="J67" i="24"/>
  <c r="J76" i="24" s="1"/>
  <c r="J56" i="7"/>
  <c r="J86" i="7" s="1"/>
  <c r="J78" i="7"/>
  <c r="J88" i="7" s="1"/>
  <c r="K59" i="24"/>
  <c r="K37" i="24"/>
  <c r="K48" i="24"/>
  <c r="K26" i="24"/>
  <c r="K41" i="23"/>
  <c r="K40" i="23"/>
  <c r="J34" i="7"/>
  <c r="J84" i="7" s="1"/>
  <c r="L21" i="7"/>
  <c r="L21" i="24"/>
  <c r="L37" i="23"/>
  <c r="K70" i="7"/>
  <c r="K59" i="7"/>
  <c r="K37" i="7"/>
  <c r="K26" i="7"/>
  <c r="K48" i="7"/>
  <c r="K56" i="7" s="1"/>
  <c r="K86" i="7" s="1"/>
  <c r="J45" i="24"/>
  <c r="J74" i="24" s="1"/>
  <c r="J67" i="7"/>
  <c r="J87" i="7" s="1"/>
  <c r="J56" i="24"/>
  <c r="J75" i="24" s="1"/>
  <c r="Q8" i="1"/>
  <c r="R7" i="1"/>
  <c r="K34" i="24" l="1"/>
  <c r="K73" i="24" s="1"/>
  <c r="E82" i="24" s="1"/>
  <c r="E83" i="24" s="1"/>
  <c r="K45" i="24"/>
  <c r="K74" i="24" s="1"/>
  <c r="L41" i="23"/>
  <c r="L40" i="23"/>
  <c r="K78" i="7"/>
  <c r="K88" i="7" s="1"/>
  <c r="L59" i="24"/>
  <c r="L26" i="24"/>
  <c r="L37" i="24"/>
  <c r="L48" i="24"/>
  <c r="K67" i="24"/>
  <c r="K76" i="24" s="1"/>
  <c r="H82" i="24" s="1"/>
  <c r="H83" i="24" s="1"/>
  <c r="K56" i="24"/>
  <c r="K75" i="24" s="1"/>
  <c r="G82" i="24" s="1"/>
  <c r="G83" i="24" s="1"/>
  <c r="L70" i="7"/>
  <c r="L48" i="7"/>
  <c r="L37" i="7"/>
  <c r="L59" i="7"/>
  <c r="L26" i="7"/>
  <c r="K44" i="23"/>
  <c r="M21" i="7"/>
  <c r="M21" i="24"/>
  <c r="M37" i="23"/>
  <c r="K34" i="7"/>
  <c r="K84" i="7" s="1"/>
  <c r="K45" i="7"/>
  <c r="K85" i="7" s="1"/>
  <c r="K67" i="7"/>
  <c r="K87" i="7" s="1"/>
  <c r="R8" i="1"/>
  <c r="S7" i="1"/>
  <c r="L56" i="24" l="1"/>
  <c r="L75" i="24" s="1"/>
  <c r="L67" i="7"/>
  <c r="L87" i="7" s="1"/>
  <c r="L78" i="7"/>
  <c r="L88" i="7" s="1"/>
  <c r="L34" i="24"/>
  <c r="L73" i="24" s="1"/>
  <c r="M40" i="23"/>
  <c r="M41" i="23"/>
  <c r="L56" i="7"/>
  <c r="L86" i="7" s="1"/>
  <c r="M48" i="7"/>
  <c r="M70" i="7"/>
  <c r="M59" i="7"/>
  <c r="M37" i="7"/>
  <c r="M26" i="7"/>
  <c r="M37" i="24"/>
  <c r="M48" i="24"/>
  <c r="M59" i="24"/>
  <c r="M26" i="24"/>
  <c r="L44" i="23"/>
  <c r="F82" i="24"/>
  <c r="F83" i="24" s="1"/>
  <c r="N21" i="7"/>
  <c r="N21" i="24"/>
  <c r="N37" i="23"/>
  <c r="L67" i="24"/>
  <c r="L76" i="24" s="1"/>
  <c r="L45" i="24"/>
  <c r="L74" i="24" s="1"/>
  <c r="F48" i="23"/>
  <c r="F49" i="23" s="1"/>
  <c r="L34" i="7"/>
  <c r="L84" i="7" s="1"/>
  <c r="L45" i="7"/>
  <c r="L85" i="7" s="1"/>
  <c r="S8" i="1"/>
  <c r="T7" i="1"/>
  <c r="M45" i="7" l="1"/>
  <c r="M85" i="7" s="1"/>
  <c r="M56" i="7"/>
  <c r="M86" i="7" s="1"/>
  <c r="M67" i="7"/>
  <c r="M87" i="7" s="1"/>
  <c r="M44" i="23"/>
  <c r="M34" i="24"/>
  <c r="M73" i="24" s="1"/>
  <c r="M67" i="24"/>
  <c r="M76" i="24" s="1"/>
  <c r="M56" i="24"/>
  <c r="M75" i="24" s="1"/>
  <c r="N59" i="7"/>
  <c r="N48" i="7"/>
  <c r="N37" i="7"/>
  <c r="N26" i="7"/>
  <c r="N70" i="7"/>
  <c r="N40" i="23"/>
  <c r="N41" i="23"/>
  <c r="N44" i="23" s="1"/>
  <c r="M78" i="7"/>
  <c r="M88" i="7" s="1"/>
  <c r="N48" i="24"/>
  <c r="N37" i="24"/>
  <c r="N59" i="24"/>
  <c r="N26" i="24"/>
  <c r="M34" i="7"/>
  <c r="M84" i="7" s="1"/>
  <c r="M45" i="24"/>
  <c r="M74" i="24" s="1"/>
  <c r="O21" i="24"/>
  <c r="O21" i="7"/>
  <c r="O37" i="23"/>
  <c r="T8" i="1"/>
  <c r="U7" i="1"/>
  <c r="N67" i="7" l="1"/>
  <c r="N87" i="7" s="1"/>
  <c r="N34" i="7"/>
  <c r="N84" i="7" s="1"/>
  <c r="O41" i="23"/>
  <c r="O40" i="23"/>
  <c r="N67" i="24"/>
  <c r="N76" i="24" s="1"/>
  <c r="O70" i="7"/>
  <c r="O59" i="7"/>
  <c r="O48" i="7"/>
  <c r="O26" i="7"/>
  <c r="O37" i="7"/>
  <c r="O37" i="24"/>
  <c r="O48" i="24"/>
  <c r="O26" i="24"/>
  <c r="O59" i="24"/>
  <c r="N78" i="7"/>
  <c r="N88" i="7" s="1"/>
  <c r="N45" i="7"/>
  <c r="N85" i="7" s="1"/>
  <c r="P21" i="7"/>
  <c r="P21" i="24"/>
  <c r="P37" i="23"/>
  <c r="N56" i="7"/>
  <c r="N86" i="7" s="1"/>
  <c r="N56" i="24"/>
  <c r="N75" i="24" s="1"/>
  <c r="N45" i="24"/>
  <c r="N74" i="24" s="1"/>
  <c r="N34" i="24"/>
  <c r="N73" i="24" s="1"/>
  <c r="U8" i="1"/>
  <c r="V7" i="1"/>
  <c r="O34" i="24" l="1"/>
  <c r="O73" i="24" s="1"/>
  <c r="P37" i="24"/>
  <c r="P48" i="24"/>
  <c r="P59" i="24"/>
  <c r="P26" i="24"/>
  <c r="O78" i="7"/>
  <c r="O88" i="7" s="1"/>
  <c r="O34" i="7"/>
  <c r="O84" i="7" s="1"/>
  <c r="O56" i="24"/>
  <c r="O75" i="24" s="1"/>
  <c r="O56" i="7"/>
  <c r="O86" i="7" s="1"/>
  <c r="P48" i="7"/>
  <c r="P59" i="7"/>
  <c r="P37" i="7"/>
  <c r="P26" i="7"/>
  <c r="P34" i="7" s="1"/>
  <c r="P84" i="7" s="1"/>
  <c r="P70" i="7"/>
  <c r="O45" i="24"/>
  <c r="O74" i="24" s="1"/>
  <c r="O67" i="7"/>
  <c r="O87" i="7" s="1"/>
  <c r="P40" i="23"/>
  <c r="P41" i="23"/>
  <c r="P44" i="23" s="1"/>
  <c r="O44" i="23"/>
  <c r="Q21" i="7"/>
  <c r="Q21" i="24"/>
  <c r="Q37" i="23"/>
  <c r="O67" i="24"/>
  <c r="O76" i="24" s="1"/>
  <c r="O45" i="7"/>
  <c r="O85" i="7" s="1"/>
  <c r="V8" i="1"/>
  <c r="W7" i="1"/>
  <c r="P56" i="7" l="1"/>
  <c r="P86" i="7" s="1"/>
  <c r="P34" i="24"/>
  <c r="P73" i="24" s="1"/>
  <c r="P67" i="7"/>
  <c r="P87" i="7" s="1"/>
  <c r="R21" i="7"/>
  <c r="R21" i="24"/>
  <c r="R37" i="23"/>
  <c r="P45" i="7"/>
  <c r="P85" i="7" s="1"/>
  <c r="P78" i="7"/>
  <c r="P88" i="7" s="1"/>
  <c r="P45" i="24"/>
  <c r="P74" i="24" s="1"/>
  <c r="Q41" i="23"/>
  <c r="Q44" i="23" s="1"/>
  <c r="Q40" i="23"/>
  <c r="Q59" i="24"/>
  <c r="Q67" i="24" s="1"/>
  <c r="Q76" i="24" s="1"/>
  <c r="Q48" i="24"/>
  <c r="Q56" i="24" s="1"/>
  <c r="Q75" i="24" s="1"/>
  <c r="Q26" i="24"/>
  <c r="Q37" i="24"/>
  <c r="Q48" i="7"/>
  <c r="Q70" i="7"/>
  <c r="Q59" i="7"/>
  <c r="Q37" i="7"/>
  <c r="Q26" i="7"/>
  <c r="P56" i="24"/>
  <c r="P75" i="24" s="1"/>
  <c r="P67" i="24"/>
  <c r="P76" i="24" s="1"/>
  <c r="W8" i="1"/>
  <c r="X7" i="1"/>
  <c r="Q56" i="7" l="1"/>
  <c r="Q86" i="7" s="1"/>
  <c r="Q34" i="24"/>
  <c r="Q73" i="24" s="1"/>
  <c r="Q45" i="24"/>
  <c r="Q74" i="24" s="1"/>
  <c r="S21" i="7"/>
  <c r="S21" i="24"/>
  <c r="S37" i="23"/>
  <c r="Q45" i="7"/>
  <c r="Q85" i="7" s="1"/>
  <c r="R41" i="23"/>
  <c r="R40" i="23"/>
  <c r="Q34" i="7"/>
  <c r="Q84" i="7" s="1"/>
  <c r="Q67" i="7"/>
  <c r="Q87" i="7" s="1"/>
  <c r="R48" i="24"/>
  <c r="R26" i="24"/>
  <c r="R37" i="24"/>
  <c r="R59" i="24"/>
  <c r="R70" i="7"/>
  <c r="R48" i="7"/>
  <c r="R59" i="7"/>
  <c r="R26" i="7"/>
  <c r="R37" i="7"/>
  <c r="Q78" i="7"/>
  <c r="Q88" i="7" s="1"/>
  <c r="X8" i="1"/>
  <c r="Y7" i="1"/>
  <c r="R34" i="7" l="1"/>
  <c r="R84" i="7" s="1"/>
  <c r="R34" i="24"/>
  <c r="R73" i="24" s="1"/>
  <c r="R44" i="23"/>
  <c r="R67" i="24"/>
  <c r="R76" i="24" s="1"/>
  <c r="R56" i="7"/>
  <c r="R86" i="7" s="1"/>
  <c r="R56" i="24"/>
  <c r="R75" i="24" s="1"/>
  <c r="S41" i="23"/>
  <c r="S44" i="23" s="1"/>
  <c r="S40" i="23"/>
  <c r="S26" i="24"/>
  <c r="S37" i="24"/>
  <c r="S59" i="24"/>
  <c r="S48" i="24"/>
  <c r="S70" i="7"/>
  <c r="S26" i="7"/>
  <c r="S37" i="7"/>
  <c r="S48" i="7"/>
  <c r="S59" i="7"/>
  <c r="R67" i="7"/>
  <c r="R87" i="7" s="1"/>
  <c r="T21" i="24"/>
  <c r="T21" i="7"/>
  <c r="T37" i="23"/>
  <c r="R45" i="24"/>
  <c r="R74" i="24" s="1"/>
  <c r="R78" i="7"/>
  <c r="R88" i="7" s="1"/>
  <c r="R45" i="7"/>
  <c r="R85" i="7" s="1"/>
  <c r="Y8" i="1"/>
  <c r="Z7" i="1"/>
  <c r="S78" i="7" l="1"/>
  <c r="S88" i="7" s="1"/>
  <c r="S34" i="7"/>
  <c r="S84" i="7" s="1"/>
  <c r="S67" i="7"/>
  <c r="S87" i="7" s="1"/>
  <c r="S34" i="24"/>
  <c r="S73" i="24" s="1"/>
  <c r="S67" i="24"/>
  <c r="S76" i="24" s="1"/>
  <c r="S56" i="7"/>
  <c r="S86" i="7" s="1"/>
  <c r="U21" i="24"/>
  <c r="U21" i="7"/>
  <c r="U37" i="23"/>
  <c r="T41" i="23"/>
  <c r="T44" i="23" s="1"/>
  <c r="T40" i="23"/>
  <c r="S45" i="7"/>
  <c r="S85" i="7" s="1"/>
  <c r="S45" i="24"/>
  <c r="S74" i="24" s="1"/>
  <c r="T70" i="7"/>
  <c r="T37" i="7"/>
  <c r="T48" i="7"/>
  <c r="T26" i="7"/>
  <c r="T59" i="7"/>
  <c r="T48" i="24"/>
  <c r="T56" i="24" s="1"/>
  <c r="T75" i="24" s="1"/>
  <c r="T59" i="24"/>
  <c r="T37" i="24"/>
  <c r="T26" i="24"/>
  <c r="S56" i="24"/>
  <c r="S75" i="24" s="1"/>
  <c r="Z8" i="1"/>
  <c r="AA7" i="1"/>
  <c r="T45" i="24" l="1"/>
  <c r="T74" i="24" s="1"/>
  <c r="T34" i="7"/>
  <c r="T84" i="7" s="1"/>
  <c r="T34" i="24"/>
  <c r="T73" i="24" s="1"/>
  <c r="U41" i="23"/>
  <c r="U44" i="23" s="1"/>
  <c r="U40" i="23"/>
  <c r="U59" i="7"/>
  <c r="U70" i="7"/>
  <c r="U37" i="7"/>
  <c r="U26" i="7"/>
  <c r="U48" i="7"/>
  <c r="T78" i="7"/>
  <c r="T88" i="7" s="1"/>
  <c r="U59" i="24"/>
  <c r="U26" i="24"/>
  <c r="U37" i="24"/>
  <c r="U48" i="24"/>
  <c r="T45" i="7"/>
  <c r="T85" i="7" s="1"/>
  <c r="T56" i="7"/>
  <c r="T86" i="7" s="1"/>
  <c r="V21" i="24"/>
  <c r="V21" i="7"/>
  <c r="V37" i="23"/>
  <c r="T67" i="7"/>
  <c r="T87" i="7" s="1"/>
  <c r="T67" i="24"/>
  <c r="T76" i="24" s="1"/>
  <c r="AA8" i="1"/>
  <c r="AB7" i="1"/>
  <c r="V59" i="24" l="1"/>
  <c r="V26" i="24"/>
  <c r="V48" i="24"/>
  <c r="V37" i="24"/>
  <c r="U34" i="24"/>
  <c r="U73" i="24" s="1"/>
  <c r="V70" i="7"/>
  <c r="V48" i="7"/>
  <c r="V56" i="7" s="1"/>
  <c r="V86" i="7" s="1"/>
  <c r="V26" i="7"/>
  <c r="V37" i="7"/>
  <c r="V59" i="7"/>
  <c r="U67" i="24"/>
  <c r="U76" i="24" s="1"/>
  <c r="U78" i="7"/>
  <c r="U88" i="7" s="1"/>
  <c r="U56" i="24"/>
  <c r="U75" i="24" s="1"/>
  <c r="U56" i="7"/>
  <c r="U86" i="7" s="1"/>
  <c r="U45" i="24"/>
  <c r="U74" i="24" s="1"/>
  <c r="W21" i="24"/>
  <c r="W21" i="7"/>
  <c r="W37" i="23"/>
  <c r="U67" i="7"/>
  <c r="U87" i="7" s="1"/>
  <c r="U45" i="7"/>
  <c r="U85" i="7" s="1"/>
  <c r="V40" i="23"/>
  <c r="V41" i="23"/>
  <c r="V44" i="23" s="1"/>
  <c r="U34" i="7"/>
  <c r="U84" i="7" s="1"/>
  <c r="AB8" i="1"/>
  <c r="AC7" i="1"/>
  <c r="V45" i="24" l="1"/>
  <c r="V74" i="24" s="1"/>
  <c r="V34" i="24"/>
  <c r="V73" i="24" s="1"/>
  <c r="V78" i="7"/>
  <c r="V88" i="7" s="1"/>
  <c r="V34" i="7"/>
  <c r="V84" i="7" s="1"/>
  <c r="X21" i="7"/>
  <c r="X21" i="24"/>
  <c r="X37" i="23"/>
  <c r="V67" i="7"/>
  <c r="V87" i="7" s="1"/>
  <c r="W70" i="7"/>
  <c r="W26" i="7"/>
  <c r="W48" i="7"/>
  <c r="W56" i="7" s="1"/>
  <c r="W86" i="7" s="1"/>
  <c r="W59" i="7"/>
  <c r="W67" i="7" s="1"/>
  <c r="W87" i="7" s="1"/>
  <c r="W37" i="7"/>
  <c r="V67" i="24"/>
  <c r="V76" i="24" s="1"/>
  <c r="V56" i="24"/>
  <c r="V75" i="24" s="1"/>
  <c r="W26" i="24"/>
  <c r="W59" i="24"/>
  <c r="W48" i="24"/>
  <c r="W37" i="24"/>
  <c r="V45" i="7"/>
  <c r="V85" i="7" s="1"/>
  <c r="W40" i="23"/>
  <c r="W41" i="23"/>
  <c r="W44" i="23" s="1"/>
  <c r="AC8" i="1"/>
  <c r="AD7" i="1"/>
  <c r="W78" i="7" l="1"/>
  <c r="W88" i="7" s="1"/>
  <c r="W45" i="24"/>
  <c r="W74" i="24" s="1"/>
  <c r="W67" i="24"/>
  <c r="W76" i="24" s="1"/>
  <c r="W45" i="7"/>
  <c r="W85" i="7" s="1"/>
  <c r="W34" i="7"/>
  <c r="W84" i="7" s="1"/>
  <c r="X40" i="23"/>
  <c r="X41" i="23"/>
  <c r="X44" i="23" s="1"/>
  <c r="W56" i="24"/>
  <c r="W75" i="24" s="1"/>
  <c r="W34" i="24"/>
  <c r="W73" i="24" s="1"/>
  <c r="X26" i="24"/>
  <c r="X34" i="24" s="1"/>
  <c r="X73" i="24" s="1"/>
  <c r="X48" i="24"/>
  <c r="X56" i="24" s="1"/>
  <c r="X75" i="24" s="1"/>
  <c r="X59" i="24"/>
  <c r="X37" i="24"/>
  <c r="Y21" i="24"/>
  <c r="Y21" i="7"/>
  <c r="Y37" i="23"/>
  <c r="X59" i="7"/>
  <c r="X70" i="7"/>
  <c r="X37" i="7"/>
  <c r="X26" i="7"/>
  <c r="X48" i="7"/>
  <c r="AD8" i="1"/>
  <c r="AE7" i="1"/>
  <c r="X56" i="7" l="1"/>
  <c r="X86" i="7" s="1"/>
  <c r="X45" i="24"/>
  <c r="X74" i="24" s="1"/>
  <c r="Y40" i="23"/>
  <c r="Y41" i="23"/>
  <c r="Y44" i="23" s="1"/>
  <c r="X67" i="24"/>
  <c r="X76" i="24" s="1"/>
  <c r="X45" i="7"/>
  <c r="X85" i="7" s="1"/>
  <c r="Z21" i="7"/>
  <c r="Z21" i="24"/>
  <c r="Z37" i="23"/>
  <c r="X67" i="7"/>
  <c r="X87" i="7" s="1"/>
  <c r="Y70" i="7"/>
  <c r="Y59" i="7"/>
  <c r="Y37" i="7"/>
  <c r="Y26" i="7"/>
  <c r="Y48" i="7"/>
  <c r="X34" i="7"/>
  <c r="X84" i="7" s="1"/>
  <c r="X78" i="7"/>
  <c r="X88" i="7" s="1"/>
  <c r="Y48" i="24"/>
  <c r="Y59" i="24"/>
  <c r="Y37" i="24"/>
  <c r="Y26" i="24"/>
  <c r="AE8" i="1"/>
  <c r="AF7" i="1"/>
  <c r="Y56" i="7" l="1"/>
  <c r="Y86" i="7" s="1"/>
  <c r="Y78" i="7"/>
  <c r="Y88" i="7" s="1"/>
  <c r="Y34" i="24"/>
  <c r="Y73" i="24" s="1"/>
  <c r="Y67" i="24"/>
  <c r="Y76" i="24" s="1"/>
  <c r="Y45" i="24"/>
  <c r="Y74" i="24" s="1"/>
  <c r="Z40" i="23"/>
  <c r="Z41" i="23"/>
  <c r="Z44" i="23" s="1"/>
  <c r="Z59" i="24"/>
  <c r="Z37" i="24"/>
  <c r="Z26" i="24"/>
  <c r="Z48" i="24"/>
  <c r="Y56" i="24"/>
  <c r="Y75" i="24" s="1"/>
  <c r="AA21" i="7"/>
  <c r="AA21" i="24"/>
  <c r="AA37" i="23"/>
  <c r="Z70" i="7"/>
  <c r="Z37" i="7"/>
  <c r="Z26" i="7"/>
  <c r="Z59" i="7"/>
  <c r="Z48" i="7"/>
  <c r="Y34" i="7"/>
  <c r="Y84" i="7" s="1"/>
  <c r="Y67" i="7"/>
  <c r="Y87" i="7" s="1"/>
  <c r="Y45" i="7"/>
  <c r="Y85" i="7" s="1"/>
  <c r="AF8" i="1"/>
  <c r="AG7" i="1"/>
  <c r="Z67" i="7" l="1"/>
  <c r="Z87" i="7" s="1"/>
  <c r="AA40" i="23"/>
  <c r="AA41" i="23"/>
  <c r="AA44" i="23" s="1"/>
  <c r="AB21" i="7"/>
  <c r="AB21" i="24"/>
  <c r="AB37" i="23"/>
  <c r="Z45" i="7"/>
  <c r="Z85" i="7" s="1"/>
  <c r="Z67" i="24"/>
  <c r="Z76" i="24" s="1"/>
  <c r="Z45" i="24"/>
  <c r="Z74" i="24" s="1"/>
  <c r="AA70" i="7"/>
  <c r="AA37" i="7"/>
  <c r="AA26" i="7"/>
  <c r="AA59" i="7"/>
  <c r="AA48" i="7"/>
  <c r="AA56" i="7" s="1"/>
  <c r="AA86" i="7" s="1"/>
  <c r="Z78" i="7"/>
  <c r="Z88" i="7" s="1"/>
  <c r="Z34" i="24"/>
  <c r="Z73" i="24" s="1"/>
  <c r="Z56" i="24"/>
  <c r="Z75" i="24" s="1"/>
  <c r="AA59" i="24"/>
  <c r="AA37" i="24"/>
  <c r="AA48" i="24"/>
  <c r="AA26" i="24"/>
  <c r="Z56" i="7"/>
  <c r="Z86" i="7" s="1"/>
  <c r="Z34" i="7"/>
  <c r="Z84" i="7" s="1"/>
  <c r="AG8" i="1"/>
  <c r="AH7" i="1"/>
  <c r="AA67" i="7" l="1"/>
  <c r="AA87" i="7" s="1"/>
  <c r="AA34" i="7"/>
  <c r="AA84" i="7" s="1"/>
  <c r="AA78" i="7"/>
  <c r="AA88" i="7" s="1"/>
  <c r="AA56" i="24"/>
  <c r="AA75" i="24" s="1"/>
  <c r="AA67" i="24"/>
  <c r="AA76" i="24" s="1"/>
  <c r="AC21" i="7"/>
  <c r="AC21" i="24"/>
  <c r="AC37" i="23"/>
  <c r="AB40" i="23"/>
  <c r="AB41" i="23"/>
  <c r="AB44" i="23" s="1"/>
  <c r="AA45" i="7"/>
  <c r="AA85" i="7" s="1"/>
  <c r="AB59" i="24"/>
  <c r="AB37" i="24"/>
  <c r="AB48" i="24"/>
  <c r="AB26" i="24"/>
  <c r="AB48" i="7"/>
  <c r="AB70" i="7"/>
  <c r="AB37" i="7"/>
  <c r="AB26" i="7"/>
  <c r="AB59" i="7"/>
  <c r="AA34" i="24"/>
  <c r="AA73" i="24" s="1"/>
  <c r="AA45" i="24"/>
  <c r="AA74" i="24" s="1"/>
  <c r="AH8" i="1"/>
  <c r="AI7" i="1"/>
  <c r="AB56" i="24" l="1"/>
  <c r="AB75" i="24" s="1"/>
  <c r="AC40" i="23"/>
  <c r="AC41" i="23"/>
  <c r="AC44" i="23" s="1"/>
  <c r="AB34" i="7"/>
  <c r="AB84" i="7" s="1"/>
  <c r="AB56" i="7"/>
  <c r="AB86" i="7" s="1"/>
  <c r="AB67" i="7"/>
  <c r="AB87" i="7" s="1"/>
  <c r="AC70" i="7"/>
  <c r="AC37" i="7"/>
  <c r="AC26" i="7"/>
  <c r="AC48" i="7"/>
  <c r="AC56" i="7" s="1"/>
  <c r="AC86" i="7" s="1"/>
  <c r="AC59" i="7"/>
  <c r="AD21" i="7"/>
  <c r="AD21" i="24"/>
  <c r="AD37" i="23"/>
  <c r="AC37" i="24"/>
  <c r="AC59" i="24"/>
  <c r="AC26" i="24"/>
  <c r="AC48" i="24"/>
  <c r="AB45" i="24"/>
  <c r="AB74" i="24" s="1"/>
  <c r="AB34" i="24"/>
  <c r="AB73" i="24" s="1"/>
  <c r="AB67" i="24"/>
  <c r="AB76" i="24" s="1"/>
  <c r="AB78" i="7"/>
  <c r="AB88" i="7" s="1"/>
  <c r="AB45" i="7"/>
  <c r="AB85" i="7" s="1"/>
  <c r="AI8" i="1"/>
  <c r="AC34" i="24" l="1"/>
  <c r="AC73" i="24" s="1"/>
  <c r="AD37" i="24"/>
  <c r="AD48" i="24"/>
  <c r="AD59" i="24"/>
  <c r="AD26" i="24"/>
  <c r="AC67" i="24"/>
  <c r="AC76" i="24" s="1"/>
  <c r="AD70" i="7"/>
  <c r="AD78" i="7" s="1"/>
  <c r="AD88" i="7" s="1"/>
  <c r="AD26" i="7"/>
  <c r="AD48" i="7"/>
  <c r="AD56" i="7" s="1"/>
  <c r="AD86" i="7" s="1"/>
  <c r="AD59" i="7"/>
  <c r="AD37" i="7"/>
  <c r="AC45" i="7"/>
  <c r="AC85" i="7" s="1"/>
  <c r="AC34" i="7"/>
  <c r="AC84" i="7" s="1"/>
  <c r="AC78" i="7"/>
  <c r="AC88" i="7" s="1"/>
  <c r="AE21" i="24"/>
  <c r="AE21" i="7"/>
  <c r="AE37" i="23"/>
  <c r="AC45" i="24"/>
  <c r="AC74" i="24" s="1"/>
  <c r="AC56" i="24"/>
  <c r="AC75" i="24" s="1"/>
  <c r="AD40" i="23"/>
  <c r="AD41" i="23"/>
  <c r="AD44" i="23" s="1"/>
  <c r="AC67" i="7"/>
  <c r="AC87" i="7" s="1"/>
  <c r="AE70" i="7" l="1"/>
  <c r="AE37" i="7"/>
  <c r="AE59" i="7"/>
  <c r="AE48" i="7"/>
  <c r="AE26" i="7"/>
  <c r="AE48" i="24"/>
  <c r="AE59" i="24"/>
  <c r="AE26" i="24"/>
  <c r="AE37" i="24"/>
  <c r="AE67" i="24"/>
  <c r="AE76" i="24" s="1"/>
  <c r="AD34" i="24"/>
  <c r="AD73" i="24" s="1"/>
  <c r="AD67" i="24"/>
  <c r="AD76" i="24" s="1"/>
  <c r="AD34" i="7"/>
  <c r="AD84" i="7" s="1"/>
  <c r="AD45" i="7"/>
  <c r="AD85" i="7" s="1"/>
  <c r="AD56" i="24"/>
  <c r="AD75" i="24" s="1"/>
  <c r="AD67" i="7"/>
  <c r="AD87" i="7" s="1"/>
  <c r="AE41" i="23"/>
  <c r="AE40" i="23"/>
  <c r="AD45" i="24"/>
  <c r="AD74" i="24" s="1"/>
  <c r="H84" i="24" l="1"/>
  <c r="H85" i="24" s="1"/>
  <c r="AE34" i="24"/>
  <c r="AE73" i="24" s="1"/>
  <c r="E84" i="24" s="1"/>
  <c r="E85" i="24" s="1"/>
  <c r="AE56" i="24"/>
  <c r="AE75" i="24" s="1"/>
  <c r="G84" i="24" s="1"/>
  <c r="G85" i="24" s="1"/>
  <c r="AE45" i="24"/>
  <c r="AE74" i="24" s="1"/>
  <c r="F84" i="24" s="1"/>
  <c r="F85" i="24" s="1"/>
  <c r="AE44" i="23"/>
  <c r="AE78" i="7"/>
  <c r="AE88" i="7" s="1"/>
  <c r="AE67" i="7"/>
  <c r="AE87" i="7" s="1"/>
  <c r="AE45" i="7"/>
  <c r="AE85" i="7" s="1"/>
  <c r="AE56" i="7"/>
  <c r="AE86" i="7" s="1"/>
  <c r="AE34" i="7"/>
  <c r="AE84" i="7" s="1"/>
  <c r="F50" i="23" l="1"/>
  <c r="F51" i="23" s="1"/>
</calcChain>
</file>

<file path=xl/sharedStrings.xml><?xml version="1.0" encoding="utf-8"?>
<sst xmlns="http://schemas.openxmlformats.org/spreadsheetml/2006/main" count="2199" uniqueCount="280">
  <si>
    <t>Background Data</t>
  </si>
  <si>
    <t>Electricity Emissions</t>
  </si>
  <si>
    <t>Electricity Cost</t>
  </si>
  <si>
    <t>Ohio - Residential</t>
  </si>
  <si>
    <t>Ohio - Commercial</t>
  </si>
  <si>
    <t>Line Loss</t>
  </si>
  <si>
    <t>RFCW</t>
  </si>
  <si>
    <t>Unit</t>
  </si>
  <si>
    <t>Description</t>
  </si>
  <si>
    <t>Data Point</t>
  </si>
  <si>
    <t>Data Source</t>
  </si>
  <si>
    <t>Emission Forecast</t>
  </si>
  <si>
    <t>Total Electric Power - ENC</t>
  </si>
  <si>
    <t>Percent Change From Previous Year</t>
  </si>
  <si>
    <t>US EIA Annual Energy Outlook 2023 (suptab 18.3)</t>
  </si>
  <si>
    <t>EPA Emission Factor Hub</t>
  </si>
  <si>
    <t>CO2</t>
  </si>
  <si>
    <t>CH4</t>
  </si>
  <si>
    <t>N2O</t>
  </si>
  <si>
    <t>All</t>
  </si>
  <si>
    <t>US EPA eGRID 2023</t>
  </si>
  <si>
    <t>US EPA eGRID 2022 - Output emission rate</t>
  </si>
  <si>
    <t>Percent</t>
  </si>
  <si>
    <t>Electricity Cost Change Forecast</t>
  </si>
  <si>
    <t>ENC - Residential</t>
  </si>
  <si>
    <t>ENC - Commercial</t>
  </si>
  <si>
    <t>US EIA Annual Energy Outlook 2023 (suptab 3.3)</t>
  </si>
  <si>
    <t>US EIA (https://www.eia.gov/electricity/data.php)</t>
  </si>
  <si>
    <t>$/KWh</t>
  </si>
  <si>
    <t>Electricity</t>
  </si>
  <si>
    <t>100-Year</t>
  </si>
  <si>
    <t>CO2e Weighting</t>
  </si>
  <si>
    <t>Emissions</t>
  </si>
  <si>
    <t>Source</t>
  </si>
  <si>
    <t>Calculated</t>
  </si>
  <si>
    <t>Calculations</t>
  </si>
  <si>
    <t>MT CO2e</t>
  </si>
  <si>
    <t>Program Outcomes</t>
  </si>
  <si>
    <t>Program Years</t>
  </si>
  <si>
    <t>Annual Emissions Avoided</t>
  </si>
  <si>
    <t xml:space="preserve">2025 - 2050 </t>
  </si>
  <si>
    <t>Total Emissions Avoided</t>
  </si>
  <si>
    <t>Inputs</t>
  </si>
  <si>
    <t>New Capacity</t>
  </si>
  <si>
    <t>KW</t>
  </si>
  <si>
    <t>MWh</t>
  </si>
  <si>
    <t>Tons CO2</t>
  </si>
  <si>
    <t>Decrease in Regional Emissions</t>
  </si>
  <si>
    <t>Total New Capacity</t>
  </si>
  <si>
    <t>Total Decrease in Regional Emissions</t>
  </si>
  <si>
    <t>Decrease in Regional Generation</t>
  </si>
  <si>
    <t>Total Decrease in Regional Generation</t>
  </si>
  <si>
    <t>Change in Electricity Emissions</t>
  </si>
  <si>
    <t>lb CO2e/MWh</t>
  </si>
  <si>
    <t>Emissions Calculations</t>
  </si>
  <si>
    <t>Calculated - Inclusive of Grid Decarb</t>
  </si>
  <si>
    <t>Conversions</t>
  </si>
  <si>
    <t>Tons to MT</t>
  </si>
  <si>
    <t>CO2 to CO2e</t>
  </si>
  <si>
    <t>Multiply Tons By</t>
  </si>
  <si>
    <t>Divide CO2 By</t>
  </si>
  <si>
    <t>Based on eGRID 2022</t>
  </si>
  <si>
    <t>Function</t>
  </si>
  <si>
    <t>Factor</t>
  </si>
  <si>
    <t>Program Outcomes - Total</t>
  </si>
  <si>
    <t>Average Annual MT CO2e (2025 - 2050)</t>
  </si>
  <si>
    <t>Original</t>
  </si>
  <si>
    <t>Post Change</t>
  </si>
  <si>
    <t>Change</t>
  </si>
  <si>
    <t>Total Emissions from Fossil Generation Fleet</t>
  </si>
  <si>
    <t>Ozone season NOX (lb) click for additional information</t>
  </si>
  <si>
    <t>AVERT-derived Emission Rates:</t>
  </si>
  <si>
    <t>Average Fossil</t>
  </si>
  <si>
    <t>Marginal Fossil</t>
  </si>
  <si>
    <t>Ozone season NOX (lb/MWh) click for additional information</t>
  </si>
  <si>
    <t>Generation (MWh) </t>
  </si>
  <si>
    <t>SO2 (lb) </t>
  </si>
  <si>
    <t>NOX (lb) </t>
  </si>
  <si>
    <t>CO2 (tons) </t>
  </si>
  <si>
    <t>PM2.5 (lb)</t>
  </si>
  <si>
    <t>VOCs (lb)</t>
  </si>
  <si>
    <t>NH3 (lb)</t>
  </si>
  <si>
    <t>SO2 (lb/MWh)</t>
  </si>
  <si>
    <t>NOX (lb/MWh)</t>
  </si>
  <si>
    <t>CO2 (tons/MWh)</t>
  </si>
  <si>
    <t>PM2.5 (lb/MWh)</t>
  </si>
  <si>
    <t>VOCs (lb/MWh)</t>
  </si>
  <si>
    <t>NH3 (lb/MWh)</t>
  </si>
  <si>
    <t>From Base Year</t>
  </si>
  <si>
    <t>Average Annual MT CO2e (2025 - 2030)</t>
  </si>
  <si>
    <t>SO2</t>
  </si>
  <si>
    <t>NOx</t>
  </si>
  <si>
    <t>PM2.5</t>
  </si>
  <si>
    <t>VOCs</t>
  </si>
  <si>
    <t>NH3</t>
  </si>
  <si>
    <t>Annual Emissions Changes</t>
  </si>
  <si>
    <t>AVERT</t>
  </si>
  <si>
    <t>Pounds</t>
  </si>
  <si>
    <t>Schedule</t>
  </si>
  <si>
    <t>Year of Implementation</t>
  </si>
  <si>
    <t>Yes</t>
  </si>
  <si>
    <t>Change from Base Year Due to Grid Decarbonization</t>
  </si>
  <si>
    <t>0.1 Background Tab</t>
  </si>
  <si>
    <t>Percent Change from Base Year</t>
  </si>
  <si>
    <t>Total All Installations</t>
  </si>
  <si>
    <t>MT</t>
  </si>
  <si>
    <t>Avoided SO2 Emissions</t>
  </si>
  <si>
    <t>Avoided NOx Emissions</t>
  </si>
  <si>
    <t>Avoided PM2.5 Emissions</t>
  </si>
  <si>
    <t>Avoided VOC Emissions</t>
  </si>
  <si>
    <t>Avoided NH3 Emissions</t>
  </si>
  <si>
    <t>Avoided Pollution</t>
  </si>
  <si>
    <t>Avoided Power Sector Emissions</t>
  </si>
  <si>
    <t>Average Annual MT (2025 - 2030)</t>
  </si>
  <si>
    <t>COBRA</t>
  </si>
  <si>
    <t>COBRA Outputs</t>
  </si>
  <si>
    <t>Total</t>
  </si>
  <si>
    <t>Rest of Country</t>
  </si>
  <si>
    <t>$ Total Health Benefits(low estimate)</t>
  </si>
  <si>
    <t>$ Total Health Benefits(high estimate)</t>
  </si>
  <si>
    <t xml:space="preserve">Mortality(low estimate) </t>
  </si>
  <si>
    <t>$ Mortality(low estimate)</t>
  </si>
  <si>
    <t>Mortality(high estimate)</t>
  </si>
  <si>
    <t>$ Mortality(high estimate)</t>
  </si>
  <si>
    <t>Infant Mortality</t>
  </si>
  <si>
    <t>$ Infant Mortality</t>
  </si>
  <si>
    <t>Nonfatal Heart Attacks(low estimate)</t>
  </si>
  <si>
    <t>$ Nonfatal Heart Attacks(low estimate)</t>
  </si>
  <si>
    <t>Nonfatal Heart Attacks(high estimate)</t>
  </si>
  <si>
    <t>$ Nonfatal Heart Attacks(high estimate)</t>
  </si>
  <si>
    <t>Hospital Admits, All Respiratory</t>
  </si>
  <si>
    <t>Hospital Admits All Respiratory Direct</t>
  </si>
  <si>
    <t>Hospital Admits, Asthma</t>
  </si>
  <si>
    <t>Hospital Admits, Chronic Lung Disease</t>
  </si>
  <si>
    <t>$ Hospital Admits, All Respiratory</t>
  </si>
  <si>
    <t>Hospital Admits, Cardiovascular(except heart attacks)</t>
  </si>
  <si>
    <t>$ Hospital Admits, Cardiovascular (except heart attacks)</t>
  </si>
  <si>
    <t>Acute Bronchitis</t>
  </si>
  <si>
    <t>$ Acute Bronchitis</t>
  </si>
  <si>
    <t>Upper Respiratory Symptoms</t>
  </si>
  <si>
    <t>$ Upper Respiratory Symptoms</t>
  </si>
  <si>
    <t>Lower Respiratory Symptoms</t>
  </si>
  <si>
    <t>$ Lower Respiratory Symptoms</t>
  </si>
  <si>
    <t>Emergency Room Visits, Asthma</t>
  </si>
  <si>
    <t>$ Emergency Room Visits, Asthma</t>
  </si>
  <si>
    <t>Minor Restricted Activity Days</t>
  </si>
  <si>
    <t>$ Minor Restricted Activity Days</t>
  </si>
  <si>
    <t>Work Loss Days</t>
  </si>
  <si>
    <t>$ Work Loss Days</t>
  </si>
  <si>
    <t>Asthma Exacerbation</t>
  </si>
  <si>
    <t>Asthma Exacerbation, Cough</t>
  </si>
  <si>
    <t>Asthma Exacerbation, Shortness of Breath</t>
  </si>
  <si>
    <t>Asthma Exacerbation, Wheeze</t>
  </si>
  <si>
    <t>$ Asthma Exacerbation</t>
  </si>
  <si>
    <t>Dollars</t>
  </si>
  <si>
    <t>Days</t>
  </si>
  <si>
    <t>Health Impacts</t>
  </si>
  <si>
    <t>Average Annual MT (2025 - 2050)</t>
  </si>
  <si>
    <t>Total Health Impacts</t>
  </si>
  <si>
    <t>Annual Health Impacts</t>
  </si>
  <si>
    <t>2025 - 2030</t>
  </si>
  <si>
    <t>Project</t>
  </si>
  <si>
    <t>MW</t>
  </si>
  <si>
    <t>Classification</t>
  </si>
  <si>
    <t>Kolthoff Landfill</t>
  </si>
  <si>
    <t>Brooklyn Landfill</t>
  </si>
  <si>
    <t>Harvard Run (North)</t>
  </si>
  <si>
    <t>Harvard Run (South)</t>
  </si>
  <si>
    <t>Garfield Heights</t>
  </si>
  <si>
    <t>West 11th</t>
  </si>
  <si>
    <t>Include?</t>
  </si>
  <si>
    <t>Utility Scale</t>
  </si>
  <si>
    <t>For Use in AVERT</t>
  </si>
  <si>
    <t>Rooftop</t>
  </si>
  <si>
    <t>28.1 MW Utility Scale Solar - Midwest</t>
  </si>
  <si>
    <t>Cuyahoga County</t>
  </si>
  <si>
    <t>AVERT - Web - Mid-Atl-Utility Scale</t>
  </si>
  <si>
    <t>All Cuyahoga County Projects</t>
  </si>
  <si>
    <t>Capacity</t>
  </si>
  <si>
    <t>Total Capacity</t>
  </si>
  <si>
    <t>Cleveland MSA</t>
  </si>
  <si>
    <t>25.3MW Utility Scale, 2.8MW Rooftop - PV - Midwest</t>
  </si>
  <si>
    <t>AR5 GWP</t>
  </si>
  <si>
    <t>CUYAHOGA COUNTY (CC) Background Data</t>
  </si>
  <si>
    <t>CUYAHOGA COUNTY (CC)</t>
  </si>
  <si>
    <t>GWP</t>
  </si>
  <si>
    <t>PAINESVILLE (P)</t>
  </si>
  <si>
    <t>PCFO</t>
  </si>
  <si>
    <t>Tons</t>
  </si>
  <si>
    <t>Estimated PM 2.5 Production</t>
  </si>
  <si>
    <t>Estimated VOC Production</t>
  </si>
  <si>
    <t>Estimated NOx Production</t>
  </si>
  <si>
    <t>Estimated SOx Production</t>
  </si>
  <si>
    <t>10^6 SCF</t>
  </si>
  <si>
    <t>Estimated Natural Gas Consumption</t>
  </si>
  <si>
    <t>Estimated Total Emissions from Natural Gas</t>
  </si>
  <si>
    <t>EPA GHGRP</t>
  </si>
  <si>
    <t>MT N2O from Natural Gas</t>
  </si>
  <si>
    <t>Emissions Reprted to EPA GHGRP</t>
  </si>
  <si>
    <t>MT CH4 from Natural Gas</t>
  </si>
  <si>
    <t>MT CO2 from Natural Gas</t>
  </si>
  <si>
    <t xml:space="preserve">Unit </t>
  </si>
  <si>
    <t>Natural Gas</t>
  </si>
  <si>
    <t>Estimated Bituminous Coal Consumption</t>
  </si>
  <si>
    <t>Estimated Total Emissions from Coal</t>
  </si>
  <si>
    <t>MT N2O from Coal</t>
  </si>
  <si>
    <t>MT CH4 from Coal</t>
  </si>
  <si>
    <t>MT CO2 from Coal</t>
  </si>
  <si>
    <t>Coal</t>
  </si>
  <si>
    <t>Retirement of Painesville Coal Plant</t>
  </si>
  <si>
    <t>35 MW Utility Scale Facility in Midwest Subregion</t>
  </si>
  <si>
    <t>Total - All In</t>
  </si>
  <si>
    <t>Total - All Measures</t>
  </si>
  <si>
    <t>Total - Rest of Country</t>
  </si>
  <si>
    <t>Total - Cleveland MSA</t>
  </si>
  <si>
    <t>Retirement of Painesville - NG Portion</t>
  </si>
  <si>
    <t>Retirement of Painesville - Coal Portion</t>
  </si>
  <si>
    <t>Mortality (USD)</t>
  </si>
  <si>
    <t>Total Health Benefits (USD)</t>
  </si>
  <si>
    <t>High Estimate</t>
  </si>
  <si>
    <t>Low Estimate</t>
  </si>
  <si>
    <t>&lt;-- Choose From Drop Down</t>
  </si>
  <si>
    <t>Painesville Facility Closure</t>
  </si>
  <si>
    <t>Total CO2e</t>
  </si>
  <si>
    <t>Tab 0.1</t>
  </si>
  <si>
    <t>AR5 CH4 Weight</t>
  </si>
  <si>
    <t>CO2 (MT)</t>
  </si>
  <si>
    <t>CH4 (MT)</t>
  </si>
  <si>
    <t>Natural Gas Released (MT)</t>
  </si>
  <si>
    <t>Cubic Meters</t>
  </si>
  <si>
    <t>Leakage</t>
  </si>
  <si>
    <t>SCF</t>
  </si>
  <si>
    <t>MMBTU</t>
  </si>
  <si>
    <t>Estimate</t>
  </si>
  <si>
    <t>%</t>
  </si>
  <si>
    <t>Nautral Gas % CO2</t>
  </si>
  <si>
    <t>Natural Gas % CH4</t>
  </si>
  <si>
    <t>kg/m^3</t>
  </si>
  <si>
    <t>Natural Gas Density</t>
  </si>
  <si>
    <t>Standard</t>
  </si>
  <si>
    <t>Conversion Factor</t>
  </si>
  <si>
    <t>SCF to M^3 Conversion Factor</t>
  </si>
  <si>
    <t>US EIA</t>
  </si>
  <si>
    <t>btu/scf</t>
  </si>
  <si>
    <t>NG Energy Density</t>
  </si>
  <si>
    <t>Leakage Rate</t>
  </si>
  <si>
    <t>Quantity of Natural Gas Used</t>
  </si>
  <si>
    <t>Tab 0.1a</t>
  </si>
  <si>
    <t>Data</t>
  </si>
  <si>
    <t>Natural Gas Leakage Calculator</t>
  </si>
  <si>
    <t>Program Outcomes - Natural Gas Retirement</t>
  </si>
  <si>
    <t>Program Outcomes - Coal Retirement</t>
  </si>
  <si>
    <t>Program Outcomes - 35 MW SUSMW</t>
  </si>
  <si>
    <t>Total Cumulative Decrease in Regional Emissions</t>
  </si>
  <si>
    <t>Natural Gas Leakage</t>
  </si>
  <si>
    <t>35 MW Solar Utility-Scale Midwest</t>
  </si>
  <si>
    <t xml:space="preserve">Emissions </t>
  </si>
  <si>
    <t>Average Annual MT CO2e (2031 - 2050)</t>
  </si>
  <si>
    <t>Post Program Years</t>
  </si>
  <si>
    <t>Program Outcomes - Action 3</t>
  </si>
  <si>
    <t>Program Outcomes - Action 2</t>
  </si>
  <si>
    <t>Program Outcomes - 20 MW SUSMW</t>
  </si>
  <si>
    <t>Cumulative Decrease in Regional Emissions</t>
  </si>
  <si>
    <t>Total Cumulative Decrease in Regional Generation</t>
  </si>
  <si>
    <t>Cumulative Decrease in Regional Generation</t>
  </si>
  <si>
    <t>Total Cumulative Capacity</t>
  </si>
  <si>
    <t>Cumulative Capacity</t>
  </si>
  <si>
    <t>AVERT - Web - Mid-Atl-Rooftop</t>
  </si>
  <si>
    <t>AVERT - Web - Mid-Atl-Utility</t>
  </si>
  <si>
    <t>[Action 3]</t>
  </si>
  <si>
    <t>[Action 2]</t>
  </si>
  <si>
    <t>Painesville Retirement - Natural Gas</t>
  </si>
  <si>
    <t>Annual Decrease in Regional Emissions</t>
  </si>
  <si>
    <t>Painesville Retirement - Coal</t>
  </si>
  <si>
    <t>AVERT - Incl of Grid Decarb</t>
  </si>
  <si>
    <t>Annual Emissions Decrease</t>
  </si>
  <si>
    <t>Calculated - PCFO</t>
  </si>
  <si>
    <t>Total All Measures</t>
  </si>
  <si>
    <t>COBRA - Incl of Grid Decarb</t>
  </si>
  <si>
    <t>NOACA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</si>
</sst>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&quot;$&quot;#,##0"/>
    <numFmt numFmtId="166" formatCode="0.0"/>
    <numFmt numFmtId="167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ptos Display"/>
      <family val="2"/>
    </font>
    <font>
      <sz val="8"/>
      <name val="Calibri"/>
      <family val="2"/>
      <scheme val="minor"/>
    </font>
    <font>
      <b/>
      <sz val="10"/>
      <color theme="1"/>
      <name val="Aptos Display"/>
      <family val="2"/>
    </font>
    <font>
      <sz val="10"/>
      <color theme="1"/>
      <name val="Aptos"/>
      <family val="2"/>
    </font>
    <font>
      <b/>
      <sz val="10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2" xfId="0" applyFont="1" applyBorder="1"/>
    <xf numFmtId="10" fontId="2" fillId="0" borderId="0" xfId="0" applyNumberFormat="1" applyFont="1"/>
    <xf numFmtId="0" fontId="2" fillId="0" borderId="7" xfId="0" applyFont="1" applyBorder="1"/>
    <xf numFmtId="9" fontId="2" fillId="0" borderId="7" xfId="0" applyNumberFormat="1" applyFont="1" applyBorder="1"/>
    <xf numFmtId="3" fontId="2" fillId="0" borderId="7" xfId="0" applyNumberFormat="1" applyFont="1" applyBorder="1"/>
    <xf numFmtId="0" fontId="2" fillId="0" borderId="1" xfId="0" applyFont="1" applyBorder="1"/>
    <xf numFmtId="0" fontId="4" fillId="0" borderId="5" xfId="0" applyFont="1" applyBorder="1"/>
    <xf numFmtId="0" fontId="4" fillId="0" borderId="6" xfId="0" applyFont="1" applyBorder="1" applyAlignment="1">
      <alignment textRotation="90" wrapText="1"/>
    </xf>
    <xf numFmtId="0" fontId="4" fillId="0" borderId="7" xfId="0" applyFont="1" applyBorder="1" applyAlignment="1">
      <alignment horizontal="right"/>
    </xf>
    <xf numFmtId="2" fontId="2" fillId="0" borderId="0" xfId="0" applyNumberFormat="1" applyFont="1"/>
    <xf numFmtId="164" fontId="2" fillId="0" borderId="7" xfId="0" applyNumberFormat="1" applyFont="1" applyBorder="1"/>
    <xf numFmtId="164" fontId="2" fillId="0" borderId="0" xfId="0" applyNumberFormat="1" applyFont="1"/>
    <xf numFmtId="2" fontId="2" fillId="0" borderId="2" xfId="0" applyNumberFormat="1" applyFont="1" applyBorder="1"/>
    <xf numFmtId="10" fontId="2" fillId="0" borderId="0" xfId="1" applyNumberFormat="1" applyFont="1" applyBorder="1"/>
    <xf numFmtId="0" fontId="4" fillId="2" borderId="0" xfId="0" applyFont="1" applyFill="1"/>
    <xf numFmtId="3" fontId="4" fillId="2" borderId="0" xfId="0" applyNumberFormat="1" applyFont="1" applyFill="1"/>
    <xf numFmtId="0" fontId="4" fillId="2" borderId="2" xfId="0" applyFont="1" applyFill="1" applyBorder="1"/>
    <xf numFmtId="3" fontId="4" fillId="2" borderId="2" xfId="0" applyNumberFormat="1" applyFont="1" applyFill="1" applyBorder="1"/>
    <xf numFmtId="0" fontId="2" fillId="3" borderId="0" xfId="0" applyFont="1" applyFill="1"/>
    <xf numFmtId="0" fontId="4" fillId="3" borderId="0" xfId="0" applyFont="1" applyFill="1"/>
    <xf numFmtId="3" fontId="2" fillId="0" borderId="2" xfId="0" applyNumberFormat="1" applyFont="1" applyBorder="1"/>
    <xf numFmtId="9" fontId="2" fillId="0" borderId="0" xfId="1" applyFont="1"/>
    <xf numFmtId="0" fontId="2" fillId="0" borderId="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3" borderId="0" xfId="0" applyFont="1" applyFill="1" applyAlignment="1">
      <alignment wrapText="1"/>
    </xf>
    <xf numFmtId="3" fontId="2" fillId="2" borderId="5" xfId="0" applyNumberFormat="1" applyFont="1" applyFill="1" applyBorder="1"/>
    <xf numFmtId="0" fontId="4" fillId="0" borderId="5" xfId="0" applyFont="1" applyBorder="1" applyAlignment="1">
      <alignment horizontal="right" wrapText="1"/>
    </xf>
    <xf numFmtId="3" fontId="4" fillId="3" borderId="0" xfId="0" applyNumberFormat="1" applyFont="1" applyFill="1"/>
    <xf numFmtId="9" fontId="4" fillId="3" borderId="0" xfId="1" applyFont="1" applyFill="1" applyBorder="1"/>
    <xf numFmtId="0" fontId="4" fillId="0" borderId="1" xfId="0" applyFont="1" applyBorder="1"/>
    <xf numFmtId="3" fontId="2" fillId="3" borderId="0" xfId="0" applyNumberFormat="1" applyFont="1" applyFill="1"/>
    <xf numFmtId="3" fontId="2" fillId="0" borderId="6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 applyAlignment="1">
      <alignment horizontal="left" wrapText="1"/>
    </xf>
    <xf numFmtId="3" fontId="4" fillId="2" borderId="3" xfId="0" applyNumberFormat="1" applyFont="1" applyFill="1" applyBorder="1"/>
    <xf numFmtId="3" fontId="4" fillId="2" borderId="4" xfId="0" applyNumberFormat="1" applyFont="1" applyFill="1" applyBorder="1"/>
    <xf numFmtId="3" fontId="2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2" xfId="0" applyNumberFormat="1" applyFont="1" applyBorder="1" applyAlignment="1">
      <alignment horizontal="right"/>
    </xf>
    <xf numFmtId="9" fontId="2" fillId="0" borderId="2" xfId="1" applyFont="1" applyBorder="1" applyAlignment="1">
      <alignment horizontal="right"/>
    </xf>
    <xf numFmtId="164" fontId="2" fillId="0" borderId="2" xfId="0" applyNumberFormat="1" applyFont="1" applyBorder="1"/>
    <xf numFmtId="164" fontId="2" fillId="0" borderId="6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164" fontId="2" fillId="0" borderId="9" xfId="0" applyNumberFormat="1" applyFont="1" applyBorder="1"/>
    <xf numFmtId="0" fontId="2" fillId="2" borderId="2" xfId="0" applyFont="1" applyFill="1" applyBorder="1"/>
    <xf numFmtId="3" fontId="2" fillId="2" borderId="2" xfId="0" applyNumberFormat="1" applyFont="1" applyFill="1" applyBorder="1"/>
    <xf numFmtId="164" fontId="2" fillId="2" borderId="5" xfId="0" applyNumberFormat="1" applyFont="1" applyFill="1" applyBorder="1"/>
    <xf numFmtId="0" fontId="2" fillId="0" borderId="13" xfId="0" applyFont="1" applyBorder="1"/>
    <xf numFmtId="165" fontId="2" fillId="0" borderId="7" xfId="0" applyNumberFormat="1" applyFont="1" applyBorder="1"/>
    <xf numFmtId="165" fontId="2" fillId="0" borderId="0" xfId="0" applyNumberFormat="1" applyFont="1"/>
    <xf numFmtId="165" fontId="2" fillId="2" borderId="5" xfId="0" applyNumberFormat="1" applyFont="1" applyFill="1" applyBorder="1"/>
    <xf numFmtId="0" fontId="4" fillId="0" borderId="8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165" fontId="2" fillId="0" borderId="13" xfId="0" applyNumberFormat="1" applyFont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165" fontId="2" fillId="0" borderId="2" xfId="0" applyNumberFormat="1" applyFont="1" applyBorder="1"/>
    <xf numFmtId="0" fontId="4" fillId="3" borderId="5" xfId="0" applyFont="1" applyFill="1" applyBorder="1"/>
    <xf numFmtId="0" fontId="2" fillId="3" borderId="5" xfId="0" applyFont="1" applyFill="1" applyBorder="1"/>
    <xf numFmtId="0" fontId="2" fillId="3" borderId="2" xfId="0" applyFont="1" applyFill="1" applyBorder="1"/>
    <xf numFmtId="0" fontId="4" fillId="3" borderId="5" xfId="0" applyFont="1" applyFill="1" applyBorder="1" applyAlignment="1">
      <alignment horizontal="right"/>
    </xf>
    <xf numFmtId="0" fontId="2" fillId="3" borderId="0" xfId="0" applyFont="1" applyFill="1" applyAlignment="1">
      <alignment horizontal="right"/>
    </xf>
    <xf numFmtId="0" fontId="2" fillId="3" borderId="2" xfId="0" applyFont="1" applyFill="1" applyBorder="1" applyAlignment="1">
      <alignment horizontal="right"/>
    </xf>
    <xf numFmtId="3" fontId="2" fillId="3" borderId="0" xfId="0" applyNumberFormat="1" applyFont="1" applyFill="1" applyAlignment="1">
      <alignment horizontal="right"/>
    </xf>
    <xf numFmtId="3" fontId="2" fillId="3" borderId="2" xfId="0" applyNumberFormat="1" applyFont="1" applyFill="1" applyBorder="1"/>
    <xf numFmtId="3" fontId="2" fillId="3" borderId="2" xfId="0" applyNumberFormat="1" applyFont="1" applyFill="1" applyBorder="1" applyAlignment="1">
      <alignment horizontal="right"/>
    </xf>
    <xf numFmtId="166" fontId="2" fillId="3" borderId="0" xfId="0" applyNumberFormat="1" applyFont="1" applyFill="1"/>
    <xf numFmtId="0" fontId="4" fillId="0" borderId="4" xfId="0" applyFont="1" applyBorder="1" applyAlignment="1">
      <alignment horizontal="center" textRotation="90" wrapText="1"/>
    </xf>
    <xf numFmtId="10" fontId="2" fillId="0" borderId="2" xfId="1" applyNumberFormat="1" applyFont="1" applyBorder="1"/>
    <xf numFmtId="10" fontId="2" fillId="0" borderId="2" xfId="0" applyNumberFormat="1" applyFont="1" applyBorder="1"/>
    <xf numFmtId="9" fontId="2" fillId="0" borderId="0" xfId="1" applyFont="1" applyBorder="1"/>
    <xf numFmtId="4" fontId="2" fillId="3" borderId="2" xfId="0" applyNumberFormat="1" applyFont="1" applyFill="1" applyBorder="1"/>
    <xf numFmtId="4" fontId="2" fillId="3" borderId="0" xfId="0" applyNumberFormat="1" applyFont="1" applyFill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2" fillId="2" borderId="8" xfId="0" applyFont="1" applyFill="1" applyBorder="1"/>
    <xf numFmtId="1" fontId="2" fillId="3" borderId="15" xfId="0" applyNumberFormat="1" applyFont="1" applyFill="1" applyBorder="1"/>
    <xf numFmtId="0" fontId="2" fillId="3" borderId="15" xfId="0" applyFont="1" applyFill="1" applyBorder="1"/>
    <xf numFmtId="1" fontId="2" fillId="3" borderId="16" xfId="0" applyNumberFormat="1" applyFont="1" applyFill="1" applyBorder="1"/>
    <xf numFmtId="0" fontId="2" fillId="3" borderId="16" xfId="0" applyFont="1" applyFill="1" applyBorder="1"/>
    <xf numFmtId="165" fontId="2" fillId="3" borderId="16" xfId="0" applyNumberFormat="1" applyFont="1" applyFill="1" applyBorder="1"/>
    <xf numFmtId="165" fontId="2" fillId="3" borderId="17" xfId="0" applyNumberFormat="1" applyFont="1" applyFill="1" applyBorder="1"/>
    <xf numFmtId="0" fontId="2" fillId="3" borderId="17" xfId="0" applyFont="1" applyFill="1" applyBorder="1"/>
    <xf numFmtId="0" fontId="2" fillId="4" borderId="18" xfId="0" applyFont="1" applyFill="1" applyBorder="1"/>
    <xf numFmtId="0" fontId="5" fillId="3" borderId="0" xfId="0" applyFont="1" applyFill="1"/>
    <xf numFmtId="3" fontId="2" fillId="3" borderId="5" xfId="0" applyNumberFormat="1" applyFont="1" applyFill="1" applyBorder="1"/>
    <xf numFmtId="9" fontId="5" fillId="3" borderId="0" xfId="1" applyFont="1" applyFill="1"/>
    <xf numFmtId="9" fontId="2" fillId="3" borderId="0" xfId="1" applyFont="1" applyFill="1"/>
    <xf numFmtId="167" fontId="2" fillId="3" borderId="0" xfId="1" applyNumberFormat="1" applyFont="1" applyFill="1"/>
    <xf numFmtId="0" fontId="6" fillId="3" borderId="0" xfId="0" applyFont="1" applyFill="1"/>
    <xf numFmtId="0" fontId="4" fillId="0" borderId="6" xfId="0" applyFont="1" applyBorder="1" applyAlignment="1">
      <alignment horizontal="center" textRotation="90"/>
    </xf>
    <xf numFmtId="0" fontId="4" fillId="0" borderId="3" xfId="0" applyFont="1" applyBorder="1" applyAlignment="1">
      <alignment horizontal="center" textRotation="90"/>
    </xf>
    <xf numFmtId="0" fontId="4" fillId="0" borderId="4" xfId="0" applyFont="1" applyBorder="1" applyAlignment="1">
      <alignment horizontal="center" textRotation="90"/>
    </xf>
    <xf numFmtId="0" fontId="4" fillId="0" borderId="10" xfId="0" applyFont="1" applyBorder="1" applyAlignment="1">
      <alignment horizontal="center" textRotation="90" wrapText="1"/>
    </xf>
    <xf numFmtId="0" fontId="4" fillId="0" borderId="11" xfId="0" applyFont="1" applyBorder="1" applyAlignment="1">
      <alignment horizontal="center" textRotation="90" wrapText="1"/>
    </xf>
    <xf numFmtId="0" fontId="4" fillId="0" borderId="12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/>
    </xf>
    <xf numFmtId="0" fontId="4" fillId="0" borderId="11" xfId="0" applyFont="1" applyBorder="1" applyAlignment="1">
      <alignment horizontal="center" textRotation="90"/>
    </xf>
    <xf numFmtId="0" fontId="4" fillId="0" borderId="12" xfId="0" applyFont="1" applyBorder="1" applyAlignment="1">
      <alignment horizontal="center" textRotation="90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B4447-8BD3-46FF-AB88-796C3E024D69}">
  <dimension ref="A1:AI17"/>
  <sheetViews>
    <sheetView tabSelected="1" workbookViewId="0">
      <selection activeCell="C16" sqref="C16"/>
    </sheetView>
  </sheetViews>
  <sheetFormatPr defaultColWidth="9.08984375" defaultRowHeight="12.5"/>
  <cols>
    <col min="1" max="1" width="9.08984375" style="21"/>
    <col min="2" max="2" width="19" style="21" customWidth="1"/>
    <col min="3" max="3" width="21.6328125" style="21" customWidth="1"/>
    <col min="4" max="4" width="29.54296875" style="21" customWidth="1"/>
    <col min="5" max="5" width="28.6328125" style="21" customWidth="1"/>
    <col min="6" max="6" width="9.453125" style="21" bestFit="1" customWidth="1"/>
    <col min="7" max="7" width="10.54296875" style="21" bestFit="1" customWidth="1"/>
    <col min="8" max="35" width="9.54296875" style="21" bestFit="1" customWidth="1"/>
    <col min="36" max="16384" width="9.08984375" style="21"/>
  </cols>
  <sheetData>
    <row r="1" spans="1:35">
      <c r="A1" s="21" t="s">
        <v>186</v>
      </c>
    </row>
    <row r="2" spans="1:35" ht="13">
      <c r="A2" s="22" t="s">
        <v>0</v>
      </c>
    </row>
    <row r="5" spans="1:35" ht="13">
      <c r="A5" s="8"/>
      <c r="B5" s="9" t="s">
        <v>9</v>
      </c>
      <c r="C5" s="9" t="s">
        <v>8</v>
      </c>
      <c r="D5" s="9" t="s">
        <v>10</v>
      </c>
      <c r="E5" s="9" t="s">
        <v>7</v>
      </c>
      <c r="F5" s="9">
        <v>2021</v>
      </c>
      <c r="G5" s="9">
        <v>2022</v>
      </c>
      <c r="H5" s="9">
        <v>2023</v>
      </c>
      <c r="I5" s="9">
        <v>2024</v>
      </c>
      <c r="J5" s="9">
        <v>2025</v>
      </c>
      <c r="K5" s="9">
        <v>2026</v>
      </c>
      <c r="L5" s="9">
        <v>2027</v>
      </c>
      <c r="M5" s="9">
        <v>2028</v>
      </c>
      <c r="N5" s="9">
        <v>2029</v>
      </c>
      <c r="O5" s="9">
        <v>2030</v>
      </c>
      <c r="P5" s="9">
        <v>2031</v>
      </c>
      <c r="Q5" s="9">
        <v>2032</v>
      </c>
      <c r="R5" s="9">
        <v>2033</v>
      </c>
      <c r="S5" s="9">
        <v>2034</v>
      </c>
      <c r="T5" s="9">
        <v>2035</v>
      </c>
      <c r="U5" s="9">
        <v>2036</v>
      </c>
      <c r="V5" s="9">
        <v>2037</v>
      </c>
      <c r="W5" s="9">
        <v>2038</v>
      </c>
      <c r="X5" s="9">
        <v>2039</v>
      </c>
      <c r="Y5" s="9">
        <v>2040</v>
      </c>
      <c r="Z5" s="9">
        <v>2041</v>
      </c>
      <c r="AA5" s="9">
        <v>2042</v>
      </c>
      <c r="AB5" s="9">
        <v>2043</v>
      </c>
      <c r="AC5" s="9">
        <v>2044</v>
      </c>
      <c r="AD5" s="9">
        <v>2045</v>
      </c>
      <c r="AE5" s="9">
        <v>2046</v>
      </c>
      <c r="AF5" s="9">
        <v>2047</v>
      </c>
      <c r="AG5" s="9">
        <v>2048</v>
      </c>
      <c r="AH5" s="9">
        <v>2049</v>
      </c>
      <c r="AI5" s="9">
        <v>2050</v>
      </c>
    </row>
    <row r="6" spans="1:35">
      <c r="A6" s="97" t="s">
        <v>29</v>
      </c>
      <c r="B6" s="5" t="s">
        <v>11</v>
      </c>
      <c r="C6" s="5" t="s">
        <v>12</v>
      </c>
      <c r="D6" s="5" t="s">
        <v>14</v>
      </c>
      <c r="E6" s="5" t="s">
        <v>13</v>
      </c>
      <c r="F6" s="5"/>
      <c r="G6" s="5"/>
      <c r="H6" s="6">
        <v>-7.8346899999999997E-2</v>
      </c>
      <c r="I6" s="6">
        <v>-8.3708000000000003E-4</v>
      </c>
      <c r="J6" s="6">
        <v>-5.9786199999999998E-2</v>
      </c>
      <c r="K6" s="6">
        <v>-0.11218773</v>
      </c>
      <c r="L6" s="6">
        <v>-3.9262940000000003E-2</v>
      </c>
      <c r="M6" s="6">
        <v>-0.13197175</v>
      </c>
      <c r="N6" s="6">
        <v>-0.13717829000000001</v>
      </c>
      <c r="O6" s="6">
        <v>-0.12754969999999999</v>
      </c>
      <c r="P6" s="6">
        <v>-3.7164599999999999E-2</v>
      </c>
      <c r="Q6" s="6">
        <v>-1.771998E-2</v>
      </c>
      <c r="R6" s="6">
        <v>2.2518610000000001E-2</v>
      </c>
      <c r="S6" s="6">
        <v>-3.350475E-2</v>
      </c>
      <c r="T6" s="6">
        <v>8.1708000000000006E-3</v>
      </c>
      <c r="U6" s="6">
        <v>2.749629E-2</v>
      </c>
      <c r="V6" s="6">
        <v>4.9402400000000003E-3</v>
      </c>
      <c r="W6" s="6">
        <v>2.1737010000000001E-2</v>
      </c>
      <c r="X6" s="6">
        <v>-4.8170230000000001E-2</v>
      </c>
      <c r="Y6" s="6">
        <v>3.0260849999999999E-2</v>
      </c>
      <c r="Z6" s="6">
        <v>2.3356600000000002E-2</v>
      </c>
      <c r="AA6" s="6">
        <v>1.375677E-2</v>
      </c>
      <c r="AB6" s="6">
        <v>-1.678106E-2</v>
      </c>
      <c r="AC6" s="6">
        <v>-3.8983500000000001E-3</v>
      </c>
      <c r="AD6" s="6">
        <v>-4.153569E-2</v>
      </c>
      <c r="AE6" s="6">
        <v>-3.2814820000000001E-2</v>
      </c>
      <c r="AF6" s="6">
        <v>1.5809150000000001E-2</v>
      </c>
      <c r="AG6" s="6">
        <v>-1.450776E-2</v>
      </c>
      <c r="AH6" s="6">
        <v>-1.7923499999999998E-2</v>
      </c>
      <c r="AI6" s="6">
        <v>-3.0102250000000001E-2</v>
      </c>
    </row>
    <row r="7" spans="1:35">
      <c r="A7" s="98"/>
      <c r="B7" s="1" t="s">
        <v>1</v>
      </c>
      <c r="C7" s="1" t="s">
        <v>6</v>
      </c>
      <c r="D7" s="1" t="s">
        <v>21</v>
      </c>
      <c r="E7" s="1" t="s">
        <v>53</v>
      </c>
      <c r="F7" s="12">
        <v>1005.904</v>
      </c>
      <c r="G7" s="12">
        <v>1005.904</v>
      </c>
      <c r="H7" s="12">
        <f t="shared" ref="H7:AI7" si="0">G7+(G7*H6)</f>
        <v>927.09453990240002</v>
      </c>
      <c r="I7" s="12">
        <f t="shared" si="0"/>
        <v>926.31848760493847</v>
      </c>
      <c r="J7" s="12">
        <f t="shared" si="0"/>
        <v>870.93742524129209</v>
      </c>
      <c r="K7" s="12">
        <f t="shared" si="0"/>
        <v>773.22893253142684</v>
      </c>
      <c r="L7" s="12">
        <f t="shared" si="0"/>
        <v>742.8696913471814</v>
      </c>
      <c r="M7" s="12">
        <f t="shared" si="0"/>
        <v>644.83187815813403</v>
      </c>
      <c r="N7" s="12">
        <f t="shared" si="0"/>
        <v>556.37494377491282</v>
      </c>
      <c r="O7" s="12">
        <f t="shared" si="0"/>
        <v>485.40948660890581</v>
      </c>
      <c r="P7" s="12">
        <f t="shared" si="0"/>
        <v>467.36943720288048</v>
      </c>
      <c r="Q7" s="12">
        <f t="shared" si="0"/>
        <v>459.0876601230342</v>
      </c>
      <c r="R7" s="12">
        <f t="shared" si="0"/>
        <v>469.42567609715735</v>
      </c>
      <c r="S7" s="12">
        <f t="shared" si="0"/>
        <v>453.6976861759411</v>
      </c>
      <c r="T7" s="12">
        <f t="shared" si="0"/>
        <v>457.40475923014748</v>
      </c>
      <c r="U7" s="12">
        <f t="shared" si="0"/>
        <v>469.98169313731978</v>
      </c>
      <c r="V7" s="12">
        <f t="shared" si="0"/>
        <v>472.30351549702448</v>
      </c>
      <c r="W7" s="12">
        <f t="shared" si="0"/>
        <v>482.56998173641847</v>
      </c>
      <c r="X7" s="12">
        <f t="shared" si="0"/>
        <v>459.32447472507937</v>
      </c>
      <c r="Y7" s="12">
        <f t="shared" si="0"/>
        <v>473.22402375606379</v>
      </c>
      <c r="Z7" s="12">
        <f t="shared" si="0"/>
        <v>484.27692798932469</v>
      </c>
      <c r="AA7" s="12">
        <f t="shared" si="0"/>
        <v>490.9390143039804</v>
      </c>
      <c r="AB7" s="12">
        <f t="shared" si="0"/>
        <v>482.70053724860446</v>
      </c>
      <c r="AC7" s="12">
        <f t="shared" si="0"/>
        <v>480.81880160922134</v>
      </c>
      <c r="AD7" s="12">
        <f t="shared" si="0"/>
        <v>460.84766091940924</v>
      </c>
      <c r="AE7" s="12">
        <f t="shared" si="0"/>
        <v>445.72502787891779</v>
      </c>
      <c r="AF7" s="12">
        <f t="shared" si="0"/>
        <v>452.77156170340976</v>
      </c>
      <c r="AG7" s="12">
        <f t="shared" si="0"/>
        <v>446.2028605513915</v>
      </c>
      <c r="AH7" s="12">
        <f t="shared" si="0"/>
        <v>438.20534358029863</v>
      </c>
      <c r="AI7" s="12">
        <f t="shared" si="0"/>
        <v>425.01437677650858</v>
      </c>
    </row>
    <row r="8" spans="1:35">
      <c r="A8" s="98"/>
      <c r="B8" s="1" t="s">
        <v>52</v>
      </c>
      <c r="C8" s="1" t="s">
        <v>88</v>
      </c>
      <c r="D8" s="1" t="s">
        <v>34</v>
      </c>
      <c r="E8" s="1" t="s">
        <v>53</v>
      </c>
      <c r="F8" s="12"/>
      <c r="G8" s="12"/>
      <c r="H8" s="12"/>
      <c r="I8" s="12"/>
      <c r="J8" s="77">
        <f t="shared" ref="J8:AI8" si="1">(J7-$I$7)/$I$7</f>
        <v>-5.9786200000000005E-2</v>
      </c>
      <c r="K8" s="77">
        <f t="shared" si="1"/>
        <v>-0.165266651936674</v>
      </c>
      <c r="L8" s="77">
        <f t="shared" si="1"/>
        <v>-0.19804073729768346</v>
      </c>
      <c r="M8" s="77">
        <f t="shared" si="1"/>
        <v>-0.30387670462521787</v>
      </c>
      <c r="N8" s="77">
        <f t="shared" si="1"/>
        <v>-0.39936970791389542</v>
      </c>
      <c r="O8" s="77">
        <f t="shared" si="1"/>
        <v>-0.47597992148039048</v>
      </c>
      <c r="P8" s="77">
        <f t="shared" si="1"/>
        <v>-0.49545491809054032</v>
      </c>
      <c r="Q8" s="77">
        <f t="shared" si="1"/>
        <v>-0.50439544685107429</v>
      </c>
      <c r="R8" s="77">
        <f t="shared" si="1"/>
        <v>-0.49323512120448937</v>
      </c>
      <c r="S8" s="77">
        <f t="shared" si="1"/>
        <v>-0.51021415177731333</v>
      </c>
      <c r="T8" s="77">
        <f t="shared" si="1"/>
        <v>-0.50621220956865531</v>
      </c>
      <c r="U8" s="77">
        <f t="shared" si="1"/>
        <v>-0.4926348772844959</v>
      </c>
      <c r="V8" s="77">
        <f t="shared" si="1"/>
        <v>-0.49012837181065189</v>
      </c>
      <c r="W8" s="77">
        <f t="shared" si="1"/>
        <v>-0.47904528712998368</v>
      </c>
      <c r="X8" s="77">
        <f t="shared" si="1"/>
        <v>-0.50413979546851639</v>
      </c>
      <c r="Y8" s="77">
        <f t="shared" si="1"/>
        <v>-0.48913464419821984</v>
      </c>
      <c r="Z8" s="77">
        <f t="shared" si="1"/>
        <v>-0.47720256642889997</v>
      </c>
      <c r="AA8" s="77">
        <f t="shared" si="1"/>
        <v>-0.47001056237867206</v>
      </c>
      <c r="AB8" s="77">
        <f t="shared" si="1"/>
        <v>-0.47890434693076178</v>
      </c>
      <c r="AC8" s="77">
        <f t="shared" si="1"/>
        <v>-0.48093576016990425</v>
      </c>
      <c r="AD8" s="77">
        <f t="shared" si="1"/>
        <v>-0.50249545152557273</v>
      </c>
      <c r="AE8" s="77">
        <f t="shared" si="1"/>
        <v>-0.51882097373294234</v>
      </c>
      <c r="AF8" s="77">
        <f t="shared" si="1"/>
        <v>-0.51121394232983253</v>
      </c>
      <c r="AG8" s="77">
        <f t="shared" si="1"/>
        <v>-0.51830513314585747</v>
      </c>
      <c r="AH8" s="77">
        <f t="shared" si="1"/>
        <v>-0.52693879109191766</v>
      </c>
      <c r="AI8" s="77">
        <f t="shared" si="1"/>
        <v>-0.54117899786777102</v>
      </c>
    </row>
    <row r="9" spans="1:35">
      <c r="A9" s="99"/>
      <c r="B9" s="3" t="s">
        <v>5</v>
      </c>
      <c r="C9" s="3" t="s">
        <v>6</v>
      </c>
      <c r="D9" s="3" t="s">
        <v>20</v>
      </c>
      <c r="E9" s="3" t="s">
        <v>22</v>
      </c>
      <c r="F9" s="76">
        <v>4.4999999999999998E-2</v>
      </c>
      <c r="G9" s="76">
        <v>5.0999999999999997E-2</v>
      </c>
      <c r="H9" s="75">
        <v>5.0999999999999997E-2</v>
      </c>
      <c r="I9" s="75">
        <v>5.0999999999999997E-2</v>
      </c>
      <c r="J9" s="75">
        <v>5.0999999999999997E-2</v>
      </c>
      <c r="K9" s="75">
        <v>5.0999999999999997E-2</v>
      </c>
      <c r="L9" s="75">
        <v>5.0999999999999997E-2</v>
      </c>
      <c r="M9" s="75">
        <v>5.0999999999999997E-2</v>
      </c>
      <c r="N9" s="75">
        <v>5.0999999999999997E-2</v>
      </c>
      <c r="O9" s="75">
        <v>5.0999999999999997E-2</v>
      </c>
      <c r="P9" s="75">
        <v>5.0999999999999997E-2</v>
      </c>
      <c r="Q9" s="75">
        <v>5.0999999999999997E-2</v>
      </c>
      <c r="R9" s="75">
        <v>5.0999999999999997E-2</v>
      </c>
      <c r="S9" s="75">
        <v>5.0999999999999997E-2</v>
      </c>
      <c r="T9" s="75">
        <v>5.0999999999999997E-2</v>
      </c>
      <c r="U9" s="75">
        <v>5.0999999999999997E-2</v>
      </c>
      <c r="V9" s="75">
        <v>5.0999999999999997E-2</v>
      </c>
      <c r="W9" s="75">
        <v>5.0999999999999997E-2</v>
      </c>
      <c r="X9" s="75">
        <v>5.0999999999999997E-2</v>
      </c>
      <c r="Y9" s="75">
        <v>5.0999999999999997E-2</v>
      </c>
      <c r="Z9" s="75">
        <v>5.0999999999999997E-2</v>
      </c>
      <c r="AA9" s="75">
        <v>5.0999999999999997E-2</v>
      </c>
      <c r="AB9" s="75">
        <v>5.0999999999999997E-2</v>
      </c>
      <c r="AC9" s="75">
        <v>5.0999999999999997E-2</v>
      </c>
      <c r="AD9" s="75">
        <v>5.0999999999999997E-2</v>
      </c>
      <c r="AE9" s="75">
        <v>5.0999999999999997E-2</v>
      </c>
      <c r="AF9" s="75">
        <v>5.0999999999999997E-2</v>
      </c>
      <c r="AG9" s="75">
        <v>5.0999999999999997E-2</v>
      </c>
      <c r="AH9" s="75">
        <v>5.0999999999999997E-2</v>
      </c>
      <c r="AI9" s="75">
        <v>5.0999999999999997E-2</v>
      </c>
    </row>
    <row r="10" spans="1:35" ht="13">
      <c r="A10" s="22"/>
    </row>
    <row r="11" spans="1:35" ht="13">
      <c r="A11" s="10"/>
      <c r="B11" s="5"/>
      <c r="C11" s="5"/>
      <c r="D11" s="5"/>
      <c r="E11" s="5"/>
      <c r="F11" s="11" t="s">
        <v>16</v>
      </c>
      <c r="G11" s="11" t="s">
        <v>17</v>
      </c>
      <c r="H11" s="11" t="s">
        <v>18</v>
      </c>
    </row>
    <row r="12" spans="1:35" ht="22">
      <c r="A12" s="74" t="s">
        <v>32</v>
      </c>
      <c r="B12" s="3" t="s">
        <v>185</v>
      </c>
      <c r="C12" s="3" t="s">
        <v>30</v>
      </c>
      <c r="D12" s="3" t="s">
        <v>15</v>
      </c>
      <c r="E12" s="3" t="s">
        <v>31</v>
      </c>
      <c r="F12" s="3">
        <v>1</v>
      </c>
      <c r="G12" s="3">
        <v>28</v>
      </c>
      <c r="H12" s="3">
        <v>265</v>
      </c>
    </row>
    <row r="13" spans="1:35" ht="13">
      <c r="A13" s="22"/>
    </row>
    <row r="14" spans="1:35" ht="13">
      <c r="A14" s="22"/>
    </row>
    <row r="15" spans="1:35" ht="13">
      <c r="A15" s="22"/>
    </row>
    <row r="16" spans="1:35" ht="13">
      <c r="A16" s="22"/>
    </row>
    <row r="17" spans="1:1" ht="13">
      <c r="A17" s="22"/>
    </row>
  </sheetData>
  <mergeCells count="1">
    <mergeCell ref="A6:A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1795C-E4EB-459D-BDE0-5B2C1D4ED2D0}">
  <sheetPr>
    <tabColor theme="6"/>
  </sheetPr>
  <dimension ref="A1:AE34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9.4531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31">
      <c r="A1" s="21" t="s">
        <v>186</v>
      </c>
    </row>
    <row r="2" spans="1:31" ht="13">
      <c r="A2" s="22" t="s">
        <v>210</v>
      </c>
    </row>
    <row r="3" spans="1:31" ht="13">
      <c r="A3" s="22" t="s">
        <v>222</v>
      </c>
    </row>
    <row r="4" spans="1:31" ht="13">
      <c r="A4" s="22"/>
    </row>
    <row r="7" spans="1:31" ht="13.5" customHeight="1">
      <c r="A7" s="100" t="s">
        <v>32</v>
      </c>
      <c r="B7" s="9" t="s">
        <v>9</v>
      </c>
      <c r="C7" s="9" t="s">
        <v>8</v>
      </c>
      <c r="D7" s="9" t="s">
        <v>10</v>
      </c>
      <c r="E7" s="9" t="s">
        <v>7</v>
      </c>
      <c r="F7" s="9">
        <v>2025</v>
      </c>
      <c r="G7" s="9">
        <v>2026</v>
      </c>
      <c r="H7" s="9">
        <v>2027</v>
      </c>
      <c r="I7" s="9">
        <v>2028</v>
      </c>
      <c r="J7" s="9">
        <v>2029</v>
      </c>
      <c r="K7" s="9">
        <v>2030</v>
      </c>
      <c r="L7" s="9">
        <v>2031</v>
      </c>
      <c r="M7" s="9">
        <v>2032</v>
      </c>
      <c r="N7" s="9">
        <v>2033</v>
      </c>
      <c r="O7" s="9">
        <v>2034</v>
      </c>
      <c r="P7" s="9">
        <v>2035</v>
      </c>
      <c r="Q7" s="9">
        <v>2036</v>
      </c>
      <c r="R7" s="9">
        <v>2037</v>
      </c>
      <c r="S7" s="9">
        <v>2038</v>
      </c>
      <c r="T7" s="9">
        <v>2039</v>
      </c>
      <c r="U7" s="9">
        <v>2040</v>
      </c>
      <c r="V7" s="9">
        <v>2041</v>
      </c>
      <c r="W7" s="9">
        <v>2042</v>
      </c>
      <c r="X7" s="9">
        <v>2043</v>
      </c>
      <c r="Y7" s="9">
        <v>2044</v>
      </c>
      <c r="Z7" s="9">
        <v>2045</v>
      </c>
      <c r="AA7" s="9">
        <v>2046</v>
      </c>
      <c r="AB7" s="9">
        <v>2047</v>
      </c>
      <c r="AC7" s="9">
        <v>2048</v>
      </c>
      <c r="AD7" s="9">
        <v>2049</v>
      </c>
      <c r="AE7" s="32">
        <v>2050</v>
      </c>
    </row>
    <row r="8" spans="1:31">
      <c r="A8" s="101"/>
      <c r="B8" s="1" t="s">
        <v>272</v>
      </c>
      <c r="C8" s="1" t="s">
        <v>273</v>
      </c>
      <c r="D8" s="1" t="s">
        <v>34</v>
      </c>
      <c r="E8" s="1" t="s">
        <v>36</v>
      </c>
      <c r="F8" s="2">
        <v>0</v>
      </c>
      <c r="G8" s="2">
        <v>0</v>
      </c>
      <c r="H8" s="2">
        <f>'P0.1a Coal-NG Retirement'!L11</f>
        <v>301.20787947836305</v>
      </c>
      <c r="I8" s="2">
        <f>'P0.1a Coal-NG Retirement'!M11</f>
        <v>261.45694850981437</v>
      </c>
      <c r="J8" s="2">
        <f>'P0.1a Coal-NG Retirement'!N11</f>
        <v>225.59073140462002</v>
      </c>
      <c r="K8" s="2">
        <f>'P0.1a Coal-NG Retirement'!O11</f>
        <v>196.81670129118012</v>
      </c>
      <c r="L8" s="2">
        <f>'P0.1a Coal-NG Retirement'!P11</f>
        <v>189.50208731437397</v>
      </c>
      <c r="M8" s="2">
        <f>'P0.1a Coal-NG Retirement'!Q11</f>
        <v>186.14411411720502</v>
      </c>
      <c r="N8" s="2">
        <f>'P0.1a Coal-NG Retirement'!R11</f>
        <v>190.33582082680584</v>
      </c>
      <c r="O8" s="2">
        <f>'P0.1a Coal-NG Retirement'!S11</f>
        <v>183.95866673395889</v>
      </c>
      <c r="P8" s="2">
        <f>'P0.1a Coal-NG Retirement'!T11</f>
        <v>185.46175620810874</v>
      </c>
      <c r="Q8" s="2">
        <f>'P0.1a Coal-NG Retirement'!U11</f>
        <v>190.5612664407162</v>
      </c>
      <c r="R8" s="2">
        <f>'P0.1a Coal-NG Retirement'!V11</f>
        <v>191.50268483163725</v>
      </c>
      <c r="S8" s="2">
        <f>'P0.1a Coal-NG Retirement'!W11</f>
        <v>195.66538060684942</v>
      </c>
      <c r="T8" s="2">
        <f>'P0.1a Coal-NG Retirement'!X11</f>
        <v>186.24013421997992</v>
      </c>
      <c r="U8" s="2">
        <f>'P0.1a Coal-NG Retirement'!Y11</f>
        <v>191.8759189855906</v>
      </c>
      <c r="V8" s="2">
        <f>'P0.1a Coal-NG Retirement'!Z11</f>
        <v>196.35748807496947</v>
      </c>
      <c r="W8" s="2">
        <f>'P0.1a Coal-NG Retirement'!AA11</f>
        <v>199.05873287619457</v>
      </c>
      <c r="X8" s="2">
        <f>'P0.1a Coal-NG Retirement'!AB11</f>
        <v>195.71831633627519</v>
      </c>
      <c r="Y8" s="2">
        <f>'P0.1a Coal-NG Retirement'!AC11</f>
        <v>194.95533783778566</v>
      </c>
      <c r="Z8" s="2">
        <f>'P0.1a Coal-NG Retirement'!AD11</f>
        <v>186.85773336151013</v>
      </c>
      <c r="AA8" s="2">
        <f>'P0.1a Coal-NG Retirement'!AE11</f>
        <v>180.72603047564419</v>
      </c>
      <c r="AB8" s="2">
        <f>'P0.1a Coal-NG Retirement'!AF11</f>
        <v>183.5831554003382</v>
      </c>
      <c r="AC8" s="2">
        <f>'P0.1a Coal-NG Retirement'!AG11</f>
        <v>180.91977504174741</v>
      </c>
      <c r="AD8" s="2">
        <f>'P0.1a Coal-NG Retirement'!AH11</f>
        <v>177.67705945378663</v>
      </c>
      <c r="AE8" s="34">
        <f>'P0.1a Coal-NG Retirement'!AI11</f>
        <v>172.32858019084389</v>
      </c>
    </row>
    <row r="9" spans="1:31">
      <c r="A9" s="101"/>
      <c r="B9" s="1" t="s">
        <v>272</v>
      </c>
      <c r="C9" s="1" t="s">
        <v>271</v>
      </c>
      <c r="D9" s="1" t="s">
        <v>34</v>
      </c>
      <c r="E9" s="1" t="s">
        <v>36</v>
      </c>
      <c r="F9" s="2">
        <v>0</v>
      </c>
      <c r="G9" s="2">
        <v>0</v>
      </c>
      <c r="H9" s="2">
        <f>'P0.1a Coal-NG Retirement'!L23</f>
        <v>423.13375598330981</v>
      </c>
      <c r="I9" s="2">
        <f>'P0.1a Coal-NG Retirement'!M23</f>
        <v>367.29205372211948</v>
      </c>
      <c r="J9" s="2">
        <f>'P0.1a Coal-NG Retirement'!N23</f>
        <v>316.90755786193097</v>
      </c>
      <c r="K9" s="2">
        <f>'P0.1a Coal-NG Retirement'!O23</f>
        <v>276.48609392890899</v>
      </c>
      <c r="L9" s="2">
        <f>'P0.1a Coal-NG Retirement'!P23</f>
        <v>266.2105988424787</v>
      </c>
      <c r="M9" s="2">
        <f>'P0.1a Coal-NG Retirement'!Q23</f>
        <v>261.49335235520198</v>
      </c>
      <c r="N9" s="2">
        <f>'P0.1a Coal-NG Retirement'!R23</f>
        <v>267.38181917448134</v>
      </c>
      <c r="O9" s="2">
        <f>'P0.1a Coal-NG Retirement'!S23</f>
        <v>258.42325816849512</v>
      </c>
      <c r="P9" s="2">
        <f>'P0.1a Coal-NG Retirement'!T23</f>
        <v>260.53478292633821</v>
      </c>
      <c r="Q9" s="2">
        <f>'P0.1a Coal-NG Retirement'!U23</f>
        <v>267.69852287276791</v>
      </c>
      <c r="R9" s="2">
        <f>'P0.1a Coal-NG Retirement'!V23</f>
        <v>269.0210178234048</v>
      </c>
      <c r="S9" s="2">
        <f>'P0.1a Coal-NG Retirement'!W23</f>
        <v>274.86873037804236</v>
      </c>
      <c r="T9" s="2">
        <f>'P0.1a Coal-NG Retirement'!X23</f>
        <v>261.62824041592404</v>
      </c>
      <c r="U9" s="2">
        <f>'P0.1a Coal-NG Retirement'!Y23</f>
        <v>269.54533335491431</v>
      </c>
      <c r="V9" s="2">
        <f>'P0.1a Coal-NG Retirement'!Z23</f>
        <v>275.84099588795164</v>
      </c>
      <c r="W9" s="2">
        <f>'P0.1a Coal-NG Retirement'!AA23</f>
        <v>279.63567702495322</v>
      </c>
      <c r="X9" s="2">
        <f>'P0.1a Coal-NG Retirement'!AB23</f>
        <v>274.94309395065687</v>
      </c>
      <c r="Y9" s="2">
        <f>'P0.1a Coal-NG Retirement'!AC23</f>
        <v>273.87126954035426</v>
      </c>
      <c r="Z9" s="2">
        <f>'P0.1a Coal-NG Retirement'!AD23</f>
        <v>262.49583738881967</v>
      </c>
      <c r="AA9" s="2">
        <f>'P0.1a Coal-NG Retirement'!AE23</f>
        <v>253.88208373415628</v>
      </c>
      <c r="AB9" s="2">
        <f>'P0.1a Coal-NG Retirement'!AF23</f>
        <v>257.89574367822212</v>
      </c>
      <c r="AC9" s="2">
        <f>'P0.1a Coal-NG Retirement'!AG23</f>
        <v>254.15425412391693</v>
      </c>
      <c r="AD9" s="2">
        <f>'P0.1a Coal-NG Retirement'!AH23</f>
        <v>249.59892035012697</v>
      </c>
      <c r="AE9" s="35">
        <f>'P0.1a Coal-NG Retirement'!AI23</f>
        <v>242.08543125001734</v>
      </c>
    </row>
    <row r="10" spans="1:31" ht="13">
      <c r="A10" s="102"/>
      <c r="B10" s="19" t="s">
        <v>253</v>
      </c>
      <c r="C10" s="19" t="s">
        <v>19</v>
      </c>
      <c r="D10" s="19" t="s">
        <v>34</v>
      </c>
      <c r="E10" s="19" t="s">
        <v>36</v>
      </c>
      <c r="F10" s="20">
        <f t="shared" ref="F10:AE10" si="0">SUM(F8:F9)</f>
        <v>0</v>
      </c>
      <c r="G10" s="20">
        <f t="shared" si="0"/>
        <v>0</v>
      </c>
      <c r="H10" s="20">
        <f t="shared" si="0"/>
        <v>724.34163546167292</v>
      </c>
      <c r="I10" s="20">
        <f t="shared" si="0"/>
        <v>628.7490022319339</v>
      </c>
      <c r="J10" s="20">
        <f t="shared" si="0"/>
        <v>542.49828926655096</v>
      </c>
      <c r="K10" s="20">
        <f t="shared" si="0"/>
        <v>473.30279522008914</v>
      </c>
      <c r="L10" s="20">
        <f t="shared" si="0"/>
        <v>455.71268615685267</v>
      </c>
      <c r="M10" s="20">
        <f t="shared" si="0"/>
        <v>447.63746647240703</v>
      </c>
      <c r="N10" s="20">
        <f t="shared" si="0"/>
        <v>457.71764000128718</v>
      </c>
      <c r="O10" s="20">
        <f t="shared" si="0"/>
        <v>442.38192490245399</v>
      </c>
      <c r="P10" s="20">
        <f t="shared" si="0"/>
        <v>445.99653913444695</v>
      </c>
      <c r="Q10" s="20">
        <f t="shared" si="0"/>
        <v>458.25978931348413</v>
      </c>
      <c r="R10" s="20">
        <f t="shared" si="0"/>
        <v>460.52370265504203</v>
      </c>
      <c r="S10" s="20">
        <f t="shared" si="0"/>
        <v>470.53411098489175</v>
      </c>
      <c r="T10" s="20">
        <f t="shared" si="0"/>
        <v>447.86837463590393</v>
      </c>
      <c r="U10" s="20">
        <f t="shared" si="0"/>
        <v>461.42125234050491</v>
      </c>
      <c r="V10" s="20">
        <f t="shared" si="0"/>
        <v>472.1984839629211</v>
      </c>
      <c r="W10" s="20">
        <f t="shared" si="0"/>
        <v>478.69440990114776</v>
      </c>
      <c r="X10" s="20">
        <f t="shared" si="0"/>
        <v>470.6614102869321</v>
      </c>
      <c r="Y10" s="20">
        <f t="shared" si="0"/>
        <v>468.8266073781399</v>
      </c>
      <c r="Z10" s="20">
        <f t="shared" si="0"/>
        <v>449.35357075032982</v>
      </c>
      <c r="AA10" s="20">
        <f t="shared" si="0"/>
        <v>434.60811420980048</v>
      </c>
      <c r="AB10" s="20">
        <f t="shared" si="0"/>
        <v>441.47889907856029</v>
      </c>
      <c r="AC10" s="20">
        <f t="shared" si="0"/>
        <v>435.07402916566434</v>
      </c>
      <c r="AD10" s="20">
        <f t="shared" si="0"/>
        <v>427.27597980391363</v>
      </c>
      <c r="AE10" s="39">
        <f t="shared" si="0"/>
        <v>414.41401144086126</v>
      </c>
    </row>
    <row r="12" spans="1:31" ht="13">
      <c r="A12" s="22"/>
    </row>
    <row r="13" spans="1:31" ht="13.5" customHeight="1">
      <c r="A13" s="100" t="s">
        <v>251</v>
      </c>
      <c r="B13" s="5" t="s">
        <v>41</v>
      </c>
      <c r="C13" s="5" t="s">
        <v>38</v>
      </c>
      <c r="D13" s="5" t="s">
        <v>34</v>
      </c>
      <c r="E13" s="5" t="s">
        <v>36</v>
      </c>
      <c r="F13" s="34">
        <f>SUM(F8:K8)</f>
        <v>985.07226068397756</v>
      </c>
    </row>
    <row r="14" spans="1:31" ht="13.5" customHeight="1">
      <c r="A14" s="101"/>
      <c r="B14" s="1" t="s">
        <v>39</v>
      </c>
      <c r="C14" s="1" t="s">
        <v>38</v>
      </c>
      <c r="D14" s="1" t="s">
        <v>34</v>
      </c>
      <c r="E14" s="1" t="s">
        <v>89</v>
      </c>
      <c r="F14" s="35">
        <f>F13/COUNT(F8:K8)</f>
        <v>164.17871011399626</v>
      </c>
    </row>
    <row r="15" spans="1:31">
      <c r="A15" s="101"/>
      <c r="B15" s="1" t="s">
        <v>41</v>
      </c>
      <c r="C15" s="1" t="s">
        <v>258</v>
      </c>
      <c r="D15" s="1" t="s">
        <v>34</v>
      </c>
      <c r="E15" s="1" t="s">
        <v>36</v>
      </c>
      <c r="F15" s="35">
        <f>SUM(L8:AE8)</f>
        <v>3759.4300393343206</v>
      </c>
    </row>
    <row r="16" spans="1:31">
      <c r="A16" s="101"/>
      <c r="B16" s="1" t="s">
        <v>39</v>
      </c>
      <c r="C16" s="1" t="s">
        <v>258</v>
      </c>
      <c r="D16" s="1" t="s">
        <v>34</v>
      </c>
      <c r="E16" s="1" t="s">
        <v>257</v>
      </c>
      <c r="F16" s="35">
        <f>F15/COUNT(L8:AE8)</f>
        <v>187.97150196671603</v>
      </c>
    </row>
    <row r="17" spans="1:6">
      <c r="A17" s="101"/>
      <c r="B17" s="1" t="s">
        <v>41</v>
      </c>
      <c r="C17" s="1" t="s">
        <v>40</v>
      </c>
      <c r="D17" s="1" t="s">
        <v>34</v>
      </c>
      <c r="E17" s="1" t="s">
        <v>36</v>
      </c>
      <c r="F17" s="35">
        <f>SUM(F8:AE8)</f>
        <v>4744.5023000182982</v>
      </c>
    </row>
    <row r="18" spans="1:6">
      <c r="A18" s="102"/>
      <c r="B18" s="3" t="s">
        <v>39</v>
      </c>
      <c r="C18" s="3" t="s">
        <v>40</v>
      </c>
      <c r="D18" s="3" t="s">
        <v>34</v>
      </c>
      <c r="E18" s="3" t="s">
        <v>65</v>
      </c>
      <c r="F18" s="36">
        <f>F17/COUNT(F8:AE8)</f>
        <v>182.48085769301147</v>
      </c>
    </row>
    <row r="19" spans="1:6" ht="13">
      <c r="A19" s="22"/>
    </row>
    <row r="21" spans="1:6" ht="13.5" customHeight="1">
      <c r="A21" s="100" t="s">
        <v>250</v>
      </c>
      <c r="B21" s="5" t="s">
        <v>41</v>
      </c>
      <c r="C21" s="5" t="s">
        <v>38</v>
      </c>
      <c r="D21" s="5" t="s">
        <v>34</v>
      </c>
      <c r="E21" s="5" t="s">
        <v>36</v>
      </c>
      <c r="F21" s="34">
        <f>SUM(F9:K9)</f>
        <v>1383.8194614962692</v>
      </c>
    </row>
    <row r="22" spans="1:6">
      <c r="A22" s="101"/>
      <c r="B22" s="1" t="s">
        <v>39</v>
      </c>
      <c r="C22" s="1" t="s">
        <v>38</v>
      </c>
      <c r="D22" s="1" t="s">
        <v>34</v>
      </c>
      <c r="E22" s="1" t="s">
        <v>89</v>
      </c>
      <c r="F22" s="35">
        <f>F21/COUNT(F9:K9)</f>
        <v>230.63657691604487</v>
      </c>
    </row>
    <row r="23" spans="1:6">
      <c r="A23" s="101"/>
      <c r="B23" s="1" t="s">
        <v>41</v>
      </c>
      <c r="C23" s="1" t="s">
        <v>258</v>
      </c>
      <c r="D23" s="1" t="s">
        <v>34</v>
      </c>
      <c r="E23" s="1" t="s">
        <v>36</v>
      </c>
      <c r="F23" s="35">
        <f>SUM(L9:AE9)</f>
        <v>5281.2089632412244</v>
      </c>
    </row>
    <row r="24" spans="1:6">
      <c r="A24" s="101"/>
      <c r="B24" s="1" t="s">
        <v>39</v>
      </c>
      <c r="C24" s="1" t="s">
        <v>258</v>
      </c>
      <c r="D24" s="1" t="s">
        <v>34</v>
      </c>
      <c r="E24" s="1" t="s">
        <v>257</v>
      </c>
      <c r="F24" s="35">
        <f>F23/COUNT(L9:AE9)</f>
        <v>264.06044816206122</v>
      </c>
    </row>
    <row r="25" spans="1:6">
      <c r="A25" s="101"/>
      <c r="B25" s="1" t="s">
        <v>41</v>
      </c>
      <c r="C25" s="1" t="s">
        <v>40</v>
      </c>
      <c r="D25" s="1" t="s">
        <v>34</v>
      </c>
      <c r="E25" s="1" t="s">
        <v>36</v>
      </c>
      <c r="F25" s="35">
        <f>SUM(F9:AE9)</f>
        <v>6665.028424737493</v>
      </c>
    </row>
    <row r="26" spans="1:6">
      <c r="A26" s="102"/>
      <c r="B26" s="3" t="s">
        <v>39</v>
      </c>
      <c r="C26" s="3" t="s">
        <v>40</v>
      </c>
      <c r="D26" s="3" t="s">
        <v>34</v>
      </c>
      <c r="E26" s="3" t="s">
        <v>65</v>
      </c>
      <c r="F26" s="36">
        <f>F25/COUNT(F9:AE9)</f>
        <v>256.3472471052882</v>
      </c>
    </row>
    <row r="29" spans="1:6">
      <c r="A29" s="100" t="s">
        <v>64</v>
      </c>
      <c r="B29" s="5" t="s">
        <v>41</v>
      </c>
      <c r="C29" s="5" t="s">
        <v>38</v>
      </c>
      <c r="D29" s="5" t="s">
        <v>34</v>
      </c>
      <c r="E29" s="5" t="s">
        <v>36</v>
      </c>
      <c r="F29" s="34">
        <f>SUM(F10:K10)</f>
        <v>2368.8917221802467</v>
      </c>
    </row>
    <row r="30" spans="1:6">
      <c r="A30" s="101"/>
      <c r="B30" s="1" t="s">
        <v>39</v>
      </c>
      <c r="C30" s="1" t="s">
        <v>38</v>
      </c>
      <c r="D30" s="1" t="s">
        <v>34</v>
      </c>
      <c r="E30" s="1" t="s">
        <v>89</v>
      </c>
      <c r="F30" s="35">
        <f>F29/COUNT(F10:K10)</f>
        <v>394.81528703004113</v>
      </c>
    </row>
    <row r="31" spans="1:6">
      <c r="A31" s="101"/>
      <c r="B31" s="1" t="s">
        <v>41</v>
      </c>
      <c r="C31" s="1" t="s">
        <v>258</v>
      </c>
      <c r="D31" s="1" t="s">
        <v>34</v>
      </c>
      <c r="E31" s="1" t="s">
        <v>36</v>
      </c>
      <c r="F31" s="35">
        <f>SUM(L10:AE10)</f>
        <v>9040.6390025755445</v>
      </c>
    </row>
    <row r="32" spans="1:6">
      <c r="A32" s="101"/>
      <c r="B32" s="1" t="s">
        <v>39</v>
      </c>
      <c r="C32" s="1" t="s">
        <v>258</v>
      </c>
      <c r="D32" s="1" t="s">
        <v>34</v>
      </c>
      <c r="E32" s="1" t="s">
        <v>257</v>
      </c>
      <c r="F32" s="35">
        <f>F31/COUNT(L10:AE10)</f>
        <v>452.03195012877723</v>
      </c>
    </row>
    <row r="33" spans="1:6">
      <c r="A33" s="101"/>
      <c r="B33" s="1" t="s">
        <v>41</v>
      </c>
      <c r="C33" s="1" t="s">
        <v>40</v>
      </c>
      <c r="D33" s="1" t="s">
        <v>34</v>
      </c>
      <c r="E33" s="1" t="s">
        <v>36</v>
      </c>
      <c r="F33" s="35">
        <f>SUM(F10:AE10)</f>
        <v>11409.530724755792</v>
      </c>
    </row>
    <row r="34" spans="1:6">
      <c r="A34" s="102"/>
      <c r="B34" s="3" t="s">
        <v>39</v>
      </c>
      <c r="C34" s="3" t="s">
        <v>40</v>
      </c>
      <c r="D34" s="3" t="s">
        <v>34</v>
      </c>
      <c r="E34" s="3" t="s">
        <v>65</v>
      </c>
      <c r="F34" s="36">
        <f>F33/COUNT(F10:AE10)</f>
        <v>438.82810479829971</v>
      </c>
    </row>
  </sheetData>
  <mergeCells count="4">
    <mergeCell ref="A29:A34"/>
    <mergeCell ref="A7:A10"/>
    <mergeCell ref="A13:A18"/>
    <mergeCell ref="A21:A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82376-FF81-4CE4-A0D8-845792CAA4D1}">
  <sheetPr>
    <tabColor rgb="FFFFC000"/>
  </sheetPr>
  <dimension ref="A1:AE80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2.906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31">
      <c r="A1" s="21" t="s">
        <v>186</v>
      </c>
    </row>
    <row r="2" spans="1:31" ht="13">
      <c r="A2" s="22" t="s">
        <v>210</v>
      </c>
    </row>
    <row r="3" spans="1:31" ht="13">
      <c r="A3" s="22" t="s">
        <v>222</v>
      </c>
    </row>
    <row r="4" spans="1:31" ht="13">
      <c r="A4" s="22"/>
    </row>
    <row r="7" spans="1:31" ht="13.5" customHeight="1">
      <c r="A7" s="103" t="s">
        <v>90</v>
      </c>
      <c r="B7" s="9" t="s">
        <v>9</v>
      </c>
      <c r="C7" s="9" t="s">
        <v>8</v>
      </c>
      <c r="D7" s="9" t="s">
        <v>10</v>
      </c>
      <c r="E7" s="9" t="s">
        <v>7</v>
      </c>
      <c r="F7" s="9">
        <v>2025</v>
      </c>
      <c r="G7" s="9">
        <v>2026</v>
      </c>
      <c r="H7" s="9">
        <v>2027</v>
      </c>
      <c r="I7" s="9">
        <v>2028</v>
      </c>
      <c r="J7" s="9">
        <v>2029</v>
      </c>
      <c r="K7" s="9">
        <v>2030</v>
      </c>
      <c r="L7" s="9">
        <v>2031</v>
      </c>
      <c r="M7" s="9">
        <v>2032</v>
      </c>
      <c r="N7" s="9">
        <v>2033</v>
      </c>
      <c r="O7" s="9">
        <v>2034</v>
      </c>
      <c r="P7" s="9">
        <v>2035</v>
      </c>
      <c r="Q7" s="9">
        <v>2036</v>
      </c>
      <c r="R7" s="9">
        <v>2037</v>
      </c>
      <c r="S7" s="9">
        <v>2038</v>
      </c>
      <c r="T7" s="9">
        <v>2039</v>
      </c>
      <c r="U7" s="9">
        <v>2040</v>
      </c>
      <c r="V7" s="9">
        <v>2041</v>
      </c>
      <c r="W7" s="9">
        <v>2042</v>
      </c>
      <c r="X7" s="9">
        <v>2043</v>
      </c>
      <c r="Y7" s="9">
        <v>2044</v>
      </c>
      <c r="Z7" s="9">
        <v>2045</v>
      </c>
      <c r="AA7" s="9">
        <v>2046</v>
      </c>
      <c r="AB7" s="9">
        <v>2047</v>
      </c>
      <c r="AC7" s="9">
        <v>2048</v>
      </c>
      <c r="AD7" s="9">
        <v>2049</v>
      </c>
      <c r="AE7" s="9">
        <v>2050</v>
      </c>
    </row>
    <row r="8" spans="1:31">
      <c r="A8" s="104"/>
      <c r="B8" s="5" t="s">
        <v>273</v>
      </c>
      <c r="C8" s="5" t="s">
        <v>275</v>
      </c>
      <c r="D8" s="5" t="s">
        <v>276</v>
      </c>
      <c r="E8" s="5" t="s">
        <v>97</v>
      </c>
      <c r="F8" s="7">
        <v>0</v>
      </c>
      <c r="G8" s="7">
        <v>0</v>
      </c>
      <c r="H8" s="7">
        <f>'P0.1a Coal-NG Retirement'!L13*2000</f>
        <v>5881.362347089168</v>
      </c>
      <c r="I8" s="7">
        <f>'P0.1a Coal-NG Retirement'!M13*2000</f>
        <v>5105.1886657597024</v>
      </c>
      <c r="J8" s="7">
        <f>'P0.1a Coal-NG Retirement'!N13*2000</f>
        <v>4404.8676144634046</v>
      </c>
      <c r="K8" s="7">
        <f>'P0.1a Coal-NG Retirement'!O13*2000</f>
        <v>3843.0280716988818</v>
      </c>
      <c r="L8" s="7">
        <f>'P0.1a Coal-NG Retirement'!P13*2000</f>
        <v>3700.2034706254217</v>
      </c>
      <c r="M8" s="7">
        <f>'P0.1a Coal-NG Retirement'!Q13*2000</f>
        <v>3634.6359391300089</v>
      </c>
      <c r="N8" s="7">
        <f>'P0.1a Coal-NG Retirement'!R13*2000</f>
        <v>3716.4828883352611</v>
      </c>
      <c r="O8" s="7">
        <f>'P0.1a Coal-NG Retirement'!S13*2000</f>
        <v>3591.9630582823097</v>
      </c>
      <c r="P8" s="7">
        <f>'P0.1a Coal-NG Retirement'!T13*2000</f>
        <v>3621.3122700389226</v>
      </c>
      <c r="Q8" s="7">
        <f>'P0.1a Coal-NG Retirement'!U13*2000</f>
        <v>3720.8849223964717</v>
      </c>
      <c r="R8" s="7">
        <f>'P0.1a Coal-NG Retirement'!V13*2000</f>
        <v>3739.266986925491</v>
      </c>
      <c r="S8" s="7">
        <f>'P0.1a Coal-NG Retirement'!W13*2000</f>
        <v>3820.5474708129609</v>
      </c>
      <c r="T8" s="7">
        <f>'P0.1a Coal-NG Retirement'!X13*2000</f>
        <v>3636.5108204179814</v>
      </c>
      <c r="U8" s="7">
        <f>'P0.1a Coal-NG Retirement'!Y13*2000</f>
        <v>3746.5547288780267</v>
      </c>
      <c r="V8" s="7">
        <f>'P0.1a Coal-NG Retirement'!Z13*2000</f>
        <v>3834.0615090585397</v>
      </c>
      <c r="W8" s="7">
        <f>'P0.1a Coal-NG Retirement'!AA13*2000</f>
        <v>3886.8058114045111</v>
      </c>
      <c r="X8" s="7">
        <f>'P0.1a Coal-NG Retirement'!AB13*2000</f>
        <v>3821.5810898749837</v>
      </c>
      <c r="Y8" s="7">
        <f>'P0.1a Coal-NG Retirement'!AC13*2000</f>
        <v>3806.6832292332697</v>
      </c>
      <c r="Z8" s="7">
        <f>'P0.1a Coal-NG Retirement'!AD13*2000</f>
        <v>3648.5700146956374</v>
      </c>
      <c r="AA8" s="7">
        <f>'P0.1a Coal-NG Retirement'!AE13*2000</f>
        <v>3528.8428464060034</v>
      </c>
      <c r="AB8" s="7">
        <f>'P0.1a Coal-NG Retirement'!AF13*2000</f>
        <v>3584.6308522912614</v>
      </c>
      <c r="AC8" s="7">
        <f>'P0.1a Coal-NG Retirement'!AG13*2000</f>
        <v>3532.625888197625</v>
      </c>
      <c r="AD8" s="7">
        <f>'P0.1a Coal-NG Retirement'!AH13*2000</f>
        <v>3469.3088680905157</v>
      </c>
      <c r="AE8" s="7">
        <f>'P0.1a Coal-NG Retirement'!AI13*2000</f>
        <v>3364.8748652160366</v>
      </c>
    </row>
    <row r="9" spans="1:31">
      <c r="A9" s="104"/>
      <c r="B9" s="1" t="s">
        <v>271</v>
      </c>
      <c r="C9" s="1" t="s">
        <v>275</v>
      </c>
      <c r="D9" s="1" t="s">
        <v>276</v>
      </c>
      <c r="E9" s="1" t="s">
        <v>97</v>
      </c>
      <c r="F9" s="2">
        <v>0</v>
      </c>
      <c r="G9" s="2">
        <v>0</v>
      </c>
      <c r="H9" s="2">
        <f>'P0.1a Coal-NG Retirement'!L25*2000</f>
        <v>2.2213149540553481</v>
      </c>
      <c r="I9" s="2">
        <f>'P0.1a Coal-NG Retirement'!M25*2000</f>
        <v>1.9281641322674943</v>
      </c>
      <c r="J9" s="2">
        <f>'P0.1a Coal-NG Retirement'!N25*2000</f>
        <v>1.6636618737637057</v>
      </c>
      <c r="K9" s="2">
        <f>'P0.1a Coal-NG Retirement'!O25*2000</f>
        <v>1.4514623008637066</v>
      </c>
      <c r="L9" s="2">
        <f>'P0.1a Coal-NG Retirement'!P25*2000</f>
        <v>1.3975192850370279</v>
      </c>
      <c r="M9" s="2">
        <f>'P0.1a Coal-NG Retirement'!Q25*2000</f>
        <v>1.3727552712565572</v>
      </c>
      <c r="N9" s="2">
        <f>'P0.1a Coal-NG Retirement'!R25*2000</f>
        <v>1.4036678118354278</v>
      </c>
      <c r="O9" s="2">
        <f>'P0.1a Coal-NG Retirement'!S25*2000</f>
        <v>1.3566382727168347</v>
      </c>
      <c r="P9" s="2">
        <f>'P0.1a Coal-NG Retirement'!T25*2000</f>
        <v>1.3677230927155493</v>
      </c>
      <c r="Q9" s="2">
        <f>'P0.1a Coal-NG Retirement'!U25*2000</f>
        <v>1.4053304035125531</v>
      </c>
      <c r="R9" s="2">
        <f>'P0.1a Coal-NG Retirement'!V25*2000</f>
        <v>1.412273072985202</v>
      </c>
      <c r="S9" s="2">
        <f>'P0.1a Coal-NG Retirement'!W25*2000</f>
        <v>1.442971666895412</v>
      </c>
      <c r="T9" s="2">
        <f>'P0.1a Coal-NG Retirement'!X25*2000</f>
        <v>1.3734633898175765</v>
      </c>
      <c r="U9" s="2">
        <f>'P0.1a Coal-NG Retirement'!Y25*2000</f>
        <v>1.4150255594373375</v>
      </c>
      <c r="V9" s="2">
        <f>'P0.1a Coal-NG Retirement'!Z25*2000</f>
        <v>1.4480757454188919</v>
      </c>
      <c r="W9" s="2">
        <f>'P0.1a Coal-NG Retirement'!AA25*2000</f>
        <v>1.467996590391198</v>
      </c>
      <c r="X9" s="2">
        <f>'P0.1a Coal-NG Retirement'!AB25*2000</f>
        <v>1.4433620515280479</v>
      </c>
      <c r="Y9" s="2">
        <f>'P0.1a Coal-NG Retirement'!AC25*2000</f>
        <v>1.4377353210744737</v>
      </c>
      <c r="Z9" s="2">
        <f>'P0.1a Coal-NG Retirement'!AD25*2000</f>
        <v>1.3780179924762739</v>
      </c>
      <c r="AA9" s="2">
        <f>'P0.1a Coal-NG Retirement'!AE25*2000</f>
        <v>1.3327985800964035</v>
      </c>
      <c r="AB9" s="2">
        <f>'P0.1a Coal-NG Retirement'!AF25*2000</f>
        <v>1.3538689927689347</v>
      </c>
      <c r="AC9" s="2">
        <f>'P0.1a Coal-NG Retirement'!AG25*2000</f>
        <v>1.3342273863504011</v>
      </c>
      <c r="AD9" s="2">
        <f>'P0.1a Coal-NG Retirement'!AH25*2000</f>
        <v>1.3103133617911498</v>
      </c>
      <c r="AE9" s="2">
        <f>'P0.1a Coal-NG Retirement'!AI25*2000</f>
        <v>1.2708699813961719</v>
      </c>
    </row>
    <row r="10" spans="1:31">
      <c r="A10" s="104"/>
      <c r="B10" s="1" t="s">
        <v>255</v>
      </c>
      <c r="C10" s="1" t="s">
        <v>275</v>
      </c>
      <c r="D10" s="1" t="s">
        <v>274</v>
      </c>
      <c r="E10" s="1" t="str">
        <f>'P2.1 Solar Avd Pollution'!E26</f>
        <v>Pounds</v>
      </c>
      <c r="F10" s="2">
        <f>'P2.1 Solar Avd Pollution'!F26</f>
        <v>0</v>
      </c>
      <c r="G10" s="2">
        <f>'P2.1 Solar Avd Pollution'!G26</f>
        <v>0</v>
      </c>
      <c r="H10" s="2">
        <f>'P2.1 Solar Avd Pollution'!H26</f>
        <v>36529.244416090514</v>
      </c>
      <c r="I10" s="2">
        <f>'P2.1 Solar Avd Pollution'!I26</f>
        <v>31708.416104321324</v>
      </c>
      <c r="J10" s="2">
        <f>'P2.1 Solar Avd Pollution'!J26</f>
        <v>27358.709804522063</v>
      </c>
      <c r="K10" s="2">
        <f>'P2.1 Solar Avd Pollution'!K26</f>
        <v>23869.114576568212</v>
      </c>
      <c r="L10" s="2">
        <f>'P2.1 Solar Avd Pollution'!L26</f>
        <v>22982.028480975889</v>
      </c>
      <c r="M10" s="2">
        <f>'P2.1 Solar Avd Pollution'!M26</f>
        <v>22574.787395933567</v>
      </c>
      <c r="N10" s="2">
        <f>'P2.1 Solar Avd Pollution'!N26</f>
        <v>23083.140229135508</v>
      </c>
      <c r="O10" s="2">
        <f>'P2.1 Solar Avd Pollution'!O26</f>
        <v>22309.745386543378</v>
      </c>
      <c r="P10" s="2">
        <f>'P2.1 Solar Avd Pollution'!P26</f>
        <v>22492.03385414775</v>
      </c>
      <c r="Q10" s="2">
        <f>'P2.1 Solar Avd Pollution'!Q26</f>
        <v>23110.48133969121</v>
      </c>
      <c r="R10" s="2">
        <f>'P2.1 Solar Avd Pollution'!R26</f>
        <v>23224.652664024805</v>
      </c>
      <c r="S10" s="2">
        <f>'P2.1 Solar Avd Pollution'!S26</f>
        <v>23729.487171229244</v>
      </c>
      <c r="T10" s="2">
        <f>'P2.1 Solar Avd Pollution'!T26</f>
        <v>22586.432316409078</v>
      </c>
      <c r="U10" s="2">
        <f>'P2.1 Solar Avd Pollution'!U26</f>
        <v>23269.916956771085</v>
      </c>
      <c r="V10" s="2">
        <f>'P2.1 Solar Avd Pollution'!V26</f>
        <v>23813.423099163607</v>
      </c>
      <c r="W10" s="2">
        <f>'P2.1 Solar Avd Pollution'!W26</f>
        <v>24141.018883651486</v>
      </c>
      <c r="X10" s="2">
        <f>'P2.1 Solar Avd Pollution'!X26</f>
        <v>23735.906997303802</v>
      </c>
      <c r="Y10" s="2">
        <f>'P2.1 Solar Avd Pollution'!Y26</f>
        <v>23643.37612426086</v>
      </c>
      <c r="Z10" s="2">
        <f>'P2.1 Solar Avd Pollution'!Z26</f>
        <v>22661.332183010163</v>
      </c>
      <c r="AA10" s="2">
        <f>'P2.1 Solar Avd Pollution'!AA26</f>
        <v>21917.704646464477</v>
      </c>
      <c r="AB10" s="2">
        <f>'P2.1 Solar Avd Pollution'!AB26</f>
        <v>22264.204926876129</v>
      </c>
      <c r="AC10" s="2">
        <f>'P2.1 Solar Avd Pollution'!AC26</f>
        <v>21941.201185206191</v>
      </c>
      <c r="AD10" s="2">
        <f>'P2.1 Solar Avd Pollution'!AD26</f>
        <v>21547.938065763152</v>
      </c>
      <c r="AE10" s="2">
        <f>'P2.1 Solar Avd Pollution'!AE26</f>
        <v>0</v>
      </c>
    </row>
    <row r="11" spans="1:31">
      <c r="A11" s="104"/>
      <c r="B11" s="1"/>
      <c r="C11" s="1"/>
      <c r="D11" s="1"/>
      <c r="E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>
      <c r="A12" s="104"/>
      <c r="B12" s="1"/>
      <c r="C12" s="1"/>
      <c r="D12" s="1"/>
      <c r="E12" s="1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>
      <c r="A13" s="104"/>
      <c r="B13" s="1"/>
      <c r="C13" s="1"/>
      <c r="D13" s="1"/>
      <c r="E13" s="1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>
      <c r="A14" s="104"/>
      <c r="B14" s="1"/>
      <c r="C14" s="1"/>
      <c r="D14" s="1"/>
      <c r="E14" s="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>
      <c r="A15" s="104"/>
      <c r="B15" s="3"/>
      <c r="C15" s="3"/>
      <c r="D15" s="23"/>
      <c r="E15" s="1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>
      <c r="A16" s="105"/>
      <c r="B16" s="51" t="s">
        <v>277</v>
      </c>
      <c r="C16" s="51" t="s">
        <v>19</v>
      </c>
      <c r="D16" s="52" t="s">
        <v>34</v>
      </c>
      <c r="E16" s="28" t="s">
        <v>105</v>
      </c>
      <c r="F16" s="53">
        <f t="shared" ref="F16:AE16" si="0">SUM(F8:F15)/2204.62</f>
        <v>0</v>
      </c>
      <c r="G16" s="53">
        <f t="shared" si="0"/>
        <v>0</v>
      </c>
      <c r="H16" s="53">
        <f t="shared" si="0"/>
        <v>19.238158085354275</v>
      </c>
      <c r="I16" s="53">
        <f t="shared" si="0"/>
        <v>16.699264696053422</v>
      </c>
      <c r="J16" s="53">
        <f t="shared" si="0"/>
        <v>14.408488120791445</v>
      </c>
      <c r="K16" s="53">
        <f t="shared" si="0"/>
        <v>12.570689783530931</v>
      </c>
      <c r="L16" s="53">
        <f t="shared" si="0"/>
        <v>12.103505126001918</v>
      </c>
      <c r="M16" s="53">
        <f t="shared" si="0"/>
        <v>11.889031257239267</v>
      </c>
      <c r="N16" s="53">
        <f t="shared" si="0"/>
        <v>12.156755715398846</v>
      </c>
      <c r="O16" s="53">
        <f t="shared" si="0"/>
        <v>11.749446654343336</v>
      </c>
      <c r="P16" s="53">
        <f t="shared" si="0"/>
        <v>11.845449033066647</v>
      </c>
      <c r="Q16" s="53">
        <f t="shared" si="0"/>
        <v>12.171154934860065</v>
      </c>
      <c r="R16" s="53">
        <f t="shared" si="0"/>
        <v>12.231283361315457</v>
      </c>
      <c r="S16" s="53">
        <f t="shared" si="0"/>
        <v>12.497154890053206</v>
      </c>
      <c r="T16" s="53">
        <f t="shared" si="0"/>
        <v>11.895164064653716</v>
      </c>
      <c r="U16" s="53">
        <f t="shared" si="0"/>
        <v>12.255121840139594</v>
      </c>
      <c r="V16" s="53">
        <f t="shared" si="0"/>
        <v>12.541359818910999</v>
      </c>
      <c r="W16" s="53">
        <f t="shared" si="0"/>
        <v>12.713888421426999</v>
      </c>
      <c r="X16" s="53">
        <f t="shared" si="0"/>
        <v>12.500535896993728</v>
      </c>
      <c r="Y16" s="53">
        <f t="shared" si="0"/>
        <v>12.451804432879682</v>
      </c>
      <c r="Z16" s="53">
        <f t="shared" si="0"/>
        <v>11.934610144014968</v>
      </c>
      <c r="AA16" s="53">
        <f t="shared" si="0"/>
        <v>11.542978060368942</v>
      </c>
      <c r="AB16" s="53">
        <f t="shared" si="0"/>
        <v>11.725462731972023</v>
      </c>
      <c r="AC16" s="53">
        <f t="shared" si="0"/>
        <v>11.555352532767628</v>
      </c>
      <c r="AD16" s="53">
        <f t="shared" si="0"/>
        <v>11.34824017164657</v>
      </c>
      <c r="AE16" s="53">
        <f t="shared" si="0"/>
        <v>1.5268598376125739</v>
      </c>
    </row>
    <row r="18" spans="1:31" ht="13.5" customHeight="1">
      <c r="A18" s="103" t="s">
        <v>91</v>
      </c>
      <c r="B18" s="9" t="s">
        <v>9</v>
      </c>
      <c r="C18" s="9" t="s">
        <v>8</v>
      </c>
      <c r="D18" s="9" t="s">
        <v>10</v>
      </c>
      <c r="E18" s="9" t="s">
        <v>7</v>
      </c>
      <c r="F18" s="9">
        <v>2025</v>
      </c>
      <c r="G18" s="9">
        <v>2026</v>
      </c>
      <c r="H18" s="9">
        <v>2027</v>
      </c>
      <c r="I18" s="9">
        <v>2028</v>
      </c>
      <c r="J18" s="9">
        <v>2029</v>
      </c>
      <c r="K18" s="9">
        <v>2030</v>
      </c>
      <c r="L18" s="9">
        <v>2031</v>
      </c>
      <c r="M18" s="9">
        <v>2032</v>
      </c>
      <c r="N18" s="9">
        <v>2033</v>
      </c>
      <c r="O18" s="9">
        <v>2034</v>
      </c>
      <c r="P18" s="9">
        <v>2035</v>
      </c>
      <c r="Q18" s="9">
        <v>2036</v>
      </c>
      <c r="R18" s="9">
        <v>2037</v>
      </c>
      <c r="S18" s="9">
        <v>2038</v>
      </c>
      <c r="T18" s="9">
        <v>2039</v>
      </c>
      <c r="U18" s="9">
        <v>2040</v>
      </c>
      <c r="V18" s="9">
        <v>2041</v>
      </c>
      <c r="W18" s="9">
        <v>2042</v>
      </c>
      <c r="X18" s="9">
        <v>2043</v>
      </c>
      <c r="Y18" s="9">
        <v>2044</v>
      </c>
      <c r="Z18" s="9">
        <v>2045</v>
      </c>
      <c r="AA18" s="9">
        <v>2046</v>
      </c>
      <c r="AB18" s="9">
        <v>2047</v>
      </c>
      <c r="AC18" s="9">
        <v>2048</v>
      </c>
      <c r="AD18" s="9">
        <v>2049</v>
      </c>
      <c r="AE18" s="9">
        <v>2050</v>
      </c>
    </row>
    <row r="19" spans="1:31">
      <c r="A19" s="104"/>
      <c r="B19" s="5" t="s">
        <v>273</v>
      </c>
      <c r="C19" s="5" t="s">
        <v>275</v>
      </c>
      <c r="D19" s="5" t="s">
        <v>276</v>
      </c>
      <c r="E19" s="5" t="s">
        <v>97</v>
      </c>
      <c r="F19" s="7">
        <v>0</v>
      </c>
      <c r="G19" s="7">
        <v>0</v>
      </c>
      <c r="H19" s="7">
        <f>'P0.1a Coal-NG Retirement'!L14*2000</f>
        <v>2837.4993779816164</v>
      </c>
      <c r="I19" s="7">
        <f>'P0.1a Coal-NG Retirement'!M14*2000</f>
        <v>2463.0296194454704</v>
      </c>
      <c r="J19" s="7">
        <f>'P0.1a Coal-NG Retirement'!N14*2000</f>
        <v>2125.15542803059</v>
      </c>
      <c r="K19" s="7">
        <f>'P0.1a Coal-NG Retirement'!O14*2000</f>
        <v>1854.0924907319165</v>
      </c>
      <c r="L19" s="7">
        <f>'P0.1a Coal-NG Retirement'!P14*2000</f>
        <v>1785.1858849508615</v>
      </c>
      <c r="M19" s="7">
        <f>'P0.1a Coal-NG Retirement'!Q14*2000</f>
        <v>1753.5524267732501</v>
      </c>
      <c r="N19" s="7">
        <f>'P0.1a Coal-NG Retirement'!R14*2000</f>
        <v>1793.03998998631</v>
      </c>
      <c r="O19" s="7">
        <f>'P0.1a Coal-NG Retirement'!S14*2000</f>
        <v>1732.9646333818164</v>
      </c>
      <c r="P19" s="7">
        <f>'P0.1a Coal-NG Retirement'!T14*2000</f>
        <v>1747.1243408082523</v>
      </c>
      <c r="Q19" s="7">
        <f>'P0.1a Coal-NG Retirement'!U14*2000</f>
        <v>1795.1637783491749</v>
      </c>
      <c r="R19" s="7">
        <f>'P0.1a Coal-NG Retirement'!V14*2000</f>
        <v>1804.0323182535262</v>
      </c>
      <c r="S19" s="7">
        <f>'P0.1a Coal-NG Retirement'!W14*2000</f>
        <v>1843.2465867957269</v>
      </c>
      <c r="T19" s="7">
        <f>'P0.1a Coal-NG Retirement'!X14*2000</f>
        <v>1754.4569747630612</v>
      </c>
      <c r="U19" s="7">
        <f>'P0.1a Coal-NG Retirement'!Y14*2000</f>
        <v>1807.54833410782</v>
      </c>
      <c r="V19" s="7">
        <f>'P0.1a Coal-NG Retirement'!Z14*2000</f>
        <v>1849.766517528243</v>
      </c>
      <c r="W19" s="7">
        <f>'P0.1a Coal-NG Retirement'!AA14*2000</f>
        <v>1875.2133300635801</v>
      </c>
      <c r="X19" s="7">
        <f>'P0.1a Coal-NG Retirement'!AB14*2000</f>
        <v>1843.7452626589834</v>
      </c>
      <c r="Y19" s="7">
        <f>'P0.1a Coal-NG Retirement'!AC14*2000</f>
        <v>1836.5576983142969</v>
      </c>
      <c r="Z19" s="7">
        <f>'P0.1a Coal-NG Retirement'!AD14*2000</f>
        <v>1760.2750070900006</v>
      </c>
      <c r="AA19" s="7">
        <f>'P0.1a Coal-NG Retirement'!AE14*2000</f>
        <v>1702.5118995818436</v>
      </c>
      <c r="AB19" s="7">
        <f>'P0.1a Coal-NG Retirement'!AF14*2000</f>
        <v>1729.4271655791174</v>
      </c>
      <c r="AC19" s="7">
        <f>'P0.1a Coal-NG Retirement'!AG14*2000</f>
        <v>1704.3370513234154</v>
      </c>
      <c r="AD19" s="7">
        <f>'P0.1a Coal-NG Retirement'!AH14*2000</f>
        <v>1673.7893661840208</v>
      </c>
      <c r="AE19" s="7">
        <f>'P0.1a Coal-NG Retirement'!AI14*2000</f>
        <v>1623.404540235807</v>
      </c>
    </row>
    <row r="20" spans="1:31">
      <c r="A20" s="104"/>
      <c r="B20" s="1" t="s">
        <v>271</v>
      </c>
      <c r="C20" s="1" t="s">
        <v>275</v>
      </c>
      <c r="D20" s="1" t="s">
        <v>276</v>
      </c>
      <c r="E20" s="1" t="s">
        <v>97</v>
      </c>
      <c r="F20" s="2">
        <v>0</v>
      </c>
      <c r="G20" s="2">
        <v>0</v>
      </c>
      <c r="H20" s="2">
        <f>'P0.1a Coal-NG Retirement'!L26*2000</f>
        <v>621.96818713549749</v>
      </c>
      <c r="I20" s="2">
        <f>'P0.1a Coal-NG Retirement'!M26*2000</f>
        <v>539.88595703489841</v>
      </c>
      <c r="J20" s="2">
        <f>'P0.1a Coal-NG Retirement'!N26*2000</f>
        <v>465.82532465383758</v>
      </c>
      <c r="K20" s="2">
        <f>'P0.1a Coal-NG Retirement'!O26*2000</f>
        <v>406.40944424183783</v>
      </c>
      <c r="L20" s="2">
        <f>'P0.1a Coal-NG Retirement'!P26*2000</f>
        <v>391.30539981036782</v>
      </c>
      <c r="M20" s="2">
        <f>'P0.1a Coal-NG Retirement'!Q26*2000</f>
        <v>384.37147595183603</v>
      </c>
      <c r="N20" s="2">
        <f>'P0.1a Coal-NG Retirement'!R26*2000</f>
        <v>393.02698731391979</v>
      </c>
      <c r="O20" s="2">
        <f>'P0.1a Coal-NG Retirement'!S26*2000</f>
        <v>379.85871636071369</v>
      </c>
      <c r="P20" s="2">
        <f>'P0.1a Coal-NG Retirement'!T26*2000</f>
        <v>382.96246596035377</v>
      </c>
      <c r="Q20" s="2">
        <f>'P0.1a Coal-NG Retirement'!U26*2000</f>
        <v>393.49251298351487</v>
      </c>
      <c r="R20" s="2">
        <f>'P0.1a Coal-NG Retirement'!V26*2000</f>
        <v>395.43646043585653</v>
      </c>
      <c r="S20" s="2">
        <f>'P0.1a Coal-NG Retirement'!W26*2000</f>
        <v>404.03206673071537</v>
      </c>
      <c r="T20" s="2">
        <f>'P0.1a Coal-NG Retirement'!X26*2000</f>
        <v>384.56974914892146</v>
      </c>
      <c r="U20" s="2">
        <f>'P0.1a Coal-NG Retirement'!Y26*2000</f>
        <v>396.20715664245449</v>
      </c>
      <c r="V20" s="2">
        <f>'P0.1a Coal-NG Retirement'!Z26*2000</f>
        <v>405.46120871728976</v>
      </c>
      <c r="W20" s="2">
        <f>'P0.1a Coal-NG Retirement'!AA26*2000</f>
        <v>411.03904530953542</v>
      </c>
      <c r="X20" s="2">
        <f>'P0.1a Coal-NG Retirement'!AB26*2000</f>
        <v>404.14137442785341</v>
      </c>
      <c r="Y20" s="2">
        <f>'P0.1a Coal-NG Retirement'!AC26*2000</f>
        <v>402.56588990085265</v>
      </c>
      <c r="Z20" s="2">
        <f>'P0.1a Coal-NG Retirement'!AD26*2000</f>
        <v>385.84503789335668</v>
      </c>
      <c r="AA20" s="2">
        <f>'P0.1a Coal-NG Retirement'!AE26*2000</f>
        <v>373.18360242699299</v>
      </c>
      <c r="AB20" s="2">
        <f>'P0.1a Coal-NG Retirement'!AF26*2000</f>
        <v>379.08331797530172</v>
      </c>
      <c r="AC20" s="2">
        <f>'P0.1a Coal-NG Retirement'!AG26*2000</f>
        <v>373.5836681781123</v>
      </c>
      <c r="AD20" s="2">
        <f>'P0.1a Coal-NG Retirement'!AH26*2000</f>
        <v>366.88774130152194</v>
      </c>
      <c r="AE20" s="2">
        <f>'P0.1a Coal-NG Retirement'!AI26*2000</f>
        <v>355.84359479092814</v>
      </c>
    </row>
    <row r="21" spans="1:31">
      <c r="A21" s="104"/>
      <c r="B21" s="1" t="s">
        <v>255</v>
      </c>
      <c r="C21" s="1" t="s">
        <v>275</v>
      </c>
      <c r="D21" s="1" t="s">
        <v>274</v>
      </c>
      <c r="E21" s="1" t="s">
        <v>97</v>
      </c>
      <c r="F21" s="2">
        <f>'P2.1 Solar Avd Pollution'!F37</f>
        <v>0</v>
      </c>
      <c r="G21" s="2">
        <f>'P2.1 Solar Avd Pollution'!G37</f>
        <v>0</v>
      </c>
      <c r="H21" s="2">
        <f>'P2.1 Solar Avd Pollution'!H37</f>
        <v>32415.193398427633</v>
      </c>
      <c r="I21" s="2">
        <f>'P2.1 Solar Avd Pollution'!I37</f>
        <v>28137.303599048693</v>
      </c>
      <c r="J21" s="2">
        <f>'P2.1 Solar Avd Pollution'!J37</f>
        <v>24277.476406120346</v>
      </c>
      <c r="K21" s="2">
        <f>'P2.1 Solar Avd Pollution'!K37</f>
        <v>21180.891573762616</v>
      </c>
      <c r="L21" s="2">
        <f>'P2.1 Solar Avd Pollution'!L37</f>
        <v>20393.712210780359</v>
      </c>
      <c r="M21" s="2">
        <f>'P2.1 Solar Avd Pollution'!M37</f>
        <v>20032.336038279576</v>
      </c>
      <c r="N21" s="2">
        <f>'P2.1 Solar Avd Pollution'!N37</f>
        <v>20483.436400914539</v>
      </c>
      <c r="O21" s="2">
        <f>'P2.1 Solar Avd Pollution'!O37</f>
        <v>19797.143985160994</v>
      </c>
      <c r="P21" s="2">
        <f>'P2.1 Solar Avd Pollution'!P37</f>
        <v>19958.902489234952</v>
      </c>
      <c r="Q21" s="2">
        <f>'P2.1 Solar Avd Pollution'!Q37</f>
        <v>20507.698260160676</v>
      </c>
      <c r="R21" s="2">
        <f>'P2.1 Solar Avd Pollution'!R37</f>
        <v>20609.01121141345</v>
      </c>
      <c r="S21" s="2">
        <f>'P2.1 Solar Avd Pollution'!S37</f>
        <v>21056.98949420606</v>
      </c>
      <c r="T21" s="2">
        <f>'P2.1 Solar Avd Pollution'!T37</f>
        <v>20042.669467162566</v>
      </c>
      <c r="U21" s="2">
        <f>'P2.1 Solar Avd Pollution'!U37</f>
        <v>20649.177681507954</v>
      </c>
      <c r="V21" s="2">
        <f>'P2.1 Solar Avd Pollution'!V37</f>
        <v>21131.472264943863</v>
      </c>
      <c r="W21" s="2">
        <f>'P2.1 Solar Avd Pollution'!W37</f>
        <v>21422.173068654076</v>
      </c>
      <c r="X21" s="2">
        <f>'P2.1 Solar Avd Pollution'!X37</f>
        <v>21062.686297058608</v>
      </c>
      <c r="Y21" s="2">
        <f>'P2.1 Solar Avd Pollution'!Y37</f>
        <v>20980.576573932471</v>
      </c>
      <c r="Z21" s="2">
        <f>'P2.1 Solar Avd Pollution'!Z37</f>
        <v>20109.133849336351</v>
      </c>
      <c r="AA21" s="2">
        <f>'P2.1 Solar Avd Pollution'!AA37</f>
        <v>19449.256241714469</v>
      </c>
      <c r="AB21" s="2">
        <f>'P2.1 Solar Avd Pollution'!AB37</f>
        <v>19756.732451028169</v>
      </c>
      <c r="AC21" s="2">
        <f>'P2.1 Solar Avd Pollution'!AC37</f>
        <v>19470.10651824444</v>
      </c>
      <c r="AD21" s="2">
        <f>'P2.1 Solar Avd Pollution'!AD37</f>
        <v>19121.134064064689</v>
      </c>
      <c r="AE21" s="2">
        <f>'P2.1 Solar Avd Pollution'!AE37</f>
        <v>0</v>
      </c>
    </row>
    <row r="22" spans="1:31">
      <c r="A22" s="104"/>
      <c r="B22" s="1"/>
      <c r="C22" s="1"/>
      <c r="D22" s="1"/>
      <c r="E22" s="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>
      <c r="A23" s="104"/>
      <c r="B23" s="1"/>
      <c r="C23" s="1"/>
      <c r="D23" s="1"/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>
      <c r="A24" s="104"/>
      <c r="B24" s="1"/>
      <c r="C24" s="1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>
      <c r="A25" s="104"/>
      <c r="B25" s="1"/>
      <c r="C25" s="1"/>
      <c r="D25" s="1"/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>
      <c r="A26" s="104"/>
      <c r="B26" s="3"/>
      <c r="C26" s="3"/>
      <c r="D26" s="23"/>
      <c r="E26" s="1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>
      <c r="A27" s="105"/>
      <c r="B27" s="51" t="s">
        <v>104</v>
      </c>
      <c r="C27" s="51" t="s">
        <v>19</v>
      </c>
      <c r="D27" s="52" t="s">
        <v>34</v>
      </c>
      <c r="E27" s="28" t="s">
        <v>105</v>
      </c>
      <c r="F27" s="53">
        <f t="shared" ref="F27:AE27" si="1">SUM(F19:F26)/2204.62</f>
        <v>0</v>
      </c>
      <c r="G27" s="53">
        <f t="shared" si="1"/>
        <v>0</v>
      </c>
      <c r="H27" s="53">
        <f t="shared" si="1"/>
        <v>16.272491841471432</v>
      </c>
      <c r="I27" s="53">
        <f t="shared" si="1"/>
        <v>14.124982616291726</v>
      </c>
      <c r="J27" s="53">
        <f t="shared" si="1"/>
        <v>12.187341654709099</v>
      </c>
      <c r="K27" s="53">
        <f t="shared" si="1"/>
        <v>10.632849882853449</v>
      </c>
      <c r="L27" s="53">
        <f t="shared" si="1"/>
        <v>10.237684270097155</v>
      </c>
      <c r="M27" s="53">
        <f t="shared" si="1"/>
        <v>10.056272709584718</v>
      </c>
      <c r="N27" s="53">
        <f t="shared" si="1"/>
        <v>10.282725992785501</v>
      </c>
      <c r="O27" s="53">
        <f t="shared" si="1"/>
        <v>9.9382058290787185</v>
      </c>
      <c r="P27" s="53">
        <f t="shared" si="1"/>
        <v>10.019408921266956</v>
      </c>
      <c r="Q27" s="53">
        <f t="shared" si="1"/>
        <v>10.294905494594699</v>
      </c>
      <c r="R27" s="53">
        <f t="shared" si="1"/>
        <v>10.345764798515313</v>
      </c>
      <c r="S27" s="53">
        <f t="shared" si="1"/>
        <v>10.570650791398293</v>
      </c>
      <c r="T27" s="53">
        <f t="shared" si="1"/>
        <v>10.061460111526952</v>
      </c>
      <c r="U27" s="53">
        <f t="shared" si="1"/>
        <v>10.365928446742853</v>
      </c>
      <c r="V27" s="53">
        <f t="shared" si="1"/>
        <v>10.608041291102047</v>
      </c>
      <c r="W27" s="53">
        <f t="shared" si="1"/>
        <v>10.753973675294242</v>
      </c>
      <c r="X27" s="53">
        <f t="shared" si="1"/>
        <v>10.57351059781071</v>
      </c>
      <c r="Y27" s="53">
        <f t="shared" si="1"/>
        <v>10.532291352771734</v>
      </c>
      <c r="Z27" s="53">
        <f t="shared" si="1"/>
        <v>10.094825364153326</v>
      </c>
      <c r="AA27" s="53">
        <f t="shared" si="1"/>
        <v>9.7635654868971997</v>
      </c>
      <c r="AB27" s="53">
        <f t="shared" si="1"/>
        <v>9.9179191582143815</v>
      </c>
      <c r="AC27" s="53">
        <f t="shared" si="1"/>
        <v>9.7740323673676048</v>
      </c>
      <c r="AD27" s="53">
        <f t="shared" si="1"/>
        <v>9.598847498231093</v>
      </c>
      <c r="AE27" s="53">
        <f t="shared" si="1"/>
        <v>0.89777292006184073</v>
      </c>
    </row>
    <row r="29" spans="1:31" ht="13.5" customHeight="1">
      <c r="A29" s="103" t="s">
        <v>92</v>
      </c>
      <c r="B29" s="9" t="s">
        <v>9</v>
      </c>
      <c r="C29" s="9" t="s">
        <v>8</v>
      </c>
      <c r="D29" s="9" t="s">
        <v>10</v>
      </c>
      <c r="E29" s="9" t="s">
        <v>7</v>
      </c>
      <c r="F29" s="9">
        <v>2025</v>
      </c>
      <c r="G29" s="9">
        <v>2026</v>
      </c>
      <c r="H29" s="9">
        <v>2027</v>
      </c>
      <c r="I29" s="9">
        <v>2028</v>
      </c>
      <c r="J29" s="9">
        <v>2029</v>
      </c>
      <c r="K29" s="9">
        <v>2030</v>
      </c>
      <c r="L29" s="9">
        <v>2031</v>
      </c>
      <c r="M29" s="9">
        <v>2032</v>
      </c>
      <c r="N29" s="9">
        <v>2033</v>
      </c>
      <c r="O29" s="9">
        <v>2034</v>
      </c>
      <c r="P29" s="9">
        <v>2035</v>
      </c>
      <c r="Q29" s="9">
        <v>2036</v>
      </c>
      <c r="R29" s="9">
        <v>2037</v>
      </c>
      <c r="S29" s="9">
        <v>2038</v>
      </c>
      <c r="T29" s="9">
        <v>2039</v>
      </c>
      <c r="U29" s="9">
        <v>2040</v>
      </c>
      <c r="V29" s="9">
        <v>2041</v>
      </c>
      <c r="W29" s="9">
        <v>2042</v>
      </c>
      <c r="X29" s="9">
        <v>2043</v>
      </c>
      <c r="Y29" s="9">
        <v>2044</v>
      </c>
      <c r="Z29" s="9">
        <v>2045</v>
      </c>
      <c r="AA29" s="9">
        <v>2046</v>
      </c>
      <c r="AB29" s="9">
        <v>2047</v>
      </c>
      <c r="AC29" s="9">
        <v>2048</v>
      </c>
      <c r="AD29" s="9">
        <v>2049</v>
      </c>
      <c r="AE29" s="9">
        <v>2050</v>
      </c>
    </row>
    <row r="30" spans="1:31">
      <c r="A30" s="104"/>
      <c r="B30" s="5" t="s">
        <v>273</v>
      </c>
      <c r="C30" s="5" t="s">
        <v>275</v>
      </c>
      <c r="D30" s="5" t="s">
        <v>276</v>
      </c>
      <c r="E30" s="5" t="s">
        <v>97</v>
      </c>
      <c r="F30" s="7">
        <v>0</v>
      </c>
      <c r="G30" s="7">
        <v>0</v>
      </c>
      <c r="H30" s="7">
        <f>'P0.1a Coal-NG Retirement'!L16*2000</f>
        <v>722.27256894077505</v>
      </c>
      <c r="I30" s="7">
        <f>'P0.1a Coal-NG Retirement'!M16*2000</f>
        <v>626.9529940406652</v>
      </c>
      <c r="J30" s="7">
        <f>'P0.1a Coal-NG Retirement'!N16*2000</f>
        <v>540.94865440778653</v>
      </c>
      <c r="K30" s="7">
        <f>'P0.1a Coal-NG Retirement'!O16*2000</f>
        <v>471.95081582266965</v>
      </c>
      <c r="L30" s="7">
        <f>'P0.1a Coal-NG Retirement'!P16*2000</f>
        <v>454.41095253294651</v>
      </c>
      <c r="M30" s="7">
        <f>'P0.1a Coal-NG Retirement'!Q16*2000</f>
        <v>446.35879954228182</v>
      </c>
      <c r="N30" s="7">
        <f>'P0.1a Coal-NG Retirement'!R16*2000</f>
        <v>456.41017926924252</v>
      </c>
      <c r="O30" s="7">
        <f>'P0.1a Coal-NG Retirement'!S16*2000</f>
        <v>441.11827031537138</v>
      </c>
      <c r="P30" s="7">
        <f>'P0.1a Coal-NG Retirement'!T16*2000</f>
        <v>444.72255947846418</v>
      </c>
      <c r="Q30" s="7">
        <f>'P0.1a Coal-NG Retirement'!U16*2000</f>
        <v>456.95077994342631</v>
      </c>
      <c r="R30" s="7">
        <f>'P0.1a Coal-NG Retirement'!V16*2000</f>
        <v>459.20822646453394</v>
      </c>
      <c r="S30" s="7">
        <f>'P0.1a Coal-NG Retirement'!W16*2000</f>
        <v>469.19004027527592</v>
      </c>
      <c r="T30" s="7">
        <f>'P0.1a Coal-NG Retirement'!X16*2000</f>
        <v>446.58904812150649</v>
      </c>
      <c r="U30" s="7">
        <f>'P0.1a Coal-NG Retirement'!Y16*2000</f>
        <v>460.10321231835411</v>
      </c>
      <c r="V30" s="7">
        <f>'P0.1a Coal-NG Retirement'!Z16*2000</f>
        <v>470.84965900718908</v>
      </c>
      <c r="W30" s="7">
        <f>'P0.1a Coal-NG Retirement'!AA16*2000</f>
        <v>477.32702947072943</v>
      </c>
      <c r="X30" s="7">
        <f>'P0.1a Coal-NG Retirement'!AB16*2000</f>
        <v>469.31697594955938</v>
      </c>
      <c r="Y30" s="7">
        <f>'P0.1a Coal-NG Retirement'!AC16*2000</f>
        <v>467.48741411636644</v>
      </c>
      <c r="Z30" s="7">
        <f>'P0.1a Coal-NG Retirement'!AD16*2000</f>
        <v>448.07000180472744</v>
      </c>
      <c r="AA30" s="7">
        <f>'P0.1a Coal-NG Retirement'!AE16*2000</f>
        <v>433.36666534810564</v>
      </c>
      <c r="AB30" s="7">
        <f>'P0.1a Coal-NG Retirement'!AF16*2000</f>
        <v>440.21782396559348</v>
      </c>
      <c r="AC30" s="7">
        <f>'P0.1a Coal-NG Retirement'!AG16*2000</f>
        <v>433.83124942777846</v>
      </c>
      <c r="AD30" s="7">
        <f>'P0.1a Coal-NG Retirement'!AH16*2000</f>
        <v>426.05547502865977</v>
      </c>
      <c r="AE30" s="7">
        <f>'P0.1a Coal-NG Retirement'!AI16*2000</f>
        <v>413.23024660547816</v>
      </c>
    </row>
    <row r="31" spans="1:31">
      <c r="A31" s="104"/>
      <c r="B31" s="1" t="s">
        <v>271</v>
      </c>
      <c r="C31" s="1" t="s">
        <v>275</v>
      </c>
      <c r="D31" s="1" t="s">
        <v>276</v>
      </c>
      <c r="E31" s="1" t="s">
        <v>97</v>
      </c>
      <c r="F31" s="2">
        <v>0</v>
      </c>
      <c r="G31" s="2">
        <v>0</v>
      </c>
      <c r="H31" s="2">
        <f>'P0.1a Coal-NG Retirement'!L28*2000</f>
        <v>8.4409968254103216</v>
      </c>
      <c r="I31" s="2">
        <f>'P0.1a Coal-NG Retirement'!M28*2000</f>
        <v>7.3270237026164775</v>
      </c>
      <c r="J31" s="2">
        <f>'P0.1a Coal-NG Retirement'!N28*2000</f>
        <v>6.3219151203020809</v>
      </c>
      <c r="K31" s="2">
        <f>'P0.1a Coal-NG Retirement'!O28*2000</f>
        <v>5.5155567432820849</v>
      </c>
      <c r="L31" s="2">
        <f>'P0.1a Coal-NG Retirement'!P28*2000</f>
        <v>5.3105732831407062</v>
      </c>
      <c r="M31" s="2">
        <f>'P0.1a Coal-NG Retirement'!Q28*2000</f>
        <v>5.216470030774917</v>
      </c>
      <c r="N31" s="2">
        <f>'P0.1a Coal-NG Retirement'!R28*2000</f>
        <v>5.3339376849746252</v>
      </c>
      <c r="O31" s="2">
        <f>'P0.1a Coal-NG Retirement'!S28*2000</f>
        <v>5.1552254363239713</v>
      </c>
      <c r="P31" s="2">
        <f>'P0.1a Coal-NG Retirement'!T28*2000</f>
        <v>5.1973477523190867</v>
      </c>
      <c r="Q31" s="2">
        <f>'P0.1a Coal-NG Retirement'!U28*2000</f>
        <v>5.340255533347702</v>
      </c>
      <c r="R31" s="2">
        <f>'P0.1a Coal-NG Retirement'!V28*2000</f>
        <v>5.3666376773437676</v>
      </c>
      <c r="S31" s="2">
        <f>'P0.1a Coal-NG Retirement'!W28*2000</f>
        <v>5.4832923342025657</v>
      </c>
      <c r="T31" s="2">
        <f>'P0.1a Coal-NG Retirement'!X28*2000</f>
        <v>5.2191608813067907</v>
      </c>
      <c r="U31" s="2">
        <f>'P0.1a Coal-NG Retirement'!Y28*2000</f>
        <v>5.3770971258618827</v>
      </c>
      <c r="V31" s="2">
        <f>'P0.1a Coal-NG Retirement'!Z28*2000</f>
        <v>5.5026878325917892</v>
      </c>
      <c r="W31" s="2">
        <f>'P0.1a Coal-NG Retirement'!AA28*2000</f>
        <v>5.5783870434865523</v>
      </c>
      <c r="X31" s="2">
        <f>'P0.1a Coal-NG Retirement'!AB28*2000</f>
        <v>5.4847757958065815</v>
      </c>
      <c r="Y31" s="2">
        <f>'P0.1a Coal-NG Retirement'!AC28*2000</f>
        <v>5.4633942200829999</v>
      </c>
      <c r="Z31" s="2">
        <f>'P0.1a Coal-NG Retirement'!AD28*2000</f>
        <v>5.2364683714098401</v>
      </c>
      <c r="AA31" s="2">
        <f>'P0.1a Coal-NG Retirement'!AE28*2000</f>
        <v>5.0646346043663328</v>
      </c>
      <c r="AB31" s="2">
        <f>'P0.1a Coal-NG Retirement'!AF28*2000</f>
        <v>5.1447021725219519</v>
      </c>
      <c r="AC31" s="2">
        <f>'P0.1a Coal-NG Retirement'!AG28*2000</f>
        <v>5.0700640681315239</v>
      </c>
      <c r="AD31" s="2">
        <f>'P0.1a Coal-NG Retirement'!AH28*2000</f>
        <v>4.9791907748063693</v>
      </c>
      <c r="AE31" s="2">
        <f>'P0.1a Coal-NG Retirement'!AI28*2000</f>
        <v>4.8293059293054528</v>
      </c>
    </row>
    <row r="32" spans="1:31">
      <c r="A32" s="104"/>
      <c r="B32" s="1" t="s">
        <v>255</v>
      </c>
      <c r="C32" s="1" t="s">
        <v>275</v>
      </c>
      <c r="D32" s="1" t="s">
        <v>274</v>
      </c>
      <c r="E32" s="1" t="s">
        <v>97</v>
      </c>
      <c r="F32" s="2">
        <f>'P2.1 Solar Avd Pollution'!F48</f>
        <v>0</v>
      </c>
      <c r="G32" s="2">
        <f>'P2.1 Solar Avd Pollution'!G48</f>
        <v>0</v>
      </c>
      <c r="H32" s="2">
        <f>'P2.1 Solar Avd Pollution'!H48</f>
        <v>4827.7947614679451</v>
      </c>
      <c r="I32" s="2">
        <f>'P2.1 Solar Avd Pollution'!I48</f>
        <v>4190.6622381561883</v>
      </c>
      <c r="J32" s="2">
        <f>'P2.1 Solar Avd Pollution'!J48</f>
        <v>3615.7943583583497</v>
      </c>
      <c r="K32" s="2">
        <f>'P2.1 Solar Avd Pollution'!K48</f>
        <v>3154.6008726880495</v>
      </c>
      <c r="L32" s="2">
        <f>'P2.1 Solar Avd Pollution'!L48</f>
        <v>3037.3613930949473</v>
      </c>
      <c r="M32" s="2">
        <f>'P2.1 Solar Avd Pollution'!M48</f>
        <v>2983.5394099565328</v>
      </c>
      <c r="N32" s="2">
        <f>'P2.1 Solar Avd Pollution'!N48</f>
        <v>3050.7245703489739</v>
      </c>
      <c r="O32" s="2">
        <f>'P2.1 Solar Avd Pollution'!O48</f>
        <v>2948.5108063005737</v>
      </c>
      <c r="P32" s="2">
        <f>'P2.1 Solar Avd Pollution'!P48</f>
        <v>2972.602498396695</v>
      </c>
      <c r="Q32" s="2">
        <f>'P2.1 Solar Avd Pollution'!Q48</f>
        <v>3054.3380387473348</v>
      </c>
      <c r="R32" s="2">
        <f>'P2.1 Solar Avd Pollution'!R48</f>
        <v>3069.4272016998757</v>
      </c>
      <c r="S32" s="2">
        <f>'P2.1 Solar Avd Pollution'!S48</f>
        <v>3136.1473714774984</v>
      </c>
      <c r="T32" s="2">
        <f>'P2.1 Solar Avd Pollution'!T48</f>
        <v>2985.0784312795313</v>
      </c>
      <c r="U32" s="2">
        <f>'P2.1 Solar Avd Pollution'!U48</f>
        <v>3075.4094419267167</v>
      </c>
      <c r="V32" s="2">
        <f>'P2.1 Solar Avd Pollution'!V48</f>
        <v>3147.2405500980221</v>
      </c>
      <c r="W32" s="2">
        <f>'P2.1 Solar Avd Pollution'!W48</f>
        <v>3190.5364144803943</v>
      </c>
      <c r="X32" s="2">
        <f>'P2.1 Solar Avd Pollution'!X48</f>
        <v>3136.9958314768141</v>
      </c>
      <c r="Y32" s="2">
        <f>'P2.1 Solar Avd Pollution'!Y48</f>
        <v>3124.7667237771766</v>
      </c>
      <c r="Z32" s="2">
        <f>'P2.1 Solar Avd Pollution'!Z48</f>
        <v>2994.977381816052</v>
      </c>
      <c r="AA32" s="2">
        <f>'P2.1 Solar Avd Pollution'!AA48</f>
        <v>2896.697738127687</v>
      </c>
      <c r="AB32" s="2">
        <f>'P2.1 Solar Avd Pollution'!AB48</f>
        <v>2942.492067174408</v>
      </c>
      <c r="AC32" s="2">
        <f>'P2.1 Solar Avd Pollution'!AC48</f>
        <v>2899.8030984619381</v>
      </c>
      <c r="AD32" s="2">
        <f>'P2.1 Solar Avd Pollution'!AD48</f>
        <v>2847.8284776266555</v>
      </c>
      <c r="AE32" s="2">
        <f>'P2.1 Solar Avd Pollution'!AE48</f>
        <v>0</v>
      </c>
    </row>
    <row r="33" spans="1:31">
      <c r="A33" s="104"/>
      <c r="B33" s="1"/>
      <c r="C33" s="1"/>
      <c r="D33" s="1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>
      <c r="A34" s="104"/>
      <c r="B34" s="1"/>
      <c r="C34" s="1"/>
      <c r="D34" s="1"/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>
      <c r="A35" s="104"/>
      <c r="B35" s="1"/>
      <c r="C35" s="1"/>
      <c r="D35" s="1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>
      <c r="A36" s="104"/>
      <c r="B36" s="1"/>
      <c r="C36" s="1"/>
      <c r="D36" s="1"/>
      <c r="E36" s="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>
      <c r="A37" s="104"/>
      <c r="B37" s="3"/>
      <c r="C37" s="3"/>
      <c r="D37" s="23"/>
      <c r="E37" s="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>
      <c r="A38" s="105"/>
      <c r="B38" s="51" t="s">
        <v>104</v>
      </c>
      <c r="C38" s="51" t="s">
        <v>19</v>
      </c>
      <c r="D38" s="52" t="s">
        <v>34</v>
      </c>
      <c r="E38" s="28" t="s">
        <v>105</v>
      </c>
      <c r="F38" s="53">
        <f t="shared" ref="F38:AE38" si="2">SUM(F30:F37)/2204.62</f>
        <v>0</v>
      </c>
      <c r="G38" s="53">
        <f t="shared" si="2"/>
        <v>0</v>
      </c>
      <c r="H38" s="53">
        <f t="shared" si="2"/>
        <v>2.5212999642723601</v>
      </c>
      <c r="I38" s="53">
        <f t="shared" si="2"/>
        <v>2.1885595957123996</v>
      </c>
      <c r="J38" s="53">
        <f t="shared" si="2"/>
        <v>1.8883367328094813</v>
      </c>
      <c r="K38" s="53">
        <f t="shared" si="2"/>
        <v>1.6474799490406515</v>
      </c>
      <c r="L38" s="53">
        <f t="shared" si="2"/>
        <v>1.5862520157265354</v>
      </c>
      <c r="M38" s="53">
        <f t="shared" si="2"/>
        <v>1.5581436617329016</v>
      </c>
      <c r="N38" s="53">
        <f t="shared" si="2"/>
        <v>1.5932308911754367</v>
      </c>
      <c r="O38" s="53">
        <f t="shared" si="2"/>
        <v>1.5398500884743263</v>
      </c>
      <c r="P38" s="53">
        <f t="shared" si="2"/>
        <v>1.5524318955772325</v>
      </c>
      <c r="Q38" s="53">
        <f t="shared" si="2"/>
        <v>1.5951180131832738</v>
      </c>
      <c r="R38" s="53">
        <f t="shared" si="2"/>
        <v>1.6029982789967221</v>
      </c>
      <c r="S38" s="53">
        <f t="shared" si="2"/>
        <v>1.6378426686172569</v>
      </c>
      <c r="T38" s="53">
        <f t="shared" si="2"/>
        <v>1.5589474105661496</v>
      </c>
      <c r="U38" s="53">
        <f t="shared" si="2"/>
        <v>1.6061224843151802</v>
      </c>
      <c r="V38" s="53">
        <f t="shared" si="2"/>
        <v>1.6436360447323362</v>
      </c>
      <c r="W38" s="53">
        <f t="shared" si="2"/>
        <v>1.666247167763429</v>
      </c>
      <c r="X38" s="53">
        <f t="shared" si="2"/>
        <v>1.6382857740663608</v>
      </c>
      <c r="Y38" s="53">
        <f t="shared" si="2"/>
        <v>1.6318991627190291</v>
      </c>
      <c r="Z38" s="53">
        <f t="shared" si="2"/>
        <v>1.5641171049850719</v>
      </c>
      <c r="AA38" s="53">
        <f t="shared" si="2"/>
        <v>1.5127908837260657</v>
      </c>
      <c r="AB38" s="53">
        <f t="shared" si="2"/>
        <v>1.5367068217255235</v>
      </c>
      <c r="AC38" s="53">
        <f t="shared" si="2"/>
        <v>1.5144126479655671</v>
      </c>
      <c r="AD38" s="53">
        <f t="shared" si="2"/>
        <v>1.487269072869756</v>
      </c>
      <c r="AE38" s="53">
        <f t="shared" si="2"/>
        <v>0.18962884875161418</v>
      </c>
    </row>
    <row r="40" spans="1:31" ht="13.5" customHeight="1">
      <c r="A40" s="103" t="s">
        <v>93</v>
      </c>
      <c r="B40" s="9" t="s">
        <v>9</v>
      </c>
      <c r="C40" s="9" t="s">
        <v>8</v>
      </c>
      <c r="D40" s="9" t="s">
        <v>10</v>
      </c>
      <c r="E40" s="9" t="s">
        <v>7</v>
      </c>
      <c r="F40" s="9">
        <v>2025</v>
      </c>
      <c r="G40" s="9">
        <v>2026</v>
      </c>
      <c r="H40" s="9">
        <v>2027</v>
      </c>
      <c r="I40" s="9">
        <v>2028</v>
      </c>
      <c r="J40" s="9">
        <v>2029</v>
      </c>
      <c r="K40" s="9">
        <v>2030</v>
      </c>
      <c r="L40" s="9">
        <v>2031</v>
      </c>
      <c r="M40" s="9">
        <v>2032</v>
      </c>
      <c r="N40" s="9">
        <v>2033</v>
      </c>
      <c r="O40" s="9">
        <v>2034</v>
      </c>
      <c r="P40" s="9">
        <v>2035</v>
      </c>
      <c r="Q40" s="9">
        <v>2036</v>
      </c>
      <c r="R40" s="9">
        <v>2037</v>
      </c>
      <c r="S40" s="9">
        <v>2038</v>
      </c>
      <c r="T40" s="9">
        <v>2039</v>
      </c>
      <c r="U40" s="9">
        <v>2040</v>
      </c>
      <c r="V40" s="9">
        <v>2041</v>
      </c>
      <c r="W40" s="9">
        <v>2042</v>
      </c>
      <c r="X40" s="9">
        <v>2043</v>
      </c>
      <c r="Y40" s="9">
        <v>2044</v>
      </c>
      <c r="Z40" s="9">
        <v>2045</v>
      </c>
      <c r="AA40" s="9">
        <v>2046</v>
      </c>
      <c r="AB40" s="9">
        <v>2047</v>
      </c>
      <c r="AC40" s="9">
        <v>2048</v>
      </c>
      <c r="AD40" s="9">
        <v>2049</v>
      </c>
      <c r="AE40" s="9">
        <v>2050</v>
      </c>
    </row>
    <row r="41" spans="1:31">
      <c r="A41" s="104"/>
      <c r="B41" s="5" t="s">
        <v>273</v>
      </c>
      <c r="C41" s="5" t="s">
        <v>275</v>
      </c>
      <c r="D41" s="5" t="s">
        <v>276</v>
      </c>
      <c r="E41" s="5" t="s">
        <v>97</v>
      </c>
      <c r="F41" s="7">
        <v>0</v>
      </c>
      <c r="G41" s="7">
        <v>0</v>
      </c>
      <c r="H41" s="7">
        <f>'P0.1a Coal-NG Retirement'!L15*2000</f>
        <v>1.1848339789046713</v>
      </c>
      <c r="I41" s="7">
        <f>'P0.1a Coal-NG Retirement'!M15*2000</f>
        <v>1.0284693652491586</v>
      </c>
      <c r="J41" s="7">
        <f>'P0.1a Coal-NG Retirement'!N15*2000</f>
        <v>0.88738569640689346</v>
      </c>
      <c r="K41" s="7">
        <f>'P0.1a Coal-NG Retirement'!O15*2000</f>
        <v>0.77419991704590307</v>
      </c>
      <c r="L41" s="7">
        <f>'P0.1a Coal-NG Retirement'!P15*2000</f>
        <v>0.74542708680885905</v>
      </c>
      <c r="M41" s="7">
        <f>'P0.1a Coal-NG Retirement'!Q15*2000</f>
        <v>0.7322181337391479</v>
      </c>
      <c r="N41" s="7">
        <f>'P0.1a Coal-NG Retirement'!R15*2000</f>
        <v>0.74870666832774746</v>
      </c>
      <c r="O41" s="7">
        <f>'P0.1a Coal-NG Retirement'!S15*2000</f>
        <v>0.72362143858209338</v>
      </c>
      <c r="P41" s="7">
        <f>'P0.1a Coal-NG Retirement'!T15*2000</f>
        <v>0.72953400463245988</v>
      </c>
      <c r="Q41" s="7">
        <f>'P0.1a Coal-NG Retirement'!U15*2000</f>
        <v>0.74959348318869545</v>
      </c>
      <c r="R41" s="7">
        <f>'P0.1a Coal-NG Retirement'!V15*2000</f>
        <v>0.7532966548980834</v>
      </c>
      <c r="S41" s="7">
        <f>'P0.1a Coal-NG Retirement'!W15*2000</f>
        <v>0.76967107181856975</v>
      </c>
      <c r="T41" s="7">
        <f>'P0.1a Coal-NG Retirement'!X15*2000</f>
        <v>0.73259583926472249</v>
      </c>
      <c r="U41" s="7">
        <f>'P0.1a Coal-NG Retirement'!Y15*2000</f>
        <v>0.75476481206733637</v>
      </c>
      <c r="V41" s="7">
        <f>'P0.1a Coal-NG Retirement'!Z15*2000</f>
        <v>0.77239355187686842</v>
      </c>
      <c r="W41" s="7">
        <f>'P0.1a Coal-NG Retirement'!AA15*2000</f>
        <v>0.78301919231952155</v>
      </c>
      <c r="X41" s="7">
        <f>'P0.1a Coal-NG Retirement'!AB15*2000</f>
        <v>0.7698793002720562</v>
      </c>
      <c r="Y41" s="7">
        <f>'P0.1a Coal-NG Retirement'!AC15*2000</f>
        <v>0.76687804130184078</v>
      </c>
      <c r="Z41" s="7">
        <f>'P0.1a Coal-NG Retirement'!AD15*2000</f>
        <v>0.73502523271052023</v>
      </c>
      <c r="AA41" s="7">
        <f>'P0.1a Coal-NG Retirement'!AE15*2000</f>
        <v>0.71090551200366647</v>
      </c>
      <c r="AB41" s="7">
        <f>'P0.1a Coal-NG Retirement'!AF15*2000</f>
        <v>0.72214432387875893</v>
      </c>
      <c r="AC41" s="7">
        <f>'P0.1a Coal-NG Retirement'!AG15*2000</f>
        <v>0.71166762734256372</v>
      </c>
      <c r="AD41" s="7">
        <f>'P0.1a Coal-NG Retirement'!AH15*2000</f>
        <v>0.69891205262388945</v>
      </c>
      <c r="AE41" s="7">
        <f>'P0.1a Coal-NG Retirement'!AI15*2000</f>
        <v>0.67787322728779176</v>
      </c>
    </row>
    <row r="42" spans="1:31">
      <c r="A42" s="104"/>
      <c r="B42" s="1" t="s">
        <v>271</v>
      </c>
      <c r="C42" s="1" t="s">
        <v>275</v>
      </c>
      <c r="D42" s="1" t="s">
        <v>276</v>
      </c>
      <c r="E42" s="1" t="s">
        <v>97</v>
      </c>
      <c r="F42" s="2">
        <v>0</v>
      </c>
      <c r="G42" s="2">
        <v>0</v>
      </c>
      <c r="H42" s="2">
        <f>'P0.1a Coal-NG Retirement'!L27*2000</f>
        <v>24.434464494608829</v>
      </c>
      <c r="I42" s="2">
        <f>'P0.1a Coal-NG Retirement'!M27*2000</f>
        <v>21.209805454942437</v>
      </c>
      <c r="J42" s="2">
        <f>'P0.1a Coal-NG Retirement'!N27*2000</f>
        <v>18.300280611400762</v>
      </c>
      <c r="K42" s="2">
        <f>'P0.1a Coal-NG Retirement'!O27*2000</f>
        <v>15.966085309500773</v>
      </c>
      <c r="L42" s="2">
        <f>'P0.1a Coal-NG Retirement'!P27*2000</f>
        <v>15.372712135407307</v>
      </c>
      <c r="M42" s="2">
        <f>'P0.1a Coal-NG Retirement'!Q27*2000</f>
        <v>15.100307983822129</v>
      </c>
      <c r="N42" s="2">
        <f>'P0.1a Coal-NG Retirement'!R27*2000</f>
        <v>15.440345930189705</v>
      </c>
      <c r="O42" s="2">
        <f>'P0.1a Coal-NG Retirement'!S27*2000</f>
        <v>14.923020999885182</v>
      </c>
      <c r="P42" s="2">
        <f>'P0.1a Coal-NG Retirement'!T27*2000</f>
        <v>15.044954019871042</v>
      </c>
      <c r="Q42" s="2">
        <f>'P0.1a Coal-NG Retirement'!U27*2000</f>
        <v>15.458634438638084</v>
      </c>
      <c r="R42" s="2">
        <f>'P0.1a Coal-NG Retirement'!V27*2000</f>
        <v>15.535003802837222</v>
      </c>
      <c r="S42" s="2">
        <f>'P0.1a Coal-NG Retirement'!W27*2000</f>
        <v>15.872688335849531</v>
      </c>
      <c r="T42" s="2">
        <f>'P0.1a Coal-NG Retirement'!X27*2000</f>
        <v>15.108097287993342</v>
      </c>
      <c r="U42" s="2">
        <f>'P0.1a Coal-NG Retirement'!Y27*2000</f>
        <v>15.565281153810712</v>
      </c>
      <c r="V42" s="2">
        <f>'P0.1a Coal-NG Retirement'!Z27*2000</f>
        <v>15.928833199607812</v>
      </c>
      <c r="W42" s="2">
        <f>'P0.1a Coal-NG Retirement'!AA27*2000</f>
        <v>16.147962494303179</v>
      </c>
      <c r="X42" s="2">
        <f>'P0.1a Coal-NG Retirement'!AB27*2000</f>
        <v>15.876982566808529</v>
      </c>
      <c r="Y42" s="2">
        <f>'P0.1a Coal-NG Retirement'!AC27*2000</f>
        <v>15.815088531819212</v>
      </c>
      <c r="Z42" s="2">
        <f>'P0.1a Coal-NG Retirement'!AD27*2000</f>
        <v>15.158197917239013</v>
      </c>
      <c r="AA42" s="2">
        <f>'P0.1a Coal-NG Retirement'!AE27*2000</f>
        <v>14.660784381060438</v>
      </c>
      <c r="AB42" s="2">
        <f>'P0.1a Coal-NG Retirement'!AF27*2000</f>
        <v>14.892558920458281</v>
      </c>
      <c r="AC42" s="2">
        <f>'P0.1a Coal-NG Retirement'!AG27*2000</f>
        <v>14.676501249854411</v>
      </c>
      <c r="AD42" s="2">
        <f>'P0.1a Coal-NG Retirement'!AH27*2000</f>
        <v>14.413446979702648</v>
      </c>
      <c r="AE42" s="2">
        <f>'P0.1a Coal-NG Retirement'!AI27*2000</f>
        <v>13.979569795357891</v>
      </c>
    </row>
    <row r="43" spans="1:31">
      <c r="A43" s="104"/>
      <c r="B43" s="1" t="s">
        <v>255</v>
      </c>
      <c r="C43" s="1" t="s">
        <v>275</v>
      </c>
      <c r="D43" s="1" t="s">
        <v>274</v>
      </c>
      <c r="E43" s="1" t="s">
        <v>97</v>
      </c>
      <c r="F43" s="2">
        <f>'P2.1 Solar Avd Pollution'!F59</f>
        <v>0</v>
      </c>
      <c r="G43" s="2">
        <f>'P2.1 Solar Avd Pollution'!G59</f>
        <v>0</v>
      </c>
      <c r="H43" s="2">
        <f>'P2.1 Solar Avd Pollution'!H59</f>
        <v>1154.8213382913359</v>
      </c>
      <c r="I43" s="2">
        <f>'P2.1 Solar Avd Pollution'!I59</f>
        <v>1002.4175453396863</v>
      </c>
      <c r="J43" s="2">
        <f>'P2.1 Solar Avd Pollution'!J59</f>
        <v>864.90762060399061</v>
      </c>
      <c r="K43" s="2">
        <f>'P2.1 Solar Avd Pollution'!K59</f>
        <v>754.58891306823773</v>
      </c>
      <c r="L43" s="2">
        <f>'P2.1 Solar Avd Pollution'!L59</f>
        <v>726.54491794962189</v>
      </c>
      <c r="M43" s="2">
        <f>'P2.1 Solar Avd Pollution'!M59</f>
        <v>713.670556534453</v>
      </c>
      <c r="N43" s="2">
        <f>'P2.1 Solar Avd Pollution'!N59</f>
        <v>729.74142546553526</v>
      </c>
      <c r="O43" s="2">
        <f>'P2.1 Solar Avd Pollution'!O59</f>
        <v>705.29162144066879</v>
      </c>
      <c r="P43" s="2">
        <f>'P2.1 Solar Avd Pollution'!P59</f>
        <v>711.0544182211363</v>
      </c>
      <c r="Q43" s="2">
        <f>'P2.1 Solar Avd Pollution'!Q59</f>
        <v>730.60577671032593</v>
      </c>
      <c r="R43" s="2">
        <f>'P2.1 Solar Avd Pollution'!R59</f>
        <v>734.21514459266132</v>
      </c>
      <c r="S43" s="2">
        <f>'P2.1 Solar Avd Pollution'!S59</f>
        <v>750.17478653282353</v>
      </c>
      <c r="T43" s="2">
        <f>'P2.1 Solar Avd Pollution'!T59</f>
        <v>714.03869452533638</v>
      </c>
      <c r="U43" s="2">
        <f>'P2.1 Solar Avd Pollution'!U59</f>
        <v>735.64611235456346</v>
      </c>
      <c r="V43" s="2">
        <f>'P2.1 Solar Avd Pollution'!V59</f>
        <v>752.82830434238406</v>
      </c>
      <c r="W43" s="2">
        <f>'P2.1 Solar Avd Pollution'!W59</f>
        <v>763.18479017471225</v>
      </c>
      <c r="X43" s="2">
        <f>'P2.1 Solar Avd Pollution'!X59</f>
        <v>750.37774041970306</v>
      </c>
      <c r="Y43" s="2">
        <f>'P2.1 Solar Avd Pollution'!Y59</f>
        <v>747.45250535533785</v>
      </c>
      <c r="Z43" s="2">
        <f>'P2.1 Solar Avd Pollution'!Z59</f>
        <v>716.40654980317527</v>
      </c>
      <c r="AA43" s="2">
        <f>'P2.1 Solar Avd Pollution'!AA59</f>
        <v>692.89779782456299</v>
      </c>
      <c r="AB43" s="2">
        <f>'P2.1 Solar Avd Pollution'!AB59</f>
        <v>703.85192304504119</v>
      </c>
      <c r="AC43" s="2">
        <f>'P2.1 Solar Avd Pollution'!AC59</f>
        <v>693.64060826996524</v>
      </c>
      <c r="AD43" s="2">
        <f>'P2.1 Solar Avd Pollution'!AD59</f>
        <v>681.20814082763854</v>
      </c>
      <c r="AE43" s="2">
        <f>'P2.1 Solar Avd Pollution'!AE59</f>
        <v>0</v>
      </c>
    </row>
    <row r="44" spans="1:31">
      <c r="A44" s="104"/>
      <c r="B44" s="1"/>
      <c r="C44" s="1"/>
      <c r="D44" s="1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>
      <c r="A45" s="104"/>
      <c r="B45" s="1"/>
      <c r="C45" s="1"/>
      <c r="D45" s="1"/>
      <c r="E45" s="1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>
      <c r="A46" s="104"/>
      <c r="B46" s="1"/>
      <c r="C46" s="1"/>
      <c r="D46" s="1"/>
      <c r="E46" s="1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>
      <c r="A47" s="104"/>
      <c r="B47" s="1"/>
      <c r="C47" s="1"/>
      <c r="D47" s="1"/>
      <c r="E47" s="1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>
      <c r="A48" s="104"/>
      <c r="B48" s="3"/>
      <c r="C48" s="3"/>
      <c r="D48" s="23"/>
      <c r="E48" s="1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>
      <c r="A49" s="105"/>
      <c r="B49" s="51" t="s">
        <v>104</v>
      </c>
      <c r="C49" s="51" t="s">
        <v>19</v>
      </c>
      <c r="D49" s="52" t="s">
        <v>34</v>
      </c>
      <c r="E49" s="28" t="s">
        <v>105</v>
      </c>
      <c r="F49" s="53">
        <f t="shared" ref="F49:AE49" si="3">SUM(F41:F48)/2204.62</f>
        <v>0</v>
      </c>
      <c r="G49" s="53">
        <f t="shared" si="3"/>
        <v>0</v>
      </c>
      <c r="H49" s="53">
        <f t="shared" si="3"/>
        <v>0.53543950284622721</v>
      </c>
      <c r="I49" s="53">
        <f t="shared" si="3"/>
        <v>0.46477661463648068</v>
      </c>
      <c r="J49" s="53">
        <f t="shared" si="3"/>
        <v>0.40101935340865918</v>
      </c>
      <c r="K49" s="53">
        <f t="shared" si="3"/>
        <v>0.34986945518719076</v>
      </c>
      <c r="L49" s="53">
        <f t="shared" si="3"/>
        <v>0.3368666968329409</v>
      </c>
      <c r="M49" s="53">
        <f t="shared" si="3"/>
        <v>0.33089742570239511</v>
      </c>
      <c r="N49" s="53">
        <f t="shared" si="3"/>
        <v>0.33834877578179134</v>
      </c>
      <c r="O49" s="53">
        <f t="shared" si="3"/>
        <v>0.3270124846364163</v>
      </c>
      <c r="P49" s="53">
        <f t="shared" si="3"/>
        <v>0.32968443824588356</v>
      </c>
      <c r="Q49" s="53">
        <f t="shared" si="3"/>
        <v>0.33874953716837947</v>
      </c>
      <c r="R49" s="53">
        <f t="shared" si="3"/>
        <v>0.34042304118188016</v>
      </c>
      <c r="S49" s="53">
        <f t="shared" si="3"/>
        <v>0.34782282023228117</v>
      </c>
      <c r="T49" s="53">
        <f t="shared" si="3"/>
        <v>0.33106811498244348</v>
      </c>
      <c r="U49" s="53">
        <f t="shared" si="3"/>
        <v>0.34108651754970998</v>
      </c>
      <c r="V49" s="53">
        <f t="shared" si="3"/>
        <v>0.34905313890551148</v>
      </c>
      <c r="W49" s="53">
        <f t="shared" si="3"/>
        <v>0.35385498265521265</v>
      </c>
      <c r="X49" s="53">
        <f t="shared" si="3"/>
        <v>0.34791692095997662</v>
      </c>
      <c r="Y49" s="53">
        <f t="shared" si="3"/>
        <v>0.34656061903115226</v>
      </c>
      <c r="Z49" s="53">
        <f t="shared" si="3"/>
        <v>0.33216598459286628</v>
      </c>
      <c r="AA49" s="53">
        <f t="shared" si="3"/>
        <v>0.32126601759832857</v>
      </c>
      <c r="AB49" s="53">
        <f t="shared" si="3"/>
        <v>0.32634496026044318</v>
      </c>
      <c r="AC49" s="53">
        <f t="shared" si="3"/>
        <v>0.32161042589977518</v>
      </c>
      <c r="AD49" s="53">
        <f t="shared" si="3"/>
        <v>0.31584604143116057</v>
      </c>
      <c r="AE49" s="53">
        <f t="shared" si="3"/>
        <v>6.6485122255289728E-3</v>
      </c>
    </row>
    <row r="51" spans="1:31" ht="13.5" customHeight="1">
      <c r="A51" s="103" t="s">
        <v>94</v>
      </c>
      <c r="B51" s="9" t="s">
        <v>9</v>
      </c>
      <c r="C51" s="9" t="s">
        <v>8</v>
      </c>
      <c r="D51" s="9" t="s">
        <v>10</v>
      </c>
      <c r="E51" s="9" t="s">
        <v>7</v>
      </c>
      <c r="F51" s="9">
        <v>2025</v>
      </c>
      <c r="G51" s="9">
        <v>2026</v>
      </c>
      <c r="H51" s="9">
        <v>2027</v>
      </c>
      <c r="I51" s="9">
        <v>2028</v>
      </c>
      <c r="J51" s="9">
        <v>2029</v>
      </c>
      <c r="K51" s="9">
        <v>2030</v>
      </c>
      <c r="L51" s="9">
        <v>2031</v>
      </c>
      <c r="M51" s="9">
        <v>2032</v>
      </c>
      <c r="N51" s="9">
        <v>2033</v>
      </c>
      <c r="O51" s="9">
        <v>2034</v>
      </c>
      <c r="P51" s="9">
        <v>2035</v>
      </c>
      <c r="Q51" s="9">
        <v>2036</v>
      </c>
      <c r="R51" s="9">
        <v>2037</v>
      </c>
      <c r="S51" s="9">
        <v>2038</v>
      </c>
      <c r="T51" s="9">
        <v>2039</v>
      </c>
      <c r="U51" s="9">
        <v>2040</v>
      </c>
      <c r="V51" s="9">
        <v>2041</v>
      </c>
      <c r="W51" s="9">
        <v>2042</v>
      </c>
      <c r="X51" s="9">
        <v>2043</v>
      </c>
      <c r="Y51" s="9">
        <v>2044</v>
      </c>
      <c r="Z51" s="9">
        <v>2045</v>
      </c>
      <c r="AA51" s="9">
        <v>2046</v>
      </c>
      <c r="AB51" s="9">
        <v>2047</v>
      </c>
      <c r="AC51" s="9">
        <v>2048</v>
      </c>
      <c r="AD51" s="9">
        <v>2049</v>
      </c>
      <c r="AE51" s="9">
        <v>2050</v>
      </c>
    </row>
    <row r="52" spans="1:31">
      <c r="A52" s="104"/>
      <c r="B52" s="5" t="s">
        <v>255</v>
      </c>
      <c r="C52" s="5" t="s">
        <v>275</v>
      </c>
      <c r="D52" s="5" t="s">
        <v>274</v>
      </c>
      <c r="E52" s="5" t="s">
        <v>97</v>
      </c>
      <c r="F52" s="2">
        <f>'P2.1 Solar Avd Pollution'!F70</f>
        <v>0</v>
      </c>
      <c r="G52" s="2">
        <f>'P2.1 Solar Avd Pollution'!G70</f>
        <v>0</v>
      </c>
      <c r="H52" s="2">
        <f>'P2.1 Solar Avd Pollution'!H70</f>
        <v>1579.8597475235636</v>
      </c>
      <c r="I52" s="2">
        <f>'P2.1 Solar Avd Pollution'!I70</f>
        <v>1371.3628918883207</v>
      </c>
      <c r="J52" s="2">
        <f>'P2.1 Solar Avd Pollution'!J70</f>
        <v>1183.2416754096262</v>
      </c>
      <c r="K52" s="2">
        <f>'P2.1 Solar Avd Pollution'!K70</f>
        <v>1032.3195546836307</v>
      </c>
      <c r="L52" s="2">
        <f>'P2.1 Solar Avd Pollution'!L70</f>
        <v>993.95381136163553</v>
      </c>
      <c r="M52" s="2">
        <f>'P2.1 Solar Avd Pollution'!M70</f>
        <v>976.34096970338362</v>
      </c>
      <c r="N52" s="2">
        <f>'P2.1 Solar Avd Pollution'!N70</f>
        <v>998.32681122715599</v>
      </c>
      <c r="O52" s="2">
        <f>'P2.1 Solar Avd Pollution'!O70</f>
        <v>964.87812099869279</v>
      </c>
      <c r="P52" s="2">
        <f>'P2.1 Solar Avd Pollution'!P70</f>
        <v>972.76194714974906</v>
      </c>
      <c r="Q52" s="2">
        <f>'P2.1 Solar Avd Pollution'!Q70</f>
        <v>999.50929174954308</v>
      </c>
      <c r="R52" s="2">
        <f>'P2.1 Solar Avd Pollution'!R70</f>
        <v>1004.4471075330158</v>
      </c>
      <c r="S52" s="2">
        <f>'P2.1 Solar Avd Pollution'!S70</f>
        <v>1026.2807843539322</v>
      </c>
      <c r="T52" s="2">
        <f>'P2.1 Solar Avd Pollution'!T70</f>
        <v>976.84460292702272</v>
      </c>
      <c r="U52" s="2">
        <f>'P2.1 Solar Avd Pollution'!U70</f>
        <v>1006.4047509295069</v>
      </c>
      <c r="V52" s="2">
        <f>'P2.1 Solar Avd Pollution'!V70</f>
        <v>1029.910944135067</v>
      </c>
      <c r="W52" s="2">
        <f>'P2.1 Solar Avd Pollution'!W70</f>
        <v>1044.079192114016</v>
      </c>
      <c r="X52" s="2">
        <f>'P2.1 Solar Avd Pollution'!X70</f>
        <v>1026.5584365463992</v>
      </c>
      <c r="Y52" s="2">
        <f>'P2.1 Solar Avd Pollution'!Y70</f>
        <v>1022.5565524652886</v>
      </c>
      <c r="Z52" s="2">
        <f>'P2.1 Solar Avd Pollution'!Z70</f>
        <v>980.08396049462169</v>
      </c>
      <c r="AA52" s="2">
        <f>'P2.1 Solar Avd Pollution'!AA70</f>
        <v>947.92268174610365</v>
      </c>
      <c r="AB52" s="2">
        <f>'P2.1 Solar Avd Pollution'!AB70</f>
        <v>962.90853361022994</v>
      </c>
      <c r="AC52" s="2">
        <f>'P2.1 Solar Avd Pollution'!AC70</f>
        <v>948.93888770266074</v>
      </c>
      <c r="AD52" s="2">
        <f>'P2.1 Solar Avd Pollution'!AD70</f>
        <v>931.93058154892219</v>
      </c>
      <c r="AE52" s="2">
        <f>'P2.1 Solar Avd Pollution'!AE70</f>
        <v>0</v>
      </c>
    </row>
    <row r="53" spans="1:31">
      <c r="A53" s="104"/>
      <c r="B53" s="1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1"/>
      <c r="C55" s="1"/>
      <c r="D55" s="1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4"/>
      <c r="B56" s="1"/>
      <c r="C56" s="1"/>
      <c r="D56" s="1"/>
      <c r="E56" s="1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>
      <c r="A57" s="104"/>
      <c r="B57" s="1"/>
      <c r="C57" s="1"/>
      <c r="D57" s="1"/>
      <c r="E57" s="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>
      <c r="A58" s="104"/>
      <c r="B58" s="1"/>
      <c r="C58" s="1"/>
      <c r="D58" s="1"/>
      <c r="E58" s="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>
      <c r="A59" s="104"/>
      <c r="B59" s="3"/>
      <c r="C59" s="3"/>
      <c r="D59" s="23"/>
      <c r="E59" s="1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>
      <c r="A60" s="105"/>
      <c r="B60" s="51" t="s">
        <v>104</v>
      </c>
      <c r="C60" s="51" t="s">
        <v>19</v>
      </c>
      <c r="D60" s="52" t="s">
        <v>34</v>
      </c>
      <c r="E60" s="28" t="s">
        <v>105</v>
      </c>
      <c r="F60" s="53">
        <f t="shared" ref="F60:AE60" si="4">SUM(F52:F59)/2204.62</f>
        <v>0</v>
      </c>
      <c r="G60" s="53">
        <f t="shared" si="4"/>
        <v>0</v>
      </c>
      <c r="H60" s="53">
        <f t="shared" si="4"/>
        <v>0.71661317937946845</v>
      </c>
      <c r="I60" s="53">
        <f t="shared" si="4"/>
        <v>0.62204048402369605</v>
      </c>
      <c r="J60" s="53">
        <f t="shared" si="4"/>
        <v>0.5367100341145532</v>
      </c>
      <c r="K60" s="53">
        <f t="shared" si="4"/>
        <v>0.46825283027625203</v>
      </c>
      <c r="L60" s="53">
        <f t="shared" si="4"/>
        <v>0.45085040114016728</v>
      </c>
      <c r="M60" s="53">
        <f t="shared" si="4"/>
        <v>0.44286134104897157</v>
      </c>
      <c r="N60" s="53">
        <f t="shared" si="4"/>
        <v>0.45283396287213035</v>
      </c>
      <c r="O60" s="53">
        <f t="shared" si="4"/>
        <v>0.43766187415459029</v>
      </c>
      <c r="P60" s="53">
        <f t="shared" si="4"/>
        <v>0.44123792179593269</v>
      </c>
      <c r="Q60" s="53">
        <f t="shared" si="4"/>
        <v>0.45337032765263091</v>
      </c>
      <c r="R60" s="53">
        <f t="shared" si="4"/>
        <v>0.45561008588011354</v>
      </c>
      <c r="S60" s="53">
        <f t="shared" si="4"/>
        <v>0.46551368687299044</v>
      </c>
      <c r="T60" s="53">
        <f t="shared" si="4"/>
        <v>0.44308978550817046</v>
      </c>
      <c r="U60" s="53">
        <f t="shared" si="4"/>
        <v>0.4564980590439654</v>
      </c>
      <c r="V60" s="53">
        <f t="shared" si="4"/>
        <v>0.46716030160983163</v>
      </c>
      <c r="W60" s="53">
        <f t="shared" si="4"/>
        <v>0.47358691843220874</v>
      </c>
      <c r="X60" s="53">
        <f t="shared" si="4"/>
        <v>0.46563962793878277</v>
      </c>
      <c r="Y60" s="53">
        <f t="shared" si="4"/>
        <v>0.46382440169520767</v>
      </c>
      <c r="Z60" s="53">
        <f t="shared" si="4"/>
        <v>0.44455913513196005</v>
      </c>
      <c r="AA60" s="53">
        <f t="shared" si="4"/>
        <v>0.42997100713324915</v>
      </c>
      <c r="AB60" s="53">
        <f t="shared" si="4"/>
        <v>0.43676848328066969</v>
      </c>
      <c r="AC60" s="53">
        <f t="shared" si="4"/>
        <v>0.43043195094966968</v>
      </c>
      <c r="AD60" s="53">
        <f t="shared" si="4"/>
        <v>0.42271710387682332</v>
      </c>
      <c r="AE60" s="53">
        <f t="shared" si="4"/>
        <v>0</v>
      </c>
    </row>
    <row r="65" spans="1:31" ht="13.5" customHeight="1">
      <c r="A65" s="103" t="s">
        <v>111</v>
      </c>
      <c r="B65" s="9" t="s">
        <v>9</v>
      </c>
      <c r="C65" s="9" t="s">
        <v>8</v>
      </c>
      <c r="D65" s="9" t="s">
        <v>10</v>
      </c>
      <c r="E65" s="9" t="s">
        <v>7</v>
      </c>
      <c r="F65" s="9">
        <v>2025</v>
      </c>
      <c r="G65" s="9">
        <v>2026</v>
      </c>
      <c r="H65" s="9">
        <v>2027</v>
      </c>
      <c r="I65" s="9">
        <v>2028</v>
      </c>
      <c r="J65" s="9">
        <v>2029</v>
      </c>
      <c r="K65" s="9">
        <v>2030</v>
      </c>
      <c r="L65" s="9">
        <v>2031</v>
      </c>
      <c r="M65" s="9">
        <v>2032</v>
      </c>
      <c r="N65" s="9">
        <v>2033</v>
      </c>
      <c r="O65" s="9">
        <v>2034</v>
      </c>
      <c r="P65" s="9">
        <v>2035</v>
      </c>
      <c r="Q65" s="9">
        <v>2036</v>
      </c>
      <c r="R65" s="9">
        <v>2037</v>
      </c>
      <c r="S65" s="9">
        <v>2038</v>
      </c>
      <c r="T65" s="9">
        <v>2039</v>
      </c>
      <c r="U65" s="9">
        <v>2040</v>
      </c>
      <c r="V65" s="9">
        <v>2041</v>
      </c>
      <c r="W65" s="9">
        <v>2042</v>
      </c>
      <c r="X65" s="9">
        <v>2043</v>
      </c>
      <c r="Y65" s="9">
        <v>2044</v>
      </c>
      <c r="Z65" s="9">
        <v>2045</v>
      </c>
      <c r="AA65" s="9">
        <v>2046</v>
      </c>
      <c r="AB65" s="9">
        <v>2047</v>
      </c>
      <c r="AC65" s="9">
        <v>2048</v>
      </c>
      <c r="AD65" s="9">
        <v>2049</v>
      </c>
      <c r="AE65" s="32">
        <v>2050</v>
      </c>
    </row>
    <row r="66" spans="1:31">
      <c r="A66" s="104"/>
      <c r="B66" s="5" t="s">
        <v>106</v>
      </c>
      <c r="C66" s="5" t="s">
        <v>112</v>
      </c>
      <c r="D66" s="5" t="s">
        <v>55</v>
      </c>
      <c r="E66" s="5" t="s">
        <v>105</v>
      </c>
      <c r="F66" s="13">
        <f t="shared" ref="F66:AE66" si="5">F16</f>
        <v>0</v>
      </c>
      <c r="G66" s="13">
        <f t="shared" si="5"/>
        <v>0</v>
      </c>
      <c r="H66" s="13">
        <f t="shared" si="5"/>
        <v>19.238158085354275</v>
      </c>
      <c r="I66" s="13">
        <f t="shared" si="5"/>
        <v>16.699264696053422</v>
      </c>
      <c r="J66" s="13">
        <f t="shared" si="5"/>
        <v>14.408488120791445</v>
      </c>
      <c r="K66" s="13">
        <f t="shared" si="5"/>
        <v>12.570689783530931</v>
      </c>
      <c r="L66" s="13">
        <f t="shared" si="5"/>
        <v>12.103505126001918</v>
      </c>
      <c r="M66" s="13">
        <f t="shared" si="5"/>
        <v>11.889031257239267</v>
      </c>
      <c r="N66" s="13">
        <f t="shared" si="5"/>
        <v>12.156755715398846</v>
      </c>
      <c r="O66" s="13">
        <f t="shared" si="5"/>
        <v>11.749446654343336</v>
      </c>
      <c r="P66" s="13">
        <f t="shared" si="5"/>
        <v>11.845449033066647</v>
      </c>
      <c r="Q66" s="13">
        <f t="shared" si="5"/>
        <v>12.171154934860065</v>
      </c>
      <c r="R66" s="13">
        <f t="shared" si="5"/>
        <v>12.231283361315457</v>
      </c>
      <c r="S66" s="13">
        <f t="shared" si="5"/>
        <v>12.497154890053206</v>
      </c>
      <c r="T66" s="13">
        <f t="shared" si="5"/>
        <v>11.895164064653716</v>
      </c>
      <c r="U66" s="13">
        <f t="shared" si="5"/>
        <v>12.255121840139594</v>
      </c>
      <c r="V66" s="13">
        <f t="shared" si="5"/>
        <v>12.541359818910999</v>
      </c>
      <c r="W66" s="13">
        <f t="shared" si="5"/>
        <v>12.713888421426999</v>
      </c>
      <c r="X66" s="13">
        <f t="shared" si="5"/>
        <v>12.500535896993728</v>
      </c>
      <c r="Y66" s="13">
        <f t="shared" si="5"/>
        <v>12.451804432879682</v>
      </c>
      <c r="Z66" s="13">
        <f t="shared" si="5"/>
        <v>11.934610144014968</v>
      </c>
      <c r="AA66" s="13">
        <f t="shared" si="5"/>
        <v>11.542978060368942</v>
      </c>
      <c r="AB66" s="13">
        <f t="shared" si="5"/>
        <v>11.725462731972023</v>
      </c>
      <c r="AC66" s="13">
        <f t="shared" si="5"/>
        <v>11.555352532767628</v>
      </c>
      <c r="AD66" s="13">
        <f t="shared" si="5"/>
        <v>11.34824017164657</v>
      </c>
      <c r="AE66" s="13">
        <f t="shared" si="5"/>
        <v>1.5268598376125739</v>
      </c>
    </row>
    <row r="67" spans="1:31">
      <c r="A67" s="104"/>
      <c r="B67" s="1" t="s">
        <v>107</v>
      </c>
      <c r="C67" s="1" t="s">
        <v>112</v>
      </c>
      <c r="D67" s="1" t="s">
        <v>55</v>
      </c>
      <c r="E67" s="1" t="s">
        <v>105</v>
      </c>
      <c r="F67" s="14">
        <f t="shared" ref="F67:AE67" si="6">F27</f>
        <v>0</v>
      </c>
      <c r="G67" s="14">
        <f t="shared" si="6"/>
        <v>0</v>
      </c>
      <c r="H67" s="14">
        <f t="shared" si="6"/>
        <v>16.272491841471432</v>
      </c>
      <c r="I67" s="14">
        <f t="shared" si="6"/>
        <v>14.124982616291726</v>
      </c>
      <c r="J67" s="14">
        <f t="shared" si="6"/>
        <v>12.187341654709099</v>
      </c>
      <c r="K67" s="14">
        <f t="shared" si="6"/>
        <v>10.632849882853449</v>
      </c>
      <c r="L67" s="14">
        <f t="shared" si="6"/>
        <v>10.237684270097155</v>
      </c>
      <c r="M67" s="14">
        <f t="shared" si="6"/>
        <v>10.056272709584718</v>
      </c>
      <c r="N67" s="14">
        <f t="shared" si="6"/>
        <v>10.282725992785501</v>
      </c>
      <c r="O67" s="14">
        <f t="shared" si="6"/>
        <v>9.9382058290787185</v>
      </c>
      <c r="P67" s="14">
        <f t="shared" si="6"/>
        <v>10.019408921266956</v>
      </c>
      <c r="Q67" s="14">
        <f t="shared" si="6"/>
        <v>10.294905494594699</v>
      </c>
      <c r="R67" s="14">
        <f t="shared" si="6"/>
        <v>10.345764798515313</v>
      </c>
      <c r="S67" s="14">
        <f t="shared" si="6"/>
        <v>10.570650791398293</v>
      </c>
      <c r="T67" s="14">
        <f t="shared" si="6"/>
        <v>10.061460111526952</v>
      </c>
      <c r="U67" s="14">
        <f t="shared" si="6"/>
        <v>10.365928446742853</v>
      </c>
      <c r="V67" s="14">
        <f t="shared" si="6"/>
        <v>10.608041291102047</v>
      </c>
      <c r="W67" s="14">
        <f t="shared" si="6"/>
        <v>10.753973675294242</v>
      </c>
      <c r="X67" s="14">
        <f t="shared" si="6"/>
        <v>10.57351059781071</v>
      </c>
      <c r="Y67" s="14">
        <f t="shared" si="6"/>
        <v>10.532291352771734</v>
      </c>
      <c r="Z67" s="14">
        <f t="shared" si="6"/>
        <v>10.094825364153326</v>
      </c>
      <c r="AA67" s="14">
        <f t="shared" si="6"/>
        <v>9.7635654868971997</v>
      </c>
      <c r="AB67" s="14">
        <f t="shared" si="6"/>
        <v>9.9179191582143815</v>
      </c>
      <c r="AC67" s="14">
        <f t="shared" si="6"/>
        <v>9.7740323673676048</v>
      </c>
      <c r="AD67" s="14">
        <f t="shared" si="6"/>
        <v>9.598847498231093</v>
      </c>
      <c r="AE67" s="14">
        <f t="shared" si="6"/>
        <v>0.89777292006184073</v>
      </c>
    </row>
    <row r="68" spans="1:31">
      <c r="A68" s="104"/>
      <c r="B68" s="1" t="s">
        <v>108</v>
      </c>
      <c r="C68" s="1" t="s">
        <v>112</v>
      </c>
      <c r="D68" s="1" t="s">
        <v>55</v>
      </c>
      <c r="E68" s="1" t="s">
        <v>105</v>
      </c>
      <c r="F68" s="14">
        <f t="shared" ref="F68:AE68" si="7">F38</f>
        <v>0</v>
      </c>
      <c r="G68" s="14">
        <f t="shared" si="7"/>
        <v>0</v>
      </c>
      <c r="H68" s="14">
        <f t="shared" si="7"/>
        <v>2.5212999642723601</v>
      </c>
      <c r="I68" s="14">
        <f t="shared" si="7"/>
        <v>2.1885595957123996</v>
      </c>
      <c r="J68" s="14">
        <f t="shared" si="7"/>
        <v>1.8883367328094813</v>
      </c>
      <c r="K68" s="14">
        <f t="shared" si="7"/>
        <v>1.6474799490406515</v>
      </c>
      <c r="L68" s="14">
        <f t="shared" si="7"/>
        <v>1.5862520157265354</v>
      </c>
      <c r="M68" s="14">
        <f t="shared" si="7"/>
        <v>1.5581436617329016</v>
      </c>
      <c r="N68" s="14">
        <f t="shared" si="7"/>
        <v>1.5932308911754367</v>
      </c>
      <c r="O68" s="14">
        <f t="shared" si="7"/>
        <v>1.5398500884743263</v>
      </c>
      <c r="P68" s="14">
        <f t="shared" si="7"/>
        <v>1.5524318955772325</v>
      </c>
      <c r="Q68" s="14">
        <f t="shared" si="7"/>
        <v>1.5951180131832738</v>
      </c>
      <c r="R68" s="14">
        <f t="shared" si="7"/>
        <v>1.6029982789967221</v>
      </c>
      <c r="S68" s="14">
        <f t="shared" si="7"/>
        <v>1.6378426686172569</v>
      </c>
      <c r="T68" s="14">
        <f t="shared" si="7"/>
        <v>1.5589474105661496</v>
      </c>
      <c r="U68" s="14">
        <f t="shared" si="7"/>
        <v>1.6061224843151802</v>
      </c>
      <c r="V68" s="14">
        <f t="shared" si="7"/>
        <v>1.6436360447323362</v>
      </c>
      <c r="W68" s="14">
        <f t="shared" si="7"/>
        <v>1.666247167763429</v>
      </c>
      <c r="X68" s="14">
        <f t="shared" si="7"/>
        <v>1.6382857740663608</v>
      </c>
      <c r="Y68" s="14">
        <f t="shared" si="7"/>
        <v>1.6318991627190291</v>
      </c>
      <c r="Z68" s="14">
        <f t="shared" si="7"/>
        <v>1.5641171049850719</v>
      </c>
      <c r="AA68" s="14">
        <f t="shared" si="7"/>
        <v>1.5127908837260657</v>
      </c>
      <c r="AB68" s="14">
        <f t="shared" si="7"/>
        <v>1.5367068217255235</v>
      </c>
      <c r="AC68" s="14">
        <f t="shared" si="7"/>
        <v>1.5144126479655671</v>
      </c>
      <c r="AD68" s="14">
        <f t="shared" si="7"/>
        <v>1.487269072869756</v>
      </c>
      <c r="AE68" s="14">
        <f t="shared" si="7"/>
        <v>0.18962884875161418</v>
      </c>
    </row>
    <row r="69" spans="1:31">
      <c r="A69" s="104"/>
      <c r="B69" s="1" t="s">
        <v>109</v>
      </c>
      <c r="C69" s="1" t="s">
        <v>112</v>
      </c>
      <c r="D69" s="1" t="s">
        <v>55</v>
      </c>
      <c r="E69" s="1" t="s">
        <v>105</v>
      </c>
      <c r="F69" s="14">
        <f t="shared" ref="F69:AE69" si="8">F49</f>
        <v>0</v>
      </c>
      <c r="G69" s="14">
        <f t="shared" si="8"/>
        <v>0</v>
      </c>
      <c r="H69" s="14">
        <f t="shared" si="8"/>
        <v>0.53543950284622721</v>
      </c>
      <c r="I69" s="14">
        <f t="shared" si="8"/>
        <v>0.46477661463648068</v>
      </c>
      <c r="J69" s="14">
        <f t="shared" si="8"/>
        <v>0.40101935340865918</v>
      </c>
      <c r="K69" s="14">
        <f t="shared" si="8"/>
        <v>0.34986945518719076</v>
      </c>
      <c r="L69" s="14">
        <f t="shared" si="8"/>
        <v>0.3368666968329409</v>
      </c>
      <c r="M69" s="14">
        <f t="shared" si="8"/>
        <v>0.33089742570239511</v>
      </c>
      <c r="N69" s="14">
        <f t="shared" si="8"/>
        <v>0.33834877578179134</v>
      </c>
      <c r="O69" s="14">
        <f t="shared" si="8"/>
        <v>0.3270124846364163</v>
      </c>
      <c r="P69" s="14">
        <f t="shared" si="8"/>
        <v>0.32968443824588356</v>
      </c>
      <c r="Q69" s="14">
        <f t="shared" si="8"/>
        <v>0.33874953716837947</v>
      </c>
      <c r="R69" s="14">
        <f t="shared" si="8"/>
        <v>0.34042304118188016</v>
      </c>
      <c r="S69" s="14">
        <f t="shared" si="8"/>
        <v>0.34782282023228117</v>
      </c>
      <c r="T69" s="14">
        <f t="shared" si="8"/>
        <v>0.33106811498244348</v>
      </c>
      <c r="U69" s="14">
        <f t="shared" si="8"/>
        <v>0.34108651754970998</v>
      </c>
      <c r="V69" s="14">
        <f t="shared" si="8"/>
        <v>0.34905313890551148</v>
      </c>
      <c r="W69" s="14">
        <f t="shared" si="8"/>
        <v>0.35385498265521265</v>
      </c>
      <c r="X69" s="14">
        <f t="shared" si="8"/>
        <v>0.34791692095997662</v>
      </c>
      <c r="Y69" s="14">
        <f t="shared" si="8"/>
        <v>0.34656061903115226</v>
      </c>
      <c r="Z69" s="14">
        <f t="shared" si="8"/>
        <v>0.33216598459286628</v>
      </c>
      <c r="AA69" s="14">
        <f t="shared" si="8"/>
        <v>0.32126601759832857</v>
      </c>
      <c r="AB69" s="14">
        <f t="shared" si="8"/>
        <v>0.32634496026044318</v>
      </c>
      <c r="AC69" s="14">
        <f t="shared" si="8"/>
        <v>0.32161042589977518</v>
      </c>
      <c r="AD69" s="14">
        <f t="shared" si="8"/>
        <v>0.31584604143116057</v>
      </c>
      <c r="AE69" s="14">
        <f t="shared" si="8"/>
        <v>6.6485122255289728E-3</v>
      </c>
    </row>
    <row r="70" spans="1:31">
      <c r="A70" s="105"/>
      <c r="B70" s="3" t="s">
        <v>110</v>
      </c>
      <c r="C70" s="3" t="s">
        <v>112</v>
      </c>
      <c r="D70" s="3" t="s">
        <v>55</v>
      </c>
      <c r="E70" s="3" t="s">
        <v>105</v>
      </c>
      <c r="F70" s="44">
        <f t="shared" ref="F70:AE70" si="9">F60</f>
        <v>0</v>
      </c>
      <c r="G70" s="44">
        <f t="shared" si="9"/>
        <v>0</v>
      </c>
      <c r="H70" s="44">
        <f t="shared" si="9"/>
        <v>0.71661317937946845</v>
      </c>
      <c r="I70" s="44">
        <f t="shared" si="9"/>
        <v>0.62204048402369605</v>
      </c>
      <c r="J70" s="44">
        <f t="shared" si="9"/>
        <v>0.5367100341145532</v>
      </c>
      <c r="K70" s="44">
        <f t="shared" si="9"/>
        <v>0.46825283027625203</v>
      </c>
      <c r="L70" s="44">
        <f t="shared" si="9"/>
        <v>0.45085040114016728</v>
      </c>
      <c r="M70" s="44">
        <f t="shared" si="9"/>
        <v>0.44286134104897157</v>
      </c>
      <c r="N70" s="44">
        <f t="shared" si="9"/>
        <v>0.45283396287213035</v>
      </c>
      <c r="O70" s="44">
        <f t="shared" si="9"/>
        <v>0.43766187415459029</v>
      </c>
      <c r="P70" s="44">
        <f t="shared" si="9"/>
        <v>0.44123792179593269</v>
      </c>
      <c r="Q70" s="44">
        <f t="shared" si="9"/>
        <v>0.45337032765263091</v>
      </c>
      <c r="R70" s="44">
        <f t="shared" si="9"/>
        <v>0.45561008588011354</v>
      </c>
      <c r="S70" s="44">
        <f t="shared" si="9"/>
        <v>0.46551368687299044</v>
      </c>
      <c r="T70" s="44">
        <f t="shared" si="9"/>
        <v>0.44308978550817046</v>
      </c>
      <c r="U70" s="44">
        <f t="shared" si="9"/>
        <v>0.4564980590439654</v>
      </c>
      <c r="V70" s="44">
        <f t="shared" si="9"/>
        <v>0.46716030160983163</v>
      </c>
      <c r="W70" s="44">
        <f t="shared" si="9"/>
        <v>0.47358691843220874</v>
      </c>
      <c r="X70" s="44">
        <f t="shared" si="9"/>
        <v>0.46563962793878277</v>
      </c>
      <c r="Y70" s="44">
        <f t="shared" si="9"/>
        <v>0.46382440169520767</v>
      </c>
      <c r="Z70" s="44">
        <f t="shared" si="9"/>
        <v>0.44455913513196005</v>
      </c>
      <c r="AA70" s="44">
        <f t="shared" si="9"/>
        <v>0.42997100713324915</v>
      </c>
      <c r="AB70" s="44">
        <f t="shared" si="9"/>
        <v>0.43676848328066969</v>
      </c>
      <c r="AC70" s="44">
        <f t="shared" si="9"/>
        <v>0.43043195094966968</v>
      </c>
      <c r="AD70" s="44">
        <f t="shared" si="9"/>
        <v>0.42271710387682332</v>
      </c>
      <c r="AE70" s="44">
        <f t="shared" si="9"/>
        <v>0</v>
      </c>
    </row>
    <row r="75" spans="1:31" ht="29.25" customHeight="1">
      <c r="A75" s="22"/>
      <c r="F75" s="58" t="s">
        <v>106</v>
      </c>
      <c r="G75" s="29" t="s">
        <v>107</v>
      </c>
      <c r="H75" s="29" t="s">
        <v>108</v>
      </c>
      <c r="I75" s="29" t="s">
        <v>109</v>
      </c>
      <c r="J75" s="59" t="s">
        <v>110</v>
      </c>
      <c r="L75" s="27"/>
    </row>
    <row r="76" spans="1:31" ht="13.5" customHeight="1">
      <c r="A76" s="100" t="s">
        <v>37</v>
      </c>
      <c r="B76" s="5" t="s">
        <v>41</v>
      </c>
      <c r="C76" s="5" t="s">
        <v>38</v>
      </c>
      <c r="D76" s="5" t="s">
        <v>34</v>
      </c>
      <c r="E76" s="5" t="s">
        <v>105</v>
      </c>
      <c r="F76" s="48">
        <f>SUM($F$66:$K$66)</f>
        <v>62.916600685730074</v>
      </c>
      <c r="G76" s="13">
        <f>SUM($F$67:$K$67)</f>
        <v>53.21766599532571</v>
      </c>
      <c r="H76" s="13">
        <f>SUM($F$68:$K$68)</f>
        <v>8.245676241834893</v>
      </c>
      <c r="I76" s="13">
        <f>SUM($F$69:$K$69)</f>
        <v>1.7511049260785581</v>
      </c>
      <c r="J76" s="45">
        <f>SUM($F$70:$K$70)</f>
        <v>2.3436165277939698</v>
      </c>
    </row>
    <row r="77" spans="1:31" ht="13.5" customHeight="1">
      <c r="A77" s="101"/>
      <c r="B77" s="1" t="s">
        <v>39</v>
      </c>
      <c r="C77" s="1" t="s">
        <v>38</v>
      </c>
      <c r="D77" s="1" t="s">
        <v>34</v>
      </c>
      <c r="E77" s="1" t="s">
        <v>113</v>
      </c>
      <c r="F77" s="49">
        <f>F76/COUNT($F$65:$K$65)</f>
        <v>10.486100114288346</v>
      </c>
      <c r="G77" s="14">
        <f>G76/COUNT($F$65:$K$65)</f>
        <v>8.8696109992209511</v>
      </c>
      <c r="H77" s="14">
        <f>H76/COUNT($F$65:$K$65)</f>
        <v>1.3742793736391488</v>
      </c>
      <c r="I77" s="14">
        <f>I76/COUNT($F$65:$K$65)</f>
        <v>0.29185082101309301</v>
      </c>
      <c r="J77" s="46">
        <f>J76/COUNT($F$65:$K$65)</f>
        <v>0.3906027546323283</v>
      </c>
    </row>
    <row r="78" spans="1:31">
      <c r="A78" s="101"/>
      <c r="B78" s="1" t="s">
        <v>41</v>
      </c>
      <c r="C78" s="1" t="s">
        <v>40</v>
      </c>
      <c r="D78" s="1" t="s">
        <v>34</v>
      </c>
      <c r="E78" s="1" t="s">
        <v>105</v>
      </c>
      <c r="F78" s="49">
        <f>SUM(F66:AE66)</f>
        <v>293.55175961139622</v>
      </c>
      <c r="G78" s="14">
        <f>SUM(F67:AE67)</f>
        <v>247.90545307282105</v>
      </c>
      <c r="H78" s="14">
        <f>SUM($F$68:$AE$68)</f>
        <v>38.461607179504668</v>
      </c>
      <c r="I78" s="14">
        <f>SUM($F$69:$AE$69)</f>
        <v>8.1343323819526372</v>
      </c>
      <c r="J78" s="46">
        <f>SUM($F$70:$AE$70)</f>
        <v>10.877802903812036</v>
      </c>
    </row>
    <row r="79" spans="1:31">
      <c r="A79" s="102"/>
      <c r="B79" s="3" t="s">
        <v>39</v>
      </c>
      <c r="C79" s="3" t="s">
        <v>40</v>
      </c>
      <c r="D79" s="3" t="s">
        <v>34</v>
      </c>
      <c r="E79" s="3" t="s">
        <v>157</v>
      </c>
      <c r="F79" s="50">
        <f>F78/COUNT($F$65:$AE$65)</f>
        <v>11.290452292746009</v>
      </c>
      <c r="G79" s="44">
        <f>G78/COUNT($F$65:$AE$65)</f>
        <v>9.5348251181854256</v>
      </c>
      <c r="H79" s="44">
        <f>H78/COUNT($F$65:$AE$65)</f>
        <v>1.4792925838271027</v>
      </c>
      <c r="I79" s="44">
        <f>I78/COUNT($F$65:$AE$65)</f>
        <v>0.31285893776740914</v>
      </c>
      <c r="J79" s="47">
        <f>J78/COUNT($F$65:$AE$65)</f>
        <v>0.41837703476200139</v>
      </c>
    </row>
    <row r="80" spans="1:31" ht="13">
      <c r="A80" s="22"/>
    </row>
  </sheetData>
  <mergeCells count="7">
    <mergeCell ref="A76:A79"/>
    <mergeCell ref="A7:A16"/>
    <mergeCell ref="A18:A27"/>
    <mergeCell ref="A29:A38"/>
    <mergeCell ref="A40:A49"/>
    <mergeCell ref="A51:A60"/>
    <mergeCell ref="A65:A7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59D37-EF94-4885-8847-DE3F84DC9632}">
  <sheetPr>
    <tabColor theme="6"/>
  </sheetPr>
  <dimension ref="A1:AE98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2.906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17">
      <c r="A1" s="21" t="s">
        <v>186</v>
      </c>
    </row>
    <row r="2" spans="1:17" ht="13">
      <c r="A2" s="22" t="s">
        <v>210</v>
      </c>
    </row>
    <row r="3" spans="1:17" ht="13">
      <c r="A3" s="22" t="s">
        <v>222</v>
      </c>
    </row>
    <row r="4" spans="1:17" ht="13">
      <c r="A4" s="22"/>
    </row>
    <row r="6" spans="1:17" s="27" customFormat="1" ht="15" customHeight="1">
      <c r="A6" s="97" t="s">
        <v>42</v>
      </c>
      <c r="B6" s="26" t="s">
        <v>9</v>
      </c>
      <c r="C6" s="26" t="s">
        <v>8</v>
      </c>
      <c r="D6" s="37" t="s">
        <v>10</v>
      </c>
      <c r="E6" s="37" t="s">
        <v>7</v>
      </c>
      <c r="F6" s="29" t="s">
        <v>90</v>
      </c>
      <c r="G6" s="29" t="s">
        <v>91</v>
      </c>
      <c r="H6" s="29" t="s">
        <v>92</v>
      </c>
      <c r="I6" s="29" t="s">
        <v>93</v>
      </c>
      <c r="J6" s="29" t="s">
        <v>94</v>
      </c>
      <c r="L6" s="21"/>
      <c r="M6" s="21"/>
      <c r="N6" s="21"/>
      <c r="O6" s="21"/>
      <c r="P6" s="21"/>
      <c r="Q6" s="21"/>
    </row>
    <row r="7" spans="1:17" ht="13.5" customHeight="1">
      <c r="A7" s="98"/>
      <c r="B7" s="5" t="s">
        <v>255</v>
      </c>
      <c r="C7" s="5" t="s">
        <v>95</v>
      </c>
      <c r="D7" s="7" t="s">
        <v>96</v>
      </c>
      <c r="E7" s="7" t="s">
        <v>97</v>
      </c>
      <c r="F7" s="7">
        <f>'P0.2 Solar AVERT Results'!E10*-1</f>
        <v>45550</v>
      </c>
      <c r="G7" s="7">
        <f>'P0.2 Solar AVERT Results'!E11*-1</f>
        <v>40420</v>
      </c>
      <c r="H7" s="2">
        <f>'P0.2 Solar AVERT Results'!E14*-1</f>
        <v>6020</v>
      </c>
      <c r="I7" s="2">
        <f>'P0.2 Solar AVERT Results'!E15*-1</f>
        <v>1440</v>
      </c>
      <c r="J7" s="2">
        <f>'P0.2 Solar AVERT Results'!E16*-1</f>
        <v>1970</v>
      </c>
    </row>
    <row r="8" spans="1:17">
      <c r="A8" s="98"/>
      <c r="B8" s="1"/>
      <c r="C8" s="1"/>
      <c r="D8" s="2"/>
      <c r="E8" s="2"/>
      <c r="F8" s="2"/>
      <c r="G8" s="2"/>
      <c r="H8" s="2"/>
      <c r="I8" s="2"/>
      <c r="J8" s="2"/>
    </row>
    <row r="9" spans="1:17">
      <c r="A9" s="98"/>
      <c r="B9" s="1"/>
      <c r="C9" s="1"/>
      <c r="D9" s="2"/>
      <c r="E9" s="2"/>
      <c r="F9" s="2"/>
      <c r="G9" s="2"/>
      <c r="H9" s="2"/>
      <c r="I9" s="2"/>
      <c r="J9" s="2"/>
    </row>
    <row r="10" spans="1:17">
      <c r="A10" s="98"/>
      <c r="B10" s="1"/>
      <c r="C10" s="1"/>
      <c r="D10" s="2"/>
      <c r="E10" s="2"/>
      <c r="F10" s="2"/>
      <c r="G10" s="2"/>
      <c r="H10" s="2"/>
      <c r="I10" s="2"/>
      <c r="J10" s="2"/>
    </row>
    <row r="11" spans="1:17">
      <c r="A11" s="99"/>
      <c r="B11" s="3"/>
      <c r="C11" s="3"/>
      <c r="D11" s="23"/>
      <c r="E11" s="23"/>
      <c r="F11" s="23"/>
      <c r="G11" s="23"/>
      <c r="H11" s="23"/>
      <c r="I11" s="23"/>
      <c r="J11" s="23"/>
    </row>
    <row r="12" spans="1:17" ht="13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7" s="27" customFormat="1" ht="15" customHeight="1">
      <c r="A13" s="97" t="s">
        <v>98</v>
      </c>
      <c r="B13" s="26" t="s">
        <v>9</v>
      </c>
      <c r="C13" s="26" t="s">
        <v>8</v>
      </c>
      <c r="D13" s="37" t="s">
        <v>10</v>
      </c>
      <c r="E13" s="37"/>
      <c r="F13" s="29">
        <v>2025</v>
      </c>
      <c r="G13" s="29">
        <v>2026</v>
      </c>
      <c r="H13" s="29">
        <v>2027</v>
      </c>
      <c r="I13" s="29">
        <v>2028</v>
      </c>
      <c r="J13" s="29">
        <v>2029</v>
      </c>
      <c r="L13" s="21"/>
      <c r="M13" s="21"/>
      <c r="N13" s="21"/>
      <c r="O13" s="21"/>
      <c r="P13" s="21"/>
      <c r="Q13" s="21"/>
    </row>
    <row r="14" spans="1:17" ht="13.5" customHeight="1">
      <c r="A14" s="98"/>
      <c r="B14" s="5" t="s">
        <v>255</v>
      </c>
      <c r="C14" s="5" t="s">
        <v>99</v>
      </c>
      <c r="D14" s="7" t="s">
        <v>175</v>
      </c>
      <c r="E14" s="7"/>
      <c r="F14" s="40"/>
      <c r="G14" s="40"/>
      <c r="H14" s="41" t="s">
        <v>100</v>
      </c>
      <c r="I14" s="41"/>
      <c r="J14" s="41"/>
    </row>
    <row r="15" spans="1:17">
      <c r="A15" s="98"/>
      <c r="B15" s="1"/>
      <c r="C15" s="1"/>
      <c r="D15" s="2"/>
      <c r="E15" s="2"/>
      <c r="F15" s="41"/>
      <c r="G15" s="41"/>
      <c r="H15" s="41"/>
      <c r="I15" s="41"/>
      <c r="J15" s="41"/>
    </row>
    <row r="16" spans="1:17">
      <c r="A16" s="98"/>
      <c r="B16" s="1"/>
      <c r="C16" s="1"/>
      <c r="D16" s="2"/>
      <c r="E16" s="2"/>
      <c r="F16" s="41"/>
      <c r="G16" s="41"/>
      <c r="H16" s="41"/>
      <c r="I16" s="41"/>
      <c r="J16" s="41"/>
    </row>
    <row r="17" spans="1:31">
      <c r="A17" s="98"/>
      <c r="B17" s="1"/>
      <c r="C17" s="1"/>
      <c r="D17" s="2"/>
      <c r="E17" s="2"/>
      <c r="F17" s="41"/>
      <c r="G17" s="41"/>
      <c r="H17" s="41"/>
      <c r="I17" s="41"/>
      <c r="J17" s="41"/>
    </row>
    <row r="18" spans="1:31">
      <c r="A18" s="99"/>
      <c r="B18" s="3"/>
      <c r="C18" s="3"/>
      <c r="D18" s="23"/>
      <c r="E18" s="23"/>
      <c r="F18" s="42"/>
      <c r="G18" s="42"/>
      <c r="H18" s="42"/>
      <c r="I18" s="42"/>
      <c r="J18" s="42"/>
    </row>
    <row r="19" spans="1:31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0" spans="1:31" ht="13">
      <c r="A20" s="106"/>
      <c r="B20" s="26" t="s">
        <v>9</v>
      </c>
      <c r="C20" s="26" t="s">
        <v>8</v>
      </c>
      <c r="D20" s="37" t="s">
        <v>10</v>
      </c>
      <c r="E20" s="37" t="s">
        <v>7</v>
      </c>
      <c r="F20" s="9">
        <v>2025</v>
      </c>
      <c r="G20" s="9">
        <v>2026</v>
      </c>
      <c r="H20" s="9">
        <v>2027</v>
      </c>
      <c r="I20" s="9">
        <v>2028</v>
      </c>
      <c r="J20" s="9">
        <v>2029</v>
      </c>
      <c r="K20" s="9">
        <v>2030</v>
      </c>
      <c r="L20" s="9">
        <v>2031</v>
      </c>
      <c r="M20" s="9">
        <v>2032</v>
      </c>
      <c r="N20" s="9">
        <v>2033</v>
      </c>
      <c r="O20" s="9">
        <v>2034</v>
      </c>
      <c r="P20" s="9">
        <v>2035</v>
      </c>
      <c r="Q20" s="9">
        <v>2036</v>
      </c>
      <c r="R20" s="9">
        <v>2037</v>
      </c>
      <c r="S20" s="9">
        <v>2038</v>
      </c>
      <c r="T20" s="9">
        <v>2039</v>
      </c>
      <c r="U20" s="9">
        <v>2040</v>
      </c>
      <c r="V20" s="9">
        <v>2041</v>
      </c>
      <c r="W20" s="9">
        <v>2042</v>
      </c>
      <c r="X20" s="9">
        <v>2043</v>
      </c>
      <c r="Y20" s="9">
        <v>2044</v>
      </c>
      <c r="Z20" s="9">
        <v>2045</v>
      </c>
      <c r="AA20" s="9">
        <v>2046</v>
      </c>
      <c r="AB20" s="9">
        <v>2047</v>
      </c>
      <c r="AC20" s="9">
        <v>2048</v>
      </c>
      <c r="AD20" s="9">
        <v>2049</v>
      </c>
      <c r="AE20" s="9">
        <v>2050</v>
      </c>
    </row>
    <row r="21" spans="1:31">
      <c r="A21" s="107"/>
      <c r="B21" s="3" t="s">
        <v>101</v>
      </c>
      <c r="C21" s="3" t="s">
        <v>103</v>
      </c>
      <c r="D21" s="23" t="s">
        <v>102</v>
      </c>
      <c r="E21" s="23" t="s">
        <v>22</v>
      </c>
      <c r="F21" s="43">
        <f>'P0.1 Background Data'!J8</f>
        <v>-5.9786200000000005E-2</v>
      </c>
      <c r="G21" s="43">
        <f>'P0.1 Background Data'!K8</f>
        <v>-0.165266651936674</v>
      </c>
      <c r="H21" s="43">
        <f>'P0.1 Background Data'!L8</f>
        <v>-0.19804073729768346</v>
      </c>
      <c r="I21" s="43">
        <f>'P0.1 Background Data'!M8</f>
        <v>-0.30387670462521787</v>
      </c>
      <c r="J21" s="43">
        <f>'P0.1 Background Data'!N8</f>
        <v>-0.39936970791389542</v>
      </c>
      <c r="K21" s="43">
        <f>'P0.1 Background Data'!O8</f>
        <v>-0.47597992148039048</v>
      </c>
      <c r="L21" s="43">
        <f>'P0.1 Background Data'!P8</f>
        <v>-0.49545491809054032</v>
      </c>
      <c r="M21" s="43">
        <f>'P0.1 Background Data'!Q8</f>
        <v>-0.50439544685107429</v>
      </c>
      <c r="N21" s="43">
        <f>'P0.1 Background Data'!R8</f>
        <v>-0.49323512120448937</v>
      </c>
      <c r="O21" s="43">
        <f>'P0.1 Background Data'!S8</f>
        <v>-0.51021415177731333</v>
      </c>
      <c r="P21" s="43">
        <f>'P0.1 Background Data'!T8</f>
        <v>-0.50621220956865531</v>
      </c>
      <c r="Q21" s="43">
        <f>'P0.1 Background Data'!U8</f>
        <v>-0.4926348772844959</v>
      </c>
      <c r="R21" s="43">
        <f>'P0.1 Background Data'!V8</f>
        <v>-0.49012837181065189</v>
      </c>
      <c r="S21" s="43">
        <f>'P0.1 Background Data'!W8</f>
        <v>-0.47904528712998368</v>
      </c>
      <c r="T21" s="43">
        <f>'P0.1 Background Data'!X8</f>
        <v>-0.50413979546851639</v>
      </c>
      <c r="U21" s="43">
        <f>'P0.1 Background Data'!Y8</f>
        <v>-0.48913464419821984</v>
      </c>
      <c r="V21" s="43">
        <f>'P0.1 Background Data'!Z8</f>
        <v>-0.47720256642889997</v>
      </c>
      <c r="W21" s="43">
        <f>'P0.1 Background Data'!AA8</f>
        <v>-0.47001056237867206</v>
      </c>
      <c r="X21" s="43">
        <f>'P0.1 Background Data'!AB8</f>
        <v>-0.47890434693076178</v>
      </c>
      <c r="Y21" s="43">
        <f>'P0.1 Background Data'!AC8</f>
        <v>-0.48093576016990425</v>
      </c>
      <c r="Z21" s="43">
        <f>'P0.1 Background Data'!AD8</f>
        <v>-0.50249545152557273</v>
      </c>
      <c r="AA21" s="43">
        <f>'P0.1 Background Data'!AE8</f>
        <v>-0.51882097373294234</v>
      </c>
      <c r="AB21" s="43">
        <f>'P0.1 Background Data'!AF8</f>
        <v>-0.51121394232983253</v>
      </c>
      <c r="AC21" s="43">
        <f>'P0.1 Background Data'!AG8</f>
        <v>-0.51830513314585747</v>
      </c>
      <c r="AD21" s="43">
        <f>'P0.1 Background Data'!AH8</f>
        <v>-0.52693879109191766</v>
      </c>
      <c r="AE21" s="43">
        <f>'P0.1 Background Data'!AI8</f>
        <v>-0.54117899786777102</v>
      </c>
    </row>
    <row r="22" spans="1:31" ht="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0"/>
    </row>
    <row r="23" spans="1:31" ht="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0"/>
    </row>
    <row r="25" spans="1:31" ht="13.5" customHeight="1">
      <c r="A25" s="103" t="s">
        <v>90</v>
      </c>
      <c r="B25" s="9" t="s">
        <v>9</v>
      </c>
      <c r="C25" s="9" t="s">
        <v>8</v>
      </c>
      <c r="D25" s="9" t="s">
        <v>10</v>
      </c>
      <c r="E25" s="9" t="s">
        <v>7</v>
      </c>
      <c r="F25" s="9">
        <v>2025</v>
      </c>
      <c r="G25" s="9">
        <v>2026</v>
      </c>
      <c r="H25" s="9">
        <v>2027</v>
      </c>
      <c r="I25" s="9">
        <v>2028</v>
      </c>
      <c r="J25" s="9">
        <v>2029</v>
      </c>
      <c r="K25" s="9">
        <v>2030</v>
      </c>
      <c r="L25" s="9">
        <v>2031</v>
      </c>
      <c r="M25" s="9">
        <v>2032</v>
      </c>
      <c r="N25" s="9">
        <v>2033</v>
      </c>
      <c r="O25" s="9">
        <v>2034</v>
      </c>
      <c r="P25" s="9">
        <v>2035</v>
      </c>
      <c r="Q25" s="9">
        <v>2036</v>
      </c>
      <c r="R25" s="9">
        <v>2037</v>
      </c>
      <c r="S25" s="9">
        <v>2038</v>
      </c>
      <c r="T25" s="9">
        <v>2039</v>
      </c>
      <c r="U25" s="9">
        <v>2040</v>
      </c>
      <c r="V25" s="9">
        <v>2041</v>
      </c>
      <c r="W25" s="9">
        <v>2042</v>
      </c>
      <c r="X25" s="9">
        <v>2043</v>
      </c>
      <c r="Y25" s="9">
        <v>2044</v>
      </c>
      <c r="Z25" s="9">
        <v>2045</v>
      </c>
      <c r="AA25" s="9">
        <v>2046</v>
      </c>
      <c r="AB25" s="9">
        <v>2047</v>
      </c>
      <c r="AC25" s="9">
        <v>2048</v>
      </c>
      <c r="AD25" s="9">
        <v>2049</v>
      </c>
      <c r="AE25" s="9">
        <v>2050</v>
      </c>
    </row>
    <row r="26" spans="1:31">
      <c r="A26" s="104"/>
      <c r="B26" s="5" t="s">
        <v>255</v>
      </c>
      <c r="C26" s="5">
        <v>2027</v>
      </c>
      <c r="D26" s="5" t="s">
        <v>96</v>
      </c>
      <c r="E26" s="5" t="s">
        <v>97</v>
      </c>
      <c r="F26" s="7"/>
      <c r="G26" s="7"/>
      <c r="H26" s="7">
        <f t="shared" ref="H26:AD26" si="0">$F$7+($F$7*H$21)</f>
        <v>36529.244416090514</v>
      </c>
      <c r="I26" s="7">
        <f t="shared" si="0"/>
        <v>31708.416104321324</v>
      </c>
      <c r="J26" s="7">
        <f t="shared" si="0"/>
        <v>27358.709804522063</v>
      </c>
      <c r="K26" s="7">
        <f t="shared" si="0"/>
        <v>23869.114576568212</v>
      </c>
      <c r="L26" s="7">
        <f t="shared" si="0"/>
        <v>22982.028480975889</v>
      </c>
      <c r="M26" s="7">
        <f t="shared" si="0"/>
        <v>22574.787395933567</v>
      </c>
      <c r="N26" s="7">
        <f t="shared" si="0"/>
        <v>23083.140229135508</v>
      </c>
      <c r="O26" s="7">
        <f t="shared" si="0"/>
        <v>22309.745386543378</v>
      </c>
      <c r="P26" s="7">
        <f t="shared" si="0"/>
        <v>22492.03385414775</v>
      </c>
      <c r="Q26" s="7">
        <f t="shared" si="0"/>
        <v>23110.48133969121</v>
      </c>
      <c r="R26" s="7">
        <f t="shared" si="0"/>
        <v>23224.652664024805</v>
      </c>
      <c r="S26" s="7">
        <f t="shared" si="0"/>
        <v>23729.487171229244</v>
      </c>
      <c r="T26" s="7">
        <f t="shared" si="0"/>
        <v>22586.432316409078</v>
      </c>
      <c r="U26" s="7">
        <f t="shared" si="0"/>
        <v>23269.916956771085</v>
      </c>
      <c r="V26" s="7">
        <f t="shared" si="0"/>
        <v>23813.423099163607</v>
      </c>
      <c r="W26" s="7">
        <f t="shared" si="0"/>
        <v>24141.018883651486</v>
      </c>
      <c r="X26" s="7">
        <f t="shared" si="0"/>
        <v>23735.906997303802</v>
      </c>
      <c r="Y26" s="7">
        <f t="shared" si="0"/>
        <v>23643.37612426086</v>
      </c>
      <c r="Z26" s="7">
        <f t="shared" si="0"/>
        <v>22661.332183010163</v>
      </c>
      <c r="AA26" s="7">
        <f t="shared" si="0"/>
        <v>21917.704646464477</v>
      </c>
      <c r="AB26" s="7">
        <f t="shared" si="0"/>
        <v>22264.204926876129</v>
      </c>
      <c r="AC26" s="7">
        <f t="shared" si="0"/>
        <v>21941.201185206191</v>
      </c>
      <c r="AD26" s="7">
        <f t="shared" si="0"/>
        <v>21547.938065763152</v>
      </c>
      <c r="AE26" s="7">
        <v>0</v>
      </c>
    </row>
    <row r="27" spans="1:31">
      <c r="A27" s="104"/>
      <c r="B27" s="1"/>
      <c r="C27" s="1"/>
      <c r="D27" s="1"/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>
      <c r="A28" s="104"/>
      <c r="B28" s="1"/>
      <c r="C28" s="1"/>
      <c r="D28" s="1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>
      <c r="A29" s="104"/>
      <c r="B29" s="1"/>
      <c r="C29" s="1"/>
      <c r="D29" s="1"/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>
      <c r="A30" s="104"/>
      <c r="B30" s="1"/>
      <c r="C30" s="1"/>
      <c r="D30" s="1"/>
      <c r="E30" s="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>
      <c r="A31" s="104"/>
      <c r="B31" s="1"/>
      <c r="C31" s="1"/>
      <c r="D31" s="1"/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>
      <c r="A32" s="104"/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>
      <c r="A33" s="104"/>
      <c r="B33" s="3"/>
      <c r="C33" s="3"/>
      <c r="D33" s="23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>
      <c r="A34" s="105"/>
      <c r="B34" s="51" t="s">
        <v>104</v>
      </c>
      <c r="C34" s="51" t="s">
        <v>19</v>
      </c>
      <c r="D34" s="52" t="s">
        <v>34</v>
      </c>
      <c r="E34" s="28" t="s">
        <v>105</v>
      </c>
      <c r="F34" s="53">
        <f t="shared" ref="F34:AE34" si="1">SUM(F26:F33)/2204.62</f>
        <v>0</v>
      </c>
      <c r="G34" s="53">
        <f t="shared" si="1"/>
        <v>0</v>
      </c>
      <c r="H34" s="53">
        <f t="shared" si="1"/>
        <v>16.569406254180091</v>
      </c>
      <c r="I34" s="53">
        <f t="shared" si="1"/>
        <v>14.382712714355003</v>
      </c>
      <c r="J34" s="53">
        <f t="shared" si="1"/>
        <v>12.409716778638524</v>
      </c>
      <c r="K34" s="53">
        <f t="shared" si="1"/>
        <v>10.826861126438214</v>
      </c>
      <c r="L34" s="53">
        <f t="shared" si="1"/>
        <v>10.42448516341859</v>
      </c>
      <c r="M34" s="53">
        <f t="shared" si="1"/>
        <v>10.239763494812516</v>
      </c>
      <c r="N34" s="53">
        <f t="shared" si="1"/>
        <v>10.470348735444434</v>
      </c>
      <c r="O34" s="53">
        <f t="shared" si="1"/>
        <v>10.119542318650552</v>
      </c>
      <c r="P34" s="53">
        <f t="shared" si="1"/>
        <v>10.202227075027784</v>
      </c>
      <c r="Q34" s="53">
        <f t="shared" si="1"/>
        <v>10.482750469328597</v>
      </c>
      <c r="R34" s="53">
        <f t="shared" si="1"/>
        <v>10.534537772507193</v>
      </c>
      <c r="S34" s="53">
        <f t="shared" si="1"/>
        <v>10.763527125413562</v>
      </c>
      <c r="T34" s="53">
        <f t="shared" si="1"/>
        <v>10.245045548171149</v>
      </c>
      <c r="U34" s="53">
        <f t="shared" si="1"/>
        <v>10.555069334747524</v>
      </c>
      <c r="V34" s="53">
        <f t="shared" si="1"/>
        <v>10.80159986717149</v>
      </c>
      <c r="W34" s="53">
        <f t="shared" si="1"/>
        <v>10.950194992176197</v>
      </c>
      <c r="X34" s="53">
        <f t="shared" si="1"/>
        <v>10.766439113000791</v>
      </c>
      <c r="Y34" s="53">
        <f t="shared" si="1"/>
        <v>10.724467765084622</v>
      </c>
      <c r="Z34" s="53">
        <f t="shared" si="1"/>
        <v>10.279019596579078</v>
      </c>
      <c r="AA34" s="53">
        <f t="shared" si="1"/>
        <v>9.941715418740861</v>
      </c>
      <c r="AB34" s="53">
        <f t="shared" si="1"/>
        <v>10.098885489053048</v>
      </c>
      <c r="AC34" s="53">
        <f t="shared" si="1"/>
        <v>9.9523732821103827</v>
      </c>
      <c r="AD34" s="53">
        <f t="shared" si="1"/>
        <v>9.7739919195884788</v>
      </c>
      <c r="AE34" s="53">
        <f t="shared" si="1"/>
        <v>0</v>
      </c>
    </row>
    <row r="36" spans="1:31" ht="13.5" customHeight="1">
      <c r="A36" s="103" t="s">
        <v>91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9">
        <v>2050</v>
      </c>
    </row>
    <row r="37" spans="1:31">
      <c r="A37" s="104"/>
      <c r="B37" s="5" t="s">
        <v>255</v>
      </c>
      <c r="C37" s="5">
        <v>2027</v>
      </c>
      <c r="D37" s="5" t="s">
        <v>96</v>
      </c>
      <c r="E37" s="5" t="s">
        <v>97</v>
      </c>
      <c r="F37" s="7"/>
      <c r="G37" s="7"/>
      <c r="H37" s="7">
        <f t="shared" ref="H37:AD37" si="2">$G$7+($G$7*H$21)</f>
        <v>32415.193398427633</v>
      </c>
      <c r="I37" s="7">
        <f t="shared" si="2"/>
        <v>28137.303599048693</v>
      </c>
      <c r="J37" s="7">
        <f t="shared" si="2"/>
        <v>24277.476406120346</v>
      </c>
      <c r="K37" s="7">
        <f t="shared" si="2"/>
        <v>21180.891573762616</v>
      </c>
      <c r="L37" s="7">
        <f t="shared" si="2"/>
        <v>20393.712210780359</v>
      </c>
      <c r="M37" s="7">
        <f t="shared" si="2"/>
        <v>20032.336038279576</v>
      </c>
      <c r="N37" s="7">
        <f t="shared" si="2"/>
        <v>20483.436400914539</v>
      </c>
      <c r="O37" s="7">
        <f t="shared" si="2"/>
        <v>19797.143985160994</v>
      </c>
      <c r="P37" s="7">
        <f t="shared" si="2"/>
        <v>19958.902489234952</v>
      </c>
      <c r="Q37" s="7">
        <f t="shared" si="2"/>
        <v>20507.698260160676</v>
      </c>
      <c r="R37" s="7">
        <f t="shared" si="2"/>
        <v>20609.01121141345</v>
      </c>
      <c r="S37" s="7">
        <f t="shared" si="2"/>
        <v>21056.98949420606</v>
      </c>
      <c r="T37" s="7">
        <f t="shared" si="2"/>
        <v>20042.669467162566</v>
      </c>
      <c r="U37" s="7">
        <f t="shared" si="2"/>
        <v>20649.177681507954</v>
      </c>
      <c r="V37" s="7">
        <f t="shared" si="2"/>
        <v>21131.472264943863</v>
      </c>
      <c r="W37" s="7">
        <f t="shared" si="2"/>
        <v>21422.173068654076</v>
      </c>
      <c r="X37" s="7">
        <f t="shared" si="2"/>
        <v>21062.686297058608</v>
      </c>
      <c r="Y37" s="7">
        <f t="shared" si="2"/>
        <v>20980.576573932471</v>
      </c>
      <c r="Z37" s="7">
        <f t="shared" si="2"/>
        <v>20109.133849336351</v>
      </c>
      <c r="AA37" s="7">
        <f t="shared" si="2"/>
        <v>19449.256241714469</v>
      </c>
      <c r="AB37" s="7">
        <f t="shared" si="2"/>
        <v>19756.732451028169</v>
      </c>
      <c r="AC37" s="7">
        <f t="shared" si="2"/>
        <v>19470.10651824444</v>
      </c>
      <c r="AD37" s="7">
        <f t="shared" si="2"/>
        <v>19121.134064064689</v>
      </c>
      <c r="AE37" s="7">
        <v>0</v>
      </c>
    </row>
    <row r="38" spans="1:31">
      <c r="A38" s="104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>
      <c r="A39" s="104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>
      <c r="A40" s="104"/>
      <c r="B40" s="1"/>
      <c r="C40" s="1"/>
      <c r="D40" s="1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>
      <c r="A41" s="104"/>
      <c r="B41" s="1"/>
      <c r="C41" s="1"/>
      <c r="D41" s="1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>
      <c r="A42" s="104"/>
      <c r="B42" s="1"/>
      <c r="C42" s="1"/>
      <c r="D42" s="1"/>
      <c r="E42" s="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>
      <c r="A43" s="104"/>
      <c r="B43" s="1"/>
      <c r="C43" s="1"/>
      <c r="D43" s="1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>
      <c r="A44" s="104"/>
      <c r="B44" s="3"/>
      <c r="C44" s="3"/>
      <c r="D44" s="23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>
      <c r="A45" s="105"/>
      <c r="B45" s="51" t="s">
        <v>104</v>
      </c>
      <c r="C45" s="51" t="s">
        <v>19</v>
      </c>
      <c r="D45" s="52" t="s">
        <v>34</v>
      </c>
      <c r="E45" s="28" t="s">
        <v>105</v>
      </c>
      <c r="F45" s="53">
        <f t="shared" ref="F45:AE45" si="3">SUM(F37:F44)/2204.62</f>
        <v>0</v>
      </c>
      <c r="G45" s="53">
        <f t="shared" si="3"/>
        <v>0</v>
      </c>
      <c r="H45" s="53">
        <f t="shared" si="3"/>
        <v>14.703301883511733</v>
      </c>
      <c r="I45" s="53">
        <f t="shared" si="3"/>
        <v>12.762881403166393</v>
      </c>
      <c r="J45" s="53">
        <f t="shared" si="3"/>
        <v>11.012091156807227</v>
      </c>
      <c r="K45" s="53">
        <f t="shared" si="3"/>
        <v>9.6075022333838103</v>
      </c>
      <c r="L45" s="53">
        <f t="shared" si="3"/>
        <v>9.2504432558809953</v>
      </c>
      <c r="M45" s="53">
        <f t="shared" si="3"/>
        <v>9.0865255863956502</v>
      </c>
      <c r="N45" s="53">
        <f t="shared" si="3"/>
        <v>9.2911415123307144</v>
      </c>
      <c r="O45" s="53">
        <f t="shared" si="3"/>
        <v>8.9798441387454506</v>
      </c>
      <c r="P45" s="53">
        <f t="shared" si="3"/>
        <v>9.0532166492343134</v>
      </c>
      <c r="Q45" s="53">
        <f t="shared" si="3"/>
        <v>9.302146519654487</v>
      </c>
      <c r="R45" s="53">
        <f t="shared" si="3"/>
        <v>9.3481013559767447</v>
      </c>
      <c r="S45" s="53">
        <f t="shared" si="3"/>
        <v>9.5513011286326268</v>
      </c>
      <c r="T45" s="53">
        <f t="shared" si="3"/>
        <v>9.0912127564671312</v>
      </c>
      <c r="U45" s="53">
        <f t="shared" si="3"/>
        <v>9.3663205820086706</v>
      </c>
      <c r="V45" s="53">
        <f t="shared" si="3"/>
        <v>9.5850859853144144</v>
      </c>
      <c r="W45" s="53">
        <f t="shared" si="3"/>
        <v>9.7169458086446081</v>
      </c>
      <c r="X45" s="53">
        <f t="shared" si="3"/>
        <v>9.5538851580129958</v>
      </c>
      <c r="Y45" s="53">
        <f t="shared" si="3"/>
        <v>9.516640769807255</v>
      </c>
      <c r="Z45" s="53">
        <f t="shared" si="3"/>
        <v>9.1213605289511808</v>
      </c>
      <c r="AA45" s="53">
        <f t="shared" si="3"/>
        <v>8.8220447250385412</v>
      </c>
      <c r="AB45" s="53">
        <f t="shared" si="3"/>
        <v>8.9615137534033842</v>
      </c>
      <c r="AC45" s="53">
        <f t="shared" si="3"/>
        <v>8.8315022626323092</v>
      </c>
      <c r="AD45" s="53">
        <f t="shared" si="3"/>
        <v>8.6732108318280208</v>
      </c>
      <c r="AE45" s="53">
        <f t="shared" si="3"/>
        <v>0</v>
      </c>
    </row>
    <row r="47" spans="1:31" ht="13.5" customHeight="1">
      <c r="A47" s="103" t="s">
        <v>92</v>
      </c>
      <c r="B47" s="9" t="s">
        <v>9</v>
      </c>
      <c r="C47" s="9" t="s">
        <v>8</v>
      </c>
      <c r="D47" s="9" t="s">
        <v>10</v>
      </c>
      <c r="E47" s="9" t="s">
        <v>7</v>
      </c>
      <c r="F47" s="9">
        <v>2025</v>
      </c>
      <c r="G47" s="9">
        <v>2026</v>
      </c>
      <c r="H47" s="9">
        <v>2027</v>
      </c>
      <c r="I47" s="9">
        <v>2028</v>
      </c>
      <c r="J47" s="9">
        <v>2029</v>
      </c>
      <c r="K47" s="9">
        <v>2030</v>
      </c>
      <c r="L47" s="9">
        <v>2031</v>
      </c>
      <c r="M47" s="9">
        <v>2032</v>
      </c>
      <c r="N47" s="9">
        <v>2033</v>
      </c>
      <c r="O47" s="9">
        <v>2034</v>
      </c>
      <c r="P47" s="9">
        <v>2035</v>
      </c>
      <c r="Q47" s="9">
        <v>2036</v>
      </c>
      <c r="R47" s="9">
        <v>2037</v>
      </c>
      <c r="S47" s="9">
        <v>2038</v>
      </c>
      <c r="T47" s="9">
        <v>2039</v>
      </c>
      <c r="U47" s="9">
        <v>2040</v>
      </c>
      <c r="V47" s="9">
        <v>2041</v>
      </c>
      <c r="W47" s="9">
        <v>2042</v>
      </c>
      <c r="X47" s="9">
        <v>2043</v>
      </c>
      <c r="Y47" s="9">
        <v>2044</v>
      </c>
      <c r="Z47" s="9">
        <v>2045</v>
      </c>
      <c r="AA47" s="9">
        <v>2046</v>
      </c>
      <c r="AB47" s="9">
        <v>2047</v>
      </c>
      <c r="AC47" s="9">
        <v>2048</v>
      </c>
      <c r="AD47" s="9">
        <v>2049</v>
      </c>
      <c r="AE47" s="9">
        <v>2050</v>
      </c>
    </row>
    <row r="48" spans="1:31">
      <c r="A48" s="104"/>
      <c r="B48" s="5" t="s">
        <v>255</v>
      </c>
      <c r="C48" s="5">
        <v>2027</v>
      </c>
      <c r="D48" s="5" t="s">
        <v>96</v>
      </c>
      <c r="E48" s="5" t="s">
        <v>97</v>
      </c>
      <c r="F48" s="7"/>
      <c r="G48" s="7"/>
      <c r="H48" s="7">
        <f t="shared" ref="H48:AD48" si="4">$H$7+($H$7*H$21)</f>
        <v>4827.7947614679451</v>
      </c>
      <c r="I48" s="7">
        <f t="shared" si="4"/>
        <v>4190.6622381561883</v>
      </c>
      <c r="J48" s="7">
        <f t="shared" si="4"/>
        <v>3615.7943583583497</v>
      </c>
      <c r="K48" s="7">
        <f t="shared" si="4"/>
        <v>3154.6008726880495</v>
      </c>
      <c r="L48" s="7">
        <f t="shared" si="4"/>
        <v>3037.3613930949473</v>
      </c>
      <c r="M48" s="7">
        <f t="shared" si="4"/>
        <v>2983.5394099565328</v>
      </c>
      <c r="N48" s="7">
        <f t="shared" si="4"/>
        <v>3050.7245703489739</v>
      </c>
      <c r="O48" s="7">
        <f t="shared" si="4"/>
        <v>2948.5108063005737</v>
      </c>
      <c r="P48" s="7">
        <f t="shared" si="4"/>
        <v>2972.602498396695</v>
      </c>
      <c r="Q48" s="7">
        <f t="shared" si="4"/>
        <v>3054.3380387473348</v>
      </c>
      <c r="R48" s="7">
        <f t="shared" si="4"/>
        <v>3069.4272016998757</v>
      </c>
      <c r="S48" s="7">
        <f t="shared" si="4"/>
        <v>3136.1473714774984</v>
      </c>
      <c r="T48" s="7">
        <f t="shared" si="4"/>
        <v>2985.0784312795313</v>
      </c>
      <c r="U48" s="7">
        <f t="shared" si="4"/>
        <v>3075.4094419267167</v>
      </c>
      <c r="V48" s="7">
        <f t="shared" si="4"/>
        <v>3147.2405500980221</v>
      </c>
      <c r="W48" s="7">
        <f t="shared" si="4"/>
        <v>3190.5364144803943</v>
      </c>
      <c r="X48" s="7">
        <f t="shared" si="4"/>
        <v>3136.9958314768141</v>
      </c>
      <c r="Y48" s="7">
        <f t="shared" si="4"/>
        <v>3124.7667237771766</v>
      </c>
      <c r="Z48" s="7">
        <f t="shared" si="4"/>
        <v>2994.977381816052</v>
      </c>
      <c r="AA48" s="7">
        <f t="shared" si="4"/>
        <v>2896.697738127687</v>
      </c>
      <c r="AB48" s="7">
        <f t="shared" si="4"/>
        <v>2942.492067174408</v>
      </c>
      <c r="AC48" s="7">
        <f t="shared" si="4"/>
        <v>2899.8030984619381</v>
      </c>
      <c r="AD48" s="7">
        <f t="shared" si="4"/>
        <v>2847.8284776266555</v>
      </c>
      <c r="AE48" s="7">
        <v>0</v>
      </c>
    </row>
    <row r="49" spans="1:31">
      <c r="A49" s="104"/>
      <c r="B49" s="1"/>
      <c r="C49" s="1"/>
      <c r="D49" s="1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>
      <c r="A50" s="104"/>
      <c r="B50" s="1"/>
      <c r="C50" s="1"/>
      <c r="D50" s="1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>
      <c r="A51" s="104"/>
      <c r="B51" s="1"/>
      <c r="C51" s="1"/>
      <c r="D51" s="1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104"/>
      <c r="B52" s="1"/>
      <c r="C52" s="1"/>
      <c r="D52" s="1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104"/>
      <c r="B53" s="1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3"/>
      <c r="C55" s="3"/>
      <c r="D55" s="23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5"/>
      <c r="B56" s="51" t="s">
        <v>104</v>
      </c>
      <c r="C56" s="51" t="s">
        <v>19</v>
      </c>
      <c r="D56" s="52" t="s">
        <v>34</v>
      </c>
      <c r="E56" s="28" t="s">
        <v>105</v>
      </c>
      <c r="F56" s="53">
        <f t="shared" ref="F56:AE56" si="5">SUM(F48:F55)/2204.62</f>
        <v>0</v>
      </c>
      <c r="G56" s="53">
        <f t="shared" si="5"/>
        <v>0</v>
      </c>
      <c r="H56" s="53">
        <f t="shared" si="5"/>
        <v>2.1898534720123854</v>
      </c>
      <c r="I56" s="53">
        <f t="shared" si="5"/>
        <v>1.9008546770673351</v>
      </c>
      <c r="J56" s="53">
        <f t="shared" si="5"/>
        <v>1.6400986829287358</v>
      </c>
      <c r="K56" s="53">
        <f t="shared" si="5"/>
        <v>1.4309045879507805</v>
      </c>
      <c r="L56" s="53">
        <f t="shared" si="5"/>
        <v>1.377725591301425</v>
      </c>
      <c r="M56" s="53">
        <f t="shared" si="5"/>
        <v>1.3533123213780756</v>
      </c>
      <c r="N56" s="53">
        <f t="shared" si="5"/>
        <v>1.3837870337513831</v>
      </c>
      <c r="O56" s="53">
        <f t="shared" si="5"/>
        <v>1.3374235951323012</v>
      </c>
      <c r="P56" s="53">
        <f t="shared" si="5"/>
        <v>1.3483514158434085</v>
      </c>
      <c r="Q56" s="53">
        <f t="shared" si="5"/>
        <v>1.3854260773953493</v>
      </c>
      <c r="R56" s="53">
        <f t="shared" si="5"/>
        <v>1.3922704147199407</v>
      </c>
      <c r="S56" s="53">
        <f t="shared" si="5"/>
        <v>1.4225342106474126</v>
      </c>
      <c r="T56" s="53">
        <f t="shared" si="5"/>
        <v>1.354010410537658</v>
      </c>
      <c r="U56" s="53">
        <f t="shared" si="5"/>
        <v>1.3949839164693765</v>
      </c>
      <c r="V56" s="53">
        <f t="shared" si="5"/>
        <v>1.427565997812785</v>
      </c>
      <c r="W56" s="53">
        <f t="shared" si="5"/>
        <v>1.4472046949045161</v>
      </c>
      <c r="X56" s="53">
        <f t="shared" si="5"/>
        <v>1.4229190660870419</v>
      </c>
      <c r="Y56" s="53">
        <f t="shared" si="5"/>
        <v>1.4173720295457615</v>
      </c>
      <c r="Z56" s="53">
        <f t="shared" si="5"/>
        <v>1.3585005043118779</v>
      </c>
      <c r="AA56" s="53">
        <f t="shared" si="5"/>
        <v>1.3139215547929743</v>
      </c>
      <c r="AB56" s="53">
        <f t="shared" si="5"/>
        <v>1.3346935377409295</v>
      </c>
      <c r="AC56" s="53">
        <f t="shared" si="5"/>
        <v>1.3153301242218334</v>
      </c>
      <c r="AD56" s="53">
        <f t="shared" si="5"/>
        <v>1.2917548047403433</v>
      </c>
      <c r="AE56" s="53">
        <f t="shared" si="5"/>
        <v>0</v>
      </c>
    </row>
    <row r="58" spans="1:31" ht="13.5" customHeight="1">
      <c r="A58" s="103" t="s">
        <v>93</v>
      </c>
      <c r="B58" s="9" t="s">
        <v>9</v>
      </c>
      <c r="C58" s="9" t="s">
        <v>8</v>
      </c>
      <c r="D58" s="9" t="s">
        <v>10</v>
      </c>
      <c r="E58" s="9" t="s">
        <v>7</v>
      </c>
      <c r="F58" s="9">
        <v>2025</v>
      </c>
      <c r="G58" s="9">
        <v>2026</v>
      </c>
      <c r="H58" s="9">
        <v>2027</v>
      </c>
      <c r="I58" s="9">
        <v>2028</v>
      </c>
      <c r="J58" s="9">
        <v>2029</v>
      </c>
      <c r="K58" s="9">
        <v>2030</v>
      </c>
      <c r="L58" s="9">
        <v>2031</v>
      </c>
      <c r="M58" s="9">
        <v>2032</v>
      </c>
      <c r="N58" s="9">
        <v>2033</v>
      </c>
      <c r="O58" s="9">
        <v>2034</v>
      </c>
      <c r="P58" s="9">
        <v>2035</v>
      </c>
      <c r="Q58" s="9">
        <v>2036</v>
      </c>
      <c r="R58" s="9">
        <v>2037</v>
      </c>
      <c r="S58" s="9">
        <v>2038</v>
      </c>
      <c r="T58" s="9">
        <v>2039</v>
      </c>
      <c r="U58" s="9">
        <v>2040</v>
      </c>
      <c r="V58" s="9">
        <v>2041</v>
      </c>
      <c r="W58" s="9">
        <v>2042</v>
      </c>
      <c r="X58" s="9">
        <v>2043</v>
      </c>
      <c r="Y58" s="9">
        <v>2044</v>
      </c>
      <c r="Z58" s="9">
        <v>2045</v>
      </c>
      <c r="AA58" s="9">
        <v>2046</v>
      </c>
      <c r="AB58" s="9">
        <v>2047</v>
      </c>
      <c r="AC58" s="9">
        <v>2048</v>
      </c>
      <c r="AD58" s="9">
        <v>2049</v>
      </c>
      <c r="AE58" s="9">
        <v>2050</v>
      </c>
    </row>
    <row r="59" spans="1:31">
      <c r="A59" s="104"/>
      <c r="B59" s="5" t="s">
        <v>255</v>
      </c>
      <c r="C59" s="5">
        <v>2027</v>
      </c>
      <c r="D59" s="5" t="s">
        <v>96</v>
      </c>
      <c r="E59" s="5" t="s">
        <v>97</v>
      </c>
      <c r="F59" s="7"/>
      <c r="G59" s="7"/>
      <c r="H59" s="7">
        <f t="shared" ref="H59:AD59" si="6">$I$7+($I$7*H$21)</f>
        <v>1154.8213382913359</v>
      </c>
      <c r="I59" s="7">
        <f t="shared" si="6"/>
        <v>1002.4175453396863</v>
      </c>
      <c r="J59" s="7">
        <f t="shared" si="6"/>
        <v>864.90762060399061</v>
      </c>
      <c r="K59" s="7">
        <f t="shared" si="6"/>
        <v>754.58891306823773</v>
      </c>
      <c r="L59" s="7">
        <f t="shared" si="6"/>
        <v>726.54491794962189</v>
      </c>
      <c r="M59" s="7">
        <f t="shared" si="6"/>
        <v>713.670556534453</v>
      </c>
      <c r="N59" s="7">
        <f t="shared" si="6"/>
        <v>729.74142546553526</v>
      </c>
      <c r="O59" s="7">
        <f t="shared" si="6"/>
        <v>705.29162144066879</v>
      </c>
      <c r="P59" s="7">
        <f t="shared" si="6"/>
        <v>711.0544182211363</v>
      </c>
      <c r="Q59" s="7">
        <f t="shared" si="6"/>
        <v>730.60577671032593</v>
      </c>
      <c r="R59" s="7">
        <f t="shared" si="6"/>
        <v>734.21514459266132</v>
      </c>
      <c r="S59" s="7">
        <f t="shared" si="6"/>
        <v>750.17478653282353</v>
      </c>
      <c r="T59" s="7">
        <f t="shared" si="6"/>
        <v>714.03869452533638</v>
      </c>
      <c r="U59" s="7">
        <f t="shared" si="6"/>
        <v>735.64611235456346</v>
      </c>
      <c r="V59" s="7">
        <f t="shared" si="6"/>
        <v>752.82830434238406</v>
      </c>
      <c r="W59" s="7">
        <f t="shared" si="6"/>
        <v>763.18479017471225</v>
      </c>
      <c r="X59" s="7">
        <f t="shared" si="6"/>
        <v>750.37774041970306</v>
      </c>
      <c r="Y59" s="7">
        <f t="shared" si="6"/>
        <v>747.45250535533785</v>
      </c>
      <c r="Z59" s="7">
        <f t="shared" si="6"/>
        <v>716.40654980317527</v>
      </c>
      <c r="AA59" s="7">
        <f t="shared" si="6"/>
        <v>692.89779782456299</v>
      </c>
      <c r="AB59" s="7">
        <f t="shared" si="6"/>
        <v>703.85192304504119</v>
      </c>
      <c r="AC59" s="7">
        <f t="shared" si="6"/>
        <v>693.64060826996524</v>
      </c>
      <c r="AD59" s="7">
        <f t="shared" si="6"/>
        <v>681.20814082763854</v>
      </c>
      <c r="AE59" s="7">
        <v>0</v>
      </c>
    </row>
    <row r="60" spans="1:31">
      <c r="A60" s="104"/>
      <c r="B60" s="1"/>
      <c r="C60" s="1"/>
      <c r="D60" s="1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>
      <c r="A61" s="104"/>
      <c r="B61" s="1"/>
      <c r="C61" s="1"/>
      <c r="D61" s="1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>
      <c r="A62" s="104"/>
      <c r="B62" s="1"/>
      <c r="C62" s="1"/>
      <c r="D62" s="1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104"/>
      <c r="B63" s="1"/>
      <c r="C63" s="1"/>
      <c r="D63" s="1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104"/>
      <c r="B64" s="1"/>
      <c r="C64" s="1"/>
      <c r="D64" s="1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104"/>
      <c r="B65" s="1"/>
      <c r="C65" s="1"/>
      <c r="D65" s="1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104"/>
      <c r="B66" s="3"/>
      <c r="C66" s="3"/>
      <c r="D66" s="23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105"/>
      <c r="B67" s="51" t="s">
        <v>104</v>
      </c>
      <c r="C67" s="51" t="s">
        <v>19</v>
      </c>
      <c r="D67" s="52" t="s">
        <v>34</v>
      </c>
      <c r="E67" s="28" t="s">
        <v>105</v>
      </c>
      <c r="F67" s="53">
        <f t="shared" ref="F67:AE67" si="7">SUM(F59:F66)/2204.62</f>
        <v>0</v>
      </c>
      <c r="G67" s="53">
        <f t="shared" si="7"/>
        <v>0</v>
      </c>
      <c r="H67" s="53">
        <f t="shared" si="7"/>
        <v>0.52381877071392624</v>
      </c>
      <c r="I67" s="53">
        <f t="shared" si="7"/>
        <v>0.45468949085996058</v>
      </c>
      <c r="J67" s="53">
        <f t="shared" si="7"/>
        <v>0.39231596402282054</v>
      </c>
      <c r="K67" s="53">
        <f t="shared" si="7"/>
        <v>0.34227618050649899</v>
      </c>
      <c r="L67" s="53">
        <f t="shared" si="7"/>
        <v>0.32955562316844711</v>
      </c>
      <c r="M67" s="53">
        <f t="shared" si="7"/>
        <v>0.32371590411701473</v>
      </c>
      <c r="N67" s="53">
        <f t="shared" si="7"/>
        <v>0.33100553631262319</v>
      </c>
      <c r="O67" s="53">
        <f t="shared" si="7"/>
        <v>0.3199152785698528</v>
      </c>
      <c r="P67" s="53">
        <f t="shared" si="7"/>
        <v>0.32252924232799135</v>
      </c>
      <c r="Q67" s="53">
        <f t="shared" si="7"/>
        <v>0.33139759990852208</v>
      </c>
      <c r="R67" s="53">
        <f t="shared" si="7"/>
        <v>0.33303478358749417</v>
      </c>
      <c r="S67" s="53">
        <f t="shared" si="7"/>
        <v>0.34027396400868337</v>
      </c>
      <c r="T67" s="53">
        <f t="shared" si="7"/>
        <v>0.32388288889937333</v>
      </c>
      <c r="U67" s="53">
        <f t="shared" si="7"/>
        <v>0.33368386041792397</v>
      </c>
      <c r="V67" s="53">
        <f t="shared" si="7"/>
        <v>0.34147758087216123</v>
      </c>
      <c r="W67" s="53">
        <f t="shared" si="7"/>
        <v>0.34617520941237595</v>
      </c>
      <c r="X67" s="53">
        <f t="shared" si="7"/>
        <v>0.34036602245271436</v>
      </c>
      <c r="Y67" s="53">
        <f t="shared" si="7"/>
        <v>0.33903915656908579</v>
      </c>
      <c r="Z67" s="53">
        <f t="shared" si="7"/>
        <v>0.32495693126397079</v>
      </c>
      <c r="AA67" s="53">
        <f t="shared" si="7"/>
        <v>0.31429352805679123</v>
      </c>
      <c r="AB67" s="53">
        <f t="shared" si="7"/>
        <v>0.31926224158587024</v>
      </c>
      <c r="AC67" s="53">
        <f t="shared" si="7"/>
        <v>0.31463046160788039</v>
      </c>
      <c r="AD67" s="53">
        <f t="shared" si="7"/>
        <v>0.30899118252925156</v>
      </c>
      <c r="AE67" s="53">
        <f t="shared" si="7"/>
        <v>0</v>
      </c>
    </row>
    <row r="69" spans="1:31" ht="13.5" customHeight="1">
      <c r="A69" s="103" t="s">
        <v>94</v>
      </c>
      <c r="B69" s="9" t="s">
        <v>9</v>
      </c>
      <c r="C69" s="9" t="s">
        <v>8</v>
      </c>
      <c r="D69" s="9" t="s">
        <v>10</v>
      </c>
      <c r="E69" s="9" t="s">
        <v>7</v>
      </c>
      <c r="F69" s="9">
        <v>2025</v>
      </c>
      <c r="G69" s="9">
        <v>2026</v>
      </c>
      <c r="H69" s="9">
        <v>2027</v>
      </c>
      <c r="I69" s="9">
        <v>2028</v>
      </c>
      <c r="J69" s="9">
        <v>2029</v>
      </c>
      <c r="K69" s="9">
        <v>2030</v>
      </c>
      <c r="L69" s="9">
        <v>2031</v>
      </c>
      <c r="M69" s="9">
        <v>2032</v>
      </c>
      <c r="N69" s="9">
        <v>2033</v>
      </c>
      <c r="O69" s="9">
        <v>2034</v>
      </c>
      <c r="P69" s="9">
        <v>2035</v>
      </c>
      <c r="Q69" s="9">
        <v>2036</v>
      </c>
      <c r="R69" s="9">
        <v>2037</v>
      </c>
      <c r="S69" s="9">
        <v>2038</v>
      </c>
      <c r="T69" s="9">
        <v>2039</v>
      </c>
      <c r="U69" s="9">
        <v>2040</v>
      </c>
      <c r="V69" s="9">
        <v>2041</v>
      </c>
      <c r="W69" s="9">
        <v>2042</v>
      </c>
      <c r="X69" s="9">
        <v>2043</v>
      </c>
      <c r="Y69" s="9">
        <v>2044</v>
      </c>
      <c r="Z69" s="9">
        <v>2045</v>
      </c>
      <c r="AA69" s="9">
        <v>2046</v>
      </c>
      <c r="AB69" s="9">
        <v>2047</v>
      </c>
      <c r="AC69" s="9">
        <v>2048</v>
      </c>
      <c r="AD69" s="9">
        <v>2049</v>
      </c>
      <c r="AE69" s="9">
        <v>2050</v>
      </c>
    </row>
    <row r="70" spans="1:31">
      <c r="A70" s="104"/>
      <c r="B70" s="5" t="s">
        <v>255</v>
      </c>
      <c r="C70" s="5">
        <v>2027</v>
      </c>
      <c r="D70" s="5" t="s">
        <v>96</v>
      </c>
      <c r="E70" s="5" t="s">
        <v>97</v>
      </c>
      <c r="F70" s="7"/>
      <c r="G70" s="7"/>
      <c r="H70" s="7">
        <f t="shared" ref="H70:AD70" si="8">$J$7+($J$7*H$21)</f>
        <v>1579.8597475235636</v>
      </c>
      <c r="I70" s="7">
        <f t="shared" si="8"/>
        <v>1371.3628918883207</v>
      </c>
      <c r="J70" s="7">
        <f t="shared" si="8"/>
        <v>1183.2416754096262</v>
      </c>
      <c r="K70" s="7">
        <f t="shared" si="8"/>
        <v>1032.3195546836307</v>
      </c>
      <c r="L70" s="7">
        <f t="shared" si="8"/>
        <v>993.95381136163553</v>
      </c>
      <c r="M70" s="7">
        <f t="shared" si="8"/>
        <v>976.34096970338362</v>
      </c>
      <c r="N70" s="7">
        <f t="shared" si="8"/>
        <v>998.32681122715599</v>
      </c>
      <c r="O70" s="7">
        <f t="shared" si="8"/>
        <v>964.87812099869279</v>
      </c>
      <c r="P70" s="7">
        <f t="shared" si="8"/>
        <v>972.76194714974906</v>
      </c>
      <c r="Q70" s="7">
        <f t="shared" si="8"/>
        <v>999.50929174954308</v>
      </c>
      <c r="R70" s="7">
        <f t="shared" si="8"/>
        <v>1004.4471075330158</v>
      </c>
      <c r="S70" s="7">
        <f t="shared" si="8"/>
        <v>1026.2807843539322</v>
      </c>
      <c r="T70" s="7">
        <f t="shared" si="8"/>
        <v>976.84460292702272</v>
      </c>
      <c r="U70" s="7">
        <f t="shared" si="8"/>
        <v>1006.4047509295069</v>
      </c>
      <c r="V70" s="7">
        <f t="shared" si="8"/>
        <v>1029.910944135067</v>
      </c>
      <c r="W70" s="7">
        <f t="shared" si="8"/>
        <v>1044.079192114016</v>
      </c>
      <c r="X70" s="7">
        <f t="shared" si="8"/>
        <v>1026.5584365463992</v>
      </c>
      <c r="Y70" s="7">
        <f t="shared" si="8"/>
        <v>1022.5565524652886</v>
      </c>
      <c r="Z70" s="7">
        <f t="shared" si="8"/>
        <v>980.08396049462169</v>
      </c>
      <c r="AA70" s="7">
        <f t="shared" si="8"/>
        <v>947.92268174610365</v>
      </c>
      <c r="AB70" s="7">
        <f t="shared" si="8"/>
        <v>962.90853361022994</v>
      </c>
      <c r="AC70" s="7">
        <f t="shared" si="8"/>
        <v>948.93888770266074</v>
      </c>
      <c r="AD70" s="7">
        <f t="shared" si="8"/>
        <v>931.93058154892219</v>
      </c>
      <c r="AE70" s="7">
        <v>0</v>
      </c>
    </row>
    <row r="71" spans="1:31">
      <c r="A71" s="104"/>
      <c r="B71" s="1"/>
      <c r="C71" s="1"/>
      <c r="D71" s="1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>
      <c r="A72" s="104"/>
      <c r="B72" s="1"/>
      <c r="C72" s="1"/>
      <c r="D72" s="1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>
      <c r="A73" s="104"/>
      <c r="B73" s="1"/>
      <c r="C73" s="1"/>
      <c r="D73" s="1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>
      <c r="A74" s="104"/>
      <c r="B74" s="1"/>
      <c r="C74" s="1"/>
      <c r="D74" s="1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>
      <c r="A75" s="104"/>
      <c r="B75" s="1"/>
      <c r="C75" s="1"/>
      <c r="D75" s="1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>
      <c r="A76" s="104"/>
      <c r="B76" s="1"/>
      <c r="C76" s="1"/>
      <c r="D76" s="1"/>
      <c r="E76" s="1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>
      <c r="A77" s="104"/>
      <c r="B77" s="3"/>
      <c r="C77" s="3"/>
      <c r="D77" s="23"/>
      <c r="E77" s="1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>
      <c r="A78" s="105"/>
      <c r="B78" s="51" t="s">
        <v>104</v>
      </c>
      <c r="C78" s="51" t="s">
        <v>19</v>
      </c>
      <c r="D78" s="52" t="s">
        <v>34</v>
      </c>
      <c r="E78" s="28" t="s">
        <v>105</v>
      </c>
      <c r="F78" s="53">
        <f t="shared" ref="F78:AE78" si="9">SUM(F70:F77)/2204.62</f>
        <v>0</v>
      </c>
      <c r="G78" s="53">
        <f t="shared" si="9"/>
        <v>0</v>
      </c>
      <c r="H78" s="53">
        <f t="shared" si="9"/>
        <v>0.71661317937946845</v>
      </c>
      <c r="I78" s="53">
        <f t="shared" si="9"/>
        <v>0.62204048402369605</v>
      </c>
      <c r="J78" s="53">
        <f t="shared" si="9"/>
        <v>0.5367100341145532</v>
      </c>
      <c r="K78" s="53">
        <f t="shared" si="9"/>
        <v>0.46825283027625203</v>
      </c>
      <c r="L78" s="53">
        <f t="shared" si="9"/>
        <v>0.45085040114016728</v>
      </c>
      <c r="M78" s="53">
        <f t="shared" si="9"/>
        <v>0.44286134104897157</v>
      </c>
      <c r="N78" s="53">
        <f t="shared" si="9"/>
        <v>0.45283396287213035</v>
      </c>
      <c r="O78" s="53">
        <f t="shared" si="9"/>
        <v>0.43766187415459029</v>
      </c>
      <c r="P78" s="53">
        <f t="shared" si="9"/>
        <v>0.44123792179593269</v>
      </c>
      <c r="Q78" s="53">
        <f t="shared" si="9"/>
        <v>0.45337032765263091</v>
      </c>
      <c r="R78" s="53">
        <f t="shared" si="9"/>
        <v>0.45561008588011354</v>
      </c>
      <c r="S78" s="53">
        <f t="shared" si="9"/>
        <v>0.46551368687299044</v>
      </c>
      <c r="T78" s="53">
        <f t="shared" si="9"/>
        <v>0.44308978550817046</v>
      </c>
      <c r="U78" s="53">
        <f t="shared" si="9"/>
        <v>0.4564980590439654</v>
      </c>
      <c r="V78" s="53">
        <f t="shared" si="9"/>
        <v>0.46716030160983163</v>
      </c>
      <c r="W78" s="53">
        <f t="shared" si="9"/>
        <v>0.47358691843220874</v>
      </c>
      <c r="X78" s="53">
        <f t="shared" si="9"/>
        <v>0.46563962793878277</v>
      </c>
      <c r="Y78" s="53">
        <f t="shared" si="9"/>
        <v>0.46382440169520767</v>
      </c>
      <c r="Z78" s="53">
        <f t="shared" si="9"/>
        <v>0.44455913513196005</v>
      </c>
      <c r="AA78" s="53">
        <f t="shared" si="9"/>
        <v>0.42997100713324915</v>
      </c>
      <c r="AB78" s="53">
        <f t="shared" si="9"/>
        <v>0.43676848328066969</v>
      </c>
      <c r="AC78" s="53">
        <f t="shared" si="9"/>
        <v>0.43043195094966968</v>
      </c>
      <c r="AD78" s="53">
        <f t="shared" si="9"/>
        <v>0.42271710387682332</v>
      </c>
      <c r="AE78" s="53">
        <f t="shared" si="9"/>
        <v>0</v>
      </c>
    </row>
    <row r="83" spans="1:31" ht="13.5" customHeight="1">
      <c r="A83" s="103" t="s">
        <v>111</v>
      </c>
      <c r="B83" s="9" t="s">
        <v>9</v>
      </c>
      <c r="C83" s="9" t="s">
        <v>8</v>
      </c>
      <c r="D83" s="9" t="s">
        <v>10</v>
      </c>
      <c r="E83" s="9" t="s">
        <v>7</v>
      </c>
      <c r="F83" s="9">
        <v>2025</v>
      </c>
      <c r="G83" s="9">
        <v>2026</v>
      </c>
      <c r="H83" s="9">
        <v>2027</v>
      </c>
      <c r="I83" s="9">
        <v>2028</v>
      </c>
      <c r="J83" s="9">
        <v>2029</v>
      </c>
      <c r="K83" s="9">
        <v>2030</v>
      </c>
      <c r="L83" s="9">
        <v>2031</v>
      </c>
      <c r="M83" s="9">
        <v>2032</v>
      </c>
      <c r="N83" s="9">
        <v>2033</v>
      </c>
      <c r="O83" s="9">
        <v>2034</v>
      </c>
      <c r="P83" s="9">
        <v>2035</v>
      </c>
      <c r="Q83" s="9">
        <v>2036</v>
      </c>
      <c r="R83" s="9">
        <v>2037</v>
      </c>
      <c r="S83" s="9">
        <v>2038</v>
      </c>
      <c r="T83" s="9">
        <v>2039</v>
      </c>
      <c r="U83" s="9">
        <v>2040</v>
      </c>
      <c r="V83" s="9">
        <v>2041</v>
      </c>
      <c r="W83" s="9">
        <v>2042</v>
      </c>
      <c r="X83" s="9">
        <v>2043</v>
      </c>
      <c r="Y83" s="9">
        <v>2044</v>
      </c>
      <c r="Z83" s="9">
        <v>2045</v>
      </c>
      <c r="AA83" s="9">
        <v>2046</v>
      </c>
      <c r="AB83" s="9">
        <v>2047</v>
      </c>
      <c r="AC83" s="9">
        <v>2048</v>
      </c>
      <c r="AD83" s="9">
        <v>2049</v>
      </c>
      <c r="AE83" s="32">
        <v>2050</v>
      </c>
    </row>
    <row r="84" spans="1:31">
      <c r="A84" s="104"/>
      <c r="B84" s="5" t="s">
        <v>106</v>
      </c>
      <c r="C84" s="5" t="s">
        <v>112</v>
      </c>
      <c r="D84" s="5" t="s">
        <v>55</v>
      </c>
      <c r="E84" s="5" t="s">
        <v>105</v>
      </c>
      <c r="F84" s="13">
        <f t="shared" ref="F84:AE84" si="10">F34</f>
        <v>0</v>
      </c>
      <c r="G84" s="13">
        <f t="shared" si="10"/>
        <v>0</v>
      </c>
      <c r="H84" s="13">
        <f t="shared" si="10"/>
        <v>16.569406254180091</v>
      </c>
      <c r="I84" s="13">
        <f t="shared" si="10"/>
        <v>14.382712714355003</v>
      </c>
      <c r="J84" s="13">
        <f t="shared" si="10"/>
        <v>12.409716778638524</v>
      </c>
      <c r="K84" s="13">
        <f t="shared" si="10"/>
        <v>10.826861126438214</v>
      </c>
      <c r="L84" s="13">
        <f t="shared" si="10"/>
        <v>10.42448516341859</v>
      </c>
      <c r="M84" s="13">
        <f t="shared" si="10"/>
        <v>10.239763494812516</v>
      </c>
      <c r="N84" s="13">
        <f t="shared" si="10"/>
        <v>10.470348735444434</v>
      </c>
      <c r="O84" s="13">
        <f t="shared" si="10"/>
        <v>10.119542318650552</v>
      </c>
      <c r="P84" s="13">
        <f t="shared" si="10"/>
        <v>10.202227075027784</v>
      </c>
      <c r="Q84" s="13">
        <f t="shared" si="10"/>
        <v>10.482750469328597</v>
      </c>
      <c r="R84" s="13">
        <f t="shared" si="10"/>
        <v>10.534537772507193</v>
      </c>
      <c r="S84" s="13">
        <f t="shared" si="10"/>
        <v>10.763527125413562</v>
      </c>
      <c r="T84" s="13">
        <f t="shared" si="10"/>
        <v>10.245045548171149</v>
      </c>
      <c r="U84" s="13">
        <f t="shared" si="10"/>
        <v>10.555069334747524</v>
      </c>
      <c r="V84" s="13">
        <f t="shared" si="10"/>
        <v>10.80159986717149</v>
      </c>
      <c r="W84" s="13">
        <f t="shared" si="10"/>
        <v>10.950194992176197</v>
      </c>
      <c r="X84" s="13">
        <f t="shared" si="10"/>
        <v>10.766439113000791</v>
      </c>
      <c r="Y84" s="13">
        <f t="shared" si="10"/>
        <v>10.724467765084622</v>
      </c>
      <c r="Z84" s="13">
        <f t="shared" si="10"/>
        <v>10.279019596579078</v>
      </c>
      <c r="AA84" s="13">
        <f t="shared" si="10"/>
        <v>9.941715418740861</v>
      </c>
      <c r="AB84" s="13">
        <f t="shared" si="10"/>
        <v>10.098885489053048</v>
      </c>
      <c r="AC84" s="13">
        <f t="shared" si="10"/>
        <v>9.9523732821103827</v>
      </c>
      <c r="AD84" s="13">
        <f t="shared" si="10"/>
        <v>9.7739919195884788</v>
      </c>
      <c r="AE84" s="13">
        <f t="shared" si="10"/>
        <v>0</v>
      </c>
    </row>
    <row r="85" spans="1:31">
      <c r="A85" s="104"/>
      <c r="B85" s="1" t="s">
        <v>107</v>
      </c>
      <c r="C85" s="1" t="s">
        <v>112</v>
      </c>
      <c r="D85" s="1" t="s">
        <v>55</v>
      </c>
      <c r="E85" s="1" t="s">
        <v>105</v>
      </c>
      <c r="F85" s="14">
        <f t="shared" ref="F85:AE85" si="11">F45</f>
        <v>0</v>
      </c>
      <c r="G85" s="14">
        <f t="shared" si="11"/>
        <v>0</v>
      </c>
      <c r="H85" s="14">
        <f t="shared" si="11"/>
        <v>14.703301883511733</v>
      </c>
      <c r="I85" s="14">
        <f t="shared" si="11"/>
        <v>12.762881403166393</v>
      </c>
      <c r="J85" s="14">
        <f t="shared" si="11"/>
        <v>11.012091156807227</v>
      </c>
      <c r="K85" s="14">
        <f t="shared" si="11"/>
        <v>9.6075022333838103</v>
      </c>
      <c r="L85" s="14">
        <f t="shared" si="11"/>
        <v>9.2504432558809953</v>
      </c>
      <c r="M85" s="14">
        <f t="shared" si="11"/>
        <v>9.0865255863956502</v>
      </c>
      <c r="N85" s="14">
        <f t="shared" si="11"/>
        <v>9.2911415123307144</v>
      </c>
      <c r="O85" s="14">
        <f t="shared" si="11"/>
        <v>8.9798441387454506</v>
      </c>
      <c r="P85" s="14">
        <f t="shared" si="11"/>
        <v>9.0532166492343134</v>
      </c>
      <c r="Q85" s="14">
        <f t="shared" si="11"/>
        <v>9.302146519654487</v>
      </c>
      <c r="R85" s="14">
        <f t="shared" si="11"/>
        <v>9.3481013559767447</v>
      </c>
      <c r="S85" s="14">
        <f t="shared" si="11"/>
        <v>9.5513011286326268</v>
      </c>
      <c r="T85" s="14">
        <f t="shared" si="11"/>
        <v>9.0912127564671312</v>
      </c>
      <c r="U85" s="14">
        <f t="shared" si="11"/>
        <v>9.3663205820086706</v>
      </c>
      <c r="V85" s="14">
        <f t="shared" si="11"/>
        <v>9.5850859853144144</v>
      </c>
      <c r="W85" s="14">
        <f t="shared" si="11"/>
        <v>9.7169458086446081</v>
      </c>
      <c r="X85" s="14">
        <f t="shared" si="11"/>
        <v>9.5538851580129958</v>
      </c>
      <c r="Y85" s="14">
        <f t="shared" si="11"/>
        <v>9.516640769807255</v>
      </c>
      <c r="Z85" s="14">
        <f t="shared" si="11"/>
        <v>9.1213605289511808</v>
      </c>
      <c r="AA85" s="14">
        <f t="shared" si="11"/>
        <v>8.8220447250385412</v>
      </c>
      <c r="AB85" s="14">
        <f t="shared" si="11"/>
        <v>8.9615137534033842</v>
      </c>
      <c r="AC85" s="14">
        <f t="shared" si="11"/>
        <v>8.8315022626323092</v>
      </c>
      <c r="AD85" s="14">
        <f t="shared" si="11"/>
        <v>8.6732108318280208</v>
      </c>
      <c r="AE85" s="14">
        <f t="shared" si="11"/>
        <v>0</v>
      </c>
    </row>
    <row r="86" spans="1:31">
      <c r="A86" s="104"/>
      <c r="B86" s="1" t="s">
        <v>108</v>
      </c>
      <c r="C86" s="1" t="s">
        <v>112</v>
      </c>
      <c r="D86" s="1" t="s">
        <v>55</v>
      </c>
      <c r="E86" s="1" t="s">
        <v>105</v>
      </c>
      <c r="F86" s="14">
        <f t="shared" ref="F86:AE86" si="12">F56</f>
        <v>0</v>
      </c>
      <c r="G86" s="14">
        <f t="shared" si="12"/>
        <v>0</v>
      </c>
      <c r="H86" s="14">
        <f t="shared" si="12"/>
        <v>2.1898534720123854</v>
      </c>
      <c r="I86" s="14">
        <f t="shared" si="12"/>
        <v>1.9008546770673351</v>
      </c>
      <c r="J86" s="14">
        <f t="shared" si="12"/>
        <v>1.6400986829287358</v>
      </c>
      <c r="K86" s="14">
        <f t="shared" si="12"/>
        <v>1.4309045879507805</v>
      </c>
      <c r="L86" s="14">
        <f t="shared" si="12"/>
        <v>1.377725591301425</v>
      </c>
      <c r="M86" s="14">
        <f t="shared" si="12"/>
        <v>1.3533123213780756</v>
      </c>
      <c r="N86" s="14">
        <f t="shared" si="12"/>
        <v>1.3837870337513831</v>
      </c>
      <c r="O86" s="14">
        <f t="shared" si="12"/>
        <v>1.3374235951323012</v>
      </c>
      <c r="P86" s="14">
        <f t="shared" si="12"/>
        <v>1.3483514158434085</v>
      </c>
      <c r="Q86" s="14">
        <f t="shared" si="12"/>
        <v>1.3854260773953493</v>
      </c>
      <c r="R86" s="14">
        <f t="shared" si="12"/>
        <v>1.3922704147199407</v>
      </c>
      <c r="S86" s="14">
        <f t="shared" si="12"/>
        <v>1.4225342106474126</v>
      </c>
      <c r="T86" s="14">
        <f t="shared" si="12"/>
        <v>1.354010410537658</v>
      </c>
      <c r="U86" s="14">
        <f t="shared" si="12"/>
        <v>1.3949839164693765</v>
      </c>
      <c r="V86" s="14">
        <f t="shared" si="12"/>
        <v>1.427565997812785</v>
      </c>
      <c r="W86" s="14">
        <f t="shared" si="12"/>
        <v>1.4472046949045161</v>
      </c>
      <c r="X86" s="14">
        <f t="shared" si="12"/>
        <v>1.4229190660870419</v>
      </c>
      <c r="Y86" s="14">
        <f t="shared" si="12"/>
        <v>1.4173720295457615</v>
      </c>
      <c r="Z86" s="14">
        <f t="shared" si="12"/>
        <v>1.3585005043118779</v>
      </c>
      <c r="AA86" s="14">
        <f t="shared" si="12"/>
        <v>1.3139215547929743</v>
      </c>
      <c r="AB86" s="14">
        <f t="shared" si="12"/>
        <v>1.3346935377409295</v>
      </c>
      <c r="AC86" s="14">
        <f t="shared" si="12"/>
        <v>1.3153301242218334</v>
      </c>
      <c r="AD86" s="14">
        <f t="shared" si="12"/>
        <v>1.2917548047403433</v>
      </c>
      <c r="AE86" s="14">
        <f t="shared" si="12"/>
        <v>0</v>
      </c>
    </row>
    <row r="87" spans="1:31">
      <c r="A87" s="104"/>
      <c r="B87" s="1" t="s">
        <v>109</v>
      </c>
      <c r="C87" s="1" t="s">
        <v>112</v>
      </c>
      <c r="D87" s="1" t="s">
        <v>55</v>
      </c>
      <c r="E87" s="1" t="s">
        <v>105</v>
      </c>
      <c r="F87" s="14">
        <f t="shared" ref="F87:AE87" si="13">F67</f>
        <v>0</v>
      </c>
      <c r="G87" s="14">
        <f t="shared" si="13"/>
        <v>0</v>
      </c>
      <c r="H87" s="14">
        <f t="shared" si="13"/>
        <v>0.52381877071392624</v>
      </c>
      <c r="I87" s="14">
        <f t="shared" si="13"/>
        <v>0.45468949085996058</v>
      </c>
      <c r="J87" s="14">
        <f t="shared" si="13"/>
        <v>0.39231596402282054</v>
      </c>
      <c r="K87" s="14">
        <f t="shared" si="13"/>
        <v>0.34227618050649899</v>
      </c>
      <c r="L87" s="14">
        <f t="shared" si="13"/>
        <v>0.32955562316844711</v>
      </c>
      <c r="M87" s="14">
        <f t="shared" si="13"/>
        <v>0.32371590411701473</v>
      </c>
      <c r="N87" s="14">
        <f t="shared" si="13"/>
        <v>0.33100553631262319</v>
      </c>
      <c r="O87" s="14">
        <f t="shared" si="13"/>
        <v>0.3199152785698528</v>
      </c>
      <c r="P87" s="14">
        <f t="shared" si="13"/>
        <v>0.32252924232799135</v>
      </c>
      <c r="Q87" s="14">
        <f t="shared" si="13"/>
        <v>0.33139759990852208</v>
      </c>
      <c r="R87" s="14">
        <f t="shared" si="13"/>
        <v>0.33303478358749417</v>
      </c>
      <c r="S87" s="14">
        <f t="shared" si="13"/>
        <v>0.34027396400868337</v>
      </c>
      <c r="T87" s="14">
        <f t="shared" si="13"/>
        <v>0.32388288889937333</v>
      </c>
      <c r="U87" s="14">
        <f t="shared" si="13"/>
        <v>0.33368386041792397</v>
      </c>
      <c r="V87" s="14">
        <f t="shared" si="13"/>
        <v>0.34147758087216123</v>
      </c>
      <c r="W87" s="14">
        <f t="shared" si="13"/>
        <v>0.34617520941237595</v>
      </c>
      <c r="X87" s="14">
        <f t="shared" si="13"/>
        <v>0.34036602245271436</v>
      </c>
      <c r="Y87" s="14">
        <f t="shared" si="13"/>
        <v>0.33903915656908579</v>
      </c>
      <c r="Z87" s="14">
        <f t="shared" si="13"/>
        <v>0.32495693126397079</v>
      </c>
      <c r="AA87" s="14">
        <f t="shared" si="13"/>
        <v>0.31429352805679123</v>
      </c>
      <c r="AB87" s="14">
        <f t="shared" si="13"/>
        <v>0.31926224158587024</v>
      </c>
      <c r="AC87" s="14">
        <f t="shared" si="13"/>
        <v>0.31463046160788039</v>
      </c>
      <c r="AD87" s="14">
        <f t="shared" si="13"/>
        <v>0.30899118252925156</v>
      </c>
      <c r="AE87" s="14">
        <f t="shared" si="13"/>
        <v>0</v>
      </c>
    </row>
    <row r="88" spans="1:31">
      <c r="A88" s="105"/>
      <c r="B88" s="3" t="s">
        <v>110</v>
      </c>
      <c r="C88" s="3" t="s">
        <v>112</v>
      </c>
      <c r="D88" s="3" t="s">
        <v>55</v>
      </c>
      <c r="E88" s="3" t="s">
        <v>105</v>
      </c>
      <c r="F88" s="44">
        <f t="shared" ref="F88:AE88" si="14">F78</f>
        <v>0</v>
      </c>
      <c r="G88" s="44">
        <f t="shared" si="14"/>
        <v>0</v>
      </c>
      <c r="H88" s="44">
        <f t="shared" si="14"/>
        <v>0.71661317937946845</v>
      </c>
      <c r="I88" s="44">
        <f t="shared" si="14"/>
        <v>0.62204048402369605</v>
      </c>
      <c r="J88" s="44">
        <f t="shared" si="14"/>
        <v>0.5367100341145532</v>
      </c>
      <c r="K88" s="44">
        <f t="shared" si="14"/>
        <v>0.46825283027625203</v>
      </c>
      <c r="L88" s="44">
        <f t="shared" si="14"/>
        <v>0.45085040114016728</v>
      </c>
      <c r="M88" s="44">
        <f t="shared" si="14"/>
        <v>0.44286134104897157</v>
      </c>
      <c r="N88" s="44">
        <f t="shared" si="14"/>
        <v>0.45283396287213035</v>
      </c>
      <c r="O88" s="44">
        <f t="shared" si="14"/>
        <v>0.43766187415459029</v>
      </c>
      <c r="P88" s="44">
        <f t="shared" si="14"/>
        <v>0.44123792179593269</v>
      </c>
      <c r="Q88" s="44">
        <f t="shared" si="14"/>
        <v>0.45337032765263091</v>
      </c>
      <c r="R88" s="44">
        <f t="shared" si="14"/>
        <v>0.45561008588011354</v>
      </c>
      <c r="S88" s="44">
        <f t="shared" si="14"/>
        <v>0.46551368687299044</v>
      </c>
      <c r="T88" s="44">
        <f t="shared" si="14"/>
        <v>0.44308978550817046</v>
      </c>
      <c r="U88" s="44">
        <f t="shared" si="14"/>
        <v>0.4564980590439654</v>
      </c>
      <c r="V88" s="44">
        <f t="shared" si="14"/>
        <v>0.46716030160983163</v>
      </c>
      <c r="W88" s="44">
        <f t="shared" si="14"/>
        <v>0.47358691843220874</v>
      </c>
      <c r="X88" s="44">
        <f t="shared" si="14"/>
        <v>0.46563962793878277</v>
      </c>
      <c r="Y88" s="44">
        <f t="shared" si="14"/>
        <v>0.46382440169520767</v>
      </c>
      <c r="Z88" s="44">
        <f t="shared" si="14"/>
        <v>0.44455913513196005</v>
      </c>
      <c r="AA88" s="44">
        <f t="shared" si="14"/>
        <v>0.42997100713324915</v>
      </c>
      <c r="AB88" s="44">
        <f t="shared" si="14"/>
        <v>0.43676848328066969</v>
      </c>
      <c r="AC88" s="44">
        <f t="shared" si="14"/>
        <v>0.43043195094966968</v>
      </c>
      <c r="AD88" s="44">
        <f t="shared" si="14"/>
        <v>0.42271710387682332</v>
      </c>
      <c r="AE88" s="44">
        <f t="shared" si="14"/>
        <v>0</v>
      </c>
    </row>
    <row r="93" spans="1:31" ht="29.25" customHeight="1">
      <c r="A93" s="22"/>
      <c r="F93" s="58" t="s">
        <v>106</v>
      </c>
      <c r="G93" s="29" t="s">
        <v>107</v>
      </c>
      <c r="H93" s="29" t="s">
        <v>108</v>
      </c>
      <c r="I93" s="29" t="s">
        <v>109</v>
      </c>
      <c r="J93" s="59" t="s">
        <v>110</v>
      </c>
      <c r="L93" s="27"/>
    </row>
    <row r="94" spans="1:31" ht="13.5" customHeight="1">
      <c r="A94" s="100" t="s">
        <v>37</v>
      </c>
      <c r="B94" s="5" t="s">
        <v>41</v>
      </c>
      <c r="C94" s="5" t="s">
        <v>38</v>
      </c>
      <c r="D94" s="5" t="s">
        <v>34</v>
      </c>
      <c r="E94" s="5" t="s">
        <v>105</v>
      </c>
      <c r="F94" s="48">
        <f>SUM($F$84:$K$84)</f>
        <v>54.188696873611832</v>
      </c>
      <c r="G94" s="13">
        <f>SUM($F$85:$K$85)</f>
        <v>48.085776676869159</v>
      </c>
      <c r="H94" s="13">
        <f>SUM($F$86:$K$86)</f>
        <v>7.1617114199592367</v>
      </c>
      <c r="I94" s="13">
        <f>SUM($F$87:$K$87)</f>
        <v>1.7131004061032065</v>
      </c>
      <c r="J94" s="45">
        <f>SUM($F$88:$K$88)</f>
        <v>2.3436165277939698</v>
      </c>
    </row>
    <row r="95" spans="1:31" ht="13.5" customHeight="1">
      <c r="A95" s="101"/>
      <c r="B95" s="1" t="s">
        <v>39</v>
      </c>
      <c r="C95" s="1" t="s">
        <v>38</v>
      </c>
      <c r="D95" s="1" t="s">
        <v>34</v>
      </c>
      <c r="E95" s="1" t="s">
        <v>113</v>
      </c>
      <c r="F95" s="49">
        <f>F94/COUNT($F$83:$K$83)</f>
        <v>9.0314494789353059</v>
      </c>
      <c r="G95" s="14">
        <f>G94/COUNT($F$83:$K$83)</f>
        <v>8.0142961128115271</v>
      </c>
      <c r="H95" s="14">
        <f>H94/COUNT($F$83:$K$83)</f>
        <v>1.193618569993206</v>
      </c>
      <c r="I95" s="14">
        <f>I94/COUNT($F$83:$K$83)</f>
        <v>0.28551673435053443</v>
      </c>
      <c r="J95" s="46">
        <f>J94/COUNT($F$83:$K$83)</f>
        <v>0.3906027546323283</v>
      </c>
    </row>
    <row r="96" spans="1:31">
      <c r="A96" s="101"/>
      <c r="B96" s="1" t="s">
        <v>41</v>
      </c>
      <c r="C96" s="1" t="s">
        <v>40</v>
      </c>
      <c r="D96" s="1" t="s">
        <v>34</v>
      </c>
      <c r="E96" s="1" t="s">
        <v>105</v>
      </c>
      <c r="F96" s="49">
        <f>SUM(F84:AE84)</f>
        <v>251.51468135463867</v>
      </c>
      <c r="G96" s="14">
        <f>SUM(F85:AE85)</f>
        <v>223.18821998582865</v>
      </c>
      <c r="H96" s="14">
        <f>SUM($F$86:$AE$86)</f>
        <v>33.240798721293629</v>
      </c>
      <c r="I96" s="14">
        <f>SUM($F$87:$AE$87)</f>
        <v>7.9512874017712347</v>
      </c>
      <c r="J96" s="46">
        <f>SUM($F$88:$AE$88)</f>
        <v>10.877802903812036</v>
      </c>
    </row>
    <row r="97" spans="1:10">
      <c r="A97" s="102"/>
      <c r="B97" s="3" t="s">
        <v>39</v>
      </c>
      <c r="C97" s="3" t="s">
        <v>40</v>
      </c>
      <c r="D97" s="3" t="s">
        <v>34</v>
      </c>
      <c r="E97" s="3" t="s">
        <v>157</v>
      </c>
      <c r="F97" s="50">
        <f>F96/COUNT($F$83:$AE$83)</f>
        <v>9.673641590563026</v>
      </c>
      <c r="G97" s="44">
        <f>G96/COUNT($F$83:$AE$83)</f>
        <v>8.5841623071472561</v>
      </c>
      <c r="H97" s="44">
        <f>H96/COUNT($F$83:$AE$83)</f>
        <v>1.2784922585112934</v>
      </c>
      <c r="I97" s="44">
        <f>I96/COUNT($F$83:$AE$83)</f>
        <v>0.30581874622197058</v>
      </c>
      <c r="J97" s="47">
        <f>J96/COUNT($F$83:$AE$83)</f>
        <v>0.41837703476200139</v>
      </c>
    </row>
    <row r="98" spans="1:10" ht="13">
      <c r="A98" s="22"/>
    </row>
  </sheetData>
  <mergeCells count="10">
    <mergeCell ref="A6:A11"/>
    <mergeCell ref="A13:A18"/>
    <mergeCell ref="A20:A21"/>
    <mergeCell ref="A25:A34"/>
    <mergeCell ref="A83:A88"/>
    <mergeCell ref="A94:A97"/>
    <mergeCell ref="A36:A45"/>
    <mergeCell ref="A47:A56"/>
    <mergeCell ref="A58:A67"/>
    <mergeCell ref="A69:A7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76CAA-14AF-4E18-B637-1DD58727A244}">
  <sheetPr>
    <tabColor theme="6"/>
  </sheetPr>
  <dimension ref="A1:AE80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2.906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31">
      <c r="A1" s="21" t="s">
        <v>186</v>
      </c>
    </row>
    <row r="2" spans="1:31" ht="13">
      <c r="A2" s="22" t="s">
        <v>210</v>
      </c>
    </row>
    <row r="3" spans="1:31" ht="13">
      <c r="A3" s="22" t="s">
        <v>222</v>
      </c>
    </row>
    <row r="4" spans="1:31" ht="13">
      <c r="A4" s="22"/>
    </row>
    <row r="7" spans="1:31" ht="13.5" customHeight="1">
      <c r="A7" s="103" t="s">
        <v>90</v>
      </c>
      <c r="B7" s="9" t="s">
        <v>9</v>
      </c>
      <c r="C7" s="9" t="s">
        <v>8</v>
      </c>
      <c r="D7" s="9" t="s">
        <v>10</v>
      </c>
      <c r="E7" s="9" t="s">
        <v>7</v>
      </c>
      <c r="F7" s="9">
        <v>2025</v>
      </c>
      <c r="G7" s="9">
        <v>2026</v>
      </c>
      <c r="H7" s="9">
        <v>2027</v>
      </c>
      <c r="I7" s="9">
        <v>2028</v>
      </c>
      <c r="J7" s="9">
        <v>2029</v>
      </c>
      <c r="K7" s="9">
        <v>2030</v>
      </c>
      <c r="L7" s="9">
        <v>2031</v>
      </c>
      <c r="M7" s="9">
        <v>2032</v>
      </c>
      <c r="N7" s="9">
        <v>2033</v>
      </c>
      <c r="O7" s="9">
        <v>2034</v>
      </c>
      <c r="P7" s="9">
        <v>2035</v>
      </c>
      <c r="Q7" s="9">
        <v>2036</v>
      </c>
      <c r="R7" s="9">
        <v>2037</v>
      </c>
      <c r="S7" s="9">
        <v>2038</v>
      </c>
      <c r="T7" s="9">
        <v>2039</v>
      </c>
      <c r="U7" s="9">
        <v>2040</v>
      </c>
      <c r="V7" s="9">
        <v>2041</v>
      </c>
      <c r="W7" s="9">
        <v>2042</v>
      </c>
      <c r="X7" s="9">
        <v>2043</v>
      </c>
      <c r="Y7" s="9">
        <v>2044</v>
      </c>
      <c r="Z7" s="9">
        <v>2045</v>
      </c>
      <c r="AA7" s="9">
        <v>2046</v>
      </c>
      <c r="AB7" s="9">
        <v>2047</v>
      </c>
      <c r="AC7" s="9">
        <v>2048</v>
      </c>
      <c r="AD7" s="9">
        <v>2049</v>
      </c>
      <c r="AE7" s="9">
        <v>2050</v>
      </c>
    </row>
    <row r="8" spans="1:31">
      <c r="A8" s="104"/>
      <c r="B8" s="5" t="s">
        <v>273</v>
      </c>
      <c r="C8" s="5" t="s">
        <v>275</v>
      </c>
      <c r="D8" s="5" t="s">
        <v>276</v>
      </c>
      <c r="E8" s="5" t="s">
        <v>97</v>
      </c>
      <c r="F8" s="7">
        <v>0</v>
      </c>
      <c r="G8" s="7">
        <v>0</v>
      </c>
      <c r="H8" s="7">
        <f>'P0.1a Coal-NG Retirement'!L13*2000</f>
        <v>5881.362347089168</v>
      </c>
      <c r="I8" s="7">
        <f>'P0.1a Coal-NG Retirement'!M13*2000</f>
        <v>5105.1886657597024</v>
      </c>
      <c r="J8" s="7">
        <f>'P0.1a Coal-NG Retirement'!N13*2000</f>
        <v>4404.8676144634046</v>
      </c>
      <c r="K8" s="7">
        <f>'P0.1a Coal-NG Retirement'!O13*2000</f>
        <v>3843.0280716988818</v>
      </c>
      <c r="L8" s="7">
        <f>'P0.1a Coal-NG Retirement'!P13*2000</f>
        <v>3700.2034706254217</v>
      </c>
      <c r="M8" s="7">
        <f>'P0.1a Coal-NG Retirement'!Q13*2000</f>
        <v>3634.6359391300089</v>
      </c>
      <c r="N8" s="7">
        <f>'P0.1a Coal-NG Retirement'!R13*2000</f>
        <v>3716.4828883352611</v>
      </c>
      <c r="O8" s="7">
        <f>'P0.1a Coal-NG Retirement'!S13*2000</f>
        <v>3591.9630582823097</v>
      </c>
      <c r="P8" s="7">
        <f>'P0.1a Coal-NG Retirement'!T13*2000</f>
        <v>3621.3122700389226</v>
      </c>
      <c r="Q8" s="7">
        <f>'P0.1a Coal-NG Retirement'!U13*2000</f>
        <v>3720.8849223964717</v>
      </c>
      <c r="R8" s="7">
        <f>'P0.1a Coal-NG Retirement'!V13*2000</f>
        <v>3739.266986925491</v>
      </c>
      <c r="S8" s="7">
        <f>'P0.1a Coal-NG Retirement'!W13*2000</f>
        <v>3820.5474708129609</v>
      </c>
      <c r="T8" s="7">
        <f>'P0.1a Coal-NG Retirement'!X13*2000</f>
        <v>3636.5108204179814</v>
      </c>
      <c r="U8" s="7">
        <f>'P0.1a Coal-NG Retirement'!Y13*2000</f>
        <v>3746.5547288780267</v>
      </c>
      <c r="V8" s="7">
        <f>'P0.1a Coal-NG Retirement'!Z13*2000</f>
        <v>3834.0615090585397</v>
      </c>
      <c r="W8" s="7">
        <f>'P0.1a Coal-NG Retirement'!AA13*2000</f>
        <v>3886.8058114045111</v>
      </c>
      <c r="X8" s="7">
        <f>'P0.1a Coal-NG Retirement'!AB13*2000</f>
        <v>3821.5810898749837</v>
      </c>
      <c r="Y8" s="7">
        <f>'P0.1a Coal-NG Retirement'!AC13*2000</f>
        <v>3806.6832292332697</v>
      </c>
      <c r="Z8" s="7">
        <f>'P0.1a Coal-NG Retirement'!AD13*2000</f>
        <v>3648.5700146956374</v>
      </c>
      <c r="AA8" s="7">
        <f>'P0.1a Coal-NG Retirement'!AE13*2000</f>
        <v>3528.8428464060034</v>
      </c>
      <c r="AB8" s="7">
        <f>'P0.1a Coal-NG Retirement'!AF13*2000</f>
        <v>3584.6308522912614</v>
      </c>
      <c r="AC8" s="7">
        <f>'P0.1a Coal-NG Retirement'!AG13*2000</f>
        <v>3532.625888197625</v>
      </c>
      <c r="AD8" s="7">
        <f>'P0.1a Coal-NG Retirement'!AH13*2000</f>
        <v>3469.3088680905157</v>
      </c>
      <c r="AE8" s="7">
        <f>'P0.1a Coal-NG Retirement'!AI13*2000</f>
        <v>3364.8748652160366</v>
      </c>
    </row>
    <row r="9" spans="1:31">
      <c r="A9" s="104"/>
      <c r="B9" s="1" t="s">
        <v>271</v>
      </c>
      <c r="C9" s="1" t="s">
        <v>275</v>
      </c>
      <c r="D9" s="1" t="s">
        <v>276</v>
      </c>
      <c r="E9" s="1" t="s">
        <v>97</v>
      </c>
      <c r="F9" s="2">
        <v>0</v>
      </c>
      <c r="G9" s="2">
        <v>0</v>
      </c>
      <c r="H9" s="2">
        <f>'P0.1a Coal-NG Retirement'!L25*2000</f>
        <v>2.2213149540553481</v>
      </c>
      <c r="I9" s="2">
        <f>'P0.1a Coal-NG Retirement'!M25*2000</f>
        <v>1.9281641322674943</v>
      </c>
      <c r="J9" s="2">
        <f>'P0.1a Coal-NG Retirement'!N25*2000</f>
        <v>1.6636618737637057</v>
      </c>
      <c r="K9" s="2">
        <f>'P0.1a Coal-NG Retirement'!O25*2000</f>
        <v>1.4514623008637066</v>
      </c>
      <c r="L9" s="2">
        <f>'P0.1a Coal-NG Retirement'!P25*2000</f>
        <v>1.3975192850370279</v>
      </c>
      <c r="M9" s="2">
        <f>'P0.1a Coal-NG Retirement'!Q25*2000</f>
        <v>1.3727552712565572</v>
      </c>
      <c r="N9" s="2">
        <f>'P0.1a Coal-NG Retirement'!R25*2000</f>
        <v>1.4036678118354278</v>
      </c>
      <c r="O9" s="2">
        <f>'P0.1a Coal-NG Retirement'!S25*2000</f>
        <v>1.3566382727168347</v>
      </c>
      <c r="P9" s="2">
        <f>'P0.1a Coal-NG Retirement'!T25*2000</f>
        <v>1.3677230927155493</v>
      </c>
      <c r="Q9" s="2">
        <f>'P0.1a Coal-NG Retirement'!U25*2000</f>
        <v>1.4053304035125531</v>
      </c>
      <c r="R9" s="2">
        <f>'P0.1a Coal-NG Retirement'!V25*2000</f>
        <v>1.412273072985202</v>
      </c>
      <c r="S9" s="2">
        <f>'P0.1a Coal-NG Retirement'!W25*2000</f>
        <v>1.442971666895412</v>
      </c>
      <c r="T9" s="2">
        <f>'P0.1a Coal-NG Retirement'!X25*2000</f>
        <v>1.3734633898175765</v>
      </c>
      <c r="U9" s="2">
        <f>'P0.1a Coal-NG Retirement'!Y25*2000</f>
        <v>1.4150255594373375</v>
      </c>
      <c r="V9" s="2">
        <f>'P0.1a Coal-NG Retirement'!Z25*2000</f>
        <v>1.4480757454188919</v>
      </c>
      <c r="W9" s="2">
        <f>'P0.1a Coal-NG Retirement'!AA25*2000</f>
        <v>1.467996590391198</v>
      </c>
      <c r="X9" s="2">
        <f>'P0.1a Coal-NG Retirement'!AB25*2000</f>
        <v>1.4433620515280479</v>
      </c>
      <c r="Y9" s="2">
        <f>'P0.1a Coal-NG Retirement'!AC25*2000</f>
        <v>1.4377353210744737</v>
      </c>
      <c r="Z9" s="2">
        <f>'P0.1a Coal-NG Retirement'!AD25*2000</f>
        <v>1.3780179924762739</v>
      </c>
      <c r="AA9" s="2">
        <f>'P0.1a Coal-NG Retirement'!AE25*2000</f>
        <v>1.3327985800964035</v>
      </c>
      <c r="AB9" s="2">
        <f>'P0.1a Coal-NG Retirement'!AF25*2000</f>
        <v>1.3538689927689347</v>
      </c>
      <c r="AC9" s="2">
        <f>'P0.1a Coal-NG Retirement'!AG25*2000</f>
        <v>1.3342273863504011</v>
      </c>
      <c r="AD9" s="2">
        <f>'P0.1a Coal-NG Retirement'!AH25*2000</f>
        <v>1.3103133617911498</v>
      </c>
      <c r="AE9" s="2">
        <f>'P0.1a Coal-NG Retirement'!AI25*2000</f>
        <v>1.2708699813961719</v>
      </c>
    </row>
    <row r="10" spans="1:31">
      <c r="A10" s="104"/>
      <c r="B10" s="1"/>
      <c r="C10" s="1"/>
      <c r="D10" s="1"/>
      <c r="E10" s="1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>
      <c r="A11" s="104"/>
      <c r="B11" s="1"/>
      <c r="C11" s="1"/>
      <c r="D11" s="1"/>
      <c r="E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>
      <c r="A12" s="104"/>
      <c r="B12" s="1"/>
      <c r="C12" s="1"/>
      <c r="D12" s="1"/>
      <c r="E12" s="1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>
      <c r="A13" s="104"/>
      <c r="B13" s="1"/>
      <c r="C13" s="1"/>
      <c r="D13" s="1"/>
      <c r="E13" s="1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>
      <c r="A14" s="104"/>
      <c r="B14" s="1"/>
      <c r="C14" s="1"/>
      <c r="D14" s="1"/>
      <c r="E14" s="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>
      <c r="A15" s="104"/>
      <c r="B15" s="3"/>
      <c r="C15" s="3"/>
      <c r="D15" s="23"/>
      <c r="E15" s="1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>
      <c r="A16" s="105"/>
      <c r="B16" s="51" t="s">
        <v>104</v>
      </c>
      <c r="C16" s="51" t="s">
        <v>19</v>
      </c>
      <c r="D16" s="52" t="s">
        <v>34</v>
      </c>
      <c r="E16" s="28" t="s">
        <v>105</v>
      </c>
      <c r="F16" s="53">
        <f t="shared" ref="F16:AE16" si="0">SUM(F8:F15)/2204.62</f>
        <v>0</v>
      </c>
      <c r="G16" s="53">
        <f t="shared" si="0"/>
        <v>0</v>
      </c>
      <c r="H16" s="53">
        <f t="shared" si="0"/>
        <v>2.6687518311741814</v>
      </c>
      <c r="I16" s="53">
        <f t="shared" si="0"/>
        <v>2.3165519816984199</v>
      </c>
      <c r="J16" s="53">
        <f t="shared" si="0"/>
        <v>1.9987713421529192</v>
      </c>
      <c r="K16" s="53">
        <f t="shared" si="0"/>
        <v>1.7438286570927168</v>
      </c>
      <c r="L16" s="53">
        <f t="shared" si="0"/>
        <v>1.6790199625833291</v>
      </c>
      <c r="M16" s="53">
        <f t="shared" si="0"/>
        <v>1.6492677624267518</v>
      </c>
      <c r="N16" s="53">
        <f t="shared" si="0"/>
        <v>1.6864069799544124</v>
      </c>
      <c r="O16" s="53">
        <f t="shared" si="0"/>
        <v>1.6299043356927845</v>
      </c>
      <c r="P16" s="53">
        <f t="shared" si="0"/>
        <v>1.6432219580388632</v>
      </c>
      <c r="Q16" s="53">
        <f t="shared" si="0"/>
        <v>1.6884044655314676</v>
      </c>
      <c r="R16" s="53">
        <f t="shared" si="0"/>
        <v>1.6967455888082645</v>
      </c>
      <c r="S16" s="53">
        <f t="shared" si="0"/>
        <v>1.7336277646396461</v>
      </c>
      <c r="T16" s="53">
        <f t="shared" si="0"/>
        <v>1.650118516482568</v>
      </c>
      <c r="U16" s="53">
        <f t="shared" si="0"/>
        <v>1.7000525053920694</v>
      </c>
      <c r="V16" s="53">
        <f t="shared" si="0"/>
        <v>1.7397599517395101</v>
      </c>
      <c r="W16" s="53">
        <f t="shared" si="0"/>
        <v>1.7636934292508017</v>
      </c>
      <c r="X16" s="53">
        <f t="shared" si="0"/>
        <v>1.7340967839929384</v>
      </c>
      <c r="Y16" s="53">
        <f t="shared" si="0"/>
        <v>1.7273366677950595</v>
      </c>
      <c r="Z16" s="53">
        <f t="shared" si="0"/>
        <v>1.6555905474358907</v>
      </c>
      <c r="AA16" s="53">
        <f t="shared" si="0"/>
        <v>1.6012626416280811</v>
      </c>
      <c r="AB16" s="53">
        <f t="shared" si="0"/>
        <v>1.6265772429189751</v>
      </c>
      <c r="AC16" s="53">
        <f t="shared" si="0"/>
        <v>1.6029792506572451</v>
      </c>
      <c r="AD16" s="53">
        <f t="shared" si="0"/>
        <v>1.5742482520580903</v>
      </c>
      <c r="AE16" s="53">
        <f t="shared" si="0"/>
        <v>1.5268598376125739</v>
      </c>
    </row>
    <row r="18" spans="1:31" ht="13.5" customHeight="1">
      <c r="A18" s="103" t="s">
        <v>91</v>
      </c>
      <c r="B18" s="9" t="s">
        <v>9</v>
      </c>
      <c r="C18" s="9" t="s">
        <v>8</v>
      </c>
      <c r="D18" s="9" t="s">
        <v>10</v>
      </c>
      <c r="E18" s="9" t="s">
        <v>7</v>
      </c>
      <c r="F18" s="9">
        <v>2025</v>
      </c>
      <c r="G18" s="9">
        <v>2026</v>
      </c>
      <c r="H18" s="9">
        <v>2027</v>
      </c>
      <c r="I18" s="9">
        <v>2028</v>
      </c>
      <c r="J18" s="9">
        <v>2029</v>
      </c>
      <c r="K18" s="9">
        <v>2030</v>
      </c>
      <c r="L18" s="9">
        <v>2031</v>
      </c>
      <c r="M18" s="9">
        <v>2032</v>
      </c>
      <c r="N18" s="9">
        <v>2033</v>
      </c>
      <c r="O18" s="9">
        <v>2034</v>
      </c>
      <c r="P18" s="9">
        <v>2035</v>
      </c>
      <c r="Q18" s="9">
        <v>2036</v>
      </c>
      <c r="R18" s="9">
        <v>2037</v>
      </c>
      <c r="S18" s="9">
        <v>2038</v>
      </c>
      <c r="T18" s="9">
        <v>2039</v>
      </c>
      <c r="U18" s="9">
        <v>2040</v>
      </c>
      <c r="V18" s="9">
        <v>2041</v>
      </c>
      <c r="W18" s="9">
        <v>2042</v>
      </c>
      <c r="X18" s="9">
        <v>2043</v>
      </c>
      <c r="Y18" s="9">
        <v>2044</v>
      </c>
      <c r="Z18" s="9">
        <v>2045</v>
      </c>
      <c r="AA18" s="9">
        <v>2046</v>
      </c>
      <c r="AB18" s="9">
        <v>2047</v>
      </c>
      <c r="AC18" s="9">
        <v>2048</v>
      </c>
      <c r="AD18" s="9">
        <v>2049</v>
      </c>
      <c r="AE18" s="9">
        <v>2050</v>
      </c>
    </row>
    <row r="19" spans="1:31">
      <c r="A19" s="104"/>
      <c r="B19" s="5" t="s">
        <v>273</v>
      </c>
      <c r="C19" s="5" t="s">
        <v>275</v>
      </c>
      <c r="D19" s="5" t="s">
        <v>276</v>
      </c>
      <c r="E19" s="5" t="s">
        <v>97</v>
      </c>
      <c r="F19" s="7">
        <v>0</v>
      </c>
      <c r="G19" s="7">
        <v>0</v>
      </c>
      <c r="H19" s="7">
        <f>'P0.1a Coal-NG Retirement'!L14*2000</f>
        <v>2837.4993779816164</v>
      </c>
      <c r="I19" s="7">
        <f>'P0.1a Coal-NG Retirement'!M14*2000</f>
        <v>2463.0296194454704</v>
      </c>
      <c r="J19" s="7">
        <f>'P0.1a Coal-NG Retirement'!N14*2000</f>
        <v>2125.15542803059</v>
      </c>
      <c r="K19" s="7">
        <f>'P0.1a Coal-NG Retirement'!O14*2000</f>
        <v>1854.0924907319165</v>
      </c>
      <c r="L19" s="7">
        <f>'P0.1a Coal-NG Retirement'!P14*2000</f>
        <v>1785.1858849508615</v>
      </c>
      <c r="M19" s="7">
        <f>'P0.1a Coal-NG Retirement'!Q14*2000</f>
        <v>1753.5524267732501</v>
      </c>
      <c r="N19" s="7">
        <f>'P0.1a Coal-NG Retirement'!R14*2000</f>
        <v>1793.03998998631</v>
      </c>
      <c r="O19" s="7">
        <f>'P0.1a Coal-NG Retirement'!S14*2000</f>
        <v>1732.9646333818164</v>
      </c>
      <c r="P19" s="7">
        <f>'P0.1a Coal-NG Retirement'!T14*2000</f>
        <v>1747.1243408082523</v>
      </c>
      <c r="Q19" s="7">
        <f>'P0.1a Coal-NG Retirement'!U14*2000</f>
        <v>1795.1637783491749</v>
      </c>
      <c r="R19" s="7">
        <f>'P0.1a Coal-NG Retirement'!V14*2000</f>
        <v>1804.0323182535262</v>
      </c>
      <c r="S19" s="7">
        <f>'P0.1a Coal-NG Retirement'!W14*2000</f>
        <v>1843.2465867957269</v>
      </c>
      <c r="T19" s="7">
        <f>'P0.1a Coal-NG Retirement'!X14*2000</f>
        <v>1754.4569747630612</v>
      </c>
      <c r="U19" s="7">
        <f>'P0.1a Coal-NG Retirement'!Y14*2000</f>
        <v>1807.54833410782</v>
      </c>
      <c r="V19" s="7">
        <f>'P0.1a Coal-NG Retirement'!Z14*2000</f>
        <v>1849.766517528243</v>
      </c>
      <c r="W19" s="7">
        <f>'P0.1a Coal-NG Retirement'!AA14*2000</f>
        <v>1875.2133300635801</v>
      </c>
      <c r="X19" s="7">
        <f>'P0.1a Coal-NG Retirement'!AB14*2000</f>
        <v>1843.7452626589834</v>
      </c>
      <c r="Y19" s="7">
        <f>'P0.1a Coal-NG Retirement'!AC14*2000</f>
        <v>1836.5576983142969</v>
      </c>
      <c r="Z19" s="7">
        <f>'P0.1a Coal-NG Retirement'!AD14*2000</f>
        <v>1760.2750070900006</v>
      </c>
      <c r="AA19" s="7">
        <f>'P0.1a Coal-NG Retirement'!AE14*2000</f>
        <v>1702.5118995818436</v>
      </c>
      <c r="AB19" s="7">
        <f>'P0.1a Coal-NG Retirement'!AF14*2000</f>
        <v>1729.4271655791174</v>
      </c>
      <c r="AC19" s="7">
        <f>'P0.1a Coal-NG Retirement'!AG14*2000</f>
        <v>1704.3370513234154</v>
      </c>
      <c r="AD19" s="7">
        <f>'P0.1a Coal-NG Retirement'!AH14*2000</f>
        <v>1673.7893661840208</v>
      </c>
      <c r="AE19" s="7">
        <f>'P0.1a Coal-NG Retirement'!AI14*2000</f>
        <v>1623.404540235807</v>
      </c>
    </row>
    <row r="20" spans="1:31">
      <c r="A20" s="104"/>
      <c r="B20" s="1" t="s">
        <v>271</v>
      </c>
      <c r="C20" s="1" t="s">
        <v>275</v>
      </c>
      <c r="D20" s="1" t="s">
        <v>276</v>
      </c>
      <c r="E20" s="1" t="s">
        <v>97</v>
      </c>
      <c r="F20" s="2">
        <v>0</v>
      </c>
      <c r="G20" s="2">
        <v>0</v>
      </c>
      <c r="H20" s="2">
        <f>'P0.1a Coal-NG Retirement'!L26*2000</f>
        <v>621.96818713549749</v>
      </c>
      <c r="I20" s="2">
        <f>'P0.1a Coal-NG Retirement'!M26*2000</f>
        <v>539.88595703489841</v>
      </c>
      <c r="J20" s="2">
        <f>'P0.1a Coal-NG Retirement'!N26*2000</f>
        <v>465.82532465383758</v>
      </c>
      <c r="K20" s="2">
        <f>'P0.1a Coal-NG Retirement'!O26*2000</f>
        <v>406.40944424183783</v>
      </c>
      <c r="L20" s="2">
        <f>'P0.1a Coal-NG Retirement'!P26*2000</f>
        <v>391.30539981036782</v>
      </c>
      <c r="M20" s="2">
        <f>'P0.1a Coal-NG Retirement'!Q26*2000</f>
        <v>384.37147595183603</v>
      </c>
      <c r="N20" s="2">
        <f>'P0.1a Coal-NG Retirement'!R26*2000</f>
        <v>393.02698731391979</v>
      </c>
      <c r="O20" s="2">
        <f>'P0.1a Coal-NG Retirement'!S26*2000</f>
        <v>379.85871636071369</v>
      </c>
      <c r="P20" s="2">
        <f>'P0.1a Coal-NG Retirement'!T26*2000</f>
        <v>382.96246596035377</v>
      </c>
      <c r="Q20" s="2">
        <f>'P0.1a Coal-NG Retirement'!U26*2000</f>
        <v>393.49251298351487</v>
      </c>
      <c r="R20" s="2">
        <f>'P0.1a Coal-NG Retirement'!V26*2000</f>
        <v>395.43646043585653</v>
      </c>
      <c r="S20" s="2">
        <f>'P0.1a Coal-NG Retirement'!W26*2000</f>
        <v>404.03206673071537</v>
      </c>
      <c r="T20" s="2">
        <f>'P0.1a Coal-NG Retirement'!X26*2000</f>
        <v>384.56974914892146</v>
      </c>
      <c r="U20" s="2">
        <f>'P0.1a Coal-NG Retirement'!Y26*2000</f>
        <v>396.20715664245449</v>
      </c>
      <c r="V20" s="2">
        <f>'P0.1a Coal-NG Retirement'!Z26*2000</f>
        <v>405.46120871728976</v>
      </c>
      <c r="W20" s="2">
        <f>'P0.1a Coal-NG Retirement'!AA26*2000</f>
        <v>411.03904530953542</v>
      </c>
      <c r="X20" s="2">
        <f>'P0.1a Coal-NG Retirement'!AB26*2000</f>
        <v>404.14137442785341</v>
      </c>
      <c r="Y20" s="2">
        <f>'P0.1a Coal-NG Retirement'!AC26*2000</f>
        <v>402.56588990085265</v>
      </c>
      <c r="Z20" s="2">
        <f>'P0.1a Coal-NG Retirement'!AD26*2000</f>
        <v>385.84503789335668</v>
      </c>
      <c r="AA20" s="2">
        <f>'P0.1a Coal-NG Retirement'!AE26*2000</f>
        <v>373.18360242699299</v>
      </c>
      <c r="AB20" s="2">
        <f>'P0.1a Coal-NG Retirement'!AF26*2000</f>
        <v>379.08331797530172</v>
      </c>
      <c r="AC20" s="2">
        <f>'P0.1a Coal-NG Retirement'!AG26*2000</f>
        <v>373.5836681781123</v>
      </c>
      <c r="AD20" s="2">
        <f>'P0.1a Coal-NG Retirement'!AH26*2000</f>
        <v>366.88774130152194</v>
      </c>
      <c r="AE20" s="2">
        <f>'P0.1a Coal-NG Retirement'!AI26*2000</f>
        <v>355.84359479092814</v>
      </c>
    </row>
    <row r="21" spans="1:31">
      <c r="A21" s="104"/>
      <c r="B21" s="1"/>
      <c r="C21" s="1"/>
      <c r="D21" s="1"/>
      <c r="E21" s="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>
      <c r="A22" s="104"/>
      <c r="B22" s="1"/>
      <c r="C22" s="1"/>
      <c r="D22" s="1"/>
      <c r="E22" s="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>
      <c r="A23" s="104"/>
      <c r="B23" s="1"/>
      <c r="C23" s="1"/>
      <c r="D23" s="1"/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>
      <c r="A24" s="104"/>
      <c r="B24" s="1"/>
      <c r="C24" s="1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>
      <c r="A25" s="104"/>
      <c r="B25" s="1"/>
      <c r="C25" s="1"/>
      <c r="D25" s="1"/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>
      <c r="A26" s="104"/>
      <c r="B26" s="3"/>
      <c r="C26" s="3"/>
      <c r="D26" s="23"/>
      <c r="E26" s="1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>
      <c r="A27" s="105"/>
      <c r="B27" s="51" t="s">
        <v>104</v>
      </c>
      <c r="C27" s="51" t="s">
        <v>19</v>
      </c>
      <c r="D27" s="52" t="s">
        <v>34</v>
      </c>
      <c r="E27" s="28" t="s">
        <v>105</v>
      </c>
      <c r="F27" s="53">
        <f t="shared" ref="F27:AE27" si="1">SUM(F19:F26)/2204.62</f>
        <v>0</v>
      </c>
      <c r="G27" s="53">
        <f t="shared" si="1"/>
        <v>0</v>
      </c>
      <c r="H27" s="53">
        <f t="shared" si="1"/>
        <v>1.5691899579597</v>
      </c>
      <c r="I27" s="53">
        <f t="shared" si="1"/>
        <v>1.3621012131253318</v>
      </c>
      <c r="J27" s="53">
        <f t="shared" si="1"/>
        <v>1.1752504979018732</v>
      </c>
      <c r="K27" s="53">
        <f t="shared" si="1"/>
        <v>1.0253476494696385</v>
      </c>
      <c r="L27" s="53">
        <f t="shared" si="1"/>
        <v>0.98724101421615951</v>
      </c>
      <c r="M27" s="53">
        <f t="shared" si="1"/>
        <v>0.96974712318906942</v>
      </c>
      <c r="N27" s="53">
        <f t="shared" si="1"/>
        <v>0.99158448045478598</v>
      </c>
      <c r="O27" s="53">
        <f t="shared" si="1"/>
        <v>0.95836169033326835</v>
      </c>
      <c r="P27" s="53">
        <f t="shared" si="1"/>
        <v>0.96619227203264335</v>
      </c>
      <c r="Q27" s="53">
        <f t="shared" si="1"/>
        <v>0.99275897494021181</v>
      </c>
      <c r="R27" s="53">
        <f t="shared" si="1"/>
        <v>0.99766344253857031</v>
      </c>
      <c r="S27" s="53">
        <f t="shared" si="1"/>
        <v>1.019349662765666</v>
      </c>
      <c r="T27" s="53">
        <f t="shared" si="1"/>
        <v>0.97024735505982107</v>
      </c>
      <c r="U27" s="53">
        <f t="shared" si="1"/>
        <v>0.99960786473418306</v>
      </c>
      <c r="V27" s="53">
        <f t="shared" si="1"/>
        <v>1.0229553057876337</v>
      </c>
      <c r="W27" s="53">
        <f t="shared" si="1"/>
        <v>1.0370278666496338</v>
      </c>
      <c r="X27" s="53">
        <f t="shared" si="1"/>
        <v>1.0196254397977143</v>
      </c>
      <c r="Y27" s="53">
        <f t="shared" si="1"/>
        <v>1.0156505829644791</v>
      </c>
      <c r="Z27" s="53">
        <f t="shared" si="1"/>
        <v>0.97346483520214699</v>
      </c>
      <c r="AA27" s="53">
        <f t="shared" si="1"/>
        <v>0.94152076185865896</v>
      </c>
      <c r="AB27" s="53">
        <f t="shared" si="1"/>
        <v>0.95640540481099645</v>
      </c>
      <c r="AC27" s="53">
        <f t="shared" si="1"/>
        <v>0.94253010473529586</v>
      </c>
      <c r="AD27" s="53">
        <f t="shared" si="1"/>
        <v>0.92563666640307307</v>
      </c>
      <c r="AE27" s="53">
        <f t="shared" si="1"/>
        <v>0.89777292006184073</v>
      </c>
    </row>
    <row r="29" spans="1:31" ht="13.5" customHeight="1">
      <c r="A29" s="103" t="s">
        <v>92</v>
      </c>
      <c r="B29" s="9" t="s">
        <v>9</v>
      </c>
      <c r="C29" s="9" t="s">
        <v>8</v>
      </c>
      <c r="D29" s="9" t="s">
        <v>10</v>
      </c>
      <c r="E29" s="9" t="s">
        <v>7</v>
      </c>
      <c r="F29" s="9">
        <v>2025</v>
      </c>
      <c r="G29" s="9">
        <v>2026</v>
      </c>
      <c r="H29" s="9">
        <v>2027</v>
      </c>
      <c r="I29" s="9">
        <v>2028</v>
      </c>
      <c r="J29" s="9">
        <v>2029</v>
      </c>
      <c r="K29" s="9">
        <v>2030</v>
      </c>
      <c r="L29" s="9">
        <v>2031</v>
      </c>
      <c r="M29" s="9">
        <v>2032</v>
      </c>
      <c r="N29" s="9">
        <v>2033</v>
      </c>
      <c r="O29" s="9">
        <v>2034</v>
      </c>
      <c r="P29" s="9">
        <v>2035</v>
      </c>
      <c r="Q29" s="9">
        <v>2036</v>
      </c>
      <c r="R29" s="9">
        <v>2037</v>
      </c>
      <c r="S29" s="9">
        <v>2038</v>
      </c>
      <c r="T29" s="9">
        <v>2039</v>
      </c>
      <c r="U29" s="9">
        <v>2040</v>
      </c>
      <c r="V29" s="9">
        <v>2041</v>
      </c>
      <c r="W29" s="9">
        <v>2042</v>
      </c>
      <c r="X29" s="9">
        <v>2043</v>
      </c>
      <c r="Y29" s="9">
        <v>2044</v>
      </c>
      <c r="Z29" s="9">
        <v>2045</v>
      </c>
      <c r="AA29" s="9">
        <v>2046</v>
      </c>
      <c r="AB29" s="9">
        <v>2047</v>
      </c>
      <c r="AC29" s="9">
        <v>2048</v>
      </c>
      <c r="AD29" s="9">
        <v>2049</v>
      </c>
      <c r="AE29" s="9">
        <v>2050</v>
      </c>
    </row>
    <row r="30" spans="1:31">
      <c r="A30" s="104"/>
      <c r="B30" s="5" t="s">
        <v>273</v>
      </c>
      <c r="C30" s="5" t="s">
        <v>275</v>
      </c>
      <c r="D30" s="5" t="s">
        <v>276</v>
      </c>
      <c r="E30" s="5" t="s">
        <v>97</v>
      </c>
      <c r="F30" s="7">
        <v>0</v>
      </c>
      <c r="G30" s="7">
        <v>0</v>
      </c>
      <c r="H30" s="7">
        <f>'P0.1a Coal-NG Retirement'!L16*2000</f>
        <v>722.27256894077505</v>
      </c>
      <c r="I30" s="7">
        <f>'P0.1a Coal-NG Retirement'!M16*2000</f>
        <v>626.9529940406652</v>
      </c>
      <c r="J30" s="7">
        <f>'P0.1a Coal-NG Retirement'!N16*2000</f>
        <v>540.94865440778653</v>
      </c>
      <c r="K30" s="7">
        <f>'P0.1a Coal-NG Retirement'!O16*2000</f>
        <v>471.95081582266965</v>
      </c>
      <c r="L30" s="7">
        <f>'P0.1a Coal-NG Retirement'!P16*2000</f>
        <v>454.41095253294651</v>
      </c>
      <c r="M30" s="7">
        <f>'P0.1a Coal-NG Retirement'!Q16*2000</f>
        <v>446.35879954228182</v>
      </c>
      <c r="N30" s="7">
        <f>'P0.1a Coal-NG Retirement'!R16*2000</f>
        <v>456.41017926924252</v>
      </c>
      <c r="O30" s="7">
        <f>'P0.1a Coal-NG Retirement'!S16*2000</f>
        <v>441.11827031537138</v>
      </c>
      <c r="P30" s="7">
        <f>'P0.1a Coal-NG Retirement'!T16*2000</f>
        <v>444.72255947846418</v>
      </c>
      <c r="Q30" s="7">
        <f>'P0.1a Coal-NG Retirement'!U16*2000</f>
        <v>456.95077994342631</v>
      </c>
      <c r="R30" s="7">
        <f>'P0.1a Coal-NG Retirement'!V16*2000</f>
        <v>459.20822646453394</v>
      </c>
      <c r="S30" s="7">
        <f>'P0.1a Coal-NG Retirement'!W16*2000</f>
        <v>469.19004027527592</v>
      </c>
      <c r="T30" s="7">
        <f>'P0.1a Coal-NG Retirement'!X16*2000</f>
        <v>446.58904812150649</v>
      </c>
      <c r="U30" s="7">
        <f>'P0.1a Coal-NG Retirement'!Y16*2000</f>
        <v>460.10321231835411</v>
      </c>
      <c r="V30" s="7">
        <f>'P0.1a Coal-NG Retirement'!Z16*2000</f>
        <v>470.84965900718908</v>
      </c>
      <c r="W30" s="7">
        <f>'P0.1a Coal-NG Retirement'!AA16*2000</f>
        <v>477.32702947072943</v>
      </c>
      <c r="X30" s="7">
        <f>'P0.1a Coal-NG Retirement'!AB16*2000</f>
        <v>469.31697594955938</v>
      </c>
      <c r="Y30" s="7">
        <f>'P0.1a Coal-NG Retirement'!AC16*2000</f>
        <v>467.48741411636644</v>
      </c>
      <c r="Z30" s="7">
        <f>'P0.1a Coal-NG Retirement'!AD16*2000</f>
        <v>448.07000180472744</v>
      </c>
      <c r="AA30" s="7">
        <f>'P0.1a Coal-NG Retirement'!AE16*2000</f>
        <v>433.36666534810564</v>
      </c>
      <c r="AB30" s="7">
        <f>'P0.1a Coal-NG Retirement'!AF16*2000</f>
        <v>440.21782396559348</v>
      </c>
      <c r="AC30" s="7">
        <f>'P0.1a Coal-NG Retirement'!AG16*2000</f>
        <v>433.83124942777846</v>
      </c>
      <c r="AD30" s="7">
        <f>'P0.1a Coal-NG Retirement'!AH16*2000</f>
        <v>426.05547502865977</v>
      </c>
      <c r="AE30" s="7">
        <f>'P0.1a Coal-NG Retirement'!AI16*2000</f>
        <v>413.23024660547816</v>
      </c>
    </row>
    <row r="31" spans="1:31">
      <c r="A31" s="104"/>
      <c r="B31" s="1" t="s">
        <v>271</v>
      </c>
      <c r="C31" s="1" t="s">
        <v>275</v>
      </c>
      <c r="D31" s="1" t="s">
        <v>276</v>
      </c>
      <c r="E31" s="1" t="s">
        <v>97</v>
      </c>
      <c r="F31" s="2">
        <v>0</v>
      </c>
      <c r="G31" s="2">
        <v>0</v>
      </c>
      <c r="H31" s="2">
        <f>'P0.1a Coal-NG Retirement'!L28*2000</f>
        <v>8.4409968254103216</v>
      </c>
      <c r="I31" s="2">
        <f>'P0.1a Coal-NG Retirement'!M28*2000</f>
        <v>7.3270237026164775</v>
      </c>
      <c r="J31" s="2">
        <f>'P0.1a Coal-NG Retirement'!N28*2000</f>
        <v>6.3219151203020809</v>
      </c>
      <c r="K31" s="2">
        <f>'P0.1a Coal-NG Retirement'!O28*2000</f>
        <v>5.5155567432820849</v>
      </c>
      <c r="L31" s="2">
        <f>'P0.1a Coal-NG Retirement'!P28*2000</f>
        <v>5.3105732831407062</v>
      </c>
      <c r="M31" s="2">
        <f>'P0.1a Coal-NG Retirement'!Q28*2000</f>
        <v>5.216470030774917</v>
      </c>
      <c r="N31" s="2">
        <f>'P0.1a Coal-NG Retirement'!R28*2000</f>
        <v>5.3339376849746252</v>
      </c>
      <c r="O31" s="2">
        <f>'P0.1a Coal-NG Retirement'!S28*2000</f>
        <v>5.1552254363239713</v>
      </c>
      <c r="P31" s="2">
        <f>'P0.1a Coal-NG Retirement'!T28*2000</f>
        <v>5.1973477523190867</v>
      </c>
      <c r="Q31" s="2">
        <f>'P0.1a Coal-NG Retirement'!U28*2000</f>
        <v>5.340255533347702</v>
      </c>
      <c r="R31" s="2">
        <f>'P0.1a Coal-NG Retirement'!V28*2000</f>
        <v>5.3666376773437676</v>
      </c>
      <c r="S31" s="2">
        <f>'P0.1a Coal-NG Retirement'!W28*2000</f>
        <v>5.4832923342025657</v>
      </c>
      <c r="T31" s="2">
        <f>'P0.1a Coal-NG Retirement'!X28*2000</f>
        <v>5.2191608813067907</v>
      </c>
      <c r="U31" s="2">
        <f>'P0.1a Coal-NG Retirement'!Y28*2000</f>
        <v>5.3770971258618827</v>
      </c>
      <c r="V31" s="2">
        <f>'P0.1a Coal-NG Retirement'!Z28*2000</f>
        <v>5.5026878325917892</v>
      </c>
      <c r="W31" s="2">
        <f>'P0.1a Coal-NG Retirement'!AA28*2000</f>
        <v>5.5783870434865523</v>
      </c>
      <c r="X31" s="2">
        <f>'P0.1a Coal-NG Retirement'!AB28*2000</f>
        <v>5.4847757958065815</v>
      </c>
      <c r="Y31" s="2">
        <f>'P0.1a Coal-NG Retirement'!AC28*2000</f>
        <v>5.4633942200829999</v>
      </c>
      <c r="Z31" s="2">
        <f>'P0.1a Coal-NG Retirement'!AD28*2000</f>
        <v>5.2364683714098401</v>
      </c>
      <c r="AA31" s="2">
        <f>'P0.1a Coal-NG Retirement'!AE28*2000</f>
        <v>5.0646346043663328</v>
      </c>
      <c r="AB31" s="2">
        <f>'P0.1a Coal-NG Retirement'!AF28*2000</f>
        <v>5.1447021725219519</v>
      </c>
      <c r="AC31" s="2">
        <f>'P0.1a Coal-NG Retirement'!AG28*2000</f>
        <v>5.0700640681315239</v>
      </c>
      <c r="AD31" s="2">
        <f>'P0.1a Coal-NG Retirement'!AH28*2000</f>
        <v>4.9791907748063693</v>
      </c>
      <c r="AE31" s="2">
        <f>'P0.1a Coal-NG Retirement'!AI28*2000</f>
        <v>4.8293059293054528</v>
      </c>
    </row>
    <row r="32" spans="1:31">
      <c r="A32" s="104"/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>
      <c r="A33" s="104"/>
      <c r="B33" s="1"/>
      <c r="C33" s="1"/>
      <c r="D33" s="1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>
      <c r="A34" s="104"/>
      <c r="B34" s="1"/>
      <c r="C34" s="1"/>
      <c r="D34" s="1"/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>
      <c r="A35" s="104"/>
      <c r="B35" s="1"/>
      <c r="C35" s="1"/>
      <c r="D35" s="1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>
      <c r="A36" s="104"/>
      <c r="B36" s="1"/>
      <c r="C36" s="1"/>
      <c r="D36" s="1"/>
      <c r="E36" s="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>
      <c r="A37" s="104"/>
      <c r="B37" s="3"/>
      <c r="C37" s="3"/>
      <c r="D37" s="23"/>
      <c r="E37" s="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>
      <c r="A38" s="105"/>
      <c r="B38" s="51" t="s">
        <v>104</v>
      </c>
      <c r="C38" s="51" t="s">
        <v>19</v>
      </c>
      <c r="D38" s="52" t="s">
        <v>34</v>
      </c>
      <c r="E38" s="28" t="s">
        <v>105</v>
      </c>
      <c r="F38" s="53">
        <f t="shared" ref="F38:AE38" si="2">SUM(F30:F37)/2204.62</f>
        <v>0</v>
      </c>
      <c r="G38" s="53">
        <f t="shared" si="2"/>
        <v>0</v>
      </c>
      <c r="H38" s="53">
        <f t="shared" si="2"/>
        <v>0.33144649225997469</v>
      </c>
      <c r="I38" s="53">
        <f t="shared" si="2"/>
        <v>0.28770491864506431</v>
      </c>
      <c r="J38" s="53">
        <f t="shared" si="2"/>
        <v>0.24823804988074524</v>
      </c>
      <c r="K38" s="53">
        <f t="shared" si="2"/>
        <v>0.21657536108987116</v>
      </c>
      <c r="L38" s="53">
        <f t="shared" si="2"/>
        <v>0.20852642442511055</v>
      </c>
      <c r="M38" s="53">
        <f t="shared" si="2"/>
        <v>0.20483134035482611</v>
      </c>
      <c r="N38" s="53">
        <f t="shared" si="2"/>
        <v>0.20944385742405364</v>
      </c>
      <c r="O38" s="53">
        <f t="shared" si="2"/>
        <v>0.20242649334202509</v>
      </c>
      <c r="P38" s="53">
        <f t="shared" si="2"/>
        <v>0.20408047973382409</v>
      </c>
      <c r="Q38" s="53">
        <f t="shared" si="2"/>
        <v>0.20969193578792447</v>
      </c>
      <c r="R38" s="53">
        <f t="shared" si="2"/>
        <v>0.21072786427678136</v>
      </c>
      <c r="S38" s="53">
        <f t="shared" si="2"/>
        <v>0.21530845796984446</v>
      </c>
      <c r="T38" s="53">
        <f t="shared" si="2"/>
        <v>0.20493700002849166</v>
      </c>
      <c r="U38" s="53">
        <f t="shared" si="2"/>
        <v>0.21113856784580382</v>
      </c>
      <c r="V38" s="53">
        <f t="shared" si="2"/>
        <v>0.21607004691955117</v>
      </c>
      <c r="W38" s="53">
        <f t="shared" si="2"/>
        <v>0.21904247285891265</v>
      </c>
      <c r="X38" s="53">
        <f t="shared" si="2"/>
        <v>0.21536670797931887</v>
      </c>
      <c r="Y38" s="53">
        <f t="shared" si="2"/>
        <v>0.21452713317326771</v>
      </c>
      <c r="Z38" s="53">
        <f t="shared" si="2"/>
        <v>0.20561660067319415</v>
      </c>
      <c r="AA38" s="53">
        <f t="shared" si="2"/>
        <v>0.19886932893309142</v>
      </c>
      <c r="AB38" s="53">
        <f t="shared" si="2"/>
        <v>0.20201328398459392</v>
      </c>
      <c r="AC38" s="53">
        <f t="shared" si="2"/>
        <v>0.19908252374373361</v>
      </c>
      <c r="AD38" s="53">
        <f t="shared" si="2"/>
        <v>0.19551426812941286</v>
      </c>
      <c r="AE38" s="53">
        <f t="shared" si="2"/>
        <v>0.18962884875161418</v>
      </c>
    </row>
    <row r="40" spans="1:31" ht="13.5" customHeight="1">
      <c r="A40" s="103" t="s">
        <v>93</v>
      </c>
      <c r="B40" s="9" t="s">
        <v>9</v>
      </c>
      <c r="C40" s="9" t="s">
        <v>8</v>
      </c>
      <c r="D40" s="9" t="s">
        <v>10</v>
      </c>
      <c r="E40" s="9" t="s">
        <v>7</v>
      </c>
      <c r="F40" s="9">
        <v>2025</v>
      </c>
      <c r="G40" s="9">
        <v>2026</v>
      </c>
      <c r="H40" s="9">
        <v>2027</v>
      </c>
      <c r="I40" s="9">
        <v>2028</v>
      </c>
      <c r="J40" s="9">
        <v>2029</v>
      </c>
      <c r="K40" s="9">
        <v>2030</v>
      </c>
      <c r="L40" s="9">
        <v>2031</v>
      </c>
      <c r="M40" s="9">
        <v>2032</v>
      </c>
      <c r="N40" s="9">
        <v>2033</v>
      </c>
      <c r="O40" s="9">
        <v>2034</v>
      </c>
      <c r="P40" s="9">
        <v>2035</v>
      </c>
      <c r="Q40" s="9">
        <v>2036</v>
      </c>
      <c r="R40" s="9">
        <v>2037</v>
      </c>
      <c r="S40" s="9">
        <v>2038</v>
      </c>
      <c r="T40" s="9">
        <v>2039</v>
      </c>
      <c r="U40" s="9">
        <v>2040</v>
      </c>
      <c r="V40" s="9">
        <v>2041</v>
      </c>
      <c r="W40" s="9">
        <v>2042</v>
      </c>
      <c r="X40" s="9">
        <v>2043</v>
      </c>
      <c r="Y40" s="9">
        <v>2044</v>
      </c>
      <c r="Z40" s="9">
        <v>2045</v>
      </c>
      <c r="AA40" s="9">
        <v>2046</v>
      </c>
      <c r="AB40" s="9">
        <v>2047</v>
      </c>
      <c r="AC40" s="9">
        <v>2048</v>
      </c>
      <c r="AD40" s="9">
        <v>2049</v>
      </c>
      <c r="AE40" s="9">
        <v>2050</v>
      </c>
    </row>
    <row r="41" spans="1:31">
      <c r="A41" s="104"/>
      <c r="B41" s="5" t="s">
        <v>273</v>
      </c>
      <c r="C41" s="5" t="s">
        <v>275</v>
      </c>
      <c r="D41" s="5" t="s">
        <v>276</v>
      </c>
      <c r="E41" s="5" t="s">
        <v>97</v>
      </c>
      <c r="F41" s="7">
        <v>0</v>
      </c>
      <c r="G41" s="7">
        <v>0</v>
      </c>
      <c r="H41" s="7">
        <f>'P0.1a Coal-NG Retirement'!L15*2000</f>
        <v>1.1848339789046713</v>
      </c>
      <c r="I41" s="7">
        <f>'P0.1a Coal-NG Retirement'!M15*2000</f>
        <v>1.0284693652491586</v>
      </c>
      <c r="J41" s="7">
        <f>'P0.1a Coal-NG Retirement'!N15*2000</f>
        <v>0.88738569640689346</v>
      </c>
      <c r="K41" s="7">
        <f>'P0.1a Coal-NG Retirement'!O15*2000</f>
        <v>0.77419991704590307</v>
      </c>
      <c r="L41" s="7">
        <f>'P0.1a Coal-NG Retirement'!P15*2000</f>
        <v>0.74542708680885905</v>
      </c>
      <c r="M41" s="7">
        <f>'P0.1a Coal-NG Retirement'!Q15*2000</f>
        <v>0.7322181337391479</v>
      </c>
      <c r="N41" s="7">
        <f>'P0.1a Coal-NG Retirement'!R15*2000</f>
        <v>0.74870666832774746</v>
      </c>
      <c r="O41" s="7">
        <f>'P0.1a Coal-NG Retirement'!S15*2000</f>
        <v>0.72362143858209338</v>
      </c>
      <c r="P41" s="7">
        <f>'P0.1a Coal-NG Retirement'!T15*2000</f>
        <v>0.72953400463245988</v>
      </c>
      <c r="Q41" s="7">
        <f>'P0.1a Coal-NG Retirement'!U15*2000</f>
        <v>0.74959348318869545</v>
      </c>
      <c r="R41" s="7">
        <f>'P0.1a Coal-NG Retirement'!V15*2000</f>
        <v>0.7532966548980834</v>
      </c>
      <c r="S41" s="7">
        <f>'P0.1a Coal-NG Retirement'!W15*2000</f>
        <v>0.76967107181856975</v>
      </c>
      <c r="T41" s="7">
        <f>'P0.1a Coal-NG Retirement'!X15*2000</f>
        <v>0.73259583926472249</v>
      </c>
      <c r="U41" s="7">
        <f>'P0.1a Coal-NG Retirement'!Y15*2000</f>
        <v>0.75476481206733637</v>
      </c>
      <c r="V41" s="7">
        <f>'P0.1a Coal-NG Retirement'!Z15*2000</f>
        <v>0.77239355187686842</v>
      </c>
      <c r="W41" s="7">
        <f>'P0.1a Coal-NG Retirement'!AA15*2000</f>
        <v>0.78301919231952155</v>
      </c>
      <c r="X41" s="7">
        <f>'P0.1a Coal-NG Retirement'!AB15*2000</f>
        <v>0.7698793002720562</v>
      </c>
      <c r="Y41" s="7">
        <f>'P0.1a Coal-NG Retirement'!AC15*2000</f>
        <v>0.76687804130184078</v>
      </c>
      <c r="Z41" s="7">
        <f>'P0.1a Coal-NG Retirement'!AD15*2000</f>
        <v>0.73502523271052023</v>
      </c>
      <c r="AA41" s="7">
        <f>'P0.1a Coal-NG Retirement'!AE15*2000</f>
        <v>0.71090551200366647</v>
      </c>
      <c r="AB41" s="7">
        <f>'P0.1a Coal-NG Retirement'!AF15*2000</f>
        <v>0.72214432387875893</v>
      </c>
      <c r="AC41" s="7">
        <f>'P0.1a Coal-NG Retirement'!AG15*2000</f>
        <v>0.71166762734256372</v>
      </c>
      <c r="AD41" s="7">
        <f>'P0.1a Coal-NG Retirement'!AH15*2000</f>
        <v>0.69891205262388945</v>
      </c>
      <c r="AE41" s="7">
        <f>'P0.1a Coal-NG Retirement'!AI15*2000</f>
        <v>0.67787322728779176</v>
      </c>
    </row>
    <row r="42" spans="1:31">
      <c r="A42" s="104"/>
      <c r="B42" s="1" t="s">
        <v>271</v>
      </c>
      <c r="C42" s="1" t="s">
        <v>275</v>
      </c>
      <c r="D42" s="1" t="s">
        <v>276</v>
      </c>
      <c r="E42" s="1" t="s">
        <v>97</v>
      </c>
      <c r="F42" s="2">
        <v>0</v>
      </c>
      <c r="G42" s="2">
        <v>0</v>
      </c>
      <c r="H42" s="2">
        <f>'P0.1a Coal-NG Retirement'!L27*2000</f>
        <v>24.434464494608829</v>
      </c>
      <c r="I42" s="2">
        <f>'P0.1a Coal-NG Retirement'!M27*2000</f>
        <v>21.209805454942437</v>
      </c>
      <c r="J42" s="2">
        <f>'P0.1a Coal-NG Retirement'!N27*2000</f>
        <v>18.300280611400762</v>
      </c>
      <c r="K42" s="2">
        <f>'P0.1a Coal-NG Retirement'!O27*2000</f>
        <v>15.966085309500773</v>
      </c>
      <c r="L42" s="2">
        <f>'P0.1a Coal-NG Retirement'!P27*2000</f>
        <v>15.372712135407307</v>
      </c>
      <c r="M42" s="2">
        <f>'P0.1a Coal-NG Retirement'!Q27*2000</f>
        <v>15.100307983822129</v>
      </c>
      <c r="N42" s="2">
        <f>'P0.1a Coal-NG Retirement'!R27*2000</f>
        <v>15.440345930189705</v>
      </c>
      <c r="O42" s="2">
        <f>'P0.1a Coal-NG Retirement'!S27*2000</f>
        <v>14.923020999885182</v>
      </c>
      <c r="P42" s="2">
        <f>'P0.1a Coal-NG Retirement'!T27*2000</f>
        <v>15.044954019871042</v>
      </c>
      <c r="Q42" s="2">
        <f>'P0.1a Coal-NG Retirement'!U27*2000</f>
        <v>15.458634438638084</v>
      </c>
      <c r="R42" s="2">
        <f>'P0.1a Coal-NG Retirement'!V27*2000</f>
        <v>15.535003802837222</v>
      </c>
      <c r="S42" s="2">
        <f>'P0.1a Coal-NG Retirement'!W27*2000</f>
        <v>15.872688335849531</v>
      </c>
      <c r="T42" s="2">
        <f>'P0.1a Coal-NG Retirement'!X27*2000</f>
        <v>15.108097287993342</v>
      </c>
      <c r="U42" s="2">
        <f>'P0.1a Coal-NG Retirement'!Y27*2000</f>
        <v>15.565281153810712</v>
      </c>
      <c r="V42" s="2">
        <f>'P0.1a Coal-NG Retirement'!Z27*2000</f>
        <v>15.928833199607812</v>
      </c>
      <c r="W42" s="2">
        <f>'P0.1a Coal-NG Retirement'!AA27*2000</f>
        <v>16.147962494303179</v>
      </c>
      <c r="X42" s="2">
        <f>'P0.1a Coal-NG Retirement'!AB27*2000</f>
        <v>15.876982566808529</v>
      </c>
      <c r="Y42" s="2">
        <f>'P0.1a Coal-NG Retirement'!AC27*2000</f>
        <v>15.815088531819212</v>
      </c>
      <c r="Z42" s="2">
        <f>'P0.1a Coal-NG Retirement'!AD27*2000</f>
        <v>15.158197917239013</v>
      </c>
      <c r="AA42" s="2">
        <f>'P0.1a Coal-NG Retirement'!AE27*2000</f>
        <v>14.660784381060438</v>
      </c>
      <c r="AB42" s="2">
        <f>'P0.1a Coal-NG Retirement'!AF27*2000</f>
        <v>14.892558920458281</v>
      </c>
      <c r="AC42" s="2">
        <f>'P0.1a Coal-NG Retirement'!AG27*2000</f>
        <v>14.676501249854411</v>
      </c>
      <c r="AD42" s="2">
        <f>'P0.1a Coal-NG Retirement'!AH27*2000</f>
        <v>14.413446979702648</v>
      </c>
      <c r="AE42" s="2">
        <f>'P0.1a Coal-NG Retirement'!AI27*2000</f>
        <v>13.979569795357891</v>
      </c>
    </row>
    <row r="43" spans="1:31">
      <c r="A43" s="104"/>
      <c r="B43" s="1"/>
      <c r="C43" s="1"/>
      <c r="D43" s="1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>
      <c r="A44" s="104"/>
      <c r="B44" s="1"/>
      <c r="C44" s="1"/>
      <c r="D44" s="1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>
      <c r="A45" s="104"/>
      <c r="B45" s="1"/>
      <c r="C45" s="1"/>
      <c r="D45" s="1"/>
      <c r="E45" s="1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>
      <c r="A46" s="104"/>
      <c r="B46" s="1"/>
      <c r="C46" s="1"/>
      <c r="D46" s="1"/>
      <c r="E46" s="1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>
      <c r="A47" s="104"/>
      <c r="B47" s="1"/>
      <c r="C47" s="1"/>
      <c r="D47" s="1"/>
      <c r="E47" s="1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>
      <c r="A48" s="104"/>
      <c r="B48" s="3"/>
      <c r="C48" s="3"/>
      <c r="D48" s="23"/>
      <c r="E48" s="1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>
      <c r="A49" s="105"/>
      <c r="B49" s="51" t="s">
        <v>104</v>
      </c>
      <c r="C49" s="51" t="s">
        <v>19</v>
      </c>
      <c r="D49" s="52" t="s">
        <v>34</v>
      </c>
      <c r="E49" s="28" t="s">
        <v>105</v>
      </c>
      <c r="F49" s="53">
        <f t="shared" ref="F49:AE49" si="3">SUM(F41:F48)/2204.62</f>
        <v>0</v>
      </c>
      <c r="G49" s="53">
        <f t="shared" si="3"/>
        <v>0</v>
      </c>
      <c r="H49" s="53">
        <f t="shared" si="3"/>
        <v>1.1620732132301031E-2</v>
      </c>
      <c r="I49" s="53">
        <f t="shared" si="3"/>
        <v>1.0087123776520034E-2</v>
      </c>
      <c r="J49" s="53">
        <f t="shared" si="3"/>
        <v>8.7033893858386741E-3</v>
      </c>
      <c r="K49" s="53">
        <f t="shared" si="3"/>
        <v>7.5932746806917639E-3</v>
      </c>
      <c r="L49" s="53">
        <f t="shared" si="3"/>
        <v>7.3110736644937295E-3</v>
      </c>
      <c r="M49" s="53">
        <f t="shared" si="3"/>
        <v>7.1815215853803724E-3</v>
      </c>
      <c r="N49" s="53">
        <f t="shared" si="3"/>
        <v>7.3432394691681346E-3</v>
      </c>
      <c r="O49" s="53">
        <f t="shared" si="3"/>
        <v>7.0972060665635238E-3</v>
      </c>
      <c r="P49" s="53">
        <f t="shared" si="3"/>
        <v>7.1551959178922002E-3</v>
      </c>
      <c r="Q49" s="53">
        <f t="shared" si="3"/>
        <v>7.3519372598573815E-3</v>
      </c>
      <c r="R49" s="53">
        <f t="shared" si="3"/>
        <v>7.3882575943860201E-3</v>
      </c>
      <c r="S49" s="53">
        <f t="shared" si="3"/>
        <v>7.5488562235977649E-3</v>
      </c>
      <c r="T49" s="53">
        <f t="shared" si="3"/>
        <v>7.1852260830701275E-3</v>
      </c>
      <c r="U49" s="53">
        <f t="shared" si="3"/>
        <v>7.4026571317859988E-3</v>
      </c>
      <c r="V49" s="53">
        <f t="shared" si="3"/>
        <v>7.5755580333502735E-3</v>
      </c>
      <c r="W49" s="53">
        <f t="shared" si="3"/>
        <v>7.6797732428367255E-3</v>
      </c>
      <c r="X49" s="53">
        <f t="shared" si="3"/>
        <v>7.5508985072622881E-3</v>
      </c>
      <c r="Y49" s="53">
        <f t="shared" si="3"/>
        <v>7.5214624620665036E-3</v>
      </c>
      <c r="Z49" s="53">
        <f t="shared" si="3"/>
        <v>7.2090533288954707E-3</v>
      </c>
      <c r="AA49" s="53">
        <f t="shared" si="3"/>
        <v>6.9724895415373645E-3</v>
      </c>
      <c r="AB49" s="53">
        <f t="shared" si="3"/>
        <v>7.0827186745729609E-3</v>
      </c>
      <c r="AC49" s="53">
        <f t="shared" si="3"/>
        <v>6.9799642918947375E-3</v>
      </c>
      <c r="AD49" s="53">
        <f t="shared" si="3"/>
        <v>6.8548589019089634E-3</v>
      </c>
      <c r="AE49" s="53">
        <f t="shared" si="3"/>
        <v>6.6485122255289728E-3</v>
      </c>
    </row>
    <row r="51" spans="1:31" ht="13.5" customHeight="1">
      <c r="A51" s="103" t="s">
        <v>94</v>
      </c>
      <c r="B51" s="9" t="s">
        <v>9</v>
      </c>
      <c r="C51" s="9" t="s">
        <v>8</v>
      </c>
      <c r="D51" s="9" t="s">
        <v>10</v>
      </c>
      <c r="E51" s="9" t="s">
        <v>7</v>
      </c>
      <c r="F51" s="9">
        <v>2025</v>
      </c>
      <c r="G51" s="9">
        <v>2026</v>
      </c>
      <c r="H51" s="9">
        <v>2027</v>
      </c>
      <c r="I51" s="9">
        <v>2028</v>
      </c>
      <c r="J51" s="9">
        <v>2029</v>
      </c>
      <c r="K51" s="9">
        <v>2030</v>
      </c>
      <c r="L51" s="9">
        <v>2031</v>
      </c>
      <c r="M51" s="9">
        <v>2032</v>
      </c>
      <c r="N51" s="9">
        <v>2033</v>
      </c>
      <c r="O51" s="9">
        <v>2034</v>
      </c>
      <c r="P51" s="9">
        <v>2035</v>
      </c>
      <c r="Q51" s="9">
        <v>2036</v>
      </c>
      <c r="R51" s="9">
        <v>2037</v>
      </c>
      <c r="S51" s="9">
        <v>2038</v>
      </c>
      <c r="T51" s="9">
        <v>2039</v>
      </c>
      <c r="U51" s="9">
        <v>2040</v>
      </c>
      <c r="V51" s="9">
        <v>2041</v>
      </c>
      <c r="W51" s="9">
        <v>2042</v>
      </c>
      <c r="X51" s="9">
        <v>2043</v>
      </c>
      <c r="Y51" s="9">
        <v>2044</v>
      </c>
      <c r="Z51" s="9">
        <v>2045</v>
      </c>
      <c r="AA51" s="9">
        <v>2046</v>
      </c>
      <c r="AB51" s="9">
        <v>2047</v>
      </c>
      <c r="AC51" s="9">
        <v>2048</v>
      </c>
      <c r="AD51" s="9">
        <v>2049</v>
      </c>
      <c r="AE51" s="9">
        <v>2050</v>
      </c>
    </row>
    <row r="52" spans="1:31">
      <c r="A52" s="104"/>
      <c r="B52" s="5"/>
      <c r="C52" s="5"/>
      <c r="D52" s="5"/>
      <c r="E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>
      <c r="A53" s="104"/>
      <c r="B53" s="1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1"/>
      <c r="C55" s="1"/>
      <c r="D55" s="1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4"/>
      <c r="B56" s="1"/>
      <c r="C56" s="1"/>
      <c r="D56" s="1"/>
      <c r="E56" s="1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>
      <c r="A57" s="104"/>
      <c r="B57" s="1"/>
      <c r="C57" s="1"/>
      <c r="D57" s="1"/>
      <c r="E57" s="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>
      <c r="A58" s="104"/>
      <c r="B58" s="1"/>
      <c r="C58" s="1"/>
      <c r="D58" s="1"/>
      <c r="E58" s="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>
      <c r="A59" s="104"/>
      <c r="B59" s="3"/>
      <c r="C59" s="3"/>
      <c r="D59" s="23"/>
      <c r="E59" s="1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>
      <c r="A60" s="105"/>
      <c r="B60" s="51" t="s">
        <v>104</v>
      </c>
      <c r="C60" s="51" t="s">
        <v>19</v>
      </c>
      <c r="D60" s="52" t="s">
        <v>34</v>
      </c>
      <c r="E60" s="28" t="s">
        <v>105</v>
      </c>
      <c r="F60" s="53">
        <f t="shared" ref="F60:AE60" si="4">SUM(F52:F59)/2204.62</f>
        <v>0</v>
      </c>
      <c r="G60" s="53">
        <f t="shared" si="4"/>
        <v>0</v>
      </c>
      <c r="H60" s="53">
        <f t="shared" si="4"/>
        <v>0</v>
      </c>
      <c r="I60" s="53">
        <f t="shared" si="4"/>
        <v>0</v>
      </c>
      <c r="J60" s="53">
        <f t="shared" si="4"/>
        <v>0</v>
      </c>
      <c r="K60" s="53">
        <f t="shared" si="4"/>
        <v>0</v>
      </c>
      <c r="L60" s="53">
        <f t="shared" si="4"/>
        <v>0</v>
      </c>
      <c r="M60" s="53">
        <f t="shared" si="4"/>
        <v>0</v>
      </c>
      <c r="N60" s="53">
        <f t="shared" si="4"/>
        <v>0</v>
      </c>
      <c r="O60" s="53">
        <f t="shared" si="4"/>
        <v>0</v>
      </c>
      <c r="P60" s="53">
        <f t="shared" si="4"/>
        <v>0</v>
      </c>
      <c r="Q60" s="53">
        <f t="shared" si="4"/>
        <v>0</v>
      </c>
      <c r="R60" s="53">
        <f t="shared" si="4"/>
        <v>0</v>
      </c>
      <c r="S60" s="53">
        <f t="shared" si="4"/>
        <v>0</v>
      </c>
      <c r="T60" s="53">
        <f t="shared" si="4"/>
        <v>0</v>
      </c>
      <c r="U60" s="53">
        <f t="shared" si="4"/>
        <v>0</v>
      </c>
      <c r="V60" s="53">
        <f t="shared" si="4"/>
        <v>0</v>
      </c>
      <c r="W60" s="53">
        <f t="shared" si="4"/>
        <v>0</v>
      </c>
      <c r="X60" s="53">
        <f t="shared" si="4"/>
        <v>0</v>
      </c>
      <c r="Y60" s="53">
        <f t="shared" si="4"/>
        <v>0</v>
      </c>
      <c r="Z60" s="53">
        <f t="shared" si="4"/>
        <v>0</v>
      </c>
      <c r="AA60" s="53">
        <f t="shared" si="4"/>
        <v>0</v>
      </c>
      <c r="AB60" s="53">
        <f t="shared" si="4"/>
        <v>0</v>
      </c>
      <c r="AC60" s="53">
        <f t="shared" si="4"/>
        <v>0</v>
      </c>
      <c r="AD60" s="53">
        <f t="shared" si="4"/>
        <v>0</v>
      </c>
      <c r="AE60" s="53">
        <f t="shared" si="4"/>
        <v>0</v>
      </c>
    </row>
    <row r="65" spans="1:31" ht="13.5" customHeight="1">
      <c r="A65" s="103" t="s">
        <v>111</v>
      </c>
      <c r="B65" s="9" t="s">
        <v>9</v>
      </c>
      <c r="C65" s="9" t="s">
        <v>8</v>
      </c>
      <c r="D65" s="9" t="s">
        <v>10</v>
      </c>
      <c r="E65" s="9" t="s">
        <v>7</v>
      </c>
      <c r="F65" s="9">
        <v>2025</v>
      </c>
      <c r="G65" s="9">
        <v>2026</v>
      </c>
      <c r="H65" s="9">
        <v>2027</v>
      </c>
      <c r="I65" s="9">
        <v>2028</v>
      </c>
      <c r="J65" s="9">
        <v>2029</v>
      </c>
      <c r="K65" s="9">
        <v>2030</v>
      </c>
      <c r="L65" s="9">
        <v>2031</v>
      </c>
      <c r="M65" s="9">
        <v>2032</v>
      </c>
      <c r="N65" s="9">
        <v>2033</v>
      </c>
      <c r="O65" s="9">
        <v>2034</v>
      </c>
      <c r="P65" s="9">
        <v>2035</v>
      </c>
      <c r="Q65" s="9">
        <v>2036</v>
      </c>
      <c r="R65" s="9">
        <v>2037</v>
      </c>
      <c r="S65" s="9">
        <v>2038</v>
      </c>
      <c r="T65" s="9">
        <v>2039</v>
      </c>
      <c r="U65" s="9">
        <v>2040</v>
      </c>
      <c r="V65" s="9">
        <v>2041</v>
      </c>
      <c r="W65" s="9">
        <v>2042</v>
      </c>
      <c r="X65" s="9">
        <v>2043</v>
      </c>
      <c r="Y65" s="9">
        <v>2044</v>
      </c>
      <c r="Z65" s="9">
        <v>2045</v>
      </c>
      <c r="AA65" s="9">
        <v>2046</v>
      </c>
      <c r="AB65" s="9">
        <v>2047</v>
      </c>
      <c r="AC65" s="9">
        <v>2048</v>
      </c>
      <c r="AD65" s="9">
        <v>2049</v>
      </c>
      <c r="AE65" s="32">
        <v>2050</v>
      </c>
    </row>
    <row r="66" spans="1:31">
      <c r="A66" s="104"/>
      <c r="B66" s="5" t="s">
        <v>106</v>
      </c>
      <c r="C66" s="5" t="s">
        <v>112</v>
      </c>
      <c r="D66" s="5" t="s">
        <v>55</v>
      </c>
      <c r="E66" s="5" t="s">
        <v>105</v>
      </c>
      <c r="F66" s="13">
        <f t="shared" ref="F66:AE66" si="5">F16</f>
        <v>0</v>
      </c>
      <c r="G66" s="13">
        <f t="shared" si="5"/>
        <v>0</v>
      </c>
      <c r="H66" s="13">
        <f t="shared" si="5"/>
        <v>2.6687518311741814</v>
      </c>
      <c r="I66" s="13">
        <f t="shared" si="5"/>
        <v>2.3165519816984199</v>
      </c>
      <c r="J66" s="13">
        <f t="shared" si="5"/>
        <v>1.9987713421529192</v>
      </c>
      <c r="K66" s="13">
        <f t="shared" si="5"/>
        <v>1.7438286570927168</v>
      </c>
      <c r="L66" s="13">
        <f t="shared" si="5"/>
        <v>1.6790199625833291</v>
      </c>
      <c r="M66" s="13">
        <f t="shared" si="5"/>
        <v>1.6492677624267518</v>
      </c>
      <c r="N66" s="13">
        <f t="shared" si="5"/>
        <v>1.6864069799544124</v>
      </c>
      <c r="O66" s="13">
        <f t="shared" si="5"/>
        <v>1.6299043356927845</v>
      </c>
      <c r="P66" s="13">
        <f t="shared" si="5"/>
        <v>1.6432219580388632</v>
      </c>
      <c r="Q66" s="13">
        <f t="shared" si="5"/>
        <v>1.6884044655314676</v>
      </c>
      <c r="R66" s="13">
        <f t="shared" si="5"/>
        <v>1.6967455888082645</v>
      </c>
      <c r="S66" s="13">
        <f t="shared" si="5"/>
        <v>1.7336277646396461</v>
      </c>
      <c r="T66" s="13">
        <f t="shared" si="5"/>
        <v>1.650118516482568</v>
      </c>
      <c r="U66" s="13">
        <f t="shared" si="5"/>
        <v>1.7000525053920694</v>
      </c>
      <c r="V66" s="13">
        <f t="shared" si="5"/>
        <v>1.7397599517395101</v>
      </c>
      <c r="W66" s="13">
        <f t="shared" si="5"/>
        <v>1.7636934292508017</v>
      </c>
      <c r="X66" s="13">
        <f t="shared" si="5"/>
        <v>1.7340967839929384</v>
      </c>
      <c r="Y66" s="13">
        <f t="shared" si="5"/>
        <v>1.7273366677950595</v>
      </c>
      <c r="Z66" s="13">
        <f t="shared" si="5"/>
        <v>1.6555905474358907</v>
      </c>
      <c r="AA66" s="13">
        <f t="shared" si="5"/>
        <v>1.6012626416280811</v>
      </c>
      <c r="AB66" s="13">
        <f t="shared" si="5"/>
        <v>1.6265772429189751</v>
      </c>
      <c r="AC66" s="13">
        <f t="shared" si="5"/>
        <v>1.6029792506572451</v>
      </c>
      <c r="AD66" s="13">
        <f t="shared" si="5"/>
        <v>1.5742482520580903</v>
      </c>
      <c r="AE66" s="13">
        <f t="shared" si="5"/>
        <v>1.5268598376125739</v>
      </c>
    </row>
    <row r="67" spans="1:31">
      <c r="A67" s="104"/>
      <c r="B67" s="1" t="s">
        <v>107</v>
      </c>
      <c r="C67" s="1" t="s">
        <v>112</v>
      </c>
      <c r="D67" s="1" t="s">
        <v>55</v>
      </c>
      <c r="E67" s="1" t="s">
        <v>105</v>
      </c>
      <c r="F67" s="14">
        <f t="shared" ref="F67:AE67" si="6">F27</f>
        <v>0</v>
      </c>
      <c r="G67" s="14">
        <f t="shared" si="6"/>
        <v>0</v>
      </c>
      <c r="H67" s="14">
        <f t="shared" si="6"/>
        <v>1.5691899579597</v>
      </c>
      <c r="I67" s="14">
        <f t="shared" si="6"/>
        <v>1.3621012131253318</v>
      </c>
      <c r="J67" s="14">
        <f t="shared" si="6"/>
        <v>1.1752504979018732</v>
      </c>
      <c r="K67" s="14">
        <f t="shared" si="6"/>
        <v>1.0253476494696385</v>
      </c>
      <c r="L67" s="14">
        <f t="shared" si="6"/>
        <v>0.98724101421615951</v>
      </c>
      <c r="M67" s="14">
        <f t="shared" si="6"/>
        <v>0.96974712318906942</v>
      </c>
      <c r="N67" s="14">
        <f t="shared" si="6"/>
        <v>0.99158448045478598</v>
      </c>
      <c r="O67" s="14">
        <f t="shared" si="6"/>
        <v>0.95836169033326835</v>
      </c>
      <c r="P67" s="14">
        <f t="shared" si="6"/>
        <v>0.96619227203264335</v>
      </c>
      <c r="Q67" s="14">
        <f t="shared" si="6"/>
        <v>0.99275897494021181</v>
      </c>
      <c r="R67" s="14">
        <f t="shared" si="6"/>
        <v>0.99766344253857031</v>
      </c>
      <c r="S67" s="14">
        <f t="shared" si="6"/>
        <v>1.019349662765666</v>
      </c>
      <c r="T67" s="14">
        <f t="shared" si="6"/>
        <v>0.97024735505982107</v>
      </c>
      <c r="U67" s="14">
        <f t="shared" si="6"/>
        <v>0.99960786473418306</v>
      </c>
      <c r="V67" s="14">
        <f t="shared" si="6"/>
        <v>1.0229553057876337</v>
      </c>
      <c r="W67" s="14">
        <f t="shared" si="6"/>
        <v>1.0370278666496338</v>
      </c>
      <c r="X67" s="14">
        <f t="shared" si="6"/>
        <v>1.0196254397977143</v>
      </c>
      <c r="Y67" s="14">
        <f t="shared" si="6"/>
        <v>1.0156505829644791</v>
      </c>
      <c r="Z67" s="14">
        <f t="shared" si="6"/>
        <v>0.97346483520214699</v>
      </c>
      <c r="AA67" s="14">
        <f t="shared" si="6"/>
        <v>0.94152076185865896</v>
      </c>
      <c r="AB67" s="14">
        <f t="shared" si="6"/>
        <v>0.95640540481099645</v>
      </c>
      <c r="AC67" s="14">
        <f t="shared" si="6"/>
        <v>0.94253010473529586</v>
      </c>
      <c r="AD67" s="14">
        <f t="shared" si="6"/>
        <v>0.92563666640307307</v>
      </c>
      <c r="AE67" s="14">
        <f t="shared" si="6"/>
        <v>0.89777292006184073</v>
      </c>
    </row>
    <row r="68" spans="1:31">
      <c r="A68" s="104"/>
      <c r="B68" s="1" t="s">
        <v>108</v>
      </c>
      <c r="C68" s="1" t="s">
        <v>112</v>
      </c>
      <c r="D68" s="1" t="s">
        <v>55</v>
      </c>
      <c r="E68" s="1" t="s">
        <v>105</v>
      </c>
      <c r="F68" s="14">
        <f t="shared" ref="F68:AE68" si="7">F38</f>
        <v>0</v>
      </c>
      <c r="G68" s="14">
        <f t="shared" si="7"/>
        <v>0</v>
      </c>
      <c r="H68" s="14">
        <f t="shared" si="7"/>
        <v>0.33144649225997469</v>
      </c>
      <c r="I68" s="14">
        <f t="shared" si="7"/>
        <v>0.28770491864506431</v>
      </c>
      <c r="J68" s="14">
        <f t="shared" si="7"/>
        <v>0.24823804988074524</v>
      </c>
      <c r="K68" s="14">
        <f t="shared" si="7"/>
        <v>0.21657536108987116</v>
      </c>
      <c r="L68" s="14">
        <f t="shared" si="7"/>
        <v>0.20852642442511055</v>
      </c>
      <c r="M68" s="14">
        <f t="shared" si="7"/>
        <v>0.20483134035482611</v>
      </c>
      <c r="N68" s="14">
        <f t="shared" si="7"/>
        <v>0.20944385742405364</v>
      </c>
      <c r="O68" s="14">
        <f t="shared" si="7"/>
        <v>0.20242649334202509</v>
      </c>
      <c r="P68" s="14">
        <f t="shared" si="7"/>
        <v>0.20408047973382409</v>
      </c>
      <c r="Q68" s="14">
        <f t="shared" si="7"/>
        <v>0.20969193578792447</v>
      </c>
      <c r="R68" s="14">
        <f t="shared" si="7"/>
        <v>0.21072786427678136</v>
      </c>
      <c r="S68" s="14">
        <f t="shared" si="7"/>
        <v>0.21530845796984446</v>
      </c>
      <c r="T68" s="14">
        <f t="shared" si="7"/>
        <v>0.20493700002849166</v>
      </c>
      <c r="U68" s="14">
        <f t="shared" si="7"/>
        <v>0.21113856784580382</v>
      </c>
      <c r="V68" s="14">
        <f t="shared" si="7"/>
        <v>0.21607004691955117</v>
      </c>
      <c r="W68" s="14">
        <f t="shared" si="7"/>
        <v>0.21904247285891265</v>
      </c>
      <c r="X68" s="14">
        <f t="shared" si="7"/>
        <v>0.21536670797931887</v>
      </c>
      <c r="Y68" s="14">
        <f t="shared" si="7"/>
        <v>0.21452713317326771</v>
      </c>
      <c r="Z68" s="14">
        <f t="shared" si="7"/>
        <v>0.20561660067319415</v>
      </c>
      <c r="AA68" s="14">
        <f t="shared" si="7"/>
        <v>0.19886932893309142</v>
      </c>
      <c r="AB68" s="14">
        <f t="shared" si="7"/>
        <v>0.20201328398459392</v>
      </c>
      <c r="AC68" s="14">
        <f t="shared" si="7"/>
        <v>0.19908252374373361</v>
      </c>
      <c r="AD68" s="14">
        <f t="shared" si="7"/>
        <v>0.19551426812941286</v>
      </c>
      <c r="AE68" s="14">
        <f t="shared" si="7"/>
        <v>0.18962884875161418</v>
      </c>
    </row>
    <row r="69" spans="1:31">
      <c r="A69" s="104"/>
      <c r="B69" s="1" t="s">
        <v>109</v>
      </c>
      <c r="C69" s="1" t="s">
        <v>112</v>
      </c>
      <c r="D69" s="1" t="s">
        <v>55</v>
      </c>
      <c r="E69" s="1" t="s">
        <v>105</v>
      </c>
      <c r="F69" s="14">
        <f t="shared" ref="F69:AE69" si="8">F49</f>
        <v>0</v>
      </c>
      <c r="G69" s="14">
        <f t="shared" si="8"/>
        <v>0</v>
      </c>
      <c r="H69" s="14">
        <f t="shared" si="8"/>
        <v>1.1620732132301031E-2</v>
      </c>
      <c r="I69" s="14">
        <f t="shared" si="8"/>
        <v>1.0087123776520034E-2</v>
      </c>
      <c r="J69" s="14">
        <f t="shared" si="8"/>
        <v>8.7033893858386741E-3</v>
      </c>
      <c r="K69" s="14">
        <f t="shared" si="8"/>
        <v>7.5932746806917639E-3</v>
      </c>
      <c r="L69" s="14">
        <f t="shared" si="8"/>
        <v>7.3110736644937295E-3</v>
      </c>
      <c r="M69" s="14">
        <f t="shared" si="8"/>
        <v>7.1815215853803724E-3</v>
      </c>
      <c r="N69" s="14">
        <f t="shared" si="8"/>
        <v>7.3432394691681346E-3</v>
      </c>
      <c r="O69" s="14">
        <f t="shared" si="8"/>
        <v>7.0972060665635238E-3</v>
      </c>
      <c r="P69" s="14">
        <f t="shared" si="8"/>
        <v>7.1551959178922002E-3</v>
      </c>
      <c r="Q69" s="14">
        <f t="shared" si="8"/>
        <v>7.3519372598573815E-3</v>
      </c>
      <c r="R69" s="14">
        <f t="shared" si="8"/>
        <v>7.3882575943860201E-3</v>
      </c>
      <c r="S69" s="14">
        <f t="shared" si="8"/>
        <v>7.5488562235977649E-3</v>
      </c>
      <c r="T69" s="14">
        <f t="shared" si="8"/>
        <v>7.1852260830701275E-3</v>
      </c>
      <c r="U69" s="14">
        <f t="shared" si="8"/>
        <v>7.4026571317859988E-3</v>
      </c>
      <c r="V69" s="14">
        <f t="shared" si="8"/>
        <v>7.5755580333502735E-3</v>
      </c>
      <c r="W69" s="14">
        <f t="shared" si="8"/>
        <v>7.6797732428367255E-3</v>
      </c>
      <c r="X69" s="14">
        <f t="shared" si="8"/>
        <v>7.5508985072622881E-3</v>
      </c>
      <c r="Y69" s="14">
        <f t="shared" si="8"/>
        <v>7.5214624620665036E-3</v>
      </c>
      <c r="Z69" s="14">
        <f t="shared" si="8"/>
        <v>7.2090533288954707E-3</v>
      </c>
      <c r="AA69" s="14">
        <f t="shared" si="8"/>
        <v>6.9724895415373645E-3</v>
      </c>
      <c r="AB69" s="14">
        <f t="shared" si="8"/>
        <v>7.0827186745729609E-3</v>
      </c>
      <c r="AC69" s="14">
        <f t="shared" si="8"/>
        <v>6.9799642918947375E-3</v>
      </c>
      <c r="AD69" s="14">
        <f t="shared" si="8"/>
        <v>6.8548589019089634E-3</v>
      </c>
      <c r="AE69" s="14">
        <f t="shared" si="8"/>
        <v>6.6485122255289728E-3</v>
      </c>
    </row>
    <row r="70" spans="1:31">
      <c r="A70" s="105"/>
      <c r="B70" s="3"/>
      <c r="C70" s="3"/>
      <c r="D70" s="3"/>
      <c r="E70" s="3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</row>
    <row r="75" spans="1:31" ht="29.25" customHeight="1">
      <c r="A75" s="22"/>
      <c r="F75" s="58" t="s">
        <v>106</v>
      </c>
      <c r="G75" s="29" t="s">
        <v>107</v>
      </c>
      <c r="H75" s="29" t="s">
        <v>108</v>
      </c>
      <c r="I75" s="29" t="s">
        <v>109</v>
      </c>
      <c r="J75" s="59" t="s">
        <v>110</v>
      </c>
      <c r="L75" s="27"/>
    </row>
    <row r="76" spans="1:31" ht="13.5" customHeight="1">
      <c r="A76" s="100" t="s">
        <v>37</v>
      </c>
      <c r="B76" s="5" t="s">
        <v>41</v>
      </c>
      <c r="C76" s="5" t="s">
        <v>38</v>
      </c>
      <c r="D76" s="5" t="s">
        <v>34</v>
      </c>
      <c r="E76" s="5" t="s">
        <v>105</v>
      </c>
      <c r="F76" s="48">
        <f>SUM($F$66:$K$66)</f>
        <v>8.7279038121182371</v>
      </c>
      <c r="G76" s="13">
        <f>SUM($F$67:$K$67)</f>
        <v>5.1318893184565439</v>
      </c>
      <c r="H76" s="13">
        <f>SUM($F$68:$K$68)</f>
        <v>1.0839648218756555</v>
      </c>
      <c r="I76" s="13">
        <f>SUM($F$69:$K$69)</f>
        <v>3.8004519975351501E-2</v>
      </c>
      <c r="J76" s="45"/>
    </row>
    <row r="77" spans="1:31" ht="13.5" customHeight="1">
      <c r="A77" s="101"/>
      <c r="B77" s="1" t="s">
        <v>39</v>
      </c>
      <c r="C77" s="1" t="s">
        <v>38</v>
      </c>
      <c r="D77" s="1" t="s">
        <v>34</v>
      </c>
      <c r="E77" s="1" t="s">
        <v>113</v>
      </c>
      <c r="F77" s="49">
        <f>F76/COUNT($F$65:$K$65)</f>
        <v>1.4546506353530395</v>
      </c>
      <c r="G77" s="14">
        <f>G76/COUNT($F$65:$K$65)</f>
        <v>0.85531488640942399</v>
      </c>
      <c r="H77" s="14">
        <f>H76/COUNT($F$65:$K$65)</f>
        <v>0.18066080364594259</v>
      </c>
      <c r="I77" s="14">
        <f>I76/COUNT($F$65:$K$65)</f>
        <v>6.3340866625585836E-3</v>
      </c>
      <c r="J77" s="46"/>
    </row>
    <row r="78" spans="1:31">
      <c r="A78" s="101"/>
      <c r="B78" s="1" t="s">
        <v>41</v>
      </c>
      <c r="C78" s="1" t="s">
        <v>40</v>
      </c>
      <c r="D78" s="1" t="s">
        <v>34</v>
      </c>
      <c r="E78" s="1" t="s">
        <v>105</v>
      </c>
      <c r="F78" s="49">
        <f>SUM(F66:AE66)</f>
        <v>42.037078256757567</v>
      </c>
      <c r="G78" s="14">
        <f>SUM(F67:AE67)</f>
        <v>24.717233086992398</v>
      </c>
      <c r="H78" s="14">
        <f>SUM($F$68:$AE$68)</f>
        <v>5.2208084582110308</v>
      </c>
      <c r="I78" s="14">
        <f>SUM($F$69:$AE$69)</f>
        <v>0.18304498018140103</v>
      </c>
      <c r="J78" s="46"/>
    </row>
    <row r="79" spans="1:31">
      <c r="A79" s="102"/>
      <c r="B79" s="3" t="s">
        <v>39</v>
      </c>
      <c r="C79" s="3" t="s">
        <v>40</v>
      </c>
      <c r="D79" s="3" t="s">
        <v>34</v>
      </c>
      <c r="E79" s="3" t="s">
        <v>157</v>
      </c>
      <c r="F79" s="50">
        <f>F78/COUNT($F$65:$AE$65)</f>
        <v>1.6168107021829834</v>
      </c>
      <c r="G79" s="44">
        <f>G78/COUNT($F$65:$AE$65)</f>
        <v>0.95066281103816919</v>
      </c>
      <c r="H79" s="44">
        <f>H78/COUNT($F$65:$AE$65)</f>
        <v>0.20080032531580888</v>
      </c>
      <c r="I79" s="44">
        <f>I78/COUNT($F$65:$AE$65)</f>
        <v>7.0401915454385011E-3</v>
      </c>
      <c r="J79" s="47"/>
    </row>
    <row r="80" spans="1:31" ht="13">
      <c r="A80" s="22"/>
    </row>
  </sheetData>
  <mergeCells count="7">
    <mergeCell ref="A40:A49"/>
    <mergeCell ref="A51:A60"/>
    <mergeCell ref="A65:A70"/>
    <mergeCell ref="A76:A79"/>
    <mergeCell ref="A7:A16"/>
    <mergeCell ref="A18:A27"/>
    <mergeCell ref="A29:A3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59CAF-CFF5-446E-BCA9-7BC9953EB3C9}">
  <sheetPr>
    <tabColor rgb="FFFFC000"/>
  </sheetPr>
  <dimension ref="A1:AE86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0.08984375" style="21" customWidth="1"/>
    <col min="6" max="6" width="16.08984375" style="21" customWidth="1"/>
    <col min="7" max="10" width="15.90625" style="21" customWidth="1"/>
    <col min="11" max="11" width="12.3632812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1" width="12.36328125" style="21" bestFit="1" customWidth="1"/>
    <col min="32" max="36" width="9.54296875" style="21" bestFit="1" customWidth="1"/>
    <col min="37" max="16384" width="9.08984375" style="21"/>
  </cols>
  <sheetData>
    <row r="1" spans="1:17">
      <c r="A1" s="21" t="s">
        <v>186</v>
      </c>
    </row>
    <row r="2" spans="1:17" ht="13">
      <c r="A2" s="22" t="s">
        <v>210</v>
      </c>
    </row>
    <row r="3" spans="1:17" ht="13">
      <c r="A3" s="22" t="s">
        <v>222</v>
      </c>
    </row>
    <row r="4" spans="1:17" ht="13">
      <c r="A4" s="22"/>
    </row>
    <row r="6" spans="1:17" s="27" customFormat="1" ht="40.5" customHeight="1">
      <c r="A6" s="97" t="s">
        <v>42</v>
      </c>
      <c r="B6" s="26" t="s">
        <v>9</v>
      </c>
      <c r="C6" s="26" t="s">
        <v>8</v>
      </c>
      <c r="D6" s="37" t="s">
        <v>10</v>
      </c>
      <c r="E6" s="37"/>
      <c r="F6" s="29" t="s">
        <v>118</v>
      </c>
      <c r="G6" s="29" t="s">
        <v>119</v>
      </c>
      <c r="H6" s="29" t="s">
        <v>145</v>
      </c>
      <c r="I6" s="29" t="s">
        <v>147</v>
      </c>
      <c r="J6" s="21"/>
      <c r="K6" s="21"/>
      <c r="L6" s="21"/>
      <c r="M6" s="21"/>
      <c r="N6" s="21"/>
      <c r="O6" s="21"/>
      <c r="P6" s="21"/>
      <c r="Q6" s="21"/>
    </row>
    <row r="7" spans="1:17" ht="13.5" customHeight="1">
      <c r="A7" s="98"/>
      <c r="B7" s="5" t="s">
        <v>273</v>
      </c>
      <c r="C7" s="5" t="s">
        <v>275</v>
      </c>
      <c r="D7" s="7" t="s">
        <v>114</v>
      </c>
      <c r="E7" s="7"/>
      <c r="F7" s="7">
        <f>'P0.3a Coal-NG Ret COBRA Results'!E19</f>
        <v>297775.37128728884</v>
      </c>
      <c r="G7" s="7">
        <f>'P0.3a Coal-NG Ret COBRA Results'!F19</f>
        <v>671114.92729697679</v>
      </c>
      <c r="H7" s="2">
        <f>'P0.3a Coal-NG Ret COBRA Results'!AF19</f>
        <v>14.01032628280298</v>
      </c>
      <c r="I7" s="2">
        <f>'P0.3a Coal-NG Ret COBRA Results'!AH19</f>
        <v>2.3680392666824415</v>
      </c>
    </row>
    <row r="8" spans="1:17">
      <c r="A8" s="98"/>
      <c r="B8" s="1" t="s">
        <v>271</v>
      </c>
      <c r="C8" s="1" t="s">
        <v>275</v>
      </c>
      <c r="D8" s="2" t="s">
        <v>114</v>
      </c>
      <c r="E8" s="2"/>
      <c r="F8" s="2">
        <f>'P0.3a Coal-NG Ret COBRA Results'!E20</f>
        <v>5963.9588430669919</v>
      </c>
      <c r="G8" s="2">
        <f>'P0.3a Coal-NG Ret COBRA Results'!F20</f>
        <v>13441.272714939638</v>
      </c>
      <c r="H8" s="2">
        <f>'P0.3a Coal-NG Ret COBRA Results'!AF20</f>
        <v>0.28048503209418491</v>
      </c>
      <c r="I8" s="2">
        <f>'P0.3a Coal-NG Ret COBRA Results'!AH20</f>
        <v>4.7408226256800162E-2</v>
      </c>
    </row>
    <row r="9" spans="1:17">
      <c r="A9" s="98"/>
      <c r="B9" s="1" t="s">
        <v>255</v>
      </c>
      <c r="C9" s="1" t="str">
        <f>'P3.1 Solar Avd Health'!C7</f>
        <v>Annual Emissions Changes</v>
      </c>
      <c r="D9" s="1" t="str">
        <f>'P3.1 Solar Avd Health'!D7</f>
        <v>COBRA</v>
      </c>
      <c r="E9" s="1"/>
      <c r="F9" s="2">
        <f>'P3.1 Solar Avd Health'!F7</f>
        <v>1761298.3072646335</v>
      </c>
      <c r="G9" s="2">
        <f>'P3.1 Solar Avd Health'!G7</f>
        <v>3969221.8409612733</v>
      </c>
      <c r="H9" s="2">
        <f>'P3.1 Solar Avd Health'!H7</f>
        <v>97.39723621249351</v>
      </c>
      <c r="I9" s="2">
        <f>'P3.1 Solar Avd Health'!I7</f>
        <v>16.509806015808028</v>
      </c>
    </row>
    <row r="10" spans="1:17">
      <c r="A10" s="98"/>
      <c r="B10" s="1"/>
      <c r="C10" s="1"/>
      <c r="D10" s="2"/>
      <c r="E10" s="2"/>
      <c r="F10" s="2"/>
      <c r="G10" s="2"/>
      <c r="H10" s="2"/>
      <c r="I10" s="2"/>
    </row>
    <row r="11" spans="1:17">
      <c r="A11" s="99"/>
      <c r="B11" s="3"/>
      <c r="C11" s="3"/>
      <c r="D11" s="23"/>
      <c r="E11" s="23"/>
      <c r="F11" s="23"/>
      <c r="G11" s="23"/>
      <c r="H11" s="23"/>
      <c r="I11" s="23"/>
    </row>
    <row r="12" spans="1:17" ht="13">
      <c r="A12" s="30"/>
      <c r="B12" s="30"/>
      <c r="C12" s="30"/>
      <c r="D12" s="30"/>
      <c r="E12" s="30"/>
      <c r="F12" s="30"/>
      <c r="G12" s="30"/>
      <c r="H12" s="30"/>
      <c r="I12" s="30"/>
    </row>
    <row r="13" spans="1:17" s="27" customFormat="1" ht="15" customHeight="1">
      <c r="A13" s="97" t="s">
        <v>98</v>
      </c>
      <c r="B13" s="26" t="s">
        <v>9</v>
      </c>
      <c r="C13" s="26" t="s">
        <v>8</v>
      </c>
      <c r="D13" s="37" t="s">
        <v>10</v>
      </c>
      <c r="E13" s="37"/>
      <c r="F13" s="29">
        <v>2025</v>
      </c>
      <c r="G13" s="29">
        <v>2026</v>
      </c>
      <c r="H13" s="29">
        <v>2027</v>
      </c>
      <c r="I13" s="29">
        <v>2028</v>
      </c>
      <c r="J13" s="29">
        <v>2029</v>
      </c>
      <c r="L13" s="21"/>
      <c r="M13" s="21"/>
      <c r="N13" s="21"/>
      <c r="O13" s="21"/>
      <c r="P13" s="21"/>
      <c r="Q13" s="21"/>
    </row>
    <row r="14" spans="1:17" ht="13.5" customHeight="1">
      <c r="A14" s="98"/>
      <c r="B14" s="5" t="s">
        <v>273</v>
      </c>
      <c r="C14" s="5" t="s">
        <v>99</v>
      </c>
      <c r="D14" s="7" t="s">
        <v>175</v>
      </c>
      <c r="E14" s="7"/>
      <c r="F14" s="40"/>
      <c r="G14" s="40"/>
      <c r="H14" s="41" t="s">
        <v>100</v>
      </c>
      <c r="I14" s="41"/>
      <c r="J14" s="41"/>
    </row>
    <row r="15" spans="1:17">
      <c r="A15" s="98"/>
      <c r="B15" s="1" t="s">
        <v>271</v>
      </c>
      <c r="C15" s="1" t="s">
        <v>99</v>
      </c>
      <c r="D15" s="2" t="s">
        <v>175</v>
      </c>
      <c r="E15" s="2"/>
      <c r="F15" s="41"/>
      <c r="G15" s="41"/>
      <c r="H15" s="41" t="s">
        <v>100</v>
      </c>
      <c r="I15" s="41"/>
      <c r="J15" s="41"/>
    </row>
    <row r="16" spans="1:17">
      <c r="A16" s="98"/>
      <c r="B16" s="1" t="s">
        <v>255</v>
      </c>
      <c r="C16" s="1" t="str">
        <f>'P3.1 Solar Avd Health'!C14</f>
        <v>Year of Implementation</v>
      </c>
      <c r="D16" s="1" t="str">
        <f>'P3.1 Solar Avd Health'!D14</f>
        <v>Cuyahoga County</v>
      </c>
      <c r="E16" s="2"/>
      <c r="F16" s="41"/>
      <c r="G16" s="41"/>
      <c r="H16" s="41" t="s">
        <v>100</v>
      </c>
      <c r="I16" s="41"/>
      <c r="J16" s="41"/>
    </row>
    <row r="17" spans="1:31">
      <c r="A17" s="98"/>
      <c r="B17" s="1"/>
      <c r="C17" s="1"/>
      <c r="D17" s="2"/>
      <c r="E17" s="2"/>
      <c r="F17" s="41"/>
      <c r="G17" s="41"/>
      <c r="H17" s="41"/>
      <c r="I17" s="41"/>
      <c r="J17" s="41"/>
    </row>
    <row r="18" spans="1:31">
      <c r="A18" s="99"/>
      <c r="B18" s="3"/>
      <c r="C18" s="3"/>
      <c r="D18" s="23"/>
      <c r="E18" s="23"/>
      <c r="F18" s="42"/>
      <c r="G18" s="42"/>
      <c r="H18" s="42"/>
      <c r="I18" s="42"/>
      <c r="J18" s="42"/>
    </row>
    <row r="19" spans="1:31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0" spans="1:31" ht="13">
      <c r="A20" s="106"/>
      <c r="B20" s="26" t="s">
        <v>9</v>
      </c>
      <c r="C20" s="26" t="s">
        <v>8</v>
      </c>
      <c r="D20" s="37" t="s">
        <v>10</v>
      </c>
      <c r="E20" s="37" t="s">
        <v>7</v>
      </c>
      <c r="F20" s="9">
        <v>2025</v>
      </c>
      <c r="G20" s="9">
        <v>2026</v>
      </c>
      <c r="H20" s="9">
        <v>2027</v>
      </c>
      <c r="I20" s="9">
        <v>2028</v>
      </c>
      <c r="J20" s="9">
        <v>2029</v>
      </c>
      <c r="K20" s="9">
        <v>2030</v>
      </c>
      <c r="L20" s="9">
        <v>2031</v>
      </c>
      <c r="M20" s="9">
        <v>2032</v>
      </c>
      <c r="N20" s="9">
        <v>2033</v>
      </c>
      <c r="O20" s="9">
        <v>2034</v>
      </c>
      <c r="P20" s="9">
        <v>2035</v>
      </c>
      <c r="Q20" s="9">
        <v>2036</v>
      </c>
      <c r="R20" s="9">
        <v>2037</v>
      </c>
      <c r="S20" s="9">
        <v>2038</v>
      </c>
      <c r="T20" s="9">
        <v>2039</v>
      </c>
      <c r="U20" s="9">
        <v>2040</v>
      </c>
      <c r="V20" s="9">
        <v>2041</v>
      </c>
      <c r="W20" s="9">
        <v>2042</v>
      </c>
      <c r="X20" s="9">
        <v>2043</v>
      </c>
      <c r="Y20" s="9">
        <v>2044</v>
      </c>
      <c r="Z20" s="9">
        <v>2045</v>
      </c>
      <c r="AA20" s="9">
        <v>2046</v>
      </c>
      <c r="AB20" s="9">
        <v>2047</v>
      </c>
      <c r="AC20" s="9">
        <v>2048</v>
      </c>
      <c r="AD20" s="9">
        <v>2049</v>
      </c>
      <c r="AE20" s="9">
        <v>2050</v>
      </c>
    </row>
    <row r="21" spans="1:31">
      <c r="A21" s="107"/>
      <c r="B21" s="3" t="s">
        <v>101</v>
      </c>
      <c r="C21" s="3" t="s">
        <v>103</v>
      </c>
      <c r="D21" s="23" t="s">
        <v>102</v>
      </c>
      <c r="E21" s="23" t="s">
        <v>22</v>
      </c>
      <c r="F21" s="43">
        <f>'P0.1 Background Data'!J8</f>
        <v>-5.9786200000000005E-2</v>
      </c>
      <c r="G21" s="43">
        <f>'P0.1 Background Data'!K8</f>
        <v>-0.165266651936674</v>
      </c>
      <c r="H21" s="43">
        <f>'P0.1 Background Data'!L8</f>
        <v>-0.19804073729768346</v>
      </c>
      <c r="I21" s="43">
        <f>'P0.1 Background Data'!M8</f>
        <v>-0.30387670462521787</v>
      </c>
      <c r="J21" s="43">
        <f>'P0.1 Background Data'!N8</f>
        <v>-0.39936970791389542</v>
      </c>
      <c r="K21" s="43">
        <f>'P0.1 Background Data'!O8</f>
        <v>-0.47597992148039048</v>
      </c>
      <c r="L21" s="43">
        <f>'P0.1 Background Data'!P8</f>
        <v>-0.49545491809054032</v>
      </c>
      <c r="M21" s="43">
        <f>'P0.1 Background Data'!Q8</f>
        <v>-0.50439544685107429</v>
      </c>
      <c r="N21" s="43">
        <f>'P0.1 Background Data'!R8</f>
        <v>-0.49323512120448937</v>
      </c>
      <c r="O21" s="43">
        <f>'P0.1 Background Data'!S8</f>
        <v>-0.51021415177731333</v>
      </c>
      <c r="P21" s="43">
        <f>'P0.1 Background Data'!T8</f>
        <v>-0.50621220956865531</v>
      </c>
      <c r="Q21" s="43">
        <f>'P0.1 Background Data'!U8</f>
        <v>-0.4926348772844959</v>
      </c>
      <c r="R21" s="43">
        <f>'P0.1 Background Data'!V8</f>
        <v>-0.49012837181065189</v>
      </c>
      <c r="S21" s="43">
        <f>'P0.1 Background Data'!W8</f>
        <v>-0.47904528712998368</v>
      </c>
      <c r="T21" s="43">
        <f>'P0.1 Background Data'!X8</f>
        <v>-0.50413979546851639</v>
      </c>
      <c r="U21" s="43">
        <f>'P0.1 Background Data'!Y8</f>
        <v>-0.48913464419821984</v>
      </c>
      <c r="V21" s="43">
        <f>'P0.1 Background Data'!Z8</f>
        <v>-0.47720256642889997</v>
      </c>
      <c r="W21" s="43">
        <f>'P0.1 Background Data'!AA8</f>
        <v>-0.47001056237867206</v>
      </c>
      <c r="X21" s="43">
        <f>'P0.1 Background Data'!AB8</f>
        <v>-0.47890434693076178</v>
      </c>
      <c r="Y21" s="43">
        <f>'P0.1 Background Data'!AC8</f>
        <v>-0.48093576016990425</v>
      </c>
      <c r="Z21" s="43">
        <f>'P0.1 Background Data'!AD8</f>
        <v>-0.50249545152557273</v>
      </c>
      <c r="AA21" s="43">
        <f>'P0.1 Background Data'!AE8</f>
        <v>-0.51882097373294234</v>
      </c>
      <c r="AB21" s="43">
        <f>'P0.1 Background Data'!AF8</f>
        <v>-0.51121394232983253</v>
      </c>
      <c r="AC21" s="43">
        <f>'P0.1 Background Data'!AG8</f>
        <v>-0.51830513314585747</v>
      </c>
      <c r="AD21" s="43">
        <f>'P0.1 Background Data'!AH8</f>
        <v>-0.52693879109191766</v>
      </c>
      <c r="AE21" s="43">
        <f>'P0.1 Background Data'!AI8</f>
        <v>-0.54117899786777102</v>
      </c>
    </row>
    <row r="22" spans="1:31" ht="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0"/>
    </row>
    <row r="23" spans="1:31" ht="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0"/>
    </row>
    <row r="25" spans="1:31" ht="13.5" customHeight="1">
      <c r="A25" s="100" t="s">
        <v>118</v>
      </c>
      <c r="B25" s="9" t="s">
        <v>9</v>
      </c>
      <c r="C25" s="9" t="s">
        <v>8</v>
      </c>
      <c r="D25" s="9" t="s">
        <v>10</v>
      </c>
      <c r="E25" s="9" t="s">
        <v>7</v>
      </c>
      <c r="F25" s="9">
        <v>2025</v>
      </c>
      <c r="G25" s="9">
        <v>2026</v>
      </c>
      <c r="H25" s="9">
        <v>2027</v>
      </c>
      <c r="I25" s="9">
        <v>2028</v>
      </c>
      <c r="J25" s="9">
        <v>2029</v>
      </c>
      <c r="K25" s="9">
        <v>2030</v>
      </c>
      <c r="L25" s="9">
        <v>2031</v>
      </c>
      <c r="M25" s="9">
        <v>2032</v>
      </c>
      <c r="N25" s="9">
        <v>2033</v>
      </c>
      <c r="O25" s="9">
        <v>2034</v>
      </c>
      <c r="P25" s="9">
        <v>2035</v>
      </c>
      <c r="Q25" s="9">
        <v>2036</v>
      </c>
      <c r="R25" s="9">
        <v>2037</v>
      </c>
      <c r="S25" s="9">
        <v>2038</v>
      </c>
      <c r="T25" s="9">
        <v>2039</v>
      </c>
      <c r="U25" s="9">
        <v>2040</v>
      </c>
      <c r="V25" s="9">
        <v>2041</v>
      </c>
      <c r="W25" s="9">
        <v>2042</v>
      </c>
      <c r="X25" s="9">
        <v>2043</v>
      </c>
      <c r="Y25" s="9">
        <v>2044</v>
      </c>
      <c r="Z25" s="9">
        <v>2045</v>
      </c>
      <c r="AA25" s="9">
        <v>2046</v>
      </c>
      <c r="AB25" s="9">
        <v>2047</v>
      </c>
      <c r="AC25" s="9">
        <v>2048</v>
      </c>
      <c r="AD25" s="9">
        <v>2049</v>
      </c>
      <c r="AE25" s="9">
        <v>2050</v>
      </c>
    </row>
    <row r="26" spans="1:31">
      <c r="A26" s="101"/>
      <c r="B26" s="5" t="s">
        <v>273</v>
      </c>
      <c r="C26" s="5">
        <v>2027</v>
      </c>
      <c r="D26" s="2" t="s">
        <v>278</v>
      </c>
      <c r="E26" s="5" t="s">
        <v>154</v>
      </c>
      <c r="F26" s="55"/>
      <c r="G26" s="55"/>
      <c r="H26" s="55">
        <f t="shared" ref="H26:AE26" si="0">$F$7+($F$7*H$21)</f>
        <v>238803.71720846271</v>
      </c>
      <c r="I26" s="55">
        <f t="shared" si="0"/>
        <v>207288.37274195679</v>
      </c>
      <c r="J26" s="55">
        <f t="shared" si="0"/>
        <v>178852.90823233256</v>
      </c>
      <c r="K26" s="55">
        <f t="shared" si="0"/>
        <v>156040.27344317097</v>
      </c>
      <c r="L26" s="55">
        <f t="shared" si="0"/>
        <v>150241.09909676493</v>
      </c>
      <c r="M26" s="55">
        <f t="shared" si="0"/>
        <v>147578.82982559223</v>
      </c>
      <c r="N26" s="55">
        <f t="shared" si="0"/>
        <v>150902.0999386911</v>
      </c>
      <c r="O26" s="55">
        <f t="shared" si="0"/>
        <v>145846.16280577023</v>
      </c>
      <c r="P26" s="55">
        <f t="shared" si="0"/>
        <v>147037.84263282362</v>
      </c>
      <c r="Q26" s="55">
        <f t="shared" si="0"/>
        <v>151080.83779483009</v>
      </c>
      <c r="R26" s="55">
        <f t="shared" si="0"/>
        <v>151827.21339293761</v>
      </c>
      <c r="S26" s="55">
        <f t="shared" si="0"/>
        <v>155127.48304873207</v>
      </c>
      <c r="T26" s="55">
        <f t="shared" si="0"/>
        <v>147654.95651095352</v>
      </c>
      <c r="U26" s="55">
        <f t="shared" si="0"/>
        <v>152123.12100168801</v>
      </c>
      <c r="V26" s="55">
        <f t="shared" si="0"/>
        <v>155676.19988967603</v>
      </c>
      <c r="W26" s="55">
        <f t="shared" si="0"/>
        <v>157817.80156603234</v>
      </c>
      <c r="X26" s="55">
        <f t="shared" si="0"/>
        <v>155169.45156888466</v>
      </c>
      <c r="Y26" s="55">
        <f t="shared" si="0"/>
        <v>154564.54673736112</v>
      </c>
      <c r="Z26" s="55">
        <f t="shared" si="0"/>
        <v>148144.60163908757</v>
      </c>
      <c r="AA26" s="55">
        <f t="shared" si="0"/>
        <v>143283.2632023292</v>
      </c>
      <c r="AB26" s="55">
        <f t="shared" si="0"/>
        <v>145548.44980278431</v>
      </c>
      <c r="AC26" s="55">
        <f t="shared" si="0"/>
        <v>143436.86782467345</v>
      </c>
      <c r="AD26" s="55">
        <f t="shared" si="0"/>
        <v>140865.97712421793</v>
      </c>
      <c r="AE26" s="55">
        <f t="shared" si="0"/>
        <v>136625.59426433043</v>
      </c>
    </row>
    <row r="27" spans="1:31">
      <c r="A27" s="101"/>
      <c r="B27" s="1" t="s">
        <v>271</v>
      </c>
      <c r="C27" s="1">
        <v>2027</v>
      </c>
      <c r="D27" s="2" t="s">
        <v>278</v>
      </c>
      <c r="E27" s="1" t="s">
        <v>154</v>
      </c>
      <c r="F27" s="56"/>
      <c r="G27" s="56"/>
      <c r="H27" s="56">
        <f t="shared" ref="H27:AE27" si="1">$F$8+($F$8*H$21)</f>
        <v>4782.8520365729655</v>
      </c>
      <c r="I27" s="56">
        <f t="shared" si="1"/>
        <v>4151.6506833153671</v>
      </c>
      <c r="J27" s="56">
        <f t="shared" si="1"/>
        <v>3582.1343419008335</v>
      </c>
      <c r="K27" s="56">
        <f t="shared" si="1"/>
        <v>3125.2341812316845</v>
      </c>
      <c r="L27" s="56">
        <f t="shared" si="1"/>
        <v>3009.0861029798816</v>
      </c>
      <c r="M27" s="56">
        <f t="shared" si="1"/>
        <v>2955.7651574168003</v>
      </c>
      <c r="N27" s="56">
        <f t="shared" si="1"/>
        <v>3022.3248802482581</v>
      </c>
      <c r="O27" s="56">
        <f t="shared" si="1"/>
        <v>2921.0626407167597</v>
      </c>
      <c r="P27" s="56">
        <f t="shared" si="1"/>
        <v>2944.9300593415287</v>
      </c>
      <c r="Q27" s="56">
        <f t="shared" si="1"/>
        <v>3025.9047102829004</v>
      </c>
      <c r="R27" s="56">
        <f t="shared" si="1"/>
        <v>3040.853405768828</v>
      </c>
      <c r="S27" s="56">
        <f t="shared" si="1"/>
        <v>3106.9524666585594</v>
      </c>
      <c r="T27" s="56">
        <f t="shared" si="1"/>
        <v>2957.2898517405488</v>
      </c>
      <c r="U27" s="56">
        <f t="shared" si="1"/>
        <v>3046.7799563505919</v>
      </c>
      <c r="V27" s="56">
        <f t="shared" si="1"/>
        <v>3117.9423770790904</v>
      </c>
      <c r="W27" s="56">
        <f t="shared" si="1"/>
        <v>3160.8351932338205</v>
      </c>
      <c r="X27" s="56">
        <f t="shared" si="1"/>
        <v>3107.7930282060524</v>
      </c>
      <c r="Y27" s="56">
        <f t="shared" si="1"/>
        <v>3095.6777632545454</v>
      </c>
      <c r="Z27" s="56">
        <f t="shared" si="1"/>
        <v>2967.0966513401113</v>
      </c>
      <c r="AA27" s="56">
        <f t="shared" si="1"/>
        <v>2869.731908803783</v>
      </c>
      <c r="AB27" s="56">
        <f t="shared" si="1"/>
        <v>2915.0999310098482</v>
      </c>
      <c r="AC27" s="56">
        <f t="shared" si="1"/>
        <v>2872.8083608347406</v>
      </c>
      <c r="AD27" s="56">
        <f t="shared" si="1"/>
        <v>2821.3175801793195</v>
      </c>
      <c r="AE27" s="56">
        <f t="shared" si="1"/>
        <v>2736.3895730513664</v>
      </c>
    </row>
    <row r="28" spans="1:31">
      <c r="A28" s="101"/>
      <c r="B28" s="1" t="s">
        <v>255</v>
      </c>
      <c r="C28" s="1">
        <f>'P3.1 Solar Avd Health'!C26</f>
        <v>2027</v>
      </c>
      <c r="D28" s="2" t="s">
        <v>278</v>
      </c>
      <c r="E28" s="1" t="str">
        <f>'P3.1 Solar Avd Health'!E26</f>
        <v>Dollars</v>
      </c>
      <c r="F28" s="56"/>
      <c r="G28" s="56"/>
      <c r="H28" s="56">
        <f>'P3.1 Solar Avd Health'!H26</f>
        <v>1412489.4918927837</v>
      </c>
      <c r="I28" s="56">
        <f>'P3.1 Solar Avd Health'!I26</f>
        <v>1226080.7817910821</v>
      </c>
      <c r="J28" s="56">
        <f>'P3.1 Solar Avd Health'!J26</f>
        <v>1057889.1167431185</v>
      </c>
      <c r="K28" s="56">
        <f>'P3.1 Solar Avd Health'!K26</f>
        <v>922955.67726926855</v>
      </c>
      <c r="L28" s="56">
        <f>'P3.1 Solar Avd Health'!L26</f>
        <v>888654.39870582719</v>
      </c>
      <c r="M28" s="56">
        <f>'P3.1 Solar Avd Health'!M26</f>
        <v>872907.46053384792</v>
      </c>
      <c r="N28" s="56">
        <f>'P3.1 Solar Avd Health'!N26</f>
        <v>892564.12320370006</v>
      </c>
      <c r="O28" s="56">
        <f>'P3.1 Solar Avd Health'!O26</f>
        <v>862658.98539679067</v>
      </c>
      <c r="P28" s="56">
        <f>'P3.1 Solar Avd Health'!P26</f>
        <v>869707.59943467099</v>
      </c>
      <c r="Q28" s="56">
        <f>'P3.1 Solar Avd Health'!Q26</f>
        <v>893621.33180393046</v>
      </c>
      <c r="R28" s="56">
        <f>'P3.1 Solar Avd Health'!R26</f>
        <v>898036.03565216146</v>
      </c>
      <c r="S28" s="56">
        <f>'P3.1 Solar Avd Health'!S26</f>
        <v>917556.65393949288</v>
      </c>
      <c r="T28" s="56">
        <f>'P3.1 Solar Avd Health'!T26</f>
        <v>873357.73888119706</v>
      </c>
      <c r="U28" s="56">
        <f>'P3.1 Solar Avd Health'!U26</f>
        <v>899786.28641382011</v>
      </c>
      <c r="V28" s="56">
        <f>'P3.1 Solar Avd Health'!V26</f>
        <v>920802.23479107313</v>
      </c>
      <c r="W28" s="56">
        <f>'P3.1 Solar Avd Health'!W26</f>
        <v>933469.49935057992</v>
      </c>
      <c r="X28" s="56">
        <f>'P3.1 Solar Avd Health'!X26</f>
        <v>917804.89167380799</v>
      </c>
      <c r="Y28" s="56">
        <f>'P3.1 Solar Avd Health'!Y26</f>
        <v>914226.96697435144</v>
      </c>
      <c r="Z28" s="56">
        <f>'P3.1 Solar Avd Health'!Z26</f>
        <v>876253.91908446455</v>
      </c>
      <c r="AA28" s="56">
        <f>'P3.1 Solar Avd Health'!AA26</f>
        <v>847499.80445541325</v>
      </c>
      <c r="AB28" s="56">
        <f>'P3.1 Solar Avd Health'!AB26</f>
        <v>860898.05598901946</v>
      </c>
      <c r="AC28" s="56">
        <f>'P3.1 Solar Avd Health'!AC26</f>
        <v>848408.35360826424</v>
      </c>
      <c r="AD28" s="56">
        <f>'P3.1 Solar Avd Health'!AD26</f>
        <v>833201.90648236661</v>
      </c>
      <c r="AE28" s="56">
        <f>'P3.1 Solar Avd Health'!AE26</f>
        <v>0</v>
      </c>
    </row>
    <row r="29" spans="1:31">
      <c r="A29" s="101"/>
      <c r="B29" s="1"/>
      <c r="C29" s="1"/>
      <c r="D29" s="2"/>
      <c r="E29" s="1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1:31">
      <c r="A30" s="101"/>
      <c r="B30" s="1"/>
      <c r="C30" s="1"/>
      <c r="D30" s="2"/>
      <c r="E30" s="1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</row>
    <row r="31" spans="1:31">
      <c r="A31" s="101"/>
      <c r="B31" s="1"/>
      <c r="C31" s="1"/>
      <c r="D31" s="2"/>
      <c r="E31" s="1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</row>
    <row r="32" spans="1:31">
      <c r="A32" s="101"/>
      <c r="B32" s="1"/>
      <c r="C32" s="1"/>
      <c r="D32" s="2"/>
      <c r="E32" s="1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</row>
    <row r="33" spans="1:31">
      <c r="A33" s="101"/>
      <c r="B33" s="3"/>
      <c r="C33" s="3"/>
      <c r="D33" s="23"/>
      <c r="E33" s="1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</row>
    <row r="34" spans="1:31">
      <c r="A34" s="102"/>
      <c r="B34" s="51" t="s">
        <v>104</v>
      </c>
      <c r="C34" s="51" t="s">
        <v>19</v>
      </c>
      <c r="D34" s="52" t="s">
        <v>34</v>
      </c>
      <c r="E34" s="28" t="s">
        <v>154</v>
      </c>
      <c r="F34" s="57">
        <f t="shared" ref="F34:AE34" si="2">SUM(F26:F33)</f>
        <v>0</v>
      </c>
      <c r="G34" s="57">
        <f t="shared" si="2"/>
        <v>0</v>
      </c>
      <c r="H34" s="57">
        <f t="shared" si="2"/>
        <v>1656076.0611378194</v>
      </c>
      <c r="I34" s="57">
        <f t="shared" si="2"/>
        <v>1437520.8052163543</v>
      </c>
      <c r="J34" s="57">
        <f t="shared" si="2"/>
        <v>1240324.1593173519</v>
      </c>
      <c r="K34" s="57">
        <f t="shared" si="2"/>
        <v>1082121.1848936712</v>
      </c>
      <c r="L34" s="57">
        <f t="shared" si="2"/>
        <v>1041904.583905572</v>
      </c>
      <c r="M34" s="57">
        <f t="shared" si="2"/>
        <v>1023442.055516857</v>
      </c>
      <c r="N34" s="57">
        <f t="shared" si="2"/>
        <v>1046488.5480226395</v>
      </c>
      <c r="O34" s="57">
        <f t="shared" si="2"/>
        <v>1011426.2108432776</v>
      </c>
      <c r="P34" s="57">
        <f t="shared" si="2"/>
        <v>1019690.3721268361</v>
      </c>
      <c r="Q34" s="57">
        <f t="shared" si="2"/>
        <v>1047728.0743090435</v>
      </c>
      <c r="R34" s="57">
        <f t="shared" si="2"/>
        <v>1052904.1024508679</v>
      </c>
      <c r="S34" s="57">
        <f t="shared" si="2"/>
        <v>1075791.0894548835</v>
      </c>
      <c r="T34" s="57">
        <f t="shared" si="2"/>
        <v>1023969.9852438911</v>
      </c>
      <c r="U34" s="57">
        <f t="shared" si="2"/>
        <v>1054956.1873718586</v>
      </c>
      <c r="V34" s="57">
        <f t="shared" si="2"/>
        <v>1079596.3770578282</v>
      </c>
      <c r="W34" s="57">
        <f t="shared" si="2"/>
        <v>1094448.1361098462</v>
      </c>
      <c r="X34" s="57">
        <f t="shared" si="2"/>
        <v>1076082.1362708986</v>
      </c>
      <c r="Y34" s="57">
        <f t="shared" si="2"/>
        <v>1071887.1914749672</v>
      </c>
      <c r="Z34" s="57">
        <f t="shared" si="2"/>
        <v>1027365.6173748922</v>
      </c>
      <c r="AA34" s="57">
        <f t="shared" si="2"/>
        <v>993652.79956654622</v>
      </c>
      <c r="AB34" s="57">
        <f t="shared" si="2"/>
        <v>1009361.6057228136</v>
      </c>
      <c r="AC34" s="57">
        <f t="shared" si="2"/>
        <v>994718.02979377238</v>
      </c>
      <c r="AD34" s="57">
        <f t="shared" si="2"/>
        <v>976889.20118676382</v>
      </c>
      <c r="AE34" s="57">
        <f t="shared" si="2"/>
        <v>139361.98383738179</v>
      </c>
    </row>
    <row r="36" spans="1:31" ht="13.5" customHeight="1">
      <c r="A36" s="100" t="s">
        <v>119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9">
        <v>2050</v>
      </c>
    </row>
    <row r="37" spans="1:31">
      <c r="A37" s="101"/>
      <c r="B37" s="5" t="s">
        <v>273</v>
      </c>
      <c r="C37" s="5">
        <v>2027</v>
      </c>
      <c r="D37" s="2" t="s">
        <v>278</v>
      </c>
      <c r="E37" s="5" t="s">
        <v>154</v>
      </c>
      <c r="F37" s="55"/>
      <c r="G37" s="55"/>
      <c r="H37" s="55">
        <f t="shared" ref="H37:AE37" si="3">$G$7+($G$7*H$21)</f>
        <v>538206.83228360233</v>
      </c>
      <c r="I37" s="55">
        <f t="shared" si="3"/>
        <v>467178.73476517881</v>
      </c>
      <c r="J37" s="55">
        <f t="shared" si="3"/>
        <v>403091.95480572799</v>
      </c>
      <c r="K37" s="55">
        <f t="shared" si="3"/>
        <v>351677.69689784379</v>
      </c>
      <c r="L37" s="55">
        <f t="shared" si="3"/>
        <v>338607.73596371425</v>
      </c>
      <c r="M37" s="55">
        <f t="shared" si="3"/>
        <v>332607.61365459196</v>
      </c>
      <c r="N37" s="55">
        <f t="shared" si="3"/>
        <v>340097.47478951036</v>
      </c>
      <c r="O37" s="55">
        <f t="shared" si="3"/>
        <v>328702.59392105648</v>
      </c>
      <c r="P37" s="55">
        <f t="shared" si="3"/>
        <v>331388.35707546672</v>
      </c>
      <c r="Q37" s="55">
        <f t="shared" si="3"/>
        <v>340500.30744423723</v>
      </c>
      <c r="R37" s="55">
        <f t="shared" si="3"/>
        <v>342182.46068308555</v>
      </c>
      <c r="S37" s="55">
        <f t="shared" si="3"/>
        <v>349620.48425277841</v>
      </c>
      <c r="T37" s="55">
        <f t="shared" si="3"/>
        <v>332779.18511361064</v>
      </c>
      <c r="U37" s="55">
        <f t="shared" si="3"/>
        <v>342849.36611745588</v>
      </c>
      <c r="V37" s="55">
        <f t="shared" si="3"/>
        <v>350857.16162211483</v>
      </c>
      <c r="W37" s="55">
        <f t="shared" si="3"/>
        <v>355683.82289740309</v>
      </c>
      <c r="X37" s="55">
        <f t="shared" si="3"/>
        <v>349715.07132433244</v>
      </c>
      <c r="Y37" s="55">
        <f t="shared" si="3"/>
        <v>348351.75957603526</v>
      </c>
      <c r="Z37" s="55">
        <f t="shared" si="3"/>
        <v>333882.72887933051</v>
      </c>
      <c r="AA37" s="55">
        <f t="shared" si="3"/>
        <v>322926.42723004648</v>
      </c>
      <c r="AB37" s="55">
        <f t="shared" si="3"/>
        <v>328031.61955709034</v>
      </c>
      <c r="AC37" s="55">
        <f t="shared" si="3"/>
        <v>323272.61554814479</v>
      </c>
      <c r="AD37" s="55">
        <f t="shared" si="3"/>
        <v>317478.43882336764</v>
      </c>
      <c r="AE37" s="55">
        <f t="shared" si="3"/>
        <v>307921.62348829687</v>
      </c>
    </row>
    <row r="38" spans="1:31">
      <c r="A38" s="101"/>
      <c r="B38" s="1" t="s">
        <v>271</v>
      </c>
      <c r="C38" s="1">
        <v>2027</v>
      </c>
      <c r="D38" s="2" t="s">
        <v>278</v>
      </c>
      <c r="E38" s="1" t="s">
        <v>154</v>
      </c>
      <c r="F38" s="56"/>
      <c r="G38" s="56"/>
      <c r="H38" s="56">
        <f t="shared" ref="H38:AE38" si="4">$G$8+($G$8*H$21)</f>
        <v>10779.353156253757</v>
      </c>
      <c r="I38" s="56">
        <f t="shared" si="4"/>
        <v>9356.7830563549251</v>
      </c>
      <c r="J38" s="56">
        <f t="shared" si="4"/>
        <v>8073.2355567831828</v>
      </c>
      <c r="K38" s="56">
        <f t="shared" si="4"/>
        <v>7043.4967834861536</v>
      </c>
      <c r="L38" s="56">
        <f t="shared" si="4"/>
        <v>6781.7280429266048</v>
      </c>
      <c r="M38" s="56">
        <f t="shared" si="4"/>
        <v>6661.5559576405067</v>
      </c>
      <c r="N38" s="56">
        <f t="shared" si="4"/>
        <v>6811.5649382437896</v>
      </c>
      <c r="O38" s="56">
        <f t="shared" si="4"/>
        <v>6583.3451578791646</v>
      </c>
      <c r="P38" s="56">
        <f t="shared" si="4"/>
        <v>6637.1363544951655</v>
      </c>
      <c r="Q38" s="56">
        <f t="shared" si="4"/>
        <v>6819.6329804679062</v>
      </c>
      <c r="R38" s="56">
        <f t="shared" si="4"/>
        <v>6853.3236041033324</v>
      </c>
      <c r="S38" s="56">
        <f t="shared" si="4"/>
        <v>7002.294367818964</v>
      </c>
      <c r="T38" s="56">
        <f t="shared" si="4"/>
        <v>6664.9922375934184</v>
      </c>
      <c r="U38" s="56">
        <f t="shared" si="4"/>
        <v>6866.6805679463978</v>
      </c>
      <c r="V38" s="56">
        <f t="shared" si="4"/>
        <v>7027.0628792996949</v>
      </c>
      <c r="W38" s="56">
        <f t="shared" si="4"/>
        <v>7123.7325671057588</v>
      </c>
      <c r="X38" s="56">
        <f t="shared" si="4"/>
        <v>7004.1887834732033</v>
      </c>
      <c r="Y38" s="56">
        <f t="shared" si="4"/>
        <v>6976.8840041291505</v>
      </c>
      <c r="Z38" s="56">
        <f t="shared" si="4"/>
        <v>6687.0943129676834</v>
      </c>
      <c r="AA38" s="56">
        <f t="shared" si="4"/>
        <v>6467.6585167646253</v>
      </c>
      <c r="AB38" s="56">
        <f t="shared" si="4"/>
        <v>6569.9067004049348</v>
      </c>
      <c r="AC38" s="56">
        <f t="shared" si="4"/>
        <v>6474.5920707730675</v>
      </c>
      <c r="AD38" s="56">
        <f t="shared" si="4"/>
        <v>6358.5447197925669</v>
      </c>
      <c r="AE38" s="56">
        <f t="shared" si="4"/>
        <v>6167.1382170011912</v>
      </c>
    </row>
    <row r="39" spans="1:31">
      <c r="A39" s="101"/>
      <c r="B39" s="1" t="s">
        <v>255</v>
      </c>
      <c r="C39" s="1">
        <f>'P3.1 Solar Avd Health'!C37</f>
        <v>2027</v>
      </c>
      <c r="D39" s="2" t="s">
        <v>278</v>
      </c>
      <c r="E39" s="1" t="str">
        <f>'P3.1 Solar Avd Health'!E37</f>
        <v>Dollars</v>
      </c>
      <c r="F39" s="56"/>
      <c r="G39" s="56"/>
      <c r="H39" s="56">
        <f>'P3.1 Solar Avd Health'!H37</f>
        <v>3183154.221079234</v>
      </c>
      <c r="I39" s="56">
        <f>'P3.1 Solar Avd Health'!I37</f>
        <v>2763067.788003521</v>
      </c>
      <c r="J39" s="56">
        <f>'P3.1 Solar Avd Health'!J37</f>
        <v>2384034.8736911155</v>
      </c>
      <c r="K39" s="56">
        <f>'P3.1 Solar Avd Health'!K37</f>
        <v>2079951.9407622756</v>
      </c>
      <c r="L39" s="56">
        <f>'P3.1 Solar Avd Health'!L37</f>
        <v>2002651.358864622</v>
      </c>
      <c r="M39" s="56">
        <f>'P3.1 Solar Avd Health'!M37</f>
        <v>1967164.4168385682</v>
      </c>
      <c r="N39" s="56">
        <f>'P3.1 Solar Avd Health'!N37</f>
        <v>2011462.2251472333</v>
      </c>
      <c r="O39" s="56">
        <f>'P3.1 Solar Avd Health'!O37</f>
        <v>1944068.6861592312</v>
      </c>
      <c r="P39" s="56">
        <f>'P3.1 Solar Avd Health'!P37</f>
        <v>1959953.2825801014</v>
      </c>
      <c r="Q39" s="56">
        <f>'P3.1 Solar Avd Health'!Q37</f>
        <v>2013844.7264243755</v>
      </c>
      <c r="R39" s="56">
        <f>'P3.1 Solar Avd Health'!R37</f>
        <v>2023793.6026956462</v>
      </c>
      <c r="S39" s="56">
        <f>'P3.1 Solar Avd Health'!S37</f>
        <v>2067784.8244753778</v>
      </c>
      <c r="T39" s="56">
        <f>'P3.1 Solar Avd Health'!T37</f>
        <v>1968179.1538898889</v>
      </c>
      <c r="U39" s="56">
        <f>'P3.1 Solar Avd Health'!U37</f>
        <v>2027737.9280388777</v>
      </c>
      <c r="V39" s="56">
        <f>'P3.1 Solar Avd Health'!V37</f>
        <v>2075098.9917289107</v>
      </c>
      <c r="W39" s="56">
        <f>'P3.1 Solar Avd Health'!W37</f>
        <v>2103645.6512853573</v>
      </c>
      <c r="X39" s="56">
        <f>'P3.1 Solar Avd Health'!X37</f>
        <v>2068344.2473923988</v>
      </c>
      <c r="Y39" s="56">
        <f>'P3.1 Solar Avd Health'!Y37</f>
        <v>2060281.1175955764</v>
      </c>
      <c r="Z39" s="56">
        <f>'P3.1 Solar Avd Health'!Z37</f>
        <v>1974705.9197822732</v>
      </c>
      <c r="AA39" s="56">
        <f>'P3.1 Solar Avd Health'!AA37</f>
        <v>1909906.3004716835</v>
      </c>
      <c r="AB39" s="56">
        <f>'P3.1 Solar Avd Health'!AB37</f>
        <v>1940100.2956617852</v>
      </c>
      <c r="AC39" s="56">
        <f>'P3.1 Solar Avd Health'!AC37</f>
        <v>1911953.7861963951</v>
      </c>
      <c r="AD39" s="56">
        <f>'P3.1 Solar Avd Health'!AD37</f>
        <v>1877684.882509504</v>
      </c>
      <c r="AE39" s="56">
        <f>'P3.1 Solar Avd Health'!AE37</f>
        <v>0</v>
      </c>
    </row>
    <row r="40" spans="1:31">
      <c r="A40" s="101"/>
      <c r="B40" s="1"/>
      <c r="C40" s="1"/>
      <c r="D40" s="2"/>
      <c r="E40" s="1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</row>
    <row r="41" spans="1:31">
      <c r="A41" s="101"/>
      <c r="B41" s="1"/>
      <c r="C41" s="1"/>
      <c r="D41" s="2"/>
      <c r="E41" s="1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</row>
    <row r="42" spans="1:31">
      <c r="A42" s="101"/>
      <c r="B42" s="1"/>
      <c r="C42" s="1"/>
      <c r="D42" s="2"/>
      <c r="E42" s="1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</row>
    <row r="43" spans="1:31">
      <c r="A43" s="101"/>
      <c r="B43" s="1"/>
      <c r="C43" s="1"/>
      <c r="D43" s="2"/>
      <c r="E43" s="1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</row>
    <row r="44" spans="1:31">
      <c r="A44" s="101"/>
      <c r="B44" s="3"/>
      <c r="C44" s="3"/>
      <c r="D44" s="23"/>
      <c r="E44" s="1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</row>
    <row r="45" spans="1:31">
      <c r="A45" s="102"/>
      <c r="B45" s="51" t="s">
        <v>104</v>
      </c>
      <c r="C45" s="51" t="s">
        <v>19</v>
      </c>
      <c r="D45" s="52" t="s">
        <v>34</v>
      </c>
      <c r="E45" s="28" t="s">
        <v>154</v>
      </c>
      <c r="F45" s="57">
        <f t="shared" ref="F45:AE45" si="5">SUM(F37:F44)</f>
        <v>0</v>
      </c>
      <c r="G45" s="57">
        <f t="shared" si="5"/>
        <v>0</v>
      </c>
      <c r="H45" s="57">
        <f t="shared" si="5"/>
        <v>3732140.4065190903</v>
      </c>
      <c r="I45" s="57">
        <f t="shared" si="5"/>
        <v>3239603.3058250546</v>
      </c>
      <c r="J45" s="57">
        <f t="shared" si="5"/>
        <v>2795200.0640536267</v>
      </c>
      <c r="K45" s="57">
        <f t="shared" si="5"/>
        <v>2438673.1344436053</v>
      </c>
      <c r="L45" s="57">
        <f t="shared" si="5"/>
        <v>2348040.8228712627</v>
      </c>
      <c r="M45" s="57">
        <f t="shared" si="5"/>
        <v>2306433.5864508008</v>
      </c>
      <c r="N45" s="57">
        <f t="shared" si="5"/>
        <v>2358371.2648749873</v>
      </c>
      <c r="O45" s="57">
        <f t="shared" si="5"/>
        <v>2279354.6252381671</v>
      </c>
      <c r="P45" s="57">
        <f t="shared" si="5"/>
        <v>2297978.7760100635</v>
      </c>
      <c r="Q45" s="57">
        <f t="shared" si="5"/>
        <v>2361164.6668490805</v>
      </c>
      <c r="R45" s="57">
        <f t="shared" si="5"/>
        <v>2372829.3869828349</v>
      </c>
      <c r="S45" s="57">
        <f t="shared" si="5"/>
        <v>2424407.6030959752</v>
      </c>
      <c r="T45" s="57">
        <f t="shared" si="5"/>
        <v>2307623.3312410931</v>
      </c>
      <c r="U45" s="57">
        <f t="shared" si="5"/>
        <v>2377453.9747242797</v>
      </c>
      <c r="V45" s="57">
        <f t="shared" si="5"/>
        <v>2432983.2162303254</v>
      </c>
      <c r="W45" s="57">
        <f t="shared" si="5"/>
        <v>2466453.2067498663</v>
      </c>
      <c r="X45" s="57">
        <f t="shared" si="5"/>
        <v>2425063.5075002043</v>
      </c>
      <c r="Y45" s="57">
        <f t="shared" si="5"/>
        <v>2415609.761175741</v>
      </c>
      <c r="Z45" s="57">
        <f t="shared" si="5"/>
        <v>2315275.7429745714</v>
      </c>
      <c r="AA45" s="57">
        <f t="shared" si="5"/>
        <v>2239300.3862184947</v>
      </c>
      <c r="AB45" s="57">
        <f t="shared" si="5"/>
        <v>2274701.8219192806</v>
      </c>
      <c r="AC45" s="57">
        <f t="shared" si="5"/>
        <v>2241700.9938153131</v>
      </c>
      <c r="AD45" s="57">
        <f t="shared" si="5"/>
        <v>2201521.8660526644</v>
      </c>
      <c r="AE45" s="57">
        <f t="shared" si="5"/>
        <v>314088.76170529803</v>
      </c>
    </row>
    <row r="47" spans="1:31" ht="13.5" customHeight="1">
      <c r="A47" s="103" t="s">
        <v>145</v>
      </c>
      <c r="B47" s="9" t="s">
        <v>9</v>
      </c>
      <c r="C47" s="9" t="s">
        <v>8</v>
      </c>
      <c r="D47" s="9" t="s">
        <v>10</v>
      </c>
      <c r="E47" s="9" t="s">
        <v>7</v>
      </c>
      <c r="F47" s="9">
        <v>2025</v>
      </c>
      <c r="G47" s="9">
        <v>2026</v>
      </c>
      <c r="H47" s="9">
        <v>2027</v>
      </c>
      <c r="I47" s="9">
        <v>2028</v>
      </c>
      <c r="J47" s="9">
        <v>2029</v>
      </c>
      <c r="K47" s="9">
        <v>2030</v>
      </c>
      <c r="L47" s="9">
        <v>2031</v>
      </c>
      <c r="M47" s="9">
        <v>2032</v>
      </c>
      <c r="N47" s="9">
        <v>2033</v>
      </c>
      <c r="O47" s="9">
        <v>2034</v>
      </c>
      <c r="P47" s="9">
        <v>2035</v>
      </c>
      <c r="Q47" s="9">
        <v>2036</v>
      </c>
      <c r="R47" s="9">
        <v>2037</v>
      </c>
      <c r="S47" s="9">
        <v>2038</v>
      </c>
      <c r="T47" s="9">
        <v>2039</v>
      </c>
      <c r="U47" s="9">
        <v>2040</v>
      </c>
      <c r="V47" s="9">
        <v>2041</v>
      </c>
      <c r="W47" s="9">
        <v>2042</v>
      </c>
      <c r="X47" s="9">
        <v>2043</v>
      </c>
      <c r="Y47" s="9">
        <v>2044</v>
      </c>
      <c r="Z47" s="9">
        <v>2045</v>
      </c>
      <c r="AA47" s="9">
        <v>2046</v>
      </c>
      <c r="AB47" s="9">
        <v>2047</v>
      </c>
      <c r="AC47" s="9">
        <v>2048</v>
      </c>
      <c r="AD47" s="9">
        <v>2049</v>
      </c>
      <c r="AE47" s="9">
        <v>2050</v>
      </c>
    </row>
    <row r="48" spans="1:31">
      <c r="A48" s="104"/>
      <c r="B48" s="5" t="s">
        <v>273</v>
      </c>
      <c r="C48" s="5">
        <v>2027</v>
      </c>
      <c r="D48" s="2" t="s">
        <v>278</v>
      </c>
      <c r="E48" s="5" t="s">
        <v>155</v>
      </c>
      <c r="F48" s="7"/>
      <c r="G48" s="7"/>
      <c r="H48" s="7">
        <f t="shared" ref="H48:AE48" si="6">$H$7+($H$7*H$21)</f>
        <v>11.235710935975565</v>
      </c>
      <c r="I48" s="7">
        <f t="shared" si="6"/>
        <v>9.752914501260733</v>
      </c>
      <c r="J48" s="7">
        <f t="shared" si="6"/>
        <v>8.4150263674615822</v>
      </c>
      <c r="K48" s="7">
        <f t="shared" si="6"/>
        <v>7.3416922787997665</v>
      </c>
      <c r="L48" s="7">
        <f t="shared" si="6"/>
        <v>7.0688412219350854</v>
      </c>
      <c r="M48" s="7">
        <f t="shared" si="6"/>
        <v>6.9435814968592204</v>
      </c>
      <c r="N48" s="7">
        <f t="shared" si="6"/>
        <v>7.099941300590209</v>
      </c>
      <c r="O48" s="7">
        <f t="shared" si="6"/>
        <v>6.8620595422992583</v>
      </c>
      <c r="P48" s="7">
        <f t="shared" si="6"/>
        <v>6.9181280584074782</v>
      </c>
      <c r="Q48" s="7">
        <f t="shared" si="6"/>
        <v>7.1083509137585867</v>
      </c>
      <c r="R48" s="7">
        <f t="shared" si="6"/>
        <v>7.1434678732767729</v>
      </c>
      <c r="S48" s="7">
        <f t="shared" si="6"/>
        <v>7.2987455058728701</v>
      </c>
      <c r="T48" s="7">
        <f t="shared" si="6"/>
        <v>6.9471632561435062</v>
      </c>
      <c r="U48" s="7">
        <f t="shared" si="6"/>
        <v>7.1573903213631764</v>
      </c>
      <c r="V48" s="7">
        <f t="shared" si="6"/>
        <v>7.3245626241431276</v>
      </c>
      <c r="W48" s="7">
        <f t="shared" si="6"/>
        <v>7.4253249475140617</v>
      </c>
      <c r="X48" s="7">
        <f t="shared" si="6"/>
        <v>7.3007201240503319</v>
      </c>
      <c r="Y48" s="7">
        <f t="shared" si="6"/>
        <v>7.27225936175474</v>
      </c>
      <c r="Z48" s="7">
        <f t="shared" si="6"/>
        <v>6.9702010513052972</v>
      </c>
      <c r="AA48" s="7">
        <f t="shared" si="6"/>
        <v>6.7414751584429036</v>
      </c>
      <c r="AB48" s="7">
        <f t="shared" si="6"/>
        <v>6.8480521504440004</v>
      </c>
      <c r="AC48" s="7">
        <f t="shared" si="6"/>
        <v>6.7487022533778749</v>
      </c>
      <c r="AD48" s="7">
        <f t="shared" si="6"/>
        <v>6.6277418885394574</v>
      </c>
      <c r="AE48" s="7">
        <f t="shared" si="6"/>
        <v>6.4282319452751704</v>
      </c>
    </row>
    <row r="49" spans="1:31">
      <c r="A49" s="104"/>
      <c r="B49" s="1" t="s">
        <v>271</v>
      </c>
      <c r="C49" s="1">
        <v>2027</v>
      </c>
      <c r="D49" s="2" t="s">
        <v>278</v>
      </c>
      <c r="E49" s="1" t="s">
        <v>155</v>
      </c>
      <c r="F49" s="2"/>
      <c r="G49" s="2"/>
      <c r="H49" s="2">
        <f t="shared" ref="H49:AE49" si="7">$H$8+($H$8*H$21)</f>
        <v>0.22493756953728811</v>
      </c>
      <c r="I49" s="2">
        <f t="shared" si="7"/>
        <v>0.19525216484470553</v>
      </c>
      <c r="J49" s="2">
        <f t="shared" si="7"/>
        <v>0.16846780675251069</v>
      </c>
      <c r="K49" s="2">
        <f t="shared" si="7"/>
        <v>0.14697978854156998</v>
      </c>
      <c r="L49" s="2">
        <f t="shared" si="7"/>
        <v>0.14151734349233794</v>
      </c>
      <c r="M49" s="2">
        <f t="shared" si="7"/>
        <v>0.1390096589960006</v>
      </c>
      <c r="N49" s="2">
        <f t="shared" si="7"/>
        <v>0.14213996329316453</v>
      </c>
      <c r="O49" s="2">
        <f t="shared" si="7"/>
        <v>0.13737759935801785</v>
      </c>
      <c r="P49" s="2">
        <f t="shared" si="7"/>
        <v>0.13850008424685237</v>
      </c>
      <c r="Q49" s="2">
        <f t="shared" si="7"/>
        <v>0.14230832272832822</v>
      </c>
      <c r="R49" s="2">
        <f t="shared" si="7"/>
        <v>0.14301135999660361</v>
      </c>
      <c r="S49" s="2">
        <f t="shared" si="7"/>
        <v>0.14611999935896341</v>
      </c>
      <c r="T49" s="2">
        <f t="shared" si="7"/>
        <v>0.13908136538224228</v>
      </c>
      <c r="U49" s="2">
        <f t="shared" si="7"/>
        <v>0.1432900857178695</v>
      </c>
      <c r="V49" s="2">
        <f t="shared" si="7"/>
        <v>0.14663685493394749</v>
      </c>
      <c r="W49" s="2">
        <f t="shared" si="7"/>
        <v>0.14865410442079718</v>
      </c>
      <c r="X49" s="2">
        <f t="shared" si="7"/>
        <v>0.14615953097526552</v>
      </c>
      <c r="Y49" s="2">
        <f t="shared" si="7"/>
        <v>0.14558974996768809</v>
      </c>
      <c r="Z49" s="2">
        <f t="shared" si="7"/>
        <v>0.1395425792458527</v>
      </c>
      <c r="AA49" s="2">
        <f t="shared" si="7"/>
        <v>0.1349635146255643</v>
      </c>
      <c r="AB49" s="2">
        <f t="shared" si="7"/>
        <v>0.13709717307280703</v>
      </c>
      <c r="AC49" s="2">
        <f t="shared" si="7"/>
        <v>0.13510820018918829</v>
      </c>
      <c r="AD49" s="2">
        <f t="shared" si="7"/>
        <v>0.13268658836309738</v>
      </c>
      <c r="AE49" s="2">
        <f t="shared" si="7"/>
        <v>0.12869242350854432</v>
      </c>
    </row>
    <row r="50" spans="1:31">
      <c r="A50" s="104"/>
      <c r="B50" s="1" t="s">
        <v>255</v>
      </c>
      <c r="C50" s="1">
        <f>'P3.1 Solar Avd Health'!C48</f>
        <v>2027</v>
      </c>
      <c r="D50" s="2" t="s">
        <v>278</v>
      </c>
      <c r="E50" s="1" t="str">
        <f>'P3.1 Solar Avd Health'!E48</f>
        <v>Days</v>
      </c>
      <c r="F50" s="56"/>
      <c r="G50" s="56"/>
      <c r="H50" s="2">
        <f>'P3.1 Solar Avd Health'!H48</f>
        <v>78.108615742214653</v>
      </c>
      <c r="I50" s="2">
        <f>'P3.1 Solar Avd Health'!I48</f>
        <v>67.800485032637042</v>
      </c>
      <c r="J50" s="2">
        <f>'P3.1 Solar Avd Health'!J48</f>
        <v>58.499730434689297</v>
      </c>
      <c r="K50" s="2">
        <f>'P3.1 Solar Avd Health'!K48</f>
        <v>51.038107367663805</v>
      </c>
      <c r="L50" s="2">
        <f>'P3.1 Solar Avd Health'!L48</f>
        <v>49.141296522587531</v>
      </c>
      <c r="M50" s="2">
        <f>'P3.1 Solar Avd Health'!M48</f>
        <v>48.270513731033212</v>
      </c>
      <c r="N50" s="2">
        <f>'P3.1 Solar Avd Health'!N48</f>
        <v>49.357498604241989</v>
      </c>
      <c r="O50" s="2">
        <f>'P3.1 Solar Avd Health'!O48</f>
        <v>47.703787952881505</v>
      </c>
      <c r="P50" s="2">
        <f>'P3.1 Solar Avd Health'!P48</f>
        <v>48.093566063486918</v>
      </c>
      <c r="Q50" s="2">
        <f>'P3.1 Solar Avd Health'!Q48</f>
        <v>49.415960703102712</v>
      </c>
      <c r="R50" s="2">
        <f>'P3.1 Solar Avd Health'!R48</f>
        <v>49.660087408806604</v>
      </c>
      <c r="S50" s="2">
        <f>'P3.1 Solar Avd Health'!S48</f>
        <v>50.739549225412716</v>
      </c>
      <c r="T50" s="2">
        <f>'P3.1 Solar Avd Health'!T48</f>
        <v>48.295413469128256</v>
      </c>
      <c r="U50" s="2">
        <f>'P3.1 Solar Avd Health'!U48</f>
        <v>49.756873731805527</v>
      </c>
      <c r="V50" s="2">
        <f>'P3.1 Solar Avd Health'!V48</f>
        <v>50.919025128809814</v>
      </c>
      <c r="W50" s="2">
        <f>'P3.1 Solar Avd Health'!W48</f>
        <v>51.619506446131069</v>
      </c>
      <c r="X50" s="2">
        <f>'P3.1 Solar Avd Health'!X48</f>
        <v>50.753276411288162</v>
      </c>
      <c r="Y50" s="2">
        <f>'P3.1 Solar Avd Health'!Y48</f>
        <v>50.555422376190215</v>
      </c>
      <c r="Z50" s="2">
        <f>'P3.1 Solar Avd Health'!Z48</f>
        <v>48.45556802455372</v>
      </c>
      <c r="AA50" s="2">
        <f>'P3.1 Solar Avd Health'!AA48</f>
        <v>46.865507281830233</v>
      </c>
      <c r="AB50" s="2">
        <f>'P3.1 Solar Avd Health'!AB48</f>
        <v>47.606411116274778</v>
      </c>
      <c r="AC50" s="2">
        <f>'P3.1 Solar Avd Health'!AC48</f>
        <v>46.915748729338532</v>
      </c>
      <c r="AD50" s="2">
        <f>'P3.1 Solar Avd Health'!AD48</f>
        <v>46.074854306988236</v>
      </c>
      <c r="AE50" s="2">
        <f>'P3.1 Solar Avd Health'!AE48</f>
        <v>0</v>
      </c>
    </row>
    <row r="51" spans="1:31">
      <c r="A51" s="104"/>
      <c r="B51" s="1"/>
      <c r="C51" s="1"/>
      <c r="D51" s="2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104"/>
      <c r="B52" s="1"/>
      <c r="C52" s="1"/>
      <c r="D52" s="2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104"/>
      <c r="B53" s="1"/>
      <c r="C53" s="1"/>
      <c r="D53" s="2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2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3"/>
      <c r="C55" s="3"/>
      <c r="D55" s="23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5"/>
      <c r="B56" s="51" t="s">
        <v>104</v>
      </c>
      <c r="C56" s="51" t="s">
        <v>19</v>
      </c>
      <c r="D56" s="52" t="s">
        <v>34</v>
      </c>
      <c r="E56" s="28" t="s">
        <v>155</v>
      </c>
      <c r="F56" s="28">
        <f t="shared" ref="F56:AE56" si="8">SUM(F48:F55)</f>
        <v>0</v>
      </c>
      <c r="G56" s="28">
        <f t="shared" si="8"/>
        <v>0</v>
      </c>
      <c r="H56" s="28">
        <f t="shared" si="8"/>
        <v>89.569264247727503</v>
      </c>
      <c r="I56" s="28">
        <f t="shared" si="8"/>
        <v>77.748651698742478</v>
      </c>
      <c r="J56" s="28">
        <f t="shared" si="8"/>
        <v>67.083224608903393</v>
      </c>
      <c r="K56" s="28">
        <f t="shared" si="8"/>
        <v>58.526779435005139</v>
      </c>
      <c r="L56" s="28">
        <f t="shared" si="8"/>
        <v>56.351655088014951</v>
      </c>
      <c r="M56" s="28">
        <f t="shared" si="8"/>
        <v>55.353104886888431</v>
      </c>
      <c r="N56" s="28">
        <f t="shared" si="8"/>
        <v>56.59957986812536</v>
      </c>
      <c r="O56" s="28">
        <f t="shared" si="8"/>
        <v>54.70322509453878</v>
      </c>
      <c r="P56" s="28">
        <f t="shared" si="8"/>
        <v>55.150194206141251</v>
      </c>
      <c r="Q56" s="28">
        <f t="shared" si="8"/>
        <v>56.66661993958963</v>
      </c>
      <c r="R56" s="28">
        <f t="shared" si="8"/>
        <v>56.946566642079979</v>
      </c>
      <c r="S56" s="28">
        <f t="shared" si="8"/>
        <v>58.184414730644548</v>
      </c>
      <c r="T56" s="28">
        <f t="shared" si="8"/>
        <v>55.381658090654007</v>
      </c>
      <c r="U56" s="28">
        <f t="shared" si="8"/>
        <v>57.057554138886573</v>
      </c>
      <c r="V56" s="28">
        <f t="shared" si="8"/>
        <v>58.390224607886893</v>
      </c>
      <c r="W56" s="28">
        <f t="shared" si="8"/>
        <v>59.193485498065925</v>
      </c>
      <c r="X56" s="28">
        <f t="shared" si="8"/>
        <v>58.20015606631376</v>
      </c>
      <c r="Y56" s="28">
        <f t="shared" si="8"/>
        <v>57.973271487912641</v>
      </c>
      <c r="Z56" s="28">
        <f t="shared" si="8"/>
        <v>55.565311655104871</v>
      </c>
      <c r="AA56" s="28">
        <f t="shared" si="8"/>
        <v>53.741945954898704</v>
      </c>
      <c r="AB56" s="28">
        <f t="shared" si="8"/>
        <v>54.591560439791586</v>
      </c>
      <c r="AC56" s="28">
        <f t="shared" si="8"/>
        <v>53.799559182905597</v>
      </c>
      <c r="AD56" s="28">
        <f t="shared" si="8"/>
        <v>52.83528278389079</v>
      </c>
      <c r="AE56" s="28">
        <f t="shared" si="8"/>
        <v>6.5569243687837151</v>
      </c>
    </row>
    <row r="58" spans="1:31" ht="13.5" customHeight="1">
      <c r="A58" s="103" t="s">
        <v>147</v>
      </c>
      <c r="B58" s="9" t="s">
        <v>9</v>
      </c>
      <c r="C58" s="9" t="s">
        <v>8</v>
      </c>
      <c r="D58" s="9" t="s">
        <v>10</v>
      </c>
      <c r="E58" s="9" t="s">
        <v>7</v>
      </c>
      <c r="F58" s="9">
        <v>2025</v>
      </c>
      <c r="G58" s="9">
        <v>2026</v>
      </c>
      <c r="H58" s="9">
        <v>2027</v>
      </c>
      <c r="I58" s="9">
        <v>2028</v>
      </c>
      <c r="J58" s="9">
        <v>2029</v>
      </c>
      <c r="K58" s="9">
        <v>2030</v>
      </c>
      <c r="L58" s="9">
        <v>2031</v>
      </c>
      <c r="M58" s="9">
        <v>2032</v>
      </c>
      <c r="N58" s="9">
        <v>2033</v>
      </c>
      <c r="O58" s="9">
        <v>2034</v>
      </c>
      <c r="P58" s="9">
        <v>2035</v>
      </c>
      <c r="Q58" s="9">
        <v>2036</v>
      </c>
      <c r="R58" s="9">
        <v>2037</v>
      </c>
      <c r="S58" s="9">
        <v>2038</v>
      </c>
      <c r="T58" s="9">
        <v>2039</v>
      </c>
      <c r="U58" s="9">
        <v>2040</v>
      </c>
      <c r="V58" s="9">
        <v>2041</v>
      </c>
      <c r="W58" s="9">
        <v>2042</v>
      </c>
      <c r="X58" s="9">
        <v>2043</v>
      </c>
      <c r="Y58" s="9">
        <v>2044</v>
      </c>
      <c r="Z58" s="9">
        <v>2045</v>
      </c>
      <c r="AA58" s="9">
        <v>2046</v>
      </c>
      <c r="AB58" s="9">
        <v>2047</v>
      </c>
      <c r="AC58" s="9">
        <v>2048</v>
      </c>
      <c r="AD58" s="9">
        <v>2049</v>
      </c>
      <c r="AE58" s="9">
        <v>2050</v>
      </c>
    </row>
    <row r="59" spans="1:31">
      <c r="A59" s="104"/>
      <c r="B59" s="5" t="s">
        <v>273</v>
      </c>
      <c r="C59" s="5">
        <v>2027</v>
      </c>
      <c r="D59" s="2" t="s">
        <v>278</v>
      </c>
      <c r="E59" s="5" t="s">
        <v>155</v>
      </c>
      <c r="F59" s="7"/>
      <c r="G59" s="7"/>
      <c r="H59" s="7">
        <f t="shared" ref="H59:AE59" si="9">$I$7+($I$7*H$21)</f>
        <v>1.8990710243587852</v>
      </c>
      <c r="I59" s="7">
        <f t="shared" si="9"/>
        <v>1.6484472978998637</v>
      </c>
      <c r="J59" s="7">
        <f t="shared" si="9"/>
        <v>1.4223161164188398</v>
      </c>
      <c r="K59" s="7">
        <f t="shared" si="9"/>
        <v>1.2409001224644516</v>
      </c>
      <c r="L59" s="7">
        <f t="shared" si="9"/>
        <v>1.1947825657731093</v>
      </c>
      <c r="M59" s="7">
        <f t="shared" si="9"/>
        <v>1.1736110426032611</v>
      </c>
      <c r="N59" s="7">
        <f t="shared" si="9"/>
        <v>1.2000391319633372</v>
      </c>
      <c r="O59" s="7">
        <f t="shared" si="9"/>
        <v>1.1598321208566886</v>
      </c>
      <c r="P59" s="7">
        <f t="shared" si="9"/>
        <v>1.1693088771497846</v>
      </c>
      <c r="Q59" s="7">
        <f t="shared" si="9"/>
        <v>1.2014605331354693</v>
      </c>
      <c r="R59" s="7">
        <f t="shared" si="9"/>
        <v>1.2073960365196863</v>
      </c>
      <c r="S59" s="7">
        <f t="shared" si="9"/>
        <v>1.2336412162394752</v>
      </c>
      <c r="T59" s="7">
        <f t="shared" si="9"/>
        <v>1.1742164351157398</v>
      </c>
      <c r="U59" s="7">
        <f t="shared" si="9"/>
        <v>1.209749222526312</v>
      </c>
      <c r="V59" s="7">
        <f t="shared" si="9"/>
        <v>1.2380048512171702</v>
      </c>
      <c r="W59" s="7">
        <f t="shared" si="9"/>
        <v>1.2550357992142489</v>
      </c>
      <c r="X59" s="7">
        <f t="shared" si="9"/>
        <v>1.2339749681654868</v>
      </c>
      <c r="Y59" s="7">
        <f t="shared" si="9"/>
        <v>1.2291645018483388</v>
      </c>
      <c r="Z59" s="7">
        <f t="shared" si="9"/>
        <v>1.178110306140562</v>
      </c>
      <c r="AA59" s="7">
        <f t="shared" si="9"/>
        <v>1.1394508285044145</v>
      </c>
      <c r="AB59" s="7">
        <f t="shared" si="9"/>
        <v>1.1574645775698649</v>
      </c>
      <c r="AC59" s="7">
        <f t="shared" si="9"/>
        <v>1.1406723592699799</v>
      </c>
      <c r="AD59" s="7">
        <f t="shared" si="9"/>
        <v>1.1202275182386046</v>
      </c>
      <c r="AE59" s="7">
        <f t="shared" si="9"/>
        <v>1.0865061494277064</v>
      </c>
    </row>
    <row r="60" spans="1:31">
      <c r="A60" s="104"/>
      <c r="B60" s="1" t="s">
        <v>271</v>
      </c>
      <c r="C60" s="1">
        <v>2027</v>
      </c>
      <c r="D60" s="2" t="s">
        <v>278</v>
      </c>
      <c r="E60" s="1" t="s">
        <v>155</v>
      </c>
      <c r="F60" s="2"/>
      <c r="G60" s="2"/>
      <c r="H60" s="2">
        <f t="shared" ref="H60:AE60" si="10">$I$8+($I$8*H$21)</f>
        <v>3.801946617492806E-2</v>
      </c>
      <c r="I60" s="2">
        <f t="shared" si="10"/>
        <v>3.3001970689757E-2</v>
      </c>
      <c r="J60" s="2">
        <f t="shared" si="10"/>
        <v>2.8474816783906013E-2</v>
      </c>
      <c r="K60" s="2">
        <f t="shared" si="10"/>
        <v>2.4842862445563836E-2</v>
      </c>
      <c r="L60" s="2">
        <f t="shared" si="10"/>
        <v>2.3919587399919433E-2</v>
      </c>
      <c r="M60" s="2">
        <f t="shared" si="10"/>
        <v>2.3495732789584611E-2</v>
      </c>
      <c r="N60" s="2">
        <f t="shared" si="10"/>
        <v>2.4024824032937479E-2</v>
      </c>
      <c r="O60" s="2">
        <f t="shared" si="10"/>
        <v>2.3219878309919912E-2</v>
      </c>
      <c r="P60" s="2">
        <f t="shared" si="10"/>
        <v>2.3409603291614612E-2</v>
      </c>
      <c r="Q60" s="2">
        <f t="shared" si="10"/>
        <v>2.40532805325058E-2</v>
      </c>
      <c r="R60" s="2">
        <f t="shared" si="10"/>
        <v>2.4172109511123703E-2</v>
      </c>
      <c r="S60" s="2">
        <f t="shared" si="10"/>
        <v>2.4697538897288096E-2</v>
      </c>
      <c r="T60" s="2">
        <f t="shared" si="10"/>
        <v>2.3507852768171779E-2</v>
      </c>
      <c r="U60" s="2">
        <f t="shared" si="10"/>
        <v>2.4219220374611512E-2</v>
      </c>
      <c r="V60" s="2">
        <f t="shared" si="10"/>
        <v>2.4784899017213164E-2</v>
      </c>
      <c r="W60" s="2">
        <f t="shared" si="10"/>
        <v>2.5125859172466191E-2</v>
      </c>
      <c r="X60" s="2">
        <f t="shared" si="10"/>
        <v>2.4704220622141487E-2</v>
      </c>
      <c r="Y60" s="2">
        <f t="shared" si="10"/>
        <v>2.4607914923679162E-2</v>
      </c>
      <c r="Z60" s="2">
        <f t="shared" si="10"/>
        <v>2.3585808197862851E-2</v>
      </c>
      <c r="AA60" s="2">
        <f t="shared" si="10"/>
        <v>2.2811844147295458E-2</v>
      </c>
      <c r="AB60" s="2">
        <f t="shared" si="10"/>
        <v>2.3172480013196672E-2</v>
      </c>
      <c r="AC60" s="2">
        <f t="shared" si="10"/>
        <v>2.2836299234560417E-2</v>
      </c>
      <c r="AD60" s="2">
        <f t="shared" si="10"/>
        <v>2.2426992825229777E-2</v>
      </c>
      <c r="AE60" s="2">
        <f t="shared" si="10"/>
        <v>2.1751889880456503E-2</v>
      </c>
    </row>
    <row r="61" spans="1:31">
      <c r="A61" s="104"/>
      <c r="B61" s="1" t="s">
        <v>255</v>
      </c>
      <c r="C61" s="1">
        <f>'P3.1 Solar Avd Health'!C59</f>
        <v>2027</v>
      </c>
      <c r="D61" s="2" t="s">
        <v>278</v>
      </c>
      <c r="E61" s="1" t="str">
        <f>'P3.1 Solar Avd Health'!E59</f>
        <v>Days</v>
      </c>
      <c r="F61" s="56"/>
      <c r="G61" s="56"/>
      <c r="H61" s="2">
        <f>'P3.1 Solar Avd Health'!H59</f>
        <v>13.240191859795676</v>
      </c>
      <c r="I61" s="2">
        <f>'P3.1 Solar Avd Health'!I59</f>
        <v>11.492860569722687</v>
      </c>
      <c r="J61" s="2">
        <f>'P3.1 Solar Avd Health'!J59</f>
        <v>9.9162896095597013</v>
      </c>
      <c r="K61" s="2">
        <f>'P3.1 Solar Avd Health'!K59</f>
        <v>8.6514698447472433</v>
      </c>
      <c r="L61" s="2">
        <f>'P3.1 Solar Avd Health'!L59</f>
        <v>8.3299414285551521</v>
      </c>
      <c r="M61" s="2">
        <f>'P3.1 Solar Avd Health'!M59</f>
        <v>8.1823350330399833</v>
      </c>
      <c r="N61" s="2">
        <f>'P3.1 Solar Avd Health'!N59</f>
        <v>8.366589844538348</v>
      </c>
      <c r="O61" s="2">
        <f>'P3.1 Solar Avd Health'!O59</f>
        <v>8.0862693434445507</v>
      </c>
      <c r="P61" s="2">
        <f>'P3.1 Solar Avd Health'!P59</f>
        <v>8.1523406329959691</v>
      </c>
      <c r="Q61" s="2">
        <f>'P3.1 Solar Avd Health'!Q59</f>
        <v>8.3764997552196085</v>
      </c>
      <c r="R61" s="2">
        <f>'P3.1 Solar Avd Health'!R59</f>
        <v>8.4178816743703333</v>
      </c>
      <c r="S61" s="2">
        <f>'P3.1 Solar Avd Health'!S59</f>
        <v>8.6008612525049397</v>
      </c>
      <c r="T61" s="2">
        <f>'P3.1 Solar Avd Health'!T59</f>
        <v>8.1865557877736865</v>
      </c>
      <c r="U61" s="2">
        <f>'P3.1 Solar Avd Health'!U59</f>
        <v>8.4342879244841384</v>
      </c>
      <c r="V61" s="2">
        <f>'P3.1 Solar Avd Health'!V59</f>
        <v>8.6312842138211465</v>
      </c>
      <c r="W61" s="2">
        <f>'P3.1 Solar Avd Health'!W59</f>
        <v>8.7500228055553144</v>
      </c>
      <c r="X61" s="2">
        <f>'P3.1 Solar Avd Health'!X59</f>
        <v>8.6031881478539223</v>
      </c>
      <c r="Y61" s="2">
        <f>'P3.1 Solar Avd Health'!Y59</f>
        <v>8.5696499093377358</v>
      </c>
      <c r="Z61" s="2">
        <f>'P3.1 Solar Avd Health'!Z59</f>
        <v>8.2137035872949564</v>
      </c>
      <c r="AA61" s="2">
        <f>'P3.1 Solar Avd Health'!AA59</f>
        <v>7.944172382544517</v>
      </c>
      <c r="AB61" s="2">
        <f>'P3.1 Solar Avd Health'!AB59</f>
        <v>8.0697629953660215</v>
      </c>
      <c r="AC61" s="2">
        <f>'P3.1 Solar Avd Health'!AC59</f>
        <v>7.9526888105723703</v>
      </c>
      <c r="AD61" s="2">
        <f>'P3.1 Solar Avd Health'!AD59</f>
        <v>7.8101487926760758</v>
      </c>
      <c r="AE61" s="2">
        <f>'P3.1 Solar Avd Health'!AE59</f>
        <v>0</v>
      </c>
    </row>
    <row r="62" spans="1:31">
      <c r="A62" s="104"/>
      <c r="B62" s="1"/>
      <c r="C62" s="1"/>
      <c r="D62" s="2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104"/>
      <c r="B63" s="1"/>
      <c r="C63" s="1"/>
      <c r="D63" s="2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104"/>
      <c r="B64" s="1"/>
      <c r="C64" s="1"/>
      <c r="D64" s="2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104"/>
      <c r="B65" s="1"/>
      <c r="C65" s="1"/>
      <c r="D65" s="2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104"/>
      <c r="B66" s="3"/>
      <c r="C66" s="3"/>
      <c r="D66" s="23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105"/>
      <c r="B67" s="51" t="s">
        <v>104</v>
      </c>
      <c r="C67" s="51" t="s">
        <v>19</v>
      </c>
      <c r="D67" s="52" t="s">
        <v>34</v>
      </c>
      <c r="E67" s="28" t="s">
        <v>155</v>
      </c>
      <c r="F67" s="28">
        <f t="shared" ref="F67:AE67" si="11">SUM(F59:F66)</f>
        <v>0</v>
      </c>
      <c r="G67" s="28">
        <f t="shared" si="11"/>
        <v>0</v>
      </c>
      <c r="H67" s="28">
        <f t="shared" si="11"/>
        <v>15.177282350329389</v>
      </c>
      <c r="I67" s="28">
        <f t="shared" si="11"/>
        <v>13.174309838312308</v>
      </c>
      <c r="J67" s="28">
        <f t="shared" si="11"/>
        <v>11.367080542762448</v>
      </c>
      <c r="K67" s="28">
        <f t="shared" si="11"/>
        <v>9.9172128296572595</v>
      </c>
      <c r="L67" s="28">
        <f t="shared" si="11"/>
        <v>9.5486435817281805</v>
      </c>
      <c r="M67" s="28">
        <f t="shared" si="11"/>
        <v>9.3794418084328299</v>
      </c>
      <c r="N67" s="28">
        <f t="shared" si="11"/>
        <v>9.5906538005346231</v>
      </c>
      <c r="O67" s="28">
        <f t="shared" si="11"/>
        <v>9.2693213426111587</v>
      </c>
      <c r="P67" s="28">
        <f t="shared" si="11"/>
        <v>9.3450591134373688</v>
      </c>
      <c r="Q67" s="28">
        <f t="shared" si="11"/>
        <v>9.6020135688875836</v>
      </c>
      <c r="R67" s="28">
        <f t="shared" si="11"/>
        <v>9.6494498204011432</v>
      </c>
      <c r="S67" s="28">
        <f t="shared" si="11"/>
        <v>9.8592000076417037</v>
      </c>
      <c r="T67" s="28">
        <f t="shared" si="11"/>
        <v>9.3842800756575979</v>
      </c>
      <c r="U67" s="28">
        <f t="shared" si="11"/>
        <v>9.6682563673850623</v>
      </c>
      <c r="V67" s="28">
        <f t="shared" si="11"/>
        <v>9.8940739640555293</v>
      </c>
      <c r="W67" s="28">
        <f t="shared" si="11"/>
        <v>10.03018446394203</v>
      </c>
      <c r="X67" s="28">
        <f t="shared" si="11"/>
        <v>9.8618673366415504</v>
      </c>
      <c r="Y67" s="28">
        <f t="shared" si="11"/>
        <v>9.8234223261097533</v>
      </c>
      <c r="Z67" s="28">
        <f t="shared" si="11"/>
        <v>9.4153997016333815</v>
      </c>
      <c r="AA67" s="28">
        <f t="shared" si="11"/>
        <v>9.1064350551962274</v>
      </c>
      <c r="AB67" s="28">
        <f t="shared" si="11"/>
        <v>9.2504000529490824</v>
      </c>
      <c r="AC67" s="28">
        <f t="shared" si="11"/>
        <v>9.1161974690769103</v>
      </c>
      <c r="AD67" s="28">
        <f t="shared" si="11"/>
        <v>8.9528033037399108</v>
      </c>
      <c r="AE67" s="28">
        <f t="shared" si="11"/>
        <v>1.1082580393081629</v>
      </c>
    </row>
    <row r="72" spans="1:31" ht="13.5" customHeight="1">
      <c r="A72" s="103" t="s">
        <v>156</v>
      </c>
      <c r="B72" s="9" t="s">
        <v>9</v>
      </c>
      <c r="C72" s="9" t="s">
        <v>8</v>
      </c>
      <c r="D72" s="9" t="s">
        <v>10</v>
      </c>
      <c r="E72" s="9" t="s">
        <v>7</v>
      </c>
      <c r="F72" s="9">
        <v>2025</v>
      </c>
      <c r="G72" s="9">
        <v>2026</v>
      </c>
      <c r="H72" s="9">
        <v>2027</v>
      </c>
      <c r="I72" s="9">
        <v>2028</v>
      </c>
      <c r="J72" s="9">
        <v>2029</v>
      </c>
      <c r="K72" s="9">
        <v>2030</v>
      </c>
      <c r="L72" s="9">
        <v>2031</v>
      </c>
      <c r="M72" s="9">
        <v>2032</v>
      </c>
      <c r="N72" s="9">
        <v>2033</v>
      </c>
      <c r="O72" s="9">
        <v>2034</v>
      </c>
      <c r="P72" s="9">
        <v>2035</v>
      </c>
      <c r="Q72" s="9">
        <v>2036</v>
      </c>
      <c r="R72" s="9">
        <v>2037</v>
      </c>
      <c r="S72" s="9">
        <v>2038</v>
      </c>
      <c r="T72" s="9">
        <v>2039</v>
      </c>
      <c r="U72" s="9">
        <v>2040</v>
      </c>
      <c r="V72" s="9">
        <v>2041</v>
      </c>
      <c r="W72" s="9">
        <v>2042</v>
      </c>
      <c r="X72" s="9">
        <v>2043</v>
      </c>
      <c r="Y72" s="9">
        <v>2044</v>
      </c>
      <c r="Z72" s="9">
        <v>2045</v>
      </c>
      <c r="AA72" s="9">
        <v>2046</v>
      </c>
      <c r="AB72" s="9">
        <v>2047</v>
      </c>
      <c r="AC72" s="9">
        <v>2048</v>
      </c>
      <c r="AD72" s="9">
        <v>2049</v>
      </c>
      <c r="AE72" s="32">
        <v>2050</v>
      </c>
    </row>
    <row r="73" spans="1:31">
      <c r="A73" s="104"/>
      <c r="B73" s="5" t="s">
        <v>118</v>
      </c>
      <c r="C73" s="5"/>
      <c r="D73" s="5" t="s">
        <v>55</v>
      </c>
      <c r="E73" s="5" t="s">
        <v>154</v>
      </c>
      <c r="F73" s="55">
        <f t="shared" ref="F73:AE73" si="12">F34</f>
        <v>0</v>
      </c>
      <c r="G73" s="55">
        <f t="shared" si="12"/>
        <v>0</v>
      </c>
      <c r="H73" s="55">
        <f t="shared" si="12"/>
        <v>1656076.0611378194</v>
      </c>
      <c r="I73" s="55">
        <f t="shared" si="12"/>
        <v>1437520.8052163543</v>
      </c>
      <c r="J73" s="55">
        <f t="shared" si="12"/>
        <v>1240324.1593173519</v>
      </c>
      <c r="K73" s="55">
        <f t="shared" si="12"/>
        <v>1082121.1848936712</v>
      </c>
      <c r="L73" s="55">
        <f t="shared" si="12"/>
        <v>1041904.583905572</v>
      </c>
      <c r="M73" s="55">
        <f t="shared" si="12"/>
        <v>1023442.055516857</v>
      </c>
      <c r="N73" s="55">
        <f t="shared" si="12"/>
        <v>1046488.5480226395</v>
      </c>
      <c r="O73" s="55">
        <f t="shared" si="12"/>
        <v>1011426.2108432776</v>
      </c>
      <c r="P73" s="55">
        <f t="shared" si="12"/>
        <v>1019690.3721268361</v>
      </c>
      <c r="Q73" s="55">
        <f t="shared" si="12"/>
        <v>1047728.0743090435</v>
      </c>
      <c r="R73" s="55">
        <f t="shared" si="12"/>
        <v>1052904.1024508679</v>
      </c>
      <c r="S73" s="55">
        <f t="shared" si="12"/>
        <v>1075791.0894548835</v>
      </c>
      <c r="T73" s="55">
        <f t="shared" si="12"/>
        <v>1023969.9852438911</v>
      </c>
      <c r="U73" s="55">
        <f t="shared" si="12"/>
        <v>1054956.1873718586</v>
      </c>
      <c r="V73" s="55">
        <f t="shared" si="12"/>
        <v>1079596.3770578282</v>
      </c>
      <c r="W73" s="55">
        <f t="shared" si="12"/>
        <v>1094448.1361098462</v>
      </c>
      <c r="X73" s="55">
        <f t="shared" si="12"/>
        <v>1076082.1362708986</v>
      </c>
      <c r="Y73" s="55">
        <f t="shared" si="12"/>
        <v>1071887.1914749672</v>
      </c>
      <c r="Z73" s="55">
        <f t="shared" si="12"/>
        <v>1027365.6173748922</v>
      </c>
      <c r="AA73" s="55">
        <f t="shared" si="12"/>
        <v>993652.79956654622</v>
      </c>
      <c r="AB73" s="55">
        <f t="shared" si="12"/>
        <v>1009361.6057228136</v>
      </c>
      <c r="AC73" s="55">
        <f t="shared" si="12"/>
        <v>994718.02979377238</v>
      </c>
      <c r="AD73" s="55">
        <f t="shared" si="12"/>
        <v>976889.20118676382</v>
      </c>
      <c r="AE73" s="55">
        <f t="shared" si="12"/>
        <v>139361.98383738179</v>
      </c>
    </row>
    <row r="74" spans="1:31">
      <c r="A74" s="104"/>
      <c r="B74" s="1" t="s">
        <v>119</v>
      </c>
      <c r="C74" s="1"/>
      <c r="D74" s="1" t="s">
        <v>55</v>
      </c>
      <c r="E74" s="1" t="s">
        <v>154</v>
      </c>
      <c r="F74" s="56">
        <f t="shared" ref="F74:AE74" si="13">F45</f>
        <v>0</v>
      </c>
      <c r="G74" s="56">
        <f t="shared" si="13"/>
        <v>0</v>
      </c>
      <c r="H74" s="56">
        <f t="shared" si="13"/>
        <v>3732140.4065190903</v>
      </c>
      <c r="I74" s="56">
        <f t="shared" si="13"/>
        <v>3239603.3058250546</v>
      </c>
      <c r="J74" s="56">
        <f t="shared" si="13"/>
        <v>2795200.0640536267</v>
      </c>
      <c r="K74" s="56">
        <f t="shared" si="13"/>
        <v>2438673.1344436053</v>
      </c>
      <c r="L74" s="56">
        <f t="shared" si="13"/>
        <v>2348040.8228712627</v>
      </c>
      <c r="M74" s="56">
        <f t="shared" si="13"/>
        <v>2306433.5864508008</v>
      </c>
      <c r="N74" s="56">
        <f t="shared" si="13"/>
        <v>2358371.2648749873</v>
      </c>
      <c r="O74" s="56">
        <f t="shared" si="13"/>
        <v>2279354.6252381671</v>
      </c>
      <c r="P74" s="56">
        <f t="shared" si="13"/>
        <v>2297978.7760100635</v>
      </c>
      <c r="Q74" s="56">
        <f t="shared" si="13"/>
        <v>2361164.6668490805</v>
      </c>
      <c r="R74" s="56">
        <f t="shared" si="13"/>
        <v>2372829.3869828349</v>
      </c>
      <c r="S74" s="56">
        <f t="shared" si="13"/>
        <v>2424407.6030959752</v>
      </c>
      <c r="T74" s="56">
        <f t="shared" si="13"/>
        <v>2307623.3312410931</v>
      </c>
      <c r="U74" s="56">
        <f t="shared" si="13"/>
        <v>2377453.9747242797</v>
      </c>
      <c r="V74" s="56">
        <f t="shared" si="13"/>
        <v>2432983.2162303254</v>
      </c>
      <c r="W74" s="56">
        <f t="shared" si="13"/>
        <v>2466453.2067498663</v>
      </c>
      <c r="X74" s="56">
        <f t="shared" si="13"/>
        <v>2425063.5075002043</v>
      </c>
      <c r="Y74" s="56">
        <f t="shared" si="13"/>
        <v>2415609.761175741</v>
      </c>
      <c r="Z74" s="56">
        <f t="shared" si="13"/>
        <v>2315275.7429745714</v>
      </c>
      <c r="AA74" s="56">
        <f t="shared" si="13"/>
        <v>2239300.3862184947</v>
      </c>
      <c r="AB74" s="56">
        <f t="shared" si="13"/>
        <v>2274701.8219192806</v>
      </c>
      <c r="AC74" s="56">
        <f t="shared" si="13"/>
        <v>2241700.9938153131</v>
      </c>
      <c r="AD74" s="56">
        <f t="shared" si="13"/>
        <v>2201521.8660526644</v>
      </c>
      <c r="AE74" s="56">
        <f t="shared" si="13"/>
        <v>314088.76170529803</v>
      </c>
    </row>
    <row r="75" spans="1:31">
      <c r="A75" s="104"/>
      <c r="B75" s="1" t="s">
        <v>145</v>
      </c>
      <c r="C75" s="1"/>
      <c r="D75" s="1" t="s">
        <v>55</v>
      </c>
      <c r="E75" s="1" t="s">
        <v>155</v>
      </c>
      <c r="F75" s="14">
        <f t="shared" ref="F75:AE75" si="14">F56</f>
        <v>0</v>
      </c>
      <c r="G75" s="14">
        <f t="shared" si="14"/>
        <v>0</v>
      </c>
      <c r="H75" s="14">
        <f t="shared" si="14"/>
        <v>89.569264247727503</v>
      </c>
      <c r="I75" s="14">
        <f t="shared" si="14"/>
        <v>77.748651698742478</v>
      </c>
      <c r="J75" s="14">
        <f t="shared" si="14"/>
        <v>67.083224608903393</v>
      </c>
      <c r="K75" s="14">
        <f t="shared" si="14"/>
        <v>58.526779435005139</v>
      </c>
      <c r="L75" s="14">
        <f t="shared" si="14"/>
        <v>56.351655088014951</v>
      </c>
      <c r="M75" s="14">
        <f t="shared" si="14"/>
        <v>55.353104886888431</v>
      </c>
      <c r="N75" s="14">
        <f t="shared" si="14"/>
        <v>56.59957986812536</v>
      </c>
      <c r="O75" s="14">
        <f t="shared" si="14"/>
        <v>54.70322509453878</v>
      </c>
      <c r="P75" s="14">
        <f t="shared" si="14"/>
        <v>55.150194206141251</v>
      </c>
      <c r="Q75" s="14">
        <f t="shared" si="14"/>
        <v>56.66661993958963</v>
      </c>
      <c r="R75" s="14">
        <f t="shared" si="14"/>
        <v>56.946566642079979</v>
      </c>
      <c r="S75" s="14">
        <f t="shared" si="14"/>
        <v>58.184414730644548</v>
      </c>
      <c r="T75" s="14">
        <f t="shared" si="14"/>
        <v>55.381658090654007</v>
      </c>
      <c r="U75" s="14">
        <f t="shared" si="14"/>
        <v>57.057554138886573</v>
      </c>
      <c r="V75" s="14">
        <f t="shared" si="14"/>
        <v>58.390224607886893</v>
      </c>
      <c r="W75" s="14">
        <f t="shared" si="14"/>
        <v>59.193485498065925</v>
      </c>
      <c r="X75" s="14">
        <f t="shared" si="14"/>
        <v>58.20015606631376</v>
      </c>
      <c r="Y75" s="14">
        <f t="shared" si="14"/>
        <v>57.973271487912641</v>
      </c>
      <c r="Z75" s="14">
        <f t="shared" si="14"/>
        <v>55.565311655104871</v>
      </c>
      <c r="AA75" s="14">
        <f t="shared" si="14"/>
        <v>53.741945954898704</v>
      </c>
      <c r="AB75" s="14">
        <f t="shared" si="14"/>
        <v>54.591560439791586</v>
      </c>
      <c r="AC75" s="14">
        <f t="shared" si="14"/>
        <v>53.799559182905597</v>
      </c>
      <c r="AD75" s="14">
        <f t="shared" si="14"/>
        <v>52.83528278389079</v>
      </c>
      <c r="AE75" s="14">
        <f t="shared" si="14"/>
        <v>6.5569243687837151</v>
      </c>
    </row>
    <row r="76" spans="1:31">
      <c r="A76" s="105"/>
      <c r="B76" s="3" t="s">
        <v>147</v>
      </c>
      <c r="C76" s="3"/>
      <c r="D76" s="3" t="s">
        <v>55</v>
      </c>
      <c r="E76" s="3" t="s">
        <v>155</v>
      </c>
      <c r="F76" s="44">
        <f t="shared" ref="F76:AE76" si="15">F67</f>
        <v>0</v>
      </c>
      <c r="G76" s="44">
        <f t="shared" si="15"/>
        <v>0</v>
      </c>
      <c r="H76" s="44">
        <f t="shared" si="15"/>
        <v>15.177282350329389</v>
      </c>
      <c r="I76" s="44">
        <f t="shared" si="15"/>
        <v>13.174309838312308</v>
      </c>
      <c r="J76" s="44">
        <f t="shared" si="15"/>
        <v>11.367080542762448</v>
      </c>
      <c r="K76" s="44">
        <f t="shared" si="15"/>
        <v>9.9172128296572595</v>
      </c>
      <c r="L76" s="44">
        <f t="shared" si="15"/>
        <v>9.5486435817281805</v>
      </c>
      <c r="M76" s="44">
        <f t="shared" si="15"/>
        <v>9.3794418084328299</v>
      </c>
      <c r="N76" s="44">
        <f t="shared" si="15"/>
        <v>9.5906538005346231</v>
      </c>
      <c r="O76" s="44">
        <f t="shared" si="15"/>
        <v>9.2693213426111587</v>
      </c>
      <c r="P76" s="44">
        <f t="shared" si="15"/>
        <v>9.3450591134373688</v>
      </c>
      <c r="Q76" s="44">
        <f t="shared" si="15"/>
        <v>9.6020135688875836</v>
      </c>
      <c r="R76" s="44">
        <f t="shared" si="15"/>
        <v>9.6494498204011432</v>
      </c>
      <c r="S76" s="44">
        <f t="shared" si="15"/>
        <v>9.8592000076417037</v>
      </c>
      <c r="T76" s="44">
        <f t="shared" si="15"/>
        <v>9.3842800756575979</v>
      </c>
      <c r="U76" s="44">
        <f t="shared" si="15"/>
        <v>9.6682563673850623</v>
      </c>
      <c r="V76" s="44">
        <f t="shared" si="15"/>
        <v>9.8940739640555293</v>
      </c>
      <c r="W76" s="44">
        <f t="shared" si="15"/>
        <v>10.03018446394203</v>
      </c>
      <c r="X76" s="44">
        <f t="shared" si="15"/>
        <v>9.8618673366415504</v>
      </c>
      <c r="Y76" s="44">
        <f t="shared" si="15"/>
        <v>9.8234223261097533</v>
      </c>
      <c r="Z76" s="44">
        <f t="shared" si="15"/>
        <v>9.4153997016333815</v>
      </c>
      <c r="AA76" s="44">
        <f t="shared" si="15"/>
        <v>9.1064350551962274</v>
      </c>
      <c r="AB76" s="44">
        <f t="shared" si="15"/>
        <v>9.2504000529490824</v>
      </c>
      <c r="AC76" s="44">
        <f t="shared" si="15"/>
        <v>9.1161974690769103</v>
      </c>
      <c r="AD76" s="44">
        <f t="shared" si="15"/>
        <v>8.9528033037399108</v>
      </c>
      <c r="AE76" s="44">
        <f t="shared" si="15"/>
        <v>1.1082580393081629</v>
      </c>
    </row>
    <row r="81" spans="1:9" ht="39">
      <c r="A81" s="22"/>
      <c r="F81" s="58" t="s">
        <v>118</v>
      </c>
      <c r="G81" s="29" t="s">
        <v>119</v>
      </c>
      <c r="H81" s="29" t="s">
        <v>145</v>
      </c>
      <c r="I81" s="59" t="s">
        <v>147</v>
      </c>
    </row>
    <row r="82" spans="1:9" ht="13.5" customHeight="1">
      <c r="A82" s="100" t="s">
        <v>37</v>
      </c>
      <c r="B82" s="5" t="s">
        <v>158</v>
      </c>
      <c r="C82" s="5" t="s">
        <v>38</v>
      </c>
      <c r="D82" s="5" t="s">
        <v>34</v>
      </c>
      <c r="E82" s="5"/>
      <c r="F82" s="60">
        <f>SUM($F$73:$K$73)</f>
        <v>5416042.2105651973</v>
      </c>
      <c r="G82" s="55">
        <f>SUM($F$74:$K$74)</f>
        <v>12205616.910841377</v>
      </c>
      <c r="H82" s="7">
        <f>SUM($F$75:$K$75)</f>
        <v>292.92791999037854</v>
      </c>
      <c r="I82" s="34">
        <f>SUM($F$76:$K$76)</f>
        <v>49.6358855610614</v>
      </c>
    </row>
    <row r="83" spans="1:9" ht="13.5" customHeight="1">
      <c r="A83" s="101"/>
      <c r="B83" s="1" t="s">
        <v>159</v>
      </c>
      <c r="C83" s="1" t="s">
        <v>38</v>
      </c>
      <c r="D83" s="1" t="s">
        <v>34</v>
      </c>
      <c r="E83" s="1"/>
      <c r="F83" s="61">
        <f>F82/COUNT($F$72:$K$72)</f>
        <v>902673.70176086621</v>
      </c>
      <c r="G83" s="56">
        <f>G82/COUNT($F$72:$K$72)</f>
        <v>2034269.4851402296</v>
      </c>
      <c r="H83" s="2">
        <f>H82/COUNT($F$72:$K$72)</f>
        <v>48.821319998396426</v>
      </c>
      <c r="I83" s="35">
        <f>I82/COUNT($F$72:$K$72)</f>
        <v>8.2726475935102339</v>
      </c>
    </row>
    <row r="84" spans="1:9">
      <c r="A84" s="101"/>
      <c r="B84" s="1" t="s">
        <v>158</v>
      </c>
      <c r="C84" s="1" t="s">
        <v>40</v>
      </c>
      <c r="D84" s="1" t="s">
        <v>34</v>
      </c>
      <c r="E84" s="1"/>
      <c r="F84" s="61">
        <f>SUM(F73:AE73)</f>
        <v>25277706.498206638</v>
      </c>
      <c r="G84" s="56">
        <f>SUM(F74:AE74)</f>
        <v>56965974.213521682</v>
      </c>
      <c r="H84" s="2">
        <f>SUM($F$75:$AE$75)</f>
        <v>1366.1702147214964</v>
      </c>
      <c r="I84" s="35">
        <f>SUM($F$76:$AE$76)</f>
        <v>231.49124676043121</v>
      </c>
    </row>
    <row r="85" spans="1:9">
      <c r="A85" s="102"/>
      <c r="B85" s="3" t="s">
        <v>159</v>
      </c>
      <c r="C85" s="3" t="s">
        <v>40</v>
      </c>
      <c r="D85" s="3" t="s">
        <v>34</v>
      </c>
      <c r="E85" s="3"/>
      <c r="F85" s="62">
        <f>F84/COUNT($F$72:$AE$72)</f>
        <v>972219.48070025526</v>
      </c>
      <c r="G85" s="63">
        <f>G84/COUNT($F$72:$AE$72)</f>
        <v>2190999.0082123722</v>
      </c>
      <c r="H85" s="23">
        <f>H84/COUNT($F$72:$AE$72)</f>
        <v>52.545008258519097</v>
      </c>
      <c r="I85" s="36">
        <f>I84/COUNT($F$72:$AE$72)</f>
        <v>8.9035094907858152</v>
      </c>
    </row>
    <row r="86" spans="1:9" ht="13">
      <c r="A86" s="22"/>
    </row>
  </sheetData>
  <mergeCells count="9">
    <mergeCell ref="A58:A67"/>
    <mergeCell ref="A72:A76"/>
    <mergeCell ref="A82:A85"/>
    <mergeCell ref="A6:A11"/>
    <mergeCell ref="A13:A18"/>
    <mergeCell ref="A20:A21"/>
    <mergeCell ref="A25:A34"/>
    <mergeCell ref="A36:A45"/>
    <mergeCell ref="A47:A5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10BD-9F3F-4DEB-A9D0-9B68A988FA23}">
  <sheetPr>
    <tabColor theme="6"/>
  </sheetPr>
  <dimension ref="A1:AE86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0.08984375" style="21" customWidth="1"/>
    <col min="6" max="6" width="16.08984375" style="21" customWidth="1"/>
    <col min="7" max="10" width="15.90625" style="21" customWidth="1"/>
    <col min="11" max="11" width="12.3632812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1" width="12.36328125" style="21" bestFit="1" customWidth="1"/>
    <col min="32" max="36" width="9.54296875" style="21" bestFit="1" customWidth="1"/>
    <col min="37" max="16384" width="9.08984375" style="21"/>
  </cols>
  <sheetData>
    <row r="1" spans="1:17">
      <c r="A1" s="21" t="s">
        <v>186</v>
      </c>
    </row>
    <row r="2" spans="1:17" ht="13">
      <c r="A2" s="22" t="s">
        <v>210</v>
      </c>
    </row>
    <row r="3" spans="1:17" ht="13">
      <c r="A3" s="22" t="s">
        <v>222</v>
      </c>
    </row>
    <row r="4" spans="1:17" ht="13">
      <c r="A4" s="22"/>
    </row>
    <row r="6" spans="1:17" s="27" customFormat="1" ht="40.5" customHeight="1">
      <c r="A6" s="97" t="s">
        <v>42</v>
      </c>
      <c r="B6" s="26" t="s">
        <v>9</v>
      </c>
      <c r="C6" s="26" t="s">
        <v>8</v>
      </c>
      <c r="D6" s="37" t="s">
        <v>10</v>
      </c>
      <c r="E6" s="37"/>
      <c r="F6" s="29" t="s">
        <v>118</v>
      </c>
      <c r="G6" s="29" t="s">
        <v>119</v>
      </c>
      <c r="H6" s="29" t="s">
        <v>145</v>
      </c>
      <c r="I6" s="29" t="s">
        <v>147</v>
      </c>
      <c r="J6" s="21"/>
      <c r="K6" s="21"/>
      <c r="L6" s="21"/>
      <c r="M6" s="21"/>
      <c r="N6" s="21"/>
      <c r="O6" s="21"/>
      <c r="P6" s="21"/>
      <c r="Q6" s="21"/>
    </row>
    <row r="7" spans="1:17" ht="13.5" customHeight="1">
      <c r="A7" s="98"/>
      <c r="B7" s="5" t="s">
        <v>255</v>
      </c>
      <c r="C7" s="5" t="s">
        <v>95</v>
      </c>
      <c r="D7" s="7" t="s">
        <v>114</v>
      </c>
      <c r="E7" s="7"/>
      <c r="F7" s="7">
        <f>'P0.3b Solar COBRA Results'!E19</f>
        <v>1761298.3072646335</v>
      </c>
      <c r="G7" s="7">
        <f>'P0.3b Solar COBRA Results'!F19</f>
        <v>3969221.8409612733</v>
      </c>
      <c r="H7" s="2">
        <f>'P0.3b Solar COBRA Results'!AF19</f>
        <v>97.39723621249351</v>
      </c>
      <c r="I7" s="2">
        <f>'P0.3b Solar COBRA Results'!AH19</f>
        <v>16.509806015808028</v>
      </c>
    </row>
    <row r="8" spans="1:17">
      <c r="A8" s="98"/>
      <c r="B8" s="1"/>
      <c r="C8" s="1"/>
      <c r="D8" s="2"/>
      <c r="E8" s="2"/>
      <c r="F8" s="2"/>
      <c r="G8" s="2"/>
      <c r="H8" s="2"/>
      <c r="I8" s="2"/>
    </row>
    <row r="9" spans="1:17">
      <c r="A9" s="98"/>
      <c r="B9" s="1"/>
      <c r="C9" s="1"/>
      <c r="D9" s="2"/>
      <c r="E9" s="2"/>
      <c r="F9" s="2"/>
      <c r="G9" s="2"/>
      <c r="H9" s="2"/>
      <c r="I9" s="2"/>
    </row>
    <row r="10" spans="1:17">
      <c r="A10" s="98"/>
      <c r="B10" s="1"/>
      <c r="C10" s="1"/>
      <c r="D10" s="2"/>
      <c r="E10" s="2"/>
      <c r="F10" s="2"/>
      <c r="G10" s="2"/>
      <c r="H10" s="2"/>
      <c r="I10" s="2"/>
    </row>
    <row r="11" spans="1:17">
      <c r="A11" s="99"/>
      <c r="B11" s="3"/>
      <c r="C11" s="3"/>
      <c r="D11" s="23"/>
      <c r="E11" s="23"/>
      <c r="F11" s="23"/>
      <c r="G11" s="23"/>
      <c r="H11" s="23"/>
      <c r="I11" s="23"/>
    </row>
    <row r="12" spans="1:17" ht="13">
      <c r="A12" s="30"/>
      <c r="B12" s="30"/>
      <c r="C12" s="30"/>
      <c r="D12" s="30"/>
      <c r="E12" s="30"/>
      <c r="F12" s="30"/>
      <c r="G12" s="30"/>
      <c r="H12" s="30"/>
      <c r="I12" s="30"/>
    </row>
    <row r="13" spans="1:17" s="27" customFormat="1" ht="15" customHeight="1">
      <c r="A13" s="97" t="s">
        <v>98</v>
      </c>
      <c r="B13" s="26" t="s">
        <v>9</v>
      </c>
      <c r="C13" s="26" t="s">
        <v>8</v>
      </c>
      <c r="D13" s="37" t="s">
        <v>10</v>
      </c>
      <c r="E13" s="37"/>
      <c r="F13" s="29">
        <v>2025</v>
      </c>
      <c r="G13" s="29">
        <v>2026</v>
      </c>
      <c r="H13" s="29">
        <v>2027</v>
      </c>
      <c r="I13" s="29">
        <v>2028</v>
      </c>
      <c r="J13" s="29">
        <v>2029</v>
      </c>
      <c r="L13" s="21"/>
      <c r="M13" s="21"/>
      <c r="N13" s="21"/>
      <c r="O13" s="21"/>
      <c r="P13" s="21"/>
      <c r="Q13" s="21"/>
    </row>
    <row r="14" spans="1:17" ht="13.5" customHeight="1">
      <c r="A14" s="98"/>
      <c r="B14" s="5" t="s">
        <v>255</v>
      </c>
      <c r="C14" s="5" t="s">
        <v>99</v>
      </c>
      <c r="D14" s="7" t="s">
        <v>175</v>
      </c>
      <c r="E14" s="7"/>
      <c r="F14" s="40"/>
      <c r="G14" s="40"/>
      <c r="H14" s="41" t="s">
        <v>100</v>
      </c>
      <c r="I14" s="41"/>
      <c r="J14" s="41"/>
    </row>
    <row r="15" spans="1:17">
      <c r="A15" s="98"/>
      <c r="B15" s="1"/>
      <c r="C15" s="1"/>
      <c r="D15" s="2"/>
      <c r="E15" s="2"/>
      <c r="F15" s="41"/>
      <c r="G15" s="41"/>
      <c r="H15" s="41"/>
      <c r="I15" s="41"/>
      <c r="J15" s="41"/>
    </row>
    <row r="16" spans="1:17">
      <c r="A16" s="98"/>
      <c r="B16" s="1"/>
      <c r="C16" s="1"/>
      <c r="D16" s="2"/>
      <c r="E16" s="2"/>
      <c r="F16" s="41"/>
      <c r="G16" s="41"/>
      <c r="H16" s="41"/>
      <c r="I16" s="41"/>
      <c r="J16" s="41"/>
    </row>
    <row r="17" spans="1:31">
      <c r="A17" s="98"/>
      <c r="B17" s="1"/>
      <c r="C17" s="1"/>
      <c r="D17" s="2"/>
      <c r="E17" s="2"/>
      <c r="F17" s="41"/>
      <c r="G17" s="41"/>
      <c r="H17" s="41"/>
      <c r="I17" s="41"/>
      <c r="J17" s="41"/>
    </row>
    <row r="18" spans="1:31">
      <c r="A18" s="99"/>
      <c r="B18" s="3"/>
      <c r="C18" s="3"/>
      <c r="D18" s="23"/>
      <c r="E18" s="23"/>
      <c r="F18" s="42"/>
      <c r="G18" s="42"/>
      <c r="H18" s="42"/>
      <c r="I18" s="42"/>
      <c r="J18" s="42"/>
    </row>
    <row r="19" spans="1:31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0" spans="1:31" ht="13">
      <c r="A20" s="106"/>
      <c r="B20" s="26" t="s">
        <v>9</v>
      </c>
      <c r="C20" s="26" t="s">
        <v>8</v>
      </c>
      <c r="D20" s="37" t="s">
        <v>10</v>
      </c>
      <c r="E20" s="37" t="s">
        <v>7</v>
      </c>
      <c r="F20" s="9">
        <v>2025</v>
      </c>
      <c r="G20" s="9">
        <v>2026</v>
      </c>
      <c r="H20" s="9">
        <v>2027</v>
      </c>
      <c r="I20" s="9">
        <v>2028</v>
      </c>
      <c r="J20" s="9">
        <v>2029</v>
      </c>
      <c r="K20" s="9">
        <v>2030</v>
      </c>
      <c r="L20" s="9">
        <v>2031</v>
      </c>
      <c r="M20" s="9">
        <v>2032</v>
      </c>
      <c r="N20" s="9">
        <v>2033</v>
      </c>
      <c r="O20" s="9">
        <v>2034</v>
      </c>
      <c r="P20" s="9">
        <v>2035</v>
      </c>
      <c r="Q20" s="9">
        <v>2036</v>
      </c>
      <c r="R20" s="9">
        <v>2037</v>
      </c>
      <c r="S20" s="9">
        <v>2038</v>
      </c>
      <c r="T20" s="9">
        <v>2039</v>
      </c>
      <c r="U20" s="9">
        <v>2040</v>
      </c>
      <c r="V20" s="9">
        <v>2041</v>
      </c>
      <c r="W20" s="9">
        <v>2042</v>
      </c>
      <c r="X20" s="9">
        <v>2043</v>
      </c>
      <c r="Y20" s="9">
        <v>2044</v>
      </c>
      <c r="Z20" s="9">
        <v>2045</v>
      </c>
      <c r="AA20" s="9">
        <v>2046</v>
      </c>
      <c r="AB20" s="9">
        <v>2047</v>
      </c>
      <c r="AC20" s="9">
        <v>2048</v>
      </c>
      <c r="AD20" s="9">
        <v>2049</v>
      </c>
      <c r="AE20" s="9">
        <v>2050</v>
      </c>
    </row>
    <row r="21" spans="1:31">
      <c r="A21" s="107"/>
      <c r="B21" s="3" t="s">
        <v>101</v>
      </c>
      <c r="C21" s="3" t="s">
        <v>103</v>
      </c>
      <c r="D21" s="23" t="s">
        <v>102</v>
      </c>
      <c r="E21" s="23" t="s">
        <v>22</v>
      </c>
      <c r="F21" s="43">
        <f>'P0.1 Background Data'!J8</f>
        <v>-5.9786200000000005E-2</v>
      </c>
      <c r="G21" s="43">
        <f>'P0.1 Background Data'!K8</f>
        <v>-0.165266651936674</v>
      </c>
      <c r="H21" s="43">
        <f>'P0.1 Background Data'!L8</f>
        <v>-0.19804073729768346</v>
      </c>
      <c r="I21" s="43">
        <f>'P0.1 Background Data'!M8</f>
        <v>-0.30387670462521787</v>
      </c>
      <c r="J21" s="43">
        <f>'P0.1 Background Data'!N8</f>
        <v>-0.39936970791389542</v>
      </c>
      <c r="K21" s="43">
        <f>'P0.1 Background Data'!O8</f>
        <v>-0.47597992148039048</v>
      </c>
      <c r="L21" s="43">
        <f>'P0.1 Background Data'!P8</f>
        <v>-0.49545491809054032</v>
      </c>
      <c r="M21" s="43">
        <f>'P0.1 Background Data'!Q8</f>
        <v>-0.50439544685107429</v>
      </c>
      <c r="N21" s="43">
        <f>'P0.1 Background Data'!R8</f>
        <v>-0.49323512120448937</v>
      </c>
      <c r="O21" s="43">
        <f>'P0.1 Background Data'!S8</f>
        <v>-0.51021415177731333</v>
      </c>
      <c r="P21" s="43">
        <f>'P0.1 Background Data'!T8</f>
        <v>-0.50621220956865531</v>
      </c>
      <c r="Q21" s="43">
        <f>'P0.1 Background Data'!U8</f>
        <v>-0.4926348772844959</v>
      </c>
      <c r="R21" s="43">
        <f>'P0.1 Background Data'!V8</f>
        <v>-0.49012837181065189</v>
      </c>
      <c r="S21" s="43">
        <f>'P0.1 Background Data'!W8</f>
        <v>-0.47904528712998368</v>
      </c>
      <c r="T21" s="43">
        <f>'P0.1 Background Data'!X8</f>
        <v>-0.50413979546851639</v>
      </c>
      <c r="U21" s="43">
        <f>'P0.1 Background Data'!Y8</f>
        <v>-0.48913464419821984</v>
      </c>
      <c r="V21" s="43">
        <f>'P0.1 Background Data'!Z8</f>
        <v>-0.47720256642889997</v>
      </c>
      <c r="W21" s="43">
        <f>'P0.1 Background Data'!AA8</f>
        <v>-0.47001056237867206</v>
      </c>
      <c r="X21" s="43">
        <f>'P0.1 Background Data'!AB8</f>
        <v>-0.47890434693076178</v>
      </c>
      <c r="Y21" s="43">
        <f>'P0.1 Background Data'!AC8</f>
        <v>-0.48093576016990425</v>
      </c>
      <c r="Z21" s="43">
        <f>'P0.1 Background Data'!AD8</f>
        <v>-0.50249545152557273</v>
      </c>
      <c r="AA21" s="43">
        <f>'P0.1 Background Data'!AE8</f>
        <v>-0.51882097373294234</v>
      </c>
      <c r="AB21" s="43">
        <f>'P0.1 Background Data'!AF8</f>
        <v>-0.51121394232983253</v>
      </c>
      <c r="AC21" s="43">
        <f>'P0.1 Background Data'!AG8</f>
        <v>-0.51830513314585747</v>
      </c>
      <c r="AD21" s="43">
        <f>'P0.1 Background Data'!AH8</f>
        <v>-0.52693879109191766</v>
      </c>
      <c r="AE21" s="43">
        <f>'P0.1 Background Data'!AI8</f>
        <v>-0.54117899786777102</v>
      </c>
    </row>
    <row r="22" spans="1:31" ht="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0"/>
    </row>
    <row r="23" spans="1:31" ht="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0"/>
    </row>
    <row r="25" spans="1:31" ht="13.5" customHeight="1">
      <c r="A25" s="100" t="s">
        <v>118</v>
      </c>
      <c r="B25" s="9" t="s">
        <v>9</v>
      </c>
      <c r="C25" s="9" t="s">
        <v>8</v>
      </c>
      <c r="D25" s="9" t="s">
        <v>10</v>
      </c>
      <c r="E25" s="9" t="s">
        <v>7</v>
      </c>
      <c r="F25" s="9">
        <v>2025</v>
      </c>
      <c r="G25" s="9">
        <v>2026</v>
      </c>
      <c r="H25" s="9">
        <v>2027</v>
      </c>
      <c r="I25" s="9">
        <v>2028</v>
      </c>
      <c r="J25" s="9">
        <v>2029</v>
      </c>
      <c r="K25" s="9">
        <v>2030</v>
      </c>
      <c r="L25" s="9">
        <v>2031</v>
      </c>
      <c r="M25" s="9">
        <v>2032</v>
      </c>
      <c r="N25" s="9">
        <v>2033</v>
      </c>
      <c r="O25" s="9">
        <v>2034</v>
      </c>
      <c r="P25" s="9">
        <v>2035</v>
      </c>
      <c r="Q25" s="9">
        <v>2036</v>
      </c>
      <c r="R25" s="9">
        <v>2037</v>
      </c>
      <c r="S25" s="9">
        <v>2038</v>
      </c>
      <c r="T25" s="9">
        <v>2039</v>
      </c>
      <c r="U25" s="9">
        <v>2040</v>
      </c>
      <c r="V25" s="9">
        <v>2041</v>
      </c>
      <c r="W25" s="9">
        <v>2042</v>
      </c>
      <c r="X25" s="9">
        <v>2043</v>
      </c>
      <c r="Y25" s="9">
        <v>2044</v>
      </c>
      <c r="Z25" s="9">
        <v>2045</v>
      </c>
      <c r="AA25" s="9">
        <v>2046</v>
      </c>
      <c r="AB25" s="9">
        <v>2047</v>
      </c>
      <c r="AC25" s="9">
        <v>2048</v>
      </c>
      <c r="AD25" s="9">
        <v>2049</v>
      </c>
      <c r="AE25" s="9">
        <v>2050</v>
      </c>
    </row>
    <row r="26" spans="1:31">
      <c r="A26" s="101"/>
      <c r="B26" s="5" t="s">
        <v>255</v>
      </c>
      <c r="C26" s="5">
        <v>2027</v>
      </c>
      <c r="D26" s="2" t="s">
        <v>114</v>
      </c>
      <c r="E26" s="5" t="s">
        <v>154</v>
      </c>
      <c r="F26" s="55"/>
      <c r="G26" s="55"/>
      <c r="H26" s="55">
        <f t="shared" ref="H26:AD26" si="0">$F$7+($F$7*H$21)</f>
        <v>1412489.4918927837</v>
      </c>
      <c r="I26" s="55">
        <f t="shared" si="0"/>
        <v>1226080.7817910821</v>
      </c>
      <c r="J26" s="55">
        <f t="shared" si="0"/>
        <v>1057889.1167431185</v>
      </c>
      <c r="K26" s="55">
        <f t="shared" si="0"/>
        <v>922955.67726926855</v>
      </c>
      <c r="L26" s="55">
        <f t="shared" si="0"/>
        <v>888654.39870582719</v>
      </c>
      <c r="M26" s="55">
        <f t="shared" si="0"/>
        <v>872907.46053384792</v>
      </c>
      <c r="N26" s="55">
        <f t="shared" si="0"/>
        <v>892564.12320370006</v>
      </c>
      <c r="O26" s="55">
        <f t="shared" si="0"/>
        <v>862658.98539679067</v>
      </c>
      <c r="P26" s="55">
        <f t="shared" si="0"/>
        <v>869707.59943467099</v>
      </c>
      <c r="Q26" s="55">
        <f t="shared" si="0"/>
        <v>893621.33180393046</v>
      </c>
      <c r="R26" s="55">
        <f t="shared" si="0"/>
        <v>898036.03565216146</v>
      </c>
      <c r="S26" s="55">
        <f t="shared" si="0"/>
        <v>917556.65393949288</v>
      </c>
      <c r="T26" s="55">
        <f t="shared" si="0"/>
        <v>873357.73888119706</v>
      </c>
      <c r="U26" s="55">
        <f t="shared" si="0"/>
        <v>899786.28641382011</v>
      </c>
      <c r="V26" s="55">
        <f t="shared" si="0"/>
        <v>920802.23479107313</v>
      </c>
      <c r="W26" s="55">
        <f t="shared" si="0"/>
        <v>933469.49935057992</v>
      </c>
      <c r="X26" s="55">
        <f t="shared" si="0"/>
        <v>917804.89167380799</v>
      </c>
      <c r="Y26" s="55">
        <f t="shared" si="0"/>
        <v>914226.96697435144</v>
      </c>
      <c r="Z26" s="55">
        <f t="shared" si="0"/>
        <v>876253.91908446455</v>
      </c>
      <c r="AA26" s="55">
        <f t="shared" si="0"/>
        <v>847499.80445541325</v>
      </c>
      <c r="AB26" s="55">
        <f t="shared" si="0"/>
        <v>860898.05598901946</v>
      </c>
      <c r="AC26" s="55">
        <f t="shared" si="0"/>
        <v>848408.35360826424</v>
      </c>
      <c r="AD26" s="55">
        <f t="shared" si="0"/>
        <v>833201.90648236661</v>
      </c>
      <c r="AE26" s="55">
        <v>0</v>
      </c>
    </row>
    <row r="27" spans="1:31">
      <c r="A27" s="101"/>
      <c r="B27" s="1"/>
      <c r="C27" s="1"/>
      <c r="D27" s="2"/>
      <c r="E27" s="1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</row>
    <row r="28" spans="1:31">
      <c r="A28" s="101"/>
      <c r="B28" s="1"/>
      <c r="C28" s="1"/>
      <c r="D28" s="2"/>
      <c r="E28" s="1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</row>
    <row r="29" spans="1:31">
      <c r="A29" s="101"/>
      <c r="B29" s="1"/>
      <c r="C29" s="1"/>
      <c r="D29" s="2"/>
      <c r="E29" s="1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1:31">
      <c r="A30" s="101"/>
      <c r="B30" s="1"/>
      <c r="C30" s="1"/>
      <c r="D30" s="2"/>
      <c r="E30" s="1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</row>
    <row r="31" spans="1:31">
      <c r="A31" s="101"/>
      <c r="B31" s="1"/>
      <c r="C31" s="1"/>
      <c r="D31" s="2"/>
      <c r="E31" s="1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</row>
    <row r="32" spans="1:31">
      <c r="A32" s="101"/>
      <c r="B32" s="1"/>
      <c r="C32" s="1"/>
      <c r="D32" s="2"/>
      <c r="E32" s="1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</row>
    <row r="33" spans="1:31">
      <c r="A33" s="101"/>
      <c r="B33" s="3"/>
      <c r="C33" s="3"/>
      <c r="D33" s="23"/>
      <c r="E33" s="1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</row>
    <row r="34" spans="1:31">
      <c r="A34" s="102"/>
      <c r="B34" s="51" t="s">
        <v>104</v>
      </c>
      <c r="C34" s="51" t="s">
        <v>19</v>
      </c>
      <c r="D34" s="52" t="s">
        <v>34</v>
      </c>
      <c r="E34" s="28" t="s">
        <v>154</v>
      </c>
      <c r="F34" s="57">
        <f t="shared" ref="F34:AE34" si="1">SUM(F26:F33)</f>
        <v>0</v>
      </c>
      <c r="G34" s="57">
        <f t="shared" si="1"/>
        <v>0</v>
      </c>
      <c r="H34" s="57">
        <f t="shared" si="1"/>
        <v>1412489.4918927837</v>
      </c>
      <c r="I34" s="57">
        <f t="shared" si="1"/>
        <v>1226080.7817910821</v>
      </c>
      <c r="J34" s="57">
        <f t="shared" si="1"/>
        <v>1057889.1167431185</v>
      </c>
      <c r="K34" s="57">
        <f t="shared" si="1"/>
        <v>922955.67726926855</v>
      </c>
      <c r="L34" s="57">
        <f t="shared" si="1"/>
        <v>888654.39870582719</v>
      </c>
      <c r="M34" s="57">
        <f t="shared" si="1"/>
        <v>872907.46053384792</v>
      </c>
      <c r="N34" s="57">
        <f t="shared" si="1"/>
        <v>892564.12320370006</v>
      </c>
      <c r="O34" s="57">
        <f t="shared" si="1"/>
        <v>862658.98539679067</v>
      </c>
      <c r="P34" s="57">
        <f t="shared" si="1"/>
        <v>869707.59943467099</v>
      </c>
      <c r="Q34" s="57">
        <f t="shared" si="1"/>
        <v>893621.33180393046</v>
      </c>
      <c r="R34" s="57">
        <f t="shared" si="1"/>
        <v>898036.03565216146</v>
      </c>
      <c r="S34" s="57">
        <f t="shared" si="1"/>
        <v>917556.65393949288</v>
      </c>
      <c r="T34" s="57">
        <f t="shared" si="1"/>
        <v>873357.73888119706</v>
      </c>
      <c r="U34" s="57">
        <f t="shared" si="1"/>
        <v>899786.28641382011</v>
      </c>
      <c r="V34" s="57">
        <f t="shared" si="1"/>
        <v>920802.23479107313</v>
      </c>
      <c r="W34" s="57">
        <f t="shared" si="1"/>
        <v>933469.49935057992</v>
      </c>
      <c r="X34" s="57">
        <f t="shared" si="1"/>
        <v>917804.89167380799</v>
      </c>
      <c r="Y34" s="57">
        <f t="shared" si="1"/>
        <v>914226.96697435144</v>
      </c>
      <c r="Z34" s="57">
        <f t="shared" si="1"/>
        <v>876253.91908446455</v>
      </c>
      <c r="AA34" s="57">
        <f t="shared" si="1"/>
        <v>847499.80445541325</v>
      </c>
      <c r="AB34" s="57">
        <f t="shared" si="1"/>
        <v>860898.05598901946</v>
      </c>
      <c r="AC34" s="57">
        <f t="shared" si="1"/>
        <v>848408.35360826424</v>
      </c>
      <c r="AD34" s="57">
        <f t="shared" si="1"/>
        <v>833201.90648236661</v>
      </c>
      <c r="AE34" s="57">
        <f t="shared" si="1"/>
        <v>0</v>
      </c>
    </row>
    <row r="36" spans="1:31" ht="13.5" customHeight="1">
      <c r="A36" s="100" t="s">
        <v>119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9">
        <v>2050</v>
      </c>
    </row>
    <row r="37" spans="1:31">
      <c r="A37" s="101"/>
      <c r="B37" s="5" t="s">
        <v>255</v>
      </c>
      <c r="C37" s="5">
        <v>2027</v>
      </c>
      <c r="D37" s="2" t="s">
        <v>114</v>
      </c>
      <c r="E37" s="5" t="s">
        <v>154</v>
      </c>
      <c r="F37" s="55"/>
      <c r="G37" s="55"/>
      <c r="H37" s="55">
        <f t="shared" ref="H37:AD37" si="2">$G$7+($G$7*H$21)</f>
        <v>3183154.221079234</v>
      </c>
      <c r="I37" s="55">
        <f t="shared" si="2"/>
        <v>2763067.788003521</v>
      </c>
      <c r="J37" s="55">
        <f t="shared" si="2"/>
        <v>2384034.8736911155</v>
      </c>
      <c r="K37" s="55">
        <f t="shared" si="2"/>
        <v>2079951.9407622756</v>
      </c>
      <c r="L37" s="55">
        <f t="shared" si="2"/>
        <v>2002651.358864622</v>
      </c>
      <c r="M37" s="55">
        <f t="shared" si="2"/>
        <v>1967164.4168385682</v>
      </c>
      <c r="N37" s="55">
        <f t="shared" si="2"/>
        <v>2011462.2251472333</v>
      </c>
      <c r="O37" s="55">
        <f t="shared" si="2"/>
        <v>1944068.6861592312</v>
      </c>
      <c r="P37" s="55">
        <f t="shared" si="2"/>
        <v>1959953.2825801014</v>
      </c>
      <c r="Q37" s="55">
        <f t="shared" si="2"/>
        <v>2013844.7264243755</v>
      </c>
      <c r="R37" s="55">
        <f t="shared" si="2"/>
        <v>2023793.6026956462</v>
      </c>
      <c r="S37" s="55">
        <f t="shared" si="2"/>
        <v>2067784.8244753778</v>
      </c>
      <c r="T37" s="55">
        <f t="shared" si="2"/>
        <v>1968179.1538898889</v>
      </c>
      <c r="U37" s="55">
        <f t="shared" si="2"/>
        <v>2027737.9280388777</v>
      </c>
      <c r="V37" s="55">
        <f t="shared" si="2"/>
        <v>2075098.9917289107</v>
      </c>
      <c r="W37" s="55">
        <f t="shared" si="2"/>
        <v>2103645.6512853573</v>
      </c>
      <c r="X37" s="55">
        <f t="shared" si="2"/>
        <v>2068344.2473923988</v>
      </c>
      <c r="Y37" s="55">
        <f t="shared" si="2"/>
        <v>2060281.1175955764</v>
      </c>
      <c r="Z37" s="55">
        <f t="shared" si="2"/>
        <v>1974705.9197822732</v>
      </c>
      <c r="AA37" s="55">
        <f t="shared" si="2"/>
        <v>1909906.3004716835</v>
      </c>
      <c r="AB37" s="55">
        <f t="shared" si="2"/>
        <v>1940100.2956617852</v>
      </c>
      <c r="AC37" s="55">
        <f t="shared" si="2"/>
        <v>1911953.7861963951</v>
      </c>
      <c r="AD37" s="55">
        <f t="shared" si="2"/>
        <v>1877684.882509504</v>
      </c>
      <c r="AE37" s="55">
        <v>0</v>
      </c>
    </row>
    <row r="38" spans="1:31">
      <c r="A38" s="101"/>
      <c r="B38" s="1"/>
      <c r="C38" s="1"/>
      <c r="D38" s="2"/>
      <c r="E38" s="1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</row>
    <row r="39" spans="1:31">
      <c r="A39" s="101"/>
      <c r="B39" s="1"/>
      <c r="C39" s="1"/>
      <c r="D39" s="2"/>
      <c r="E39" s="1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</row>
    <row r="40" spans="1:31">
      <c r="A40" s="101"/>
      <c r="B40" s="1"/>
      <c r="C40" s="1"/>
      <c r="D40" s="2"/>
      <c r="E40" s="1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</row>
    <row r="41" spans="1:31">
      <c r="A41" s="101"/>
      <c r="B41" s="1"/>
      <c r="C41" s="1"/>
      <c r="D41" s="2"/>
      <c r="E41" s="1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</row>
    <row r="42" spans="1:31">
      <c r="A42" s="101"/>
      <c r="B42" s="1"/>
      <c r="C42" s="1"/>
      <c r="D42" s="2"/>
      <c r="E42" s="1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</row>
    <row r="43" spans="1:31">
      <c r="A43" s="101"/>
      <c r="B43" s="1"/>
      <c r="C43" s="1"/>
      <c r="D43" s="2"/>
      <c r="E43" s="1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</row>
    <row r="44" spans="1:31">
      <c r="A44" s="101"/>
      <c r="B44" s="3"/>
      <c r="C44" s="3"/>
      <c r="D44" s="23"/>
      <c r="E44" s="1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</row>
    <row r="45" spans="1:31">
      <c r="A45" s="102"/>
      <c r="B45" s="51" t="s">
        <v>104</v>
      </c>
      <c r="C45" s="51" t="s">
        <v>19</v>
      </c>
      <c r="D45" s="52" t="s">
        <v>34</v>
      </c>
      <c r="E45" s="28" t="s">
        <v>154</v>
      </c>
      <c r="F45" s="57">
        <f t="shared" ref="F45:AE45" si="3">SUM(F37:F44)</f>
        <v>0</v>
      </c>
      <c r="G45" s="57">
        <f t="shared" si="3"/>
        <v>0</v>
      </c>
      <c r="H45" s="57">
        <f t="shared" si="3"/>
        <v>3183154.221079234</v>
      </c>
      <c r="I45" s="57">
        <f t="shared" si="3"/>
        <v>2763067.788003521</v>
      </c>
      <c r="J45" s="57">
        <f t="shared" si="3"/>
        <v>2384034.8736911155</v>
      </c>
      <c r="K45" s="57">
        <f t="shared" si="3"/>
        <v>2079951.9407622756</v>
      </c>
      <c r="L45" s="57">
        <f t="shared" si="3"/>
        <v>2002651.358864622</v>
      </c>
      <c r="M45" s="57">
        <f t="shared" si="3"/>
        <v>1967164.4168385682</v>
      </c>
      <c r="N45" s="57">
        <f t="shared" si="3"/>
        <v>2011462.2251472333</v>
      </c>
      <c r="O45" s="57">
        <f t="shared" si="3"/>
        <v>1944068.6861592312</v>
      </c>
      <c r="P45" s="57">
        <f t="shared" si="3"/>
        <v>1959953.2825801014</v>
      </c>
      <c r="Q45" s="57">
        <f t="shared" si="3"/>
        <v>2013844.7264243755</v>
      </c>
      <c r="R45" s="57">
        <f t="shared" si="3"/>
        <v>2023793.6026956462</v>
      </c>
      <c r="S45" s="57">
        <f t="shared" si="3"/>
        <v>2067784.8244753778</v>
      </c>
      <c r="T45" s="57">
        <f t="shared" si="3"/>
        <v>1968179.1538898889</v>
      </c>
      <c r="U45" s="57">
        <f t="shared" si="3"/>
        <v>2027737.9280388777</v>
      </c>
      <c r="V45" s="57">
        <f t="shared" si="3"/>
        <v>2075098.9917289107</v>
      </c>
      <c r="W45" s="57">
        <f t="shared" si="3"/>
        <v>2103645.6512853573</v>
      </c>
      <c r="X45" s="57">
        <f t="shared" si="3"/>
        <v>2068344.2473923988</v>
      </c>
      <c r="Y45" s="57">
        <f t="shared" si="3"/>
        <v>2060281.1175955764</v>
      </c>
      <c r="Z45" s="57">
        <f t="shared" si="3"/>
        <v>1974705.9197822732</v>
      </c>
      <c r="AA45" s="57">
        <f t="shared" si="3"/>
        <v>1909906.3004716835</v>
      </c>
      <c r="AB45" s="57">
        <f t="shared" si="3"/>
        <v>1940100.2956617852</v>
      </c>
      <c r="AC45" s="57">
        <f t="shared" si="3"/>
        <v>1911953.7861963951</v>
      </c>
      <c r="AD45" s="57">
        <f t="shared" si="3"/>
        <v>1877684.882509504</v>
      </c>
      <c r="AE45" s="57">
        <f t="shared" si="3"/>
        <v>0</v>
      </c>
    </row>
    <row r="47" spans="1:31" ht="13.5" customHeight="1">
      <c r="A47" s="103" t="s">
        <v>145</v>
      </c>
      <c r="B47" s="9" t="s">
        <v>9</v>
      </c>
      <c r="C47" s="9" t="s">
        <v>8</v>
      </c>
      <c r="D47" s="9" t="s">
        <v>10</v>
      </c>
      <c r="E47" s="9" t="s">
        <v>7</v>
      </c>
      <c r="F47" s="9">
        <v>2025</v>
      </c>
      <c r="G47" s="9">
        <v>2026</v>
      </c>
      <c r="H47" s="9">
        <v>2027</v>
      </c>
      <c r="I47" s="9">
        <v>2028</v>
      </c>
      <c r="J47" s="9">
        <v>2029</v>
      </c>
      <c r="K47" s="9">
        <v>2030</v>
      </c>
      <c r="L47" s="9">
        <v>2031</v>
      </c>
      <c r="M47" s="9">
        <v>2032</v>
      </c>
      <c r="N47" s="9">
        <v>2033</v>
      </c>
      <c r="O47" s="9">
        <v>2034</v>
      </c>
      <c r="P47" s="9">
        <v>2035</v>
      </c>
      <c r="Q47" s="9">
        <v>2036</v>
      </c>
      <c r="R47" s="9">
        <v>2037</v>
      </c>
      <c r="S47" s="9">
        <v>2038</v>
      </c>
      <c r="T47" s="9">
        <v>2039</v>
      </c>
      <c r="U47" s="9">
        <v>2040</v>
      </c>
      <c r="V47" s="9">
        <v>2041</v>
      </c>
      <c r="W47" s="9">
        <v>2042</v>
      </c>
      <c r="X47" s="9">
        <v>2043</v>
      </c>
      <c r="Y47" s="9">
        <v>2044</v>
      </c>
      <c r="Z47" s="9">
        <v>2045</v>
      </c>
      <c r="AA47" s="9">
        <v>2046</v>
      </c>
      <c r="AB47" s="9">
        <v>2047</v>
      </c>
      <c r="AC47" s="9">
        <v>2048</v>
      </c>
      <c r="AD47" s="9">
        <v>2049</v>
      </c>
      <c r="AE47" s="9">
        <v>2050</v>
      </c>
    </row>
    <row r="48" spans="1:31">
      <c r="A48" s="104"/>
      <c r="B48" s="5" t="s">
        <v>255</v>
      </c>
      <c r="C48" s="5">
        <v>2027</v>
      </c>
      <c r="D48" s="2" t="s">
        <v>114</v>
      </c>
      <c r="E48" s="5" t="s">
        <v>155</v>
      </c>
      <c r="F48" s="7"/>
      <c r="G48" s="7"/>
      <c r="H48" s="7">
        <f t="shared" ref="H48:AD48" si="4">$H$7+($H$7*H$21)</f>
        <v>78.108615742214653</v>
      </c>
      <c r="I48" s="7">
        <f t="shared" si="4"/>
        <v>67.800485032637042</v>
      </c>
      <c r="J48" s="7">
        <f t="shared" si="4"/>
        <v>58.499730434689297</v>
      </c>
      <c r="K48" s="7">
        <f t="shared" si="4"/>
        <v>51.038107367663805</v>
      </c>
      <c r="L48" s="7">
        <f t="shared" si="4"/>
        <v>49.141296522587531</v>
      </c>
      <c r="M48" s="7">
        <f t="shared" si="4"/>
        <v>48.270513731033212</v>
      </c>
      <c r="N48" s="7">
        <f t="shared" si="4"/>
        <v>49.357498604241989</v>
      </c>
      <c r="O48" s="7">
        <f t="shared" si="4"/>
        <v>47.703787952881505</v>
      </c>
      <c r="P48" s="7">
        <f t="shared" si="4"/>
        <v>48.093566063486918</v>
      </c>
      <c r="Q48" s="7">
        <f t="shared" si="4"/>
        <v>49.415960703102712</v>
      </c>
      <c r="R48" s="7">
        <f t="shared" si="4"/>
        <v>49.660087408806604</v>
      </c>
      <c r="S48" s="7">
        <f t="shared" si="4"/>
        <v>50.739549225412716</v>
      </c>
      <c r="T48" s="7">
        <f t="shared" si="4"/>
        <v>48.295413469128256</v>
      </c>
      <c r="U48" s="7">
        <f t="shared" si="4"/>
        <v>49.756873731805527</v>
      </c>
      <c r="V48" s="7">
        <f t="shared" si="4"/>
        <v>50.919025128809814</v>
      </c>
      <c r="W48" s="7">
        <f t="shared" si="4"/>
        <v>51.619506446131069</v>
      </c>
      <c r="X48" s="7">
        <f t="shared" si="4"/>
        <v>50.753276411288162</v>
      </c>
      <c r="Y48" s="7">
        <f t="shared" si="4"/>
        <v>50.555422376190215</v>
      </c>
      <c r="Z48" s="7">
        <f t="shared" si="4"/>
        <v>48.45556802455372</v>
      </c>
      <c r="AA48" s="7">
        <f t="shared" si="4"/>
        <v>46.865507281830233</v>
      </c>
      <c r="AB48" s="7">
        <f t="shared" si="4"/>
        <v>47.606411116274778</v>
      </c>
      <c r="AC48" s="7">
        <f t="shared" si="4"/>
        <v>46.915748729338532</v>
      </c>
      <c r="AD48" s="7">
        <f t="shared" si="4"/>
        <v>46.074854306988236</v>
      </c>
      <c r="AE48" s="7">
        <v>0</v>
      </c>
    </row>
    <row r="49" spans="1:31">
      <c r="A49" s="104"/>
      <c r="B49" s="1"/>
      <c r="C49" s="1"/>
      <c r="D49" s="2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>
      <c r="A50" s="104"/>
      <c r="B50" s="1"/>
      <c r="C50" s="1"/>
      <c r="D50" s="2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>
      <c r="A51" s="104"/>
      <c r="B51" s="1"/>
      <c r="C51" s="1"/>
      <c r="D51" s="2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104"/>
      <c r="B52" s="1"/>
      <c r="C52" s="1"/>
      <c r="D52" s="2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104"/>
      <c r="B53" s="1"/>
      <c r="C53" s="1"/>
      <c r="D53" s="2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2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3"/>
      <c r="C55" s="3"/>
      <c r="D55" s="23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5"/>
      <c r="B56" s="51" t="s">
        <v>104</v>
      </c>
      <c r="C56" s="51" t="s">
        <v>19</v>
      </c>
      <c r="D56" s="52" t="s">
        <v>34</v>
      </c>
      <c r="E56" s="28" t="s">
        <v>155</v>
      </c>
      <c r="F56" s="28">
        <f t="shared" ref="F56:AE56" si="5">SUM(F48:F55)</f>
        <v>0</v>
      </c>
      <c r="G56" s="28">
        <f t="shared" si="5"/>
        <v>0</v>
      </c>
      <c r="H56" s="28">
        <f t="shared" si="5"/>
        <v>78.108615742214653</v>
      </c>
      <c r="I56" s="28">
        <f t="shared" si="5"/>
        <v>67.800485032637042</v>
      </c>
      <c r="J56" s="28">
        <f t="shared" si="5"/>
        <v>58.499730434689297</v>
      </c>
      <c r="K56" s="28">
        <f t="shared" si="5"/>
        <v>51.038107367663805</v>
      </c>
      <c r="L56" s="28">
        <f t="shared" si="5"/>
        <v>49.141296522587531</v>
      </c>
      <c r="M56" s="28">
        <f t="shared" si="5"/>
        <v>48.270513731033212</v>
      </c>
      <c r="N56" s="28">
        <f t="shared" si="5"/>
        <v>49.357498604241989</v>
      </c>
      <c r="O56" s="28">
        <f t="shared" si="5"/>
        <v>47.703787952881505</v>
      </c>
      <c r="P56" s="28">
        <f t="shared" si="5"/>
        <v>48.093566063486918</v>
      </c>
      <c r="Q56" s="28">
        <f t="shared" si="5"/>
        <v>49.415960703102712</v>
      </c>
      <c r="R56" s="28">
        <f t="shared" si="5"/>
        <v>49.660087408806604</v>
      </c>
      <c r="S56" s="28">
        <f t="shared" si="5"/>
        <v>50.739549225412716</v>
      </c>
      <c r="T56" s="28">
        <f t="shared" si="5"/>
        <v>48.295413469128256</v>
      </c>
      <c r="U56" s="28">
        <f t="shared" si="5"/>
        <v>49.756873731805527</v>
      </c>
      <c r="V56" s="28">
        <f t="shared" si="5"/>
        <v>50.919025128809814</v>
      </c>
      <c r="W56" s="28">
        <f t="shared" si="5"/>
        <v>51.619506446131069</v>
      </c>
      <c r="X56" s="28">
        <f t="shared" si="5"/>
        <v>50.753276411288162</v>
      </c>
      <c r="Y56" s="28">
        <f t="shared" si="5"/>
        <v>50.555422376190215</v>
      </c>
      <c r="Z56" s="28">
        <f t="shared" si="5"/>
        <v>48.45556802455372</v>
      </c>
      <c r="AA56" s="28">
        <f t="shared" si="5"/>
        <v>46.865507281830233</v>
      </c>
      <c r="AB56" s="28">
        <f t="shared" si="5"/>
        <v>47.606411116274778</v>
      </c>
      <c r="AC56" s="28">
        <f t="shared" si="5"/>
        <v>46.915748729338532</v>
      </c>
      <c r="AD56" s="28">
        <f t="shared" si="5"/>
        <v>46.074854306988236</v>
      </c>
      <c r="AE56" s="28">
        <f t="shared" si="5"/>
        <v>0</v>
      </c>
    </row>
    <row r="58" spans="1:31" ht="13.5" customHeight="1">
      <c r="A58" s="103" t="s">
        <v>147</v>
      </c>
      <c r="B58" s="9" t="s">
        <v>9</v>
      </c>
      <c r="C58" s="9" t="s">
        <v>8</v>
      </c>
      <c r="D58" s="9" t="s">
        <v>10</v>
      </c>
      <c r="E58" s="9" t="s">
        <v>7</v>
      </c>
      <c r="F58" s="9">
        <v>2025</v>
      </c>
      <c r="G58" s="9">
        <v>2026</v>
      </c>
      <c r="H58" s="9">
        <v>2027</v>
      </c>
      <c r="I58" s="9">
        <v>2028</v>
      </c>
      <c r="J58" s="9">
        <v>2029</v>
      </c>
      <c r="K58" s="9">
        <v>2030</v>
      </c>
      <c r="L58" s="9">
        <v>2031</v>
      </c>
      <c r="M58" s="9">
        <v>2032</v>
      </c>
      <c r="N58" s="9">
        <v>2033</v>
      </c>
      <c r="O58" s="9">
        <v>2034</v>
      </c>
      <c r="P58" s="9">
        <v>2035</v>
      </c>
      <c r="Q58" s="9">
        <v>2036</v>
      </c>
      <c r="R58" s="9">
        <v>2037</v>
      </c>
      <c r="S58" s="9">
        <v>2038</v>
      </c>
      <c r="T58" s="9">
        <v>2039</v>
      </c>
      <c r="U58" s="9">
        <v>2040</v>
      </c>
      <c r="V58" s="9">
        <v>2041</v>
      </c>
      <c r="W58" s="9">
        <v>2042</v>
      </c>
      <c r="X58" s="9">
        <v>2043</v>
      </c>
      <c r="Y58" s="9">
        <v>2044</v>
      </c>
      <c r="Z58" s="9">
        <v>2045</v>
      </c>
      <c r="AA58" s="9">
        <v>2046</v>
      </c>
      <c r="AB58" s="9">
        <v>2047</v>
      </c>
      <c r="AC58" s="9">
        <v>2048</v>
      </c>
      <c r="AD58" s="9">
        <v>2049</v>
      </c>
      <c r="AE58" s="9">
        <v>2050</v>
      </c>
    </row>
    <row r="59" spans="1:31">
      <c r="A59" s="104"/>
      <c r="B59" s="5" t="s">
        <v>255</v>
      </c>
      <c r="C59" s="5">
        <v>2027</v>
      </c>
      <c r="D59" s="2" t="s">
        <v>114</v>
      </c>
      <c r="E59" s="5" t="s">
        <v>155</v>
      </c>
      <c r="F59" s="7"/>
      <c r="G59" s="7"/>
      <c r="H59" s="7">
        <f t="shared" ref="H59:AD59" si="6">$I$7+($I$7*H$21)</f>
        <v>13.240191859795676</v>
      </c>
      <c r="I59" s="7">
        <f t="shared" si="6"/>
        <v>11.492860569722687</v>
      </c>
      <c r="J59" s="7">
        <f t="shared" si="6"/>
        <v>9.9162896095597013</v>
      </c>
      <c r="K59" s="7">
        <f t="shared" si="6"/>
        <v>8.6514698447472433</v>
      </c>
      <c r="L59" s="7">
        <f t="shared" si="6"/>
        <v>8.3299414285551521</v>
      </c>
      <c r="M59" s="7">
        <f t="shared" si="6"/>
        <v>8.1823350330399833</v>
      </c>
      <c r="N59" s="7">
        <f t="shared" si="6"/>
        <v>8.366589844538348</v>
      </c>
      <c r="O59" s="7">
        <f t="shared" si="6"/>
        <v>8.0862693434445507</v>
      </c>
      <c r="P59" s="7">
        <f t="shared" si="6"/>
        <v>8.1523406329959691</v>
      </c>
      <c r="Q59" s="7">
        <f t="shared" si="6"/>
        <v>8.3764997552196085</v>
      </c>
      <c r="R59" s="7">
        <f t="shared" si="6"/>
        <v>8.4178816743703333</v>
      </c>
      <c r="S59" s="7">
        <f t="shared" si="6"/>
        <v>8.6008612525049397</v>
      </c>
      <c r="T59" s="7">
        <f t="shared" si="6"/>
        <v>8.1865557877736865</v>
      </c>
      <c r="U59" s="7">
        <f t="shared" si="6"/>
        <v>8.4342879244841384</v>
      </c>
      <c r="V59" s="7">
        <f t="shared" si="6"/>
        <v>8.6312842138211465</v>
      </c>
      <c r="W59" s="7">
        <f t="shared" si="6"/>
        <v>8.7500228055553144</v>
      </c>
      <c r="X59" s="7">
        <f t="shared" si="6"/>
        <v>8.6031881478539223</v>
      </c>
      <c r="Y59" s="7">
        <f t="shared" si="6"/>
        <v>8.5696499093377358</v>
      </c>
      <c r="Z59" s="7">
        <f t="shared" si="6"/>
        <v>8.2137035872949564</v>
      </c>
      <c r="AA59" s="7">
        <f t="shared" si="6"/>
        <v>7.944172382544517</v>
      </c>
      <c r="AB59" s="7">
        <f t="shared" si="6"/>
        <v>8.0697629953660215</v>
      </c>
      <c r="AC59" s="7">
        <f t="shared" si="6"/>
        <v>7.9526888105723703</v>
      </c>
      <c r="AD59" s="7">
        <f t="shared" si="6"/>
        <v>7.8101487926760758</v>
      </c>
      <c r="AE59" s="7">
        <v>0</v>
      </c>
    </row>
    <row r="60" spans="1:31">
      <c r="A60" s="104"/>
      <c r="B60" s="1"/>
      <c r="C60" s="1"/>
      <c r="D60" s="2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>
      <c r="A61" s="104"/>
      <c r="B61" s="1"/>
      <c r="C61" s="1"/>
      <c r="D61" s="2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>
      <c r="A62" s="104"/>
      <c r="B62" s="1"/>
      <c r="C62" s="1"/>
      <c r="D62" s="2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104"/>
      <c r="B63" s="1"/>
      <c r="C63" s="1"/>
      <c r="D63" s="2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104"/>
      <c r="B64" s="1"/>
      <c r="C64" s="1"/>
      <c r="D64" s="2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104"/>
      <c r="B65" s="1"/>
      <c r="C65" s="1"/>
      <c r="D65" s="2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104"/>
      <c r="B66" s="3"/>
      <c r="C66" s="3"/>
      <c r="D66" s="23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105"/>
      <c r="B67" s="51" t="s">
        <v>104</v>
      </c>
      <c r="C67" s="51" t="s">
        <v>19</v>
      </c>
      <c r="D67" s="52" t="s">
        <v>34</v>
      </c>
      <c r="E67" s="28" t="s">
        <v>155</v>
      </c>
      <c r="F67" s="28">
        <f t="shared" ref="F67:AE67" si="7">SUM(F59:F66)</f>
        <v>0</v>
      </c>
      <c r="G67" s="28">
        <f t="shared" si="7"/>
        <v>0</v>
      </c>
      <c r="H67" s="28">
        <f t="shared" si="7"/>
        <v>13.240191859795676</v>
      </c>
      <c r="I67" s="28">
        <f t="shared" si="7"/>
        <v>11.492860569722687</v>
      </c>
      <c r="J67" s="28">
        <f t="shared" si="7"/>
        <v>9.9162896095597013</v>
      </c>
      <c r="K67" s="28">
        <f t="shared" si="7"/>
        <v>8.6514698447472433</v>
      </c>
      <c r="L67" s="28">
        <f t="shared" si="7"/>
        <v>8.3299414285551521</v>
      </c>
      <c r="M67" s="28">
        <f t="shared" si="7"/>
        <v>8.1823350330399833</v>
      </c>
      <c r="N67" s="28">
        <f t="shared" si="7"/>
        <v>8.366589844538348</v>
      </c>
      <c r="O67" s="28">
        <f t="shared" si="7"/>
        <v>8.0862693434445507</v>
      </c>
      <c r="P67" s="28">
        <f t="shared" si="7"/>
        <v>8.1523406329959691</v>
      </c>
      <c r="Q67" s="28">
        <f t="shared" si="7"/>
        <v>8.3764997552196085</v>
      </c>
      <c r="R67" s="28">
        <f t="shared" si="7"/>
        <v>8.4178816743703333</v>
      </c>
      <c r="S67" s="28">
        <f t="shared" si="7"/>
        <v>8.6008612525049397</v>
      </c>
      <c r="T67" s="28">
        <f t="shared" si="7"/>
        <v>8.1865557877736865</v>
      </c>
      <c r="U67" s="28">
        <f t="shared" si="7"/>
        <v>8.4342879244841384</v>
      </c>
      <c r="V67" s="28">
        <f t="shared" si="7"/>
        <v>8.6312842138211465</v>
      </c>
      <c r="W67" s="28">
        <f t="shared" si="7"/>
        <v>8.7500228055553144</v>
      </c>
      <c r="X67" s="28">
        <f t="shared" si="7"/>
        <v>8.6031881478539223</v>
      </c>
      <c r="Y67" s="28">
        <f t="shared" si="7"/>
        <v>8.5696499093377358</v>
      </c>
      <c r="Z67" s="28">
        <f t="shared" si="7"/>
        <v>8.2137035872949564</v>
      </c>
      <c r="AA67" s="28">
        <f t="shared" si="7"/>
        <v>7.944172382544517</v>
      </c>
      <c r="AB67" s="28">
        <f t="shared" si="7"/>
        <v>8.0697629953660215</v>
      </c>
      <c r="AC67" s="28">
        <f t="shared" si="7"/>
        <v>7.9526888105723703</v>
      </c>
      <c r="AD67" s="28">
        <f t="shared" si="7"/>
        <v>7.8101487926760758</v>
      </c>
      <c r="AE67" s="28">
        <f t="shared" si="7"/>
        <v>0</v>
      </c>
    </row>
    <row r="72" spans="1:31" ht="13.5" customHeight="1">
      <c r="A72" s="103" t="s">
        <v>156</v>
      </c>
      <c r="B72" s="9" t="s">
        <v>9</v>
      </c>
      <c r="C72" s="9" t="s">
        <v>8</v>
      </c>
      <c r="D72" s="9" t="s">
        <v>10</v>
      </c>
      <c r="E72" s="9" t="s">
        <v>7</v>
      </c>
      <c r="F72" s="9">
        <v>2025</v>
      </c>
      <c r="G72" s="9">
        <v>2026</v>
      </c>
      <c r="H72" s="9">
        <v>2027</v>
      </c>
      <c r="I72" s="9">
        <v>2028</v>
      </c>
      <c r="J72" s="9">
        <v>2029</v>
      </c>
      <c r="K72" s="9">
        <v>2030</v>
      </c>
      <c r="L72" s="9">
        <v>2031</v>
      </c>
      <c r="M72" s="9">
        <v>2032</v>
      </c>
      <c r="N72" s="9">
        <v>2033</v>
      </c>
      <c r="O72" s="9">
        <v>2034</v>
      </c>
      <c r="P72" s="9">
        <v>2035</v>
      </c>
      <c r="Q72" s="9">
        <v>2036</v>
      </c>
      <c r="R72" s="9">
        <v>2037</v>
      </c>
      <c r="S72" s="9">
        <v>2038</v>
      </c>
      <c r="T72" s="9">
        <v>2039</v>
      </c>
      <c r="U72" s="9">
        <v>2040</v>
      </c>
      <c r="V72" s="9">
        <v>2041</v>
      </c>
      <c r="W72" s="9">
        <v>2042</v>
      </c>
      <c r="X72" s="9">
        <v>2043</v>
      </c>
      <c r="Y72" s="9">
        <v>2044</v>
      </c>
      <c r="Z72" s="9">
        <v>2045</v>
      </c>
      <c r="AA72" s="9">
        <v>2046</v>
      </c>
      <c r="AB72" s="9">
        <v>2047</v>
      </c>
      <c r="AC72" s="9">
        <v>2048</v>
      </c>
      <c r="AD72" s="9">
        <v>2049</v>
      </c>
      <c r="AE72" s="32">
        <v>2050</v>
      </c>
    </row>
    <row r="73" spans="1:31">
      <c r="A73" s="104"/>
      <c r="B73" s="5" t="s">
        <v>118</v>
      </c>
      <c r="C73" s="5"/>
      <c r="D73" s="5" t="s">
        <v>55</v>
      </c>
      <c r="E73" s="5" t="s">
        <v>154</v>
      </c>
      <c r="F73" s="55">
        <f t="shared" ref="F73:AE73" si="8">F34</f>
        <v>0</v>
      </c>
      <c r="G73" s="55">
        <f t="shared" si="8"/>
        <v>0</v>
      </c>
      <c r="H73" s="55">
        <f t="shared" si="8"/>
        <v>1412489.4918927837</v>
      </c>
      <c r="I73" s="55">
        <f t="shared" si="8"/>
        <v>1226080.7817910821</v>
      </c>
      <c r="J73" s="55">
        <f t="shared" si="8"/>
        <v>1057889.1167431185</v>
      </c>
      <c r="K73" s="55">
        <f t="shared" si="8"/>
        <v>922955.67726926855</v>
      </c>
      <c r="L73" s="55">
        <f t="shared" si="8"/>
        <v>888654.39870582719</v>
      </c>
      <c r="M73" s="55">
        <f t="shared" si="8"/>
        <v>872907.46053384792</v>
      </c>
      <c r="N73" s="55">
        <f t="shared" si="8"/>
        <v>892564.12320370006</v>
      </c>
      <c r="O73" s="55">
        <f t="shared" si="8"/>
        <v>862658.98539679067</v>
      </c>
      <c r="P73" s="55">
        <f t="shared" si="8"/>
        <v>869707.59943467099</v>
      </c>
      <c r="Q73" s="55">
        <f t="shared" si="8"/>
        <v>893621.33180393046</v>
      </c>
      <c r="R73" s="55">
        <f t="shared" si="8"/>
        <v>898036.03565216146</v>
      </c>
      <c r="S73" s="55">
        <f t="shared" si="8"/>
        <v>917556.65393949288</v>
      </c>
      <c r="T73" s="55">
        <f t="shared" si="8"/>
        <v>873357.73888119706</v>
      </c>
      <c r="U73" s="55">
        <f t="shared" si="8"/>
        <v>899786.28641382011</v>
      </c>
      <c r="V73" s="55">
        <f t="shared" si="8"/>
        <v>920802.23479107313</v>
      </c>
      <c r="W73" s="55">
        <f t="shared" si="8"/>
        <v>933469.49935057992</v>
      </c>
      <c r="X73" s="55">
        <f t="shared" si="8"/>
        <v>917804.89167380799</v>
      </c>
      <c r="Y73" s="55">
        <f t="shared" si="8"/>
        <v>914226.96697435144</v>
      </c>
      <c r="Z73" s="55">
        <f t="shared" si="8"/>
        <v>876253.91908446455</v>
      </c>
      <c r="AA73" s="55">
        <f t="shared" si="8"/>
        <v>847499.80445541325</v>
      </c>
      <c r="AB73" s="55">
        <f t="shared" si="8"/>
        <v>860898.05598901946</v>
      </c>
      <c r="AC73" s="55">
        <f t="shared" si="8"/>
        <v>848408.35360826424</v>
      </c>
      <c r="AD73" s="55">
        <f t="shared" si="8"/>
        <v>833201.90648236661</v>
      </c>
      <c r="AE73" s="55">
        <f t="shared" si="8"/>
        <v>0</v>
      </c>
    </row>
    <row r="74" spans="1:31">
      <c r="A74" s="104"/>
      <c r="B74" s="1" t="s">
        <v>119</v>
      </c>
      <c r="C74" s="1"/>
      <c r="D74" s="1" t="s">
        <v>55</v>
      </c>
      <c r="E74" s="1" t="s">
        <v>154</v>
      </c>
      <c r="F74" s="56">
        <f t="shared" ref="F74:AE74" si="9">F45</f>
        <v>0</v>
      </c>
      <c r="G74" s="56">
        <f t="shared" si="9"/>
        <v>0</v>
      </c>
      <c r="H74" s="56">
        <f t="shared" si="9"/>
        <v>3183154.221079234</v>
      </c>
      <c r="I74" s="56">
        <f t="shared" si="9"/>
        <v>2763067.788003521</v>
      </c>
      <c r="J74" s="56">
        <f t="shared" si="9"/>
        <v>2384034.8736911155</v>
      </c>
      <c r="K74" s="56">
        <f t="shared" si="9"/>
        <v>2079951.9407622756</v>
      </c>
      <c r="L74" s="56">
        <f t="shared" si="9"/>
        <v>2002651.358864622</v>
      </c>
      <c r="M74" s="56">
        <f t="shared" si="9"/>
        <v>1967164.4168385682</v>
      </c>
      <c r="N74" s="56">
        <f t="shared" si="9"/>
        <v>2011462.2251472333</v>
      </c>
      <c r="O74" s="56">
        <f t="shared" si="9"/>
        <v>1944068.6861592312</v>
      </c>
      <c r="P74" s="56">
        <f t="shared" si="9"/>
        <v>1959953.2825801014</v>
      </c>
      <c r="Q74" s="56">
        <f t="shared" si="9"/>
        <v>2013844.7264243755</v>
      </c>
      <c r="R74" s="56">
        <f t="shared" si="9"/>
        <v>2023793.6026956462</v>
      </c>
      <c r="S74" s="56">
        <f t="shared" si="9"/>
        <v>2067784.8244753778</v>
      </c>
      <c r="T74" s="56">
        <f t="shared" si="9"/>
        <v>1968179.1538898889</v>
      </c>
      <c r="U74" s="56">
        <f t="shared" si="9"/>
        <v>2027737.9280388777</v>
      </c>
      <c r="V74" s="56">
        <f t="shared" si="9"/>
        <v>2075098.9917289107</v>
      </c>
      <c r="W74" s="56">
        <f t="shared" si="9"/>
        <v>2103645.6512853573</v>
      </c>
      <c r="X74" s="56">
        <f t="shared" si="9"/>
        <v>2068344.2473923988</v>
      </c>
      <c r="Y74" s="56">
        <f t="shared" si="9"/>
        <v>2060281.1175955764</v>
      </c>
      <c r="Z74" s="56">
        <f t="shared" si="9"/>
        <v>1974705.9197822732</v>
      </c>
      <c r="AA74" s="56">
        <f t="shared" si="9"/>
        <v>1909906.3004716835</v>
      </c>
      <c r="AB74" s="56">
        <f t="shared" si="9"/>
        <v>1940100.2956617852</v>
      </c>
      <c r="AC74" s="56">
        <f t="shared" si="9"/>
        <v>1911953.7861963951</v>
      </c>
      <c r="AD74" s="56">
        <f t="shared" si="9"/>
        <v>1877684.882509504</v>
      </c>
      <c r="AE74" s="56">
        <f t="shared" si="9"/>
        <v>0</v>
      </c>
    </row>
    <row r="75" spans="1:31">
      <c r="A75" s="104"/>
      <c r="B75" s="1" t="s">
        <v>145</v>
      </c>
      <c r="C75" s="1"/>
      <c r="D75" s="1" t="s">
        <v>55</v>
      </c>
      <c r="E75" s="1" t="s">
        <v>155</v>
      </c>
      <c r="F75" s="14">
        <f t="shared" ref="F75:AE75" si="10">F56</f>
        <v>0</v>
      </c>
      <c r="G75" s="14">
        <f t="shared" si="10"/>
        <v>0</v>
      </c>
      <c r="H75" s="14">
        <f t="shared" si="10"/>
        <v>78.108615742214653</v>
      </c>
      <c r="I75" s="14">
        <f t="shared" si="10"/>
        <v>67.800485032637042</v>
      </c>
      <c r="J75" s="14">
        <f t="shared" si="10"/>
        <v>58.499730434689297</v>
      </c>
      <c r="K75" s="14">
        <f t="shared" si="10"/>
        <v>51.038107367663805</v>
      </c>
      <c r="L75" s="14">
        <f t="shared" si="10"/>
        <v>49.141296522587531</v>
      </c>
      <c r="M75" s="14">
        <f t="shared" si="10"/>
        <v>48.270513731033212</v>
      </c>
      <c r="N75" s="14">
        <f t="shared" si="10"/>
        <v>49.357498604241989</v>
      </c>
      <c r="O75" s="14">
        <f t="shared" si="10"/>
        <v>47.703787952881505</v>
      </c>
      <c r="P75" s="14">
        <f t="shared" si="10"/>
        <v>48.093566063486918</v>
      </c>
      <c r="Q75" s="14">
        <f t="shared" si="10"/>
        <v>49.415960703102712</v>
      </c>
      <c r="R75" s="14">
        <f t="shared" si="10"/>
        <v>49.660087408806604</v>
      </c>
      <c r="S75" s="14">
        <f t="shared" si="10"/>
        <v>50.739549225412716</v>
      </c>
      <c r="T75" s="14">
        <f t="shared" si="10"/>
        <v>48.295413469128256</v>
      </c>
      <c r="U75" s="14">
        <f t="shared" si="10"/>
        <v>49.756873731805527</v>
      </c>
      <c r="V75" s="14">
        <f t="shared" si="10"/>
        <v>50.919025128809814</v>
      </c>
      <c r="W75" s="14">
        <f t="shared" si="10"/>
        <v>51.619506446131069</v>
      </c>
      <c r="X75" s="14">
        <f t="shared" si="10"/>
        <v>50.753276411288162</v>
      </c>
      <c r="Y75" s="14">
        <f t="shared" si="10"/>
        <v>50.555422376190215</v>
      </c>
      <c r="Z75" s="14">
        <f t="shared" si="10"/>
        <v>48.45556802455372</v>
      </c>
      <c r="AA75" s="14">
        <f t="shared" si="10"/>
        <v>46.865507281830233</v>
      </c>
      <c r="AB75" s="14">
        <f t="shared" si="10"/>
        <v>47.606411116274778</v>
      </c>
      <c r="AC75" s="14">
        <f t="shared" si="10"/>
        <v>46.915748729338532</v>
      </c>
      <c r="AD75" s="14">
        <f t="shared" si="10"/>
        <v>46.074854306988236</v>
      </c>
      <c r="AE75" s="14">
        <f t="shared" si="10"/>
        <v>0</v>
      </c>
    </row>
    <row r="76" spans="1:31">
      <c r="A76" s="105"/>
      <c r="B76" s="3" t="s">
        <v>147</v>
      </c>
      <c r="C76" s="3"/>
      <c r="D76" s="3" t="s">
        <v>55</v>
      </c>
      <c r="E76" s="3" t="s">
        <v>155</v>
      </c>
      <c r="F76" s="44">
        <f t="shared" ref="F76:AE76" si="11">F67</f>
        <v>0</v>
      </c>
      <c r="G76" s="44">
        <f t="shared" si="11"/>
        <v>0</v>
      </c>
      <c r="H76" s="44">
        <f t="shared" si="11"/>
        <v>13.240191859795676</v>
      </c>
      <c r="I76" s="44">
        <f t="shared" si="11"/>
        <v>11.492860569722687</v>
      </c>
      <c r="J76" s="44">
        <f t="shared" si="11"/>
        <v>9.9162896095597013</v>
      </c>
      <c r="K76" s="44">
        <f t="shared" si="11"/>
        <v>8.6514698447472433</v>
      </c>
      <c r="L76" s="44">
        <f t="shared" si="11"/>
        <v>8.3299414285551521</v>
      </c>
      <c r="M76" s="44">
        <f t="shared" si="11"/>
        <v>8.1823350330399833</v>
      </c>
      <c r="N76" s="44">
        <f t="shared" si="11"/>
        <v>8.366589844538348</v>
      </c>
      <c r="O76" s="44">
        <f t="shared" si="11"/>
        <v>8.0862693434445507</v>
      </c>
      <c r="P76" s="44">
        <f t="shared" si="11"/>
        <v>8.1523406329959691</v>
      </c>
      <c r="Q76" s="44">
        <f t="shared" si="11"/>
        <v>8.3764997552196085</v>
      </c>
      <c r="R76" s="44">
        <f t="shared" si="11"/>
        <v>8.4178816743703333</v>
      </c>
      <c r="S76" s="44">
        <f t="shared" si="11"/>
        <v>8.6008612525049397</v>
      </c>
      <c r="T76" s="44">
        <f t="shared" si="11"/>
        <v>8.1865557877736865</v>
      </c>
      <c r="U76" s="44">
        <f t="shared" si="11"/>
        <v>8.4342879244841384</v>
      </c>
      <c r="V76" s="44">
        <f t="shared" si="11"/>
        <v>8.6312842138211465</v>
      </c>
      <c r="W76" s="44">
        <f t="shared" si="11"/>
        <v>8.7500228055553144</v>
      </c>
      <c r="X76" s="44">
        <f t="shared" si="11"/>
        <v>8.6031881478539223</v>
      </c>
      <c r="Y76" s="44">
        <f t="shared" si="11"/>
        <v>8.5696499093377358</v>
      </c>
      <c r="Z76" s="44">
        <f t="shared" si="11"/>
        <v>8.2137035872949564</v>
      </c>
      <c r="AA76" s="44">
        <f t="shared" si="11"/>
        <v>7.944172382544517</v>
      </c>
      <c r="AB76" s="44">
        <f t="shared" si="11"/>
        <v>8.0697629953660215</v>
      </c>
      <c r="AC76" s="44">
        <f t="shared" si="11"/>
        <v>7.9526888105723703</v>
      </c>
      <c r="AD76" s="44">
        <f t="shared" si="11"/>
        <v>7.8101487926760758</v>
      </c>
      <c r="AE76" s="44">
        <f t="shared" si="11"/>
        <v>0</v>
      </c>
    </row>
    <row r="81" spans="1:9" ht="39">
      <c r="A81" s="22"/>
      <c r="F81" s="58" t="s">
        <v>118</v>
      </c>
      <c r="G81" s="29" t="s">
        <v>119</v>
      </c>
      <c r="H81" s="29" t="s">
        <v>145</v>
      </c>
      <c r="I81" s="59" t="s">
        <v>147</v>
      </c>
    </row>
    <row r="82" spans="1:9" ht="13.5" customHeight="1">
      <c r="A82" s="100" t="s">
        <v>37</v>
      </c>
      <c r="B82" s="5" t="s">
        <v>158</v>
      </c>
      <c r="C82" s="5" t="s">
        <v>38</v>
      </c>
      <c r="D82" s="5" t="s">
        <v>34</v>
      </c>
      <c r="E82" s="5"/>
      <c r="F82" s="60">
        <f>SUM($F$73:$K$73)</f>
        <v>4619415.0676962528</v>
      </c>
      <c r="G82" s="55">
        <f>SUM($F$74:$K$74)</f>
        <v>10410208.823536146</v>
      </c>
      <c r="H82" s="7">
        <f>SUM($F$75:$K$75)</f>
        <v>255.4469385772048</v>
      </c>
      <c r="I82" s="34">
        <f>SUM($F$76:$K$76)</f>
        <v>43.300811883825304</v>
      </c>
    </row>
    <row r="83" spans="1:9" ht="13.5" customHeight="1">
      <c r="A83" s="101"/>
      <c r="B83" s="1" t="s">
        <v>159</v>
      </c>
      <c r="C83" s="1" t="s">
        <v>38</v>
      </c>
      <c r="D83" s="1" t="s">
        <v>34</v>
      </c>
      <c r="E83" s="1"/>
      <c r="F83" s="61">
        <f>F82/COUNT($F$72:$K$72)</f>
        <v>769902.51128270885</v>
      </c>
      <c r="G83" s="56">
        <f>G82/COUNT($F$72:$K$72)</f>
        <v>1735034.8039226911</v>
      </c>
      <c r="H83" s="2">
        <f>H82/COUNT($F$72:$K$72)</f>
        <v>42.574489762867465</v>
      </c>
      <c r="I83" s="35">
        <f>I82/COUNT($F$72:$K$72)</f>
        <v>7.216801980637551</v>
      </c>
    </row>
    <row r="84" spans="1:9">
      <c r="A84" s="101"/>
      <c r="B84" s="1" t="s">
        <v>158</v>
      </c>
      <c r="C84" s="1" t="s">
        <v>40</v>
      </c>
      <c r="D84" s="1" t="s">
        <v>34</v>
      </c>
      <c r="E84" s="1"/>
      <c r="F84" s="61">
        <f>SUM(F73:AE73)</f>
        <v>21440831.314071033</v>
      </c>
      <c r="G84" s="56">
        <f>SUM(F74:AE74)</f>
        <v>48318570.221273959</v>
      </c>
      <c r="H84" s="2">
        <f>SUM($F$75:$AE$75)</f>
        <v>1185.6468058110966</v>
      </c>
      <c r="I84" s="35">
        <f>SUM($F$76:$AE$76)</f>
        <v>200.97899620577411</v>
      </c>
    </row>
    <row r="85" spans="1:9">
      <c r="A85" s="102"/>
      <c r="B85" s="3" t="s">
        <v>159</v>
      </c>
      <c r="C85" s="3" t="s">
        <v>40</v>
      </c>
      <c r="D85" s="3" t="s">
        <v>34</v>
      </c>
      <c r="E85" s="3"/>
      <c r="F85" s="62">
        <f>F84/COUNT($F$72:$AE$72)</f>
        <v>824647.35823350132</v>
      </c>
      <c r="G85" s="63">
        <f>G84/COUNT($F$72:$AE$72)</f>
        <v>1858406.5469720752</v>
      </c>
      <c r="H85" s="23">
        <f>H84/COUNT($F$72:$AE$72)</f>
        <v>45.601800223503716</v>
      </c>
      <c r="I85" s="36">
        <f>I84/COUNT($F$72:$AE$72)</f>
        <v>7.7299613925297734</v>
      </c>
    </row>
    <row r="86" spans="1:9" ht="13">
      <c r="A86" s="22"/>
    </row>
  </sheetData>
  <mergeCells count="9">
    <mergeCell ref="A58:A67"/>
    <mergeCell ref="A72:A76"/>
    <mergeCell ref="A82:A85"/>
    <mergeCell ref="A6:A11"/>
    <mergeCell ref="A13:A18"/>
    <mergeCell ref="A20:A21"/>
    <mergeCell ref="A25:A34"/>
    <mergeCell ref="A36:A45"/>
    <mergeCell ref="A47:A5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1AC27-AB8D-497C-A1BA-64D3DC84387C}">
  <sheetPr>
    <tabColor theme="6"/>
  </sheetPr>
  <dimension ref="A1:AE86"/>
  <sheetViews>
    <sheetView topLeftCell="E1"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0.08984375" style="21" customWidth="1"/>
    <col min="6" max="6" width="16.08984375" style="21" customWidth="1"/>
    <col min="7" max="10" width="15.90625" style="21" customWidth="1"/>
    <col min="11" max="11" width="12.3632812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1" width="12.36328125" style="21" bestFit="1" customWidth="1"/>
    <col min="32" max="36" width="9.54296875" style="21" bestFit="1" customWidth="1"/>
    <col min="37" max="16384" width="9.08984375" style="21"/>
  </cols>
  <sheetData>
    <row r="1" spans="1:17">
      <c r="A1" s="21" t="s">
        <v>186</v>
      </c>
    </row>
    <row r="2" spans="1:17" ht="13">
      <c r="A2" s="22" t="s">
        <v>210</v>
      </c>
    </row>
    <row r="3" spans="1:17" ht="13">
      <c r="A3" s="22" t="s">
        <v>222</v>
      </c>
    </row>
    <row r="4" spans="1:17" ht="13">
      <c r="A4" s="22"/>
    </row>
    <row r="6" spans="1:17" s="27" customFormat="1" ht="40.5" customHeight="1">
      <c r="A6" s="97" t="s">
        <v>42</v>
      </c>
      <c r="B6" s="26" t="s">
        <v>9</v>
      </c>
      <c r="C6" s="26" t="s">
        <v>8</v>
      </c>
      <c r="D6" s="37" t="s">
        <v>10</v>
      </c>
      <c r="E6" s="37"/>
      <c r="F6" s="29" t="s">
        <v>118</v>
      </c>
      <c r="G6" s="29" t="s">
        <v>119</v>
      </c>
      <c r="H6" s="29" t="s">
        <v>145</v>
      </c>
      <c r="I6" s="29" t="s">
        <v>147</v>
      </c>
      <c r="J6" s="21"/>
      <c r="K6" s="21"/>
      <c r="L6" s="21"/>
      <c r="M6" s="21"/>
      <c r="N6" s="21"/>
      <c r="O6" s="21"/>
      <c r="P6" s="21"/>
      <c r="Q6" s="21"/>
    </row>
    <row r="7" spans="1:17" ht="13.5" customHeight="1">
      <c r="A7" s="98"/>
      <c r="B7" s="5" t="s">
        <v>273</v>
      </c>
      <c r="C7" s="5" t="s">
        <v>275</v>
      </c>
      <c r="D7" s="7" t="s">
        <v>114</v>
      </c>
      <c r="E7" s="7"/>
      <c r="F7" s="7">
        <f>'P0.3a Coal-NG Ret COBRA Results'!E19</f>
        <v>297775.37128728884</v>
      </c>
      <c r="G7" s="7">
        <f>'P0.3a Coal-NG Ret COBRA Results'!F19</f>
        <v>671114.92729697679</v>
      </c>
      <c r="H7" s="2">
        <f>'P0.3a Coal-NG Ret COBRA Results'!AF19</f>
        <v>14.01032628280298</v>
      </c>
      <c r="I7" s="2">
        <f>'P0.3a Coal-NG Ret COBRA Results'!AH19</f>
        <v>2.3680392666824415</v>
      </c>
    </row>
    <row r="8" spans="1:17">
      <c r="A8" s="98"/>
      <c r="B8" s="1" t="s">
        <v>271</v>
      </c>
      <c r="C8" s="1" t="s">
        <v>275</v>
      </c>
      <c r="D8" s="2" t="s">
        <v>114</v>
      </c>
      <c r="E8" s="2"/>
      <c r="F8" s="2">
        <f>'P0.3a Coal-NG Ret COBRA Results'!E20</f>
        <v>5963.9588430669919</v>
      </c>
      <c r="G8" s="2">
        <f>'P0.3a Coal-NG Ret COBRA Results'!F20</f>
        <v>13441.272714939638</v>
      </c>
      <c r="H8" s="2">
        <f>'P0.3a Coal-NG Ret COBRA Results'!AF20</f>
        <v>0.28048503209418491</v>
      </c>
      <c r="I8" s="2">
        <f>'P0.3a Coal-NG Ret COBRA Results'!AH20</f>
        <v>4.7408226256800162E-2</v>
      </c>
    </row>
    <row r="9" spans="1:17">
      <c r="A9" s="98"/>
      <c r="B9" s="1"/>
      <c r="C9" s="1"/>
      <c r="D9" s="2"/>
      <c r="E9" s="2"/>
      <c r="F9" s="2"/>
      <c r="G9" s="2"/>
      <c r="H9" s="2"/>
      <c r="I9" s="2"/>
    </row>
    <row r="10" spans="1:17">
      <c r="A10" s="98"/>
      <c r="B10" s="1"/>
      <c r="C10" s="1"/>
      <c r="D10" s="2"/>
      <c r="E10" s="2"/>
      <c r="F10" s="2"/>
      <c r="G10" s="2"/>
      <c r="H10" s="2"/>
      <c r="I10" s="2"/>
    </row>
    <row r="11" spans="1:17">
      <c r="A11" s="99"/>
      <c r="B11" s="3"/>
      <c r="C11" s="3"/>
      <c r="D11" s="23"/>
      <c r="E11" s="23"/>
      <c r="F11" s="23"/>
      <c r="G11" s="23"/>
      <c r="H11" s="23"/>
      <c r="I11" s="23"/>
    </row>
    <row r="12" spans="1:17" ht="13">
      <c r="A12" s="30"/>
      <c r="B12" s="30"/>
      <c r="C12" s="30"/>
      <c r="D12" s="30"/>
      <c r="E12" s="30"/>
      <c r="F12" s="30"/>
      <c r="G12" s="30"/>
      <c r="H12" s="30"/>
      <c r="I12" s="30"/>
    </row>
    <row r="13" spans="1:17" s="27" customFormat="1" ht="15" customHeight="1">
      <c r="A13" s="97" t="s">
        <v>98</v>
      </c>
      <c r="B13" s="26" t="s">
        <v>9</v>
      </c>
      <c r="C13" s="26" t="s">
        <v>8</v>
      </c>
      <c r="D13" s="37" t="s">
        <v>10</v>
      </c>
      <c r="E13" s="37"/>
      <c r="F13" s="29">
        <v>2025</v>
      </c>
      <c r="G13" s="29">
        <v>2026</v>
      </c>
      <c r="H13" s="29">
        <v>2027</v>
      </c>
      <c r="I13" s="29">
        <v>2028</v>
      </c>
      <c r="J13" s="29">
        <v>2029</v>
      </c>
      <c r="L13" s="21"/>
      <c r="M13" s="21"/>
      <c r="N13" s="21"/>
      <c r="O13" s="21"/>
      <c r="P13" s="21"/>
      <c r="Q13" s="21"/>
    </row>
    <row r="14" spans="1:17" ht="13.5" customHeight="1">
      <c r="A14" s="98"/>
      <c r="B14" s="5" t="s">
        <v>273</v>
      </c>
      <c r="C14" s="5" t="s">
        <v>99</v>
      </c>
      <c r="D14" s="7" t="s">
        <v>279</v>
      </c>
      <c r="E14" s="7"/>
      <c r="F14" s="40"/>
      <c r="G14" s="40"/>
      <c r="H14" s="41" t="s">
        <v>100</v>
      </c>
      <c r="I14" s="41"/>
      <c r="J14" s="41"/>
    </row>
    <row r="15" spans="1:17">
      <c r="A15" s="98"/>
      <c r="B15" s="1" t="s">
        <v>271</v>
      </c>
      <c r="C15" s="1" t="s">
        <v>99</v>
      </c>
      <c r="D15" s="2" t="s">
        <v>279</v>
      </c>
      <c r="E15" s="2"/>
      <c r="F15" s="41"/>
      <c r="G15" s="41"/>
      <c r="H15" s="41" t="s">
        <v>100</v>
      </c>
      <c r="I15" s="41"/>
      <c r="J15" s="41"/>
    </row>
    <row r="16" spans="1:17">
      <c r="A16" s="98"/>
      <c r="B16" s="1"/>
      <c r="C16" s="1"/>
      <c r="D16" s="2"/>
      <c r="E16" s="2"/>
      <c r="F16" s="41"/>
      <c r="G16" s="41"/>
      <c r="H16" s="41"/>
      <c r="I16" s="41"/>
      <c r="J16" s="41"/>
    </row>
    <row r="17" spans="1:31">
      <c r="A17" s="98"/>
      <c r="B17" s="1"/>
      <c r="C17" s="1"/>
      <c r="D17" s="2"/>
      <c r="E17" s="2"/>
      <c r="F17" s="41"/>
      <c r="G17" s="41"/>
      <c r="H17" s="41"/>
      <c r="I17" s="41"/>
      <c r="J17" s="41"/>
    </row>
    <row r="18" spans="1:31">
      <c r="A18" s="99"/>
      <c r="B18" s="3"/>
      <c r="C18" s="3"/>
      <c r="D18" s="23"/>
      <c r="E18" s="23"/>
      <c r="F18" s="42"/>
      <c r="G18" s="42"/>
      <c r="H18" s="42"/>
      <c r="I18" s="42"/>
      <c r="J18" s="42"/>
    </row>
    <row r="19" spans="1:31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0" spans="1:31" ht="13">
      <c r="A20" s="106"/>
      <c r="B20" s="26" t="s">
        <v>9</v>
      </c>
      <c r="C20" s="26" t="s">
        <v>8</v>
      </c>
      <c r="D20" s="37" t="s">
        <v>10</v>
      </c>
      <c r="E20" s="37" t="s">
        <v>7</v>
      </c>
      <c r="F20" s="9">
        <v>2025</v>
      </c>
      <c r="G20" s="9">
        <v>2026</v>
      </c>
      <c r="H20" s="9">
        <v>2027</v>
      </c>
      <c r="I20" s="9">
        <v>2028</v>
      </c>
      <c r="J20" s="9">
        <v>2029</v>
      </c>
      <c r="K20" s="9">
        <v>2030</v>
      </c>
      <c r="L20" s="9">
        <v>2031</v>
      </c>
      <c r="M20" s="9">
        <v>2032</v>
      </c>
      <c r="N20" s="9">
        <v>2033</v>
      </c>
      <c r="O20" s="9">
        <v>2034</v>
      </c>
      <c r="P20" s="9">
        <v>2035</v>
      </c>
      <c r="Q20" s="9">
        <v>2036</v>
      </c>
      <c r="R20" s="9">
        <v>2037</v>
      </c>
      <c r="S20" s="9">
        <v>2038</v>
      </c>
      <c r="T20" s="9">
        <v>2039</v>
      </c>
      <c r="U20" s="9">
        <v>2040</v>
      </c>
      <c r="V20" s="9">
        <v>2041</v>
      </c>
      <c r="W20" s="9">
        <v>2042</v>
      </c>
      <c r="X20" s="9">
        <v>2043</v>
      </c>
      <c r="Y20" s="9">
        <v>2044</v>
      </c>
      <c r="Z20" s="9">
        <v>2045</v>
      </c>
      <c r="AA20" s="9">
        <v>2046</v>
      </c>
      <c r="AB20" s="9">
        <v>2047</v>
      </c>
      <c r="AC20" s="9">
        <v>2048</v>
      </c>
      <c r="AD20" s="9">
        <v>2049</v>
      </c>
      <c r="AE20" s="9">
        <v>2050</v>
      </c>
    </row>
    <row r="21" spans="1:31">
      <c r="A21" s="107"/>
      <c r="B21" s="3" t="s">
        <v>101</v>
      </c>
      <c r="C21" s="3" t="s">
        <v>103</v>
      </c>
      <c r="D21" s="23" t="s">
        <v>102</v>
      </c>
      <c r="E21" s="23" t="s">
        <v>22</v>
      </c>
      <c r="F21" s="43">
        <f>'P0.1 Background Data'!J8</f>
        <v>-5.9786200000000005E-2</v>
      </c>
      <c r="G21" s="43">
        <f>'P0.1 Background Data'!K8</f>
        <v>-0.165266651936674</v>
      </c>
      <c r="H21" s="43">
        <f>'P0.1 Background Data'!L8</f>
        <v>-0.19804073729768346</v>
      </c>
      <c r="I21" s="43">
        <f>'P0.1 Background Data'!M8</f>
        <v>-0.30387670462521787</v>
      </c>
      <c r="J21" s="43">
        <f>'P0.1 Background Data'!N8</f>
        <v>-0.39936970791389542</v>
      </c>
      <c r="K21" s="43">
        <f>'P0.1 Background Data'!O8</f>
        <v>-0.47597992148039048</v>
      </c>
      <c r="L21" s="43">
        <f>'P0.1 Background Data'!P8</f>
        <v>-0.49545491809054032</v>
      </c>
      <c r="M21" s="43">
        <f>'P0.1 Background Data'!Q8</f>
        <v>-0.50439544685107429</v>
      </c>
      <c r="N21" s="43">
        <f>'P0.1 Background Data'!R8</f>
        <v>-0.49323512120448937</v>
      </c>
      <c r="O21" s="43">
        <f>'P0.1 Background Data'!S8</f>
        <v>-0.51021415177731333</v>
      </c>
      <c r="P21" s="43">
        <f>'P0.1 Background Data'!T8</f>
        <v>-0.50621220956865531</v>
      </c>
      <c r="Q21" s="43">
        <f>'P0.1 Background Data'!U8</f>
        <v>-0.4926348772844959</v>
      </c>
      <c r="R21" s="43">
        <f>'P0.1 Background Data'!V8</f>
        <v>-0.49012837181065189</v>
      </c>
      <c r="S21" s="43">
        <f>'P0.1 Background Data'!W8</f>
        <v>-0.47904528712998368</v>
      </c>
      <c r="T21" s="43">
        <f>'P0.1 Background Data'!X8</f>
        <v>-0.50413979546851639</v>
      </c>
      <c r="U21" s="43">
        <f>'P0.1 Background Data'!Y8</f>
        <v>-0.48913464419821984</v>
      </c>
      <c r="V21" s="43">
        <f>'P0.1 Background Data'!Z8</f>
        <v>-0.47720256642889997</v>
      </c>
      <c r="W21" s="43">
        <f>'P0.1 Background Data'!AA8</f>
        <v>-0.47001056237867206</v>
      </c>
      <c r="X21" s="43">
        <f>'P0.1 Background Data'!AB8</f>
        <v>-0.47890434693076178</v>
      </c>
      <c r="Y21" s="43">
        <f>'P0.1 Background Data'!AC8</f>
        <v>-0.48093576016990425</v>
      </c>
      <c r="Z21" s="43">
        <f>'P0.1 Background Data'!AD8</f>
        <v>-0.50249545152557273</v>
      </c>
      <c r="AA21" s="43">
        <f>'P0.1 Background Data'!AE8</f>
        <v>-0.51882097373294234</v>
      </c>
      <c r="AB21" s="43">
        <f>'P0.1 Background Data'!AF8</f>
        <v>-0.51121394232983253</v>
      </c>
      <c r="AC21" s="43">
        <f>'P0.1 Background Data'!AG8</f>
        <v>-0.51830513314585747</v>
      </c>
      <c r="AD21" s="43">
        <f>'P0.1 Background Data'!AH8</f>
        <v>-0.52693879109191766</v>
      </c>
      <c r="AE21" s="43">
        <f>'P0.1 Background Data'!AI8</f>
        <v>-0.54117899786777102</v>
      </c>
    </row>
    <row r="22" spans="1:31" ht="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0"/>
    </row>
    <row r="23" spans="1:31" ht="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0"/>
    </row>
    <row r="25" spans="1:31" ht="13.5" customHeight="1">
      <c r="A25" s="100" t="s">
        <v>118</v>
      </c>
      <c r="B25" s="9" t="s">
        <v>9</v>
      </c>
      <c r="C25" s="9" t="s">
        <v>8</v>
      </c>
      <c r="D25" s="9" t="s">
        <v>10</v>
      </c>
      <c r="E25" s="9" t="s">
        <v>7</v>
      </c>
      <c r="F25" s="9">
        <v>2025</v>
      </c>
      <c r="G25" s="9">
        <v>2026</v>
      </c>
      <c r="H25" s="9">
        <v>2027</v>
      </c>
      <c r="I25" s="9">
        <v>2028</v>
      </c>
      <c r="J25" s="9">
        <v>2029</v>
      </c>
      <c r="K25" s="9">
        <v>2030</v>
      </c>
      <c r="L25" s="9">
        <v>2031</v>
      </c>
      <c r="M25" s="9">
        <v>2032</v>
      </c>
      <c r="N25" s="9">
        <v>2033</v>
      </c>
      <c r="O25" s="9">
        <v>2034</v>
      </c>
      <c r="P25" s="9">
        <v>2035</v>
      </c>
      <c r="Q25" s="9">
        <v>2036</v>
      </c>
      <c r="R25" s="9">
        <v>2037</v>
      </c>
      <c r="S25" s="9">
        <v>2038</v>
      </c>
      <c r="T25" s="9">
        <v>2039</v>
      </c>
      <c r="U25" s="9">
        <v>2040</v>
      </c>
      <c r="V25" s="9">
        <v>2041</v>
      </c>
      <c r="W25" s="9">
        <v>2042</v>
      </c>
      <c r="X25" s="9">
        <v>2043</v>
      </c>
      <c r="Y25" s="9">
        <v>2044</v>
      </c>
      <c r="Z25" s="9">
        <v>2045</v>
      </c>
      <c r="AA25" s="9">
        <v>2046</v>
      </c>
      <c r="AB25" s="9">
        <v>2047</v>
      </c>
      <c r="AC25" s="9">
        <v>2048</v>
      </c>
      <c r="AD25" s="9">
        <v>2049</v>
      </c>
      <c r="AE25" s="9">
        <v>2050</v>
      </c>
    </row>
    <row r="26" spans="1:31">
      <c r="A26" s="101"/>
      <c r="B26" s="5" t="s">
        <v>273</v>
      </c>
      <c r="C26" s="5">
        <v>2027</v>
      </c>
      <c r="D26" s="2" t="s">
        <v>278</v>
      </c>
      <c r="E26" s="5" t="s">
        <v>154</v>
      </c>
      <c r="F26" s="55"/>
      <c r="G26" s="55"/>
      <c r="H26" s="55">
        <f t="shared" ref="H26:AE26" si="0">$F$7+($F$7*H$21)</f>
        <v>238803.71720846271</v>
      </c>
      <c r="I26" s="55">
        <f t="shared" si="0"/>
        <v>207288.37274195679</v>
      </c>
      <c r="J26" s="55">
        <f t="shared" si="0"/>
        <v>178852.90823233256</v>
      </c>
      <c r="K26" s="55">
        <f t="shared" si="0"/>
        <v>156040.27344317097</v>
      </c>
      <c r="L26" s="55">
        <f t="shared" si="0"/>
        <v>150241.09909676493</v>
      </c>
      <c r="M26" s="55">
        <f t="shared" si="0"/>
        <v>147578.82982559223</v>
      </c>
      <c r="N26" s="55">
        <f t="shared" si="0"/>
        <v>150902.0999386911</v>
      </c>
      <c r="O26" s="55">
        <f t="shared" si="0"/>
        <v>145846.16280577023</v>
      </c>
      <c r="P26" s="55">
        <f t="shared" si="0"/>
        <v>147037.84263282362</v>
      </c>
      <c r="Q26" s="55">
        <f t="shared" si="0"/>
        <v>151080.83779483009</v>
      </c>
      <c r="R26" s="55">
        <f t="shared" si="0"/>
        <v>151827.21339293761</v>
      </c>
      <c r="S26" s="55">
        <f t="shared" si="0"/>
        <v>155127.48304873207</v>
      </c>
      <c r="T26" s="55">
        <f t="shared" si="0"/>
        <v>147654.95651095352</v>
      </c>
      <c r="U26" s="55">
        <f t="shared" si="0"/>
        <v>152123.12100168801</v>
      </c>
      <c r="V26" s="55">
        <f t="shared" si="0"/>
        <v>155676.19988967603</v>
      </c>
      <c r="W26" s="55">
        <f t="shared" si="0"/>
        <v>157817.80156603234</v>
      </c>
      <c r="X26" s="55">
        <f t="shared" si="0"/>
        <v>155169.45156888466</v>
      </c>
      <c r="Y26" s="55">
        <f t="shared" si="0"/>
        <v>154564.54673736112</v>
      </c>
      <c r="Z26" s="55">
        <f t="shared" si="0"/>
        <v>148144.60163908757</v>
      </c>
      <c r="AA26" s="55">
        <f t="shared" si="0"/>
        <v>143283.2632023292</v>
      </c>
      <c r="AB26" s="55">
        <f t="shared" si="0"/>
        <v>145548.44980278431</v>
      </c>
      <c r="AC26" s="55">
        <f t="shared" si="0"/>
        <v>143436.86782467345</v>
      </c>
      <c r="AD26" s="55">
        <f t="shared" si="0"/>
        <v>140865.97712421793</v>
      </c>
      <c r="AE26" s="55">
        <f t="shared" si="0"/>
        <v>136625.59426433043</v>
      </c>
    </row>
    <row r="27" spans="1:31">
      <c r="A27" s="101"/>
      <c r="B27" s="1" t="s">
        <v>271</v>
      </c>
      <c r="C27" s="1">
        <v>2027</v>
      </c>
      <c r="D27" s="2" t="s">
        <v>278</v>
      </c>
      <c r="E27" s="1" t="s">
        <v>154</v>
      </c>
      <c r="F27" s="56"/>
      <c r="G27" s="56"/>
      <c r="H27" s="56">
        <f t="shared" ref="H27:AE27" si="1">$F$8+($F$8*H$21)</f>
        <v>4782.8520365729655</v>
      </c>
      <c r="I27" s="56">
        <f t="shared" si="1"/>
        <v>4151.6506833153671</v>
      </c>
      <c r="J27" s="56">
        <f t="shared" si="1"/>
        <v>3582.1343419008335</v>
      </c>
      <c r="K27" s="56">
        <f t="shared" si="1"/>
        <v>3125.2341812316845</v>
      </c>
      <c r="L27" s="56">
        <f t="shared" si="1"/>
        <v>3009.0861029798816</v>
      </c>
      <c r="M27" s="56">
        <f t="shared" si="1"/>
        <v>2955.7651574168003</v>
      </c>
      <c r="N27" s="56">
        <f t="shared" si="1"/>
        <v>3022.3248802482581</v>
      </c>
      <c r="O27" s="56">
        <f t="shared" si="1"/>
        <v>2921.0626407167597</v>
      </c>
      <c r="P27" s="56">
        <f t="shared" si="1"/>
        <v>2944.9300593415287</v>
      </c>
      <c r="Q27" s="56">
        <f t="shared" si="1"/>
        <v>3025.9047102829004</v>
      </c>
      <c r="R27" s="56">
        <f t="shared" si="1"/>
        <v>3040.853405768828</v>
      </c>
      <c r="S27" s="56">
        <f t="shared" si="1"/>
        <v>3106.9524666585594</v>
      </c>
      <c r="T27" s="56">
        <f t="shared" si="1"/>
        <v>2957.2898517405488</v>
      </c>
      <c r="U27" s="56">
        <f t="shared" si="1"/>
        <v>3046.7799563505919</v>
      </c>
      <c r="V27" s="56">
        <f t="shared" si="1"/>
        <v>3117.9423770790904</v>
      </c>
      <c r="W27" s="56">
        <f t="shared" si="1"/>
        <v>3160.8351932338205</v>
      </c>
      <c r="X27" s="56">
        <f t="shared" si="1"/>
        <v>3107.7930282060524</v>
      </c>
      <c r="Y27" s="56">
        <f t="shared" si="1"/>
        <v>3095.6777632545454</v>
      </c>
      <c r="Z27" s="56">
        <f t="shared" si="1"/>
        <v>2967.0966513401113</v>
      </c>
      <c r="AA27" s="56">
        <f t="shared" si="1"/>
        <v>2869.731908803783</v>
      </c>
      <c r="AB27" s="56">
        <f t="shared" si="1"/>
        <v>2915.0999310098482</v>
      </c>
      <c r="AC27" s="56">
        <f t="shared" si="1"/>
        <v>2872.8083608347406</v>
      </c>
      <c r="AD27" s="56">
        <f t="shared" si="1"/>
        <v>2821.3175801793195</v>
      </c>
      <c r="AE27" s="56">
        <f t="shared" si="1"/>
        <v>2736.3895730513664</v>
      </c>
    </row>
    <row r="28" spans="1:31">
      <c r="A28" s="101"/>
      <c r="B28" s="1"/>
      <c r="C28" s="1"/>
      <c r="D28" s="2"/>
      <c r="E28" s="1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</row>
    <row r="29" spans="1:31">
      <c r="A29" s="101"/>
      <c r="B29" s="1"/>
      <c r="C29" s="1"/>
      <c r="D29" s="2"/>
      <c r="E29" s="1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1:31">
      <c r="A30" s="101"/>
      <c r="B30" s="1"/>
      <c r="C30" s="1"/>
      <c r="D30" s="2"/>
      <c r="E30" s="1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</row>
    <row r="31" spans="1:31">
      <c r="A31" s="101"/>
      <c r="B31" s="1"/>
      <c r="C31" s="1"/>
      <c r="D31" s="2"/>
      <c r="E31" s="1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</row>
    <row r="32" spans="1:31">
      <c r="A32" s="101"/>
      <c r="B32" s="1"/>
      <c r="C32" s="1"/>
      <c r="D32" s="2"/>
      <c r="E32" s="1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</row>
    <row r="33" spans="1:31">
      <c r="A33" s="101"/>
      <c r="B33" s="3"/>
      <c r="C33" s="3"/>
      <c r="D33" s="23"/>
      <c r="E33" s="1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</row>
    <row r="34" spans="1:31">
      <c r="A34" s="102"/>
      <c r="B34" s="51" t="s">
        <v>104</v>
      </c>
      <c r="C34" s="51" t="s">
        <v>19</v>
      </c>
      <c r="D34" s="52" t="s">
        <v>34</v>
      </c>
      <c r="E34" s="28" t="s">
        <v>154</v>
      </c>
      <c r="F34" s="57">
        <f t="shared" ref="F34:AE34" si="2">SUM(F26:F33)</f>
        <v>0</v>
      </c>
      <c r="G34" s="57">
        <f t="shared" si="2"/>
        <v>0</v>
      </c>
      <c r="H34" s="57">
        <f t="shared" si="2"/>
        <v>243586.56924503567</v>
      </c>
      <c r="I34" s="57">
        <f t="shared" si="2"/>
        <v>211440.02342527214</v>
      </c>
      <c r="J34" s="57">
        <f t="shared" si="2"/>
        <v>182435.04257423338</v>
      </c>
      <c r="K34" s="57">
        <f t="shared" si="2"/>
        <v>159165.50762440264</v>
      </c>
      <c r="L34" s="57">
        <f t="shared" si="2"/>
        <v>153250.1851997448</v>
      </c>
      <c r="M34" s="57">
        <f t="shared" si="2"/>
        <v>150534.59498300904</v>
      </c>
      <c r="N34" s="57">
        <f t="shared" si="2"/>
        <v>153924.42481893935</v>
      </c>
      <c r="O34" s="57">
        <f t="shared" si="2"/>
        <v>148767.22544648699</v>
      </c>
      <c r="P34" s="57">
        <f t="shared" si="2"/>
        <v>149982.77269216516</v>
      </c>
      <c r="Q34" s="57">
        <f t="shared" si="2"/>
        <v>154106.74250511298</v>
      </c>
      <c r="R34" s="57">
        <f t="shared" si="2"/>
        <v>154868.06679870645</v>
      </c>
      <c r="S34" s="57">
        <f t="shared" si="2"/>
        <v>158234.43551539062</v>
      </c>
      <c r="T34" s="57">
        <f t="shared" si="2"/>
        <v>150612.24636269407</v>
      </c>
      <c r="U34" s="57">
        <f t="shared" si="2"/>
        <v>155169.9009580386</v>
      </c>
      <c r="V34" s="57">
        <f t="shared" si="2"/>
        <v>158794.14226675514</v>
      </c>
      <c r="W34" s="57">
        <f t="shared" si="2"/>
        <v>160978.63675926617</v>
      </c>
      <c r="X34" s="57">
        <f t="shared" si="2"/>
        <v>158277.2445970907</v>
      </c>
      <c r="Y34" s="57">
        <f t="shared" si="2"/>
        <v>157660.22450061567</v>
      </c>
      <c r="Z34" s="57">
        <f t="shared" si="2"/>
        <v>151111.69829042768</v>
      </c>
      <c r="AA34" s="57">
        <f t="shared" si="2"/>
        <v>146152.99511113297</v>
      </c>
      <c r="AB34" s="57">
        <f t="shared" si="2"/>
        <v>148463.54973379415</v>
      </c>
      <c r="AC34" s="57">
        <f t="shared" si="2"/>
        <v>146309.6761855082</v>
      </c>
      <c r="AD34" s="57">
        <f t="shared" si="2"/>
        <v>143687.29470439724</v>
      </c>
      <c r="AE34" s="57">
        <f t="shared" si="2"/>
        <v>139361.98383738179</v>
      </c>
    </row>
    <row r="36" spans="1:31" ht="13.5" customHeight="1">
      <c r="A36" s="100" t="s">
        <v>119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9">
        <v>2050</v>
      </c>
    </row>
    <row r="37" spans="1:31">
      <c r="A37" s="101"/>
      <c r="B37" s="5" t="s">
        <v>273</v>
      </c>
      <c r="C37" s="5">
        <v>2027</v>
      </c>
      <c r="D37" s="2" t="s">
        <v>278</v>
      </c>
      <c r="E37" s="5" t="s">
        <v>154</v>
      </c>
      <c r="F37" s="55"/>
      <c r="G37" s="55"/>
      <c r="H37" s="55">
        <f t="shared" ref="H37:AE37" si="3">$G$7+($G$7*H$21)</f>
        <v>538206.83228360233</v>
      </c>
      <c r="I37" s="55">
        <f t="shared" si="3"/>
        <v>467178.73476517881</v>
      </c>
      <c r="J37" s="55">
        <f t="shared" si="3"/>
        <v>403091.95480572799</v>
      </c>
      <c r="K37" s="55">
        <f t="shared" si="3"/>
        <v>351677.69689784379</v>
      </c>
      <c r="L37" s="55">
        <f t="shared" si="3"/>
        <v>338607.73596371425</v>
      </c>
      <c r="M37" s="55">
        <f t="shared" si="3"/>
        <v>332607.61365459196</v>
      </c>
      <c r="N37" s="55">
        <f t="shared" si="3"/>
        <v>340097.47478951036</v>
      </c>
      <c r="O37" s="55">
        <f t="shared" si="3"/>
        <v>328702.59392105648</v>
      </c>
      <c r="P37" s="55">
        <f t="shared" si="3"/>
        <v>331388.35707546672</v>
      </c>
      <c r="Q37" s="55">
        <f t="shared" si="3"/>
        <v>340500.30744423723</v>
      </c>
      <c r="R37" s="55">
        <f t="shared" si="3"/>
        <v>342182.46068308555</v>
      </c>
      <c r="S37" s="55">
        <f t="shared" si="3"/>
        <v>349620.48425277841</v>
      </c>
      <c r="T37" s="55">
        <f t="shared" si="3"/>
        <v>332779.18511361064</v>
      </c>
      <c r="U37" s="55">
        <f t="shared" si="3"/>
        <v>342849.36611745588</v>
      </c>
      <c r="V37" s="55">
        <f t="shared" si="3"/>
        <v>350857.16162211483</v>
      </c>
      <c r="W37" s="55">
        <f t="shared" si="3"/>
        <v>355683.82289740309</v>
      </c>
      <c r="X37" s="55">
        <f t="shared" si="3"/>
        <v>349715.07132433244</v>
      </c>
      <c r="Y37" s="55">
        <f t="shared" si="3"/>
        <v>348351.75957603526</v>
      </c>
      <c r="Z37" s="55">
        <f t="shared" si="3"/>
        <v>333882.72887933051</v>
      </c>
      <c r="AA37" s="55">
        <f t="shared" si="3"/>
        <v>322926.42723004648</v>
      </c>
      <c r="AB37" s="55">
        <f t="shared" si="3"/>
        <v>328031.61955709034</v>
      </c>
      <c r="AC37" s="55">
        <f t="shared" si="3"/>
        <v>323272.61554814479</v>
      </c>
      <c r="AD37" s="55">
        <f t="shared" si="3"/>
        <v>317478.43882336764</v>
      </c>
      <c r="AE37" s="55">
        <f t="shared" si="3"/>
        <v>307921.62348829687</v>
      </c>
    </row>
    <row r="38" spans="1:31">
      <c r="A38" s="101"/>
      <c r="B38" s="1" t="s">
        <v>271</v>
      </c>
      <c r="C38" s="1">
        <v>2027</v>
      </c>
      <c r="D38" s="2" t="s">
        <v>278</v>
      </c>
      <c r="E38" s="1" t="s">
        <v>154</v>
      </c>
      <c r="F38" s="56"/>
      <c r="G38" s="56"/>
      <c r="H38" s="56">
        <f t="shared" ref="H38:AE38" si="4">$G$8+($G$8*H$21)</f>
        <v>10779.353156253757</v>
      </c>
      <c r="I38" s="56">
        <f t="shared" si="4"/>
        <v>9356.7830563549251</v>
      </c>
      <c r="J38" s="56">
        <f t="shared" si="4"/>
        <v>8073.2355567831828</v>
      </c>
      <c r="K38" s="56">
        <f t="shared" si="4"/>
        <v>7043.4967834861536</v>
      </c>
      <c r="L38" s="56">
        <f t="shared" si="4"/>
        <v>6781.7280429266048</v>
      </c>
      <c r="M38" s="56">
        <f t="shared" si="4"/>
        <v>6661.5559576405067</v>
      </c>
      <c r="N38" s="56">
        <f t="shared" si="4"/>
        <v>6811.5649382437896</v>
      </c>
      <c r="O38" s="56">
        <f t="shared" si="4"/>
        <v>6583.3451578791646</v>
      </c>
      <c r="P38" s="56">
        <f t="shared" si="4"/>
        <v>6637.1363544951655</v>
      </c>
      <c r="Q38" s="56">
        <f t="shared" si="4"/>
        <v>6819.6329804679062</v>
      </c>
      <c r="R38" s="56">
        <f t="shared" si="4"/>
        <v>6853.3236041033324</v>
      </c>
      <c r="S38" s="56">
        <f t="shared" si="4"/>
        <v>7002.294367818964</v>
      </c>
      <c r="T38" s="56">
        <f t="shared" si="4"/>
        <v>6664.9922375934184</v>
      </c>
      <c r="U38" s="56">
        <f t="shared" si="4"/>
        <v>6866.6805679463978</v>
      </c>
      <c r="V38" s="56">
        <f t="shared" si="4"/>
        <v>7027.0628792996949</v>
      </c>
      <c r="W38" s="56">
        <f t="shared" si="4"/>
        <v>7123.7325671057588</v>
      </c>
      <c r="X38" s="56">
        <f t="shared" si="4"/>
        <v>7004.1887834732033</v>
      </c>
      <c r="Y38" s="56">
        <f t="shared" si="4"/>
        <v>6976.8840041291505</v>
      </c>
      <c r="Z38" s="56">
        <f t="shared" si="4"/>
        <v>6687.0943129676834</v>
      </c>
      <c r="AA38" s="56">
        <f t="shared" si="4"/>
        <v>6467.6585167646253</v>
      </c>
      <c r="AB38" s="56">
        <f t="shared" si="4"/>
        <v>6569.9067004049348</v>
      </c>
      <c r="AC38" s="56">
        <f t="shared" si="4"/>
        <v>6474.5920707730675</v>
      </c>
      <c r="AD38" s="56">
        <f t="shared" si="4"/>
        <v>6358.5447197925669</v>
      </c>
      <c r="AE38" s="56">
        <f t="shared" si="4"/>
        <v>6167.1382170011912</v>
      </c>
    </row>
    <row r="39" spans="1:31">
      <c r="A39" s="101"/>
      <c r="B39" s="1"/>
      <c r="C39" s="1"/>
      <c r="D39" s="2"/>
      <c r="E39" s="1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</row>
    <row r="40" spans="1:31">
      <c r="A40" s="101"/>
      <c r="B40" s="1"/>
      <c r="C40" s="1"/>
      <c r="D40" s="2"/>
      <c r="E40" s="1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</row>
    <row r="41" spans="1:31">
      <c r="A41" s="101"/>
      <c r="B41" s="1"/>
      <c r="C41" s="1"/>
      <c r="D41" s="2"/>
      <c r="E41" s="1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</row>
    <row r="42" spans="1:31">
      <c r="A42" s="101"/>
      <c r="B42" s="1"/>
      <c r="C42" s="1"/>
      <c r="D42" s="2"/>
      <c r="E42" s="1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</row>
    <row r="43" spans="1:31">
      <c r="A43" s="101"/>
      <c r="B43" s="1"/>
      <c r="C43" s="1"/>
      <c r="D43" s="2"/>
      <c r="E43" s="1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</row>
    <row r="44" spans="1:31">
      <c r="A44" s="101"/>
      <c r="B44" s="3"/>
      <c r="C44" s="3"/>
      <c r="D44" s="23"/>
      <c r="E44" s="1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</row>
    <row r="45" spans="1:31">
      <c r="A45" s="102"/>
      <c r="B45" s="51" t="s">
        <v>104</v>
      </c>
      <c r="C45" s="51" t="s">
        <v>19</v>
      </c>
      <c r="D45" s="52" t="s">
        <v>34</v>
      </c>
      <c r="E45" s="28" t="s">
        <v>154</v>
      </c>
      <c r="F45" s="57">
        <f t="shared" ref="F45:AE45" si="5">SUM(F37:F44)</f>
        <v>0</v>
      </c>
      <c r="G45" s="57">
        <f t="shared" si="5"/>
        <v>0</v>
      </c>
      <c r="H45" s="57">
        <f t="shared" si="5"/>
        <v>548986.18543985614</v>
      </c>
      <c r="I45" s="57">
        <f t="shared" si="5"/>
        <v>476535.51782153372</v>
      </c>
      <c r="J45" s="57">
        <f t="shared" si="5"/>
        <v>411165.19036251114</v>
      </c>
      <c r="K45" s="57">
        <f t="shared" si="5"/>
        <v>358721.19368132995</v>
      </c>
      <c r="L45" s="57">
        <f t="shared" si="5"/>
        <v>345389.46400664083</v>
      </c>
      <c r="M45" s="57">
        <f t="shared" si="5"/>
        <v>339269.16961223248</v>
      </c>
      <c r="N45" s="57">
        <f t="shared" si="5"/>
        <v>346909.03972775413</v>
      </c>
      <c r="O45" s="57">
        <f t="shared" si="5"/>
        <v>335285.93907893565</v>
      </c>
      <c r="P45" s="57">
        <f t="shared" si="5"/>
        <v>338025.49342996191</v>
      </c>
      <c r="Q45" s="57">
        <f t="shared" si="5"/>
        <v>347319.94042470516</v>
      </c>
      <c r="R45" s="57">
        <f t="shared" si="5"/>
        <v>349035.7842871889</v>
      </c>
      <c r="S45" s="57">
        <f t="shared" si="5"/>
        <v>356622.77862059738</v>
      </c>
      <c r="T45" s="57">
        <f t="shared" si="5"/>
        <v>339444.17735120404</v>
      </c>
      <c r="U45" s="57">
        <f t="shared" si="5"/>
        <v>349716.04668540228</v>
      </c>
      <c r="V45" s="57">
        <f t="shared" si="5"/>
        <v>357884.22450141452</v>
      </c>
      <c r="W45" s="57">
        <f t="shared" si="5"/>
        <v>362807.55546450883</v>
      </c>
      <c r="X45" s="57">
        <f t="shared" si="5"/>
        <v>356719.26010780566</v>
      </c>
      <c r="Y45" s="57">
        <f t="shared" si="5"/>
        <v>355328.64358016441</v>
      </c>
      <c r="Z45" s="57">
        <f t="shared" si="5"/>
        <v>340569.82319229818</v>
      </c>
      <c r="AA45" s="57">
        <f t="shared" si="5"/>
        <v>329394.08574681112</v>
      </c>
      <c r="AB45" s="57">
        <f t="shared" si="5"/>
        <v>334601.52625749528</v>
      </c>
      <c r="AC45" s="57">
        <f t="shared" si="5"/>
        <v>329747.20761891786</v>
      </c>
      <c r="AD45" s="57">
        <f t="shared" si="5"/>
        <v>323836.9835431602</v>
      </c>
      <c r="AE45" s="57">
        <f t="shared" si="5"/>
        <v>314088.76170529803</v>
      </c>
    </row>
    <row r="47" spans="1:31" ht="13.5" customHeight="1">
      <c r="A47" s="103" t="s">
        <v>145</v>
      </c>
      <c r="B47" s="9" t="s">
        <v>9</v>
      </c>
      <c r="C47" s="9" t="s">
        <v>8</v>
      </c>
      <c r="D47" s="9" t="s">
        <v>10</v>
      </c>
      <c r="E47" s="9" t="s">
        <v>7</v>
      </c>
      <c r="F47" s="9">
        <v>2025</v>
      </c>
      <c r="G47" s="9">
        <v>2026</v>
      </c>
      <c r="H47" s="9">
        <v>2027</v>
      </c>
      <c r="I47" s="9">
        <v>2028</v>
      </c>
      <c r="J47" s="9">
        <v>2029</v>
      </c>
      <c r="K47" s="9">
        <v>2030</v>
      </c>
      <c r="L47" s="9">
        <v>2031</v>
      </c>
      <c r="M47" s="9">
        <v>2032</v>
      </c>
      <c r="N47" s="9">
        <v>2033</v>
      </c>
      <c r="O47" s="9">
        <v>2034</v>
      </c>
      <c r="P47" s="9">
        <v>2035</v>
      </c>
      <c r="Q47" s="9">
        <v>2036</v>
      </c>
      <c r="R47" s="9">
        <v>2037</v>
      </c>
      <c r="S47" s="9">
        <v>2038</v>
      </c>
      <c r="T47" s="9">
        <v>2039</v>
      </c>
      <c r="U47" s="9">
        <v>2040</v>
      </c>
      <c r="V47" s="9">
        <v>2041</v>
      </c>
      <c r="W47" s="9">
        <v>2042</v>
      </c>
      <c r="X47" s="9">
        <v>2043</v>
      </c>
      <c r="Y47" s="9">
        <v>2044</v>
      </c>
      <c r="Z47" s="9">
        <v>2045</v>
      </c>
      <c r="AA47" s="9">
        <v>2046</v>
      </c>
      <c r="AB47" s="9">
        <v>2047</v>
      </c>
      <c r="AC47" s="9">
        <v>2048</v>
      </c>
      <c r="AD47" s="9">
        <v>2049</v>
      </c>
      <c r="AE47" s="9">
        <v>2050</v>
      </c>
    </row>
    <row r="48" spans="1:31">
      <c r="A48" s="104"/>
      <c r="B48" s="5" t="s">
        <v>273</v>
      </c>
      <c r="C48" s="5">
        <v>2027</v>
      </c>
      <c r="D48" s="2" t="s">
        <v>278</v>
      </c>
      <c r="E48" s="5" t="s">
        <v>155</v>
      </c>
      <c r="F48" s="7"/>
      <c r="G48" s="7"/>
      <c r="H48" s="7">
        <f t="shared" ref="H48:AE48" si="6">$H$7+($H$7*H$21)</f>
        <v>11.235710935975565</v>
      </c>
      <c r="I48" s="7">
        <f t="shared" si="6"/>
        <v>9.752914501260733</v>
      </c>
      <c r="J48" s="7">
        <f t="shared" si="6"/>
        <v>8.4150263674615822</v>
      </c>
      <c r="K48" s="7">
        <f t="shared" si="6"/>
        <v>7.3416922787997665</v>
      </c>
      <c r="L48" s="7">
        <f t="shared" si="6"/>
        <v>7.0688412219350854</v>
      </c>
      <c r="M48" s="7">
        <f t="shared" si="6"/>
        <v>6.9435814968592204</v>
      </c>
      <c r="N48" s="7">
        <f t="shared" si="6"/>
        <v>7.099941300590209</v>
      </c>
      <c r="O48" s="7">
        <f t="shared" si="6"/>
        <v>6.8620595422992583</v>
      </c>
      <c r="P48" s="7">
        <f t="shared" si="6"/>
        <v>6.9181280584074782</v>
      </c>
      <c r="Q48" s="7">
        <f t="shared" si="6"/>
        <v>7.1083509137585867</v>
      </c>
      <c r="R48" s="7">
        <f t="shared" si="6"/>
        <v>7.1434678732767729</v>
      </c>
      <c r="S48" s="7">
        <f t="shared" si="6"/>
        <v>7.2987455058728701</v>
      </c>
      <c r="T48" s="7">
        <f t="shared" si="6"/>
        <v>6.9471632561435062</v>
      </c>
      <c r="U48" s="7">
        <f t="shared" si="6"/>
        <v>7.1573903213631764</v>
      </c>
      <c r="V48" s="7">
        <f t="shared" si="6"/>
        <v>7.3245626241431276</v>
      </c>
      <c r="W48" s="7">
        <f t="shared" si="6"/>
        <v>7.4253249475140617</v>
      </c>
      <c r="X48" s="7">
        <f t="shared" si="6"/>
        <v>7.3007201240503319</v>
      </c>
      <c r="Y48" s="7">
        <f t="shared" si="6"/>
        <v>7.27225936175474</v>
      </c>
      <c r="Z48" s="7">
        <f t="shared" si="6"/>
        <v>6.9702010513052972</v>
      </c>
      <c r="AA48" s="7">
        <f t="shared" si="6"/>
        <v>6.7414751584429036</v>
      </c>
      <c r="AB48" s="7">
        <f t="shared" si="6"/>
        <v>6.8480521504440004</v>
      </c>
      <c r="AC48" s="7">
        <f t="shared" si="6"/>
        <v>6.7487022533778749</v>
      </c>
      <c r="AD48" s="7">
        <f t="shared" si="6"/>
        <v>6.6277418885394574</v>
      </c>
      <c r="AE48" s="7">
        <f t="shared" si="6"/>
        <v>6.4282319452751704</v>
      </c>
    </row>
    <row r="49" spans="1:31">
      <c r="A49" s="104"/>
      <c r="B49" s="1" t="s">
        <v>271</v>
      </c>
      <c r="C49" s="1">
        <v>2027</v>
      </c>
      <c r="D49" s="2" t="s">
        <v>278</v>
      </c>
      <c r="E49" s="1" t="s">
        <v>155</v>
      </c>
      <c r="F49" s="2"/>
      <c r="G49" s="2"/>
      <c r="H49" s="2">
        <f t="shared" ref="H49:AE49" si="7">$H$8+($H$8*H$21)</f>
        <v>0.22493756953728811</v>
      </c>
      <c r="I49" s="2">
        <f t="shared" si="7"/>
        <v>0.19525216484470553</v>
      </c>
      <c r="J49" s="2">
        <f t="shared" si="7"/>
        <v>0.16846780675251069</v>
      </c>
      <c r="K49" s="2">
        <f t="shared" si="7"/>
        <v>0.14697978854156998</v>
      </c>
      <c r="L49" s="2">
        <f t="shared" si="7"/>
        <v>0.14151734349233794</v>
      </c>
      <c r="M49" s="2">
        <f t="shared" si="7"/>
        <v>0.1390096589960006</v>
      </c>
      <c r="N49" s="2">
        <f t="shared" si="7"/>
        <v>0.14213996329316453</v>
      </c>
      <c r="O49" s="2">
        <f t="shared" si="7"/>
        <v>0.13737759935801785</v>
      </c>
      <c r="P49" s="2">
        <f t="shared" si="7"/>
        <v>0.13850008424685237</v>
      </c>
      <c r="Q49" s="2">
        <f t="shared" si="7"/>
        <v>0.14230832272832822</v>
      </c>
      <c r="R49" s="2">
        <f t="shared" si="7"/>
        <v>0.14301135999660361</v>
      </c>
      <c r="S49" s="2">
        <f t="shared" si="7"/>
        <v>0.14611999935896341</v>
      </c>
      <c r="T49" s="2">
        <f t="shared" si="7"/>
        <v>0.13908136538224228</v>
      </c>
      <c r="U49" s="2">
        <f t="shared" si="7"/>
        <v>0.1432900857178695</v>
      </c>
      <c r="V49" s="2">
        <f t="shared" si="7"/>
        <v>0.14663685493394749</v>
      </c>
      <c r="W49" s="2">
        <f t="shared" si="7"/>
        <v>0.14865410442079718</v>
      </c>
      <c r="X49" s="2">
        <f t="shared" si="7"/>
        <v>0.14615953097526552</v>
      </c>
      <c r="Y49" s="2">
        <f t="shared" si="7"/>
        <v>0.14558974996768809</v>
      </c>
      <c r="Z49" s="2">
        <f t="shared" si="7"/>
        <v>0.1395425792458527</v>
      </c>
      <c r="AA49" s="2">
        <f t="shared" si="7"/>
        <v>0.1349635146255643</v>
      </c>
      <c r="AB49" s="2">
        <f t="shared" si="7"/>
        <v>0.13709717307280703</v>
      </c>
      <c r="AC49" s="2">
        <f t="shared" si="7"/>
        <v>0.13510820018918829</v>
      </c>
      <c r="AD49" s="2">
        <f t="shared" si="7"/>
        <v>0.13268658836309738</v>
      </c>
      <c r="AE49" s="2">
        <f t="shared" si="7"/>
        <v>0.12869242350854432</v>
      </c>
    </row>
    <row r="50" spans="1:31">
      <c r="A50" s="104"/>
      <c r="B50" s="1"/>
      <c r="C50" s="1"/>
      <c r="D50" s="2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>
      <c r="A51" s="104"/>
      <c r="B51" s="1"/>
      <c r="C51" s="1"/>
      <c r="D51" s="2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104"/>
      <c r="B52" s="1"/>
      <c r="C52" s="1"/>
      <c r="D52" s="2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104"/>
      <c r="B53" s="1"/>
      <c r="C53" s="1"/>
      <c r="D53" s="2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2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3"/>
      <c r="C55" s="3"/>
      <c r="D55" s="23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5"/>
      <c r="B56" s="51" t="s">
        <v>104</v>
      </c>
      <c r="C56" s="51" t="s">
        <v>19</v>
      </c>
      <c r="D56" s="52" t="s">
        <v>34</v>
      </c>
      <c r="E56" s="28" t="s">
        <v>155</v>
      </c>
      <c r="F56" s="28">
        <f t="shared" ref="F56:AE56" si="8">SUM(F48:F55)</f>
        <v>0</v>
      </c>
      <c r="G56" s="28">
        <f t="shared" si="8"/>
        <v>0</v>
      </c>
      <c r="H56" s="28">
        <f t="shared" si="8"/>
        <v>11.460648505512852</v>
      </c>
      <c r="I56" s="28">
        <f t="shared" si="8"/>
        <v>9.948166666105438</v>
      </c>
      <c r="J56" s="28">
        <f t="shared" si="8"/>
        <v>8.583494174214092</v>
      </c>
      <c r="K56" s="28">
        <f t="shared" si="8"/>
        <v>7.4886720673413363</v>
      </c>
      <c r="L56" s="28">
        <f t="shared" si="8"/>
        <v>7.2103585654274234</v>
      </c>
      <c r="M56" s="28">
        <f t="shared" si="8"/>
        <v>7.082591155855221</v>
      </c>
      <c r="N56" s="28">
        <f t="shared" si="8"/>
        <v>7.2420812638833736</v>
      </c>
      <c r="O56" s="28">
        <f t="shared" si="8"/>
        <v>6.9994371416572765</v>
      </c>
      <c r="P56" s="28">
        <f t="shared" si="8"/>
        <v>7.0566281426543309</v>
      </c>
      <c r="Q56" s="28">
        <f t="shared" si="8"/>
        <v>7.2506592364869151</v>
      </c>
      <c r="R56" s="28">
        <f t="shared" si="8"/>
        <v>7.2864792332733765</v>
      </c>
      <c r="S56" s="28">
        <f t="shared" si="8"/>
        <v>7.4448655052318333</v>
      </c>
      <c r="T56" s="28">
        <f t="shared" si="8"/>
        <v>7.0862446215257489</v>
      </c>
      <c r="U56" s="28">
        <f t="shared" si="8"/>
        <v>7.300680407081046</v>
      </c>
      <c r="V56" s="28">
        <f t="shared" si="8"/>
        <v>7.4711994790770753</v>
      </c>
      <c r="W56" s="28">
        <f t="shared" si="8"/>
        <v>7.5739790519348587</v>
      </c>
      <c r="X56" s="28">
        <f t="shared" si="8"/>
        <v>7.4468796550255973</v>
      </c>
      <c r="Y56" s="28">
        <f t="shared" si="8"/>
        <v>7.4178491117224281</v>
      </c>
      <c r="Z56" s="28">
        <f t="shared" si="8"/>
        <v>7.1097436305511499</v>
      </c>
      <c r="AA56" s="28">
        <f t="shared" si="8"/>
        <v>6.8764386730684679</v>
      </c>
      <c r="AB56" s="28">
        <f t="shared" si="8"/>
        <v>6.9851493235168078</v>
      </c>
      <c r="AC56" s="28">
        <f t="shared" si="8"/>
        <v>6.8838104535670634</v>
      </c>
      <c r="AD56" s="28">
        <f t="shared" si="8"/>
        <v>6.7604284769025549</v>
      </c>
      <c r="AE56" s="28">
        <f t="shared" si="8"/>
        <v>6.5569243687837151</v>
      </c>
    </row>
    <row r="58" spans="1:31" ht="13.5" customHeight="1">
      <c r="A58" s="103" t="s">
        <v>147</v>
      </c>
      <c r="B58" s="9" t="s">
        <v>9</v>
      </c>
      <c r="C58" s="9" t="s">
        <v>8</v>
      </c>
      <c r="D58" s="9" t="s">
        <v>10</v>
      </c>
      <c r="E58" s="9" t="s">
        <v>7</v>
      </c>
      <c r="F58" s="9">
        <v>2025</v>
      </c>
      <c r="G58" s="9">
        <v>2026</v>
      </c>
      <c r="H58" s="9">
        <v>2027</v>
      </c>
      <c r="I58" s="9">
        <v>2028</v>
      </c>
      <c r="J58" s="9">
        <v>2029</v>
      </c>
      <c r="K58" s="9">
        <v>2030</v>
      </c>
      <c r="L58" s="9">
        <v>2031</v>
      </c>
      <c r="M58" s="9">
        <v>2032</v>
      </c>
      <c r="N58" s="9">
        <v>2033</v>
      </c>
      <c r="O58" s="9">
        <v>2034</v>
      </c>
      <c r="P58" s="9">
        <v>2035</v>
      </c>
      <c r="Q58" s="9">
        <v>2036</v>
      </c>
      <c r="R58" s="9">
        <v>2037</v>
      </c>
      <c r="S58" s="9">
        <v>2038</v>
      </c>
      <c r="T58" s="9">
        <v>2039</v>
      </c>
      <c r="U58" s="9">
        <v>2040</v>
      </c>
      <c r="V58" s="9">
        <v>2041</v>
      </c>
      <c r="W58" s="9">
        <v>2042</v>
      </c>
      <c r="X58" s="9">
        <v>2043</v>
      </c>
      <c r="Y58" s="9">
        <v>2044</v>
      </c>
      <c r="Z58" s="9">
        <v>2045</v>
      </c>
      <c r="AA58" s="9">
        <v>2046</v>
      </c>
      <c r="AB58" s="9">
        <v>2047</v>
      </c>
      <c r="AC58" s="9">
        <v>2048</v>
      </c>
      <c r="AD58" s="9">
        <v>2049</v>
      </c>
      <c r="AE58" s="9">
        <v>2050</v>
      </c>
    </row>
    <row r="59" spans="1:31">
      <c r="A59" s="104"/>
      <c r="B59" s="5" t="s">
        <v>273</v>
      </c>
      <c r="C59" s="5">
        <v>2027</v>
      </c>
      <c r="D59" s="2" t="s">
        <v>278</v>
      </c>
      <c r="E59" s="5" t="s">
        <v>155</v>
      </c>
      <c r="F59" s="7"/>
      <c r="G59" s="7"/>
      <c r="H59" s="7">
        <f t="shared" ref="H59:AE59" si="9">$I$7+($I$7*H$21)</f>
        <v>1.8990710243587852</v>
      </c>
      <c r="I59" s="7">
        <f t="shared" si="9"/>
        <v>1.6484472978998637</v>
      </c>
      <c r="J59" s="7">
        <f t="shared" si="9"/>
        <v>1.4223161164188398</v>
      </c>
      <c r="K59" s="7">
        <f t="shared" si="9"/>
        <v>1.2409001224644516</v>
      </c>
      <c r="L59" s="7">
        <f t="shared" si="9"/>
        <v>1.1947825657731093</v>
      </c>
      <c r="M59" s="7">
        <f t="shared" si="9"/>
        <v>1.1736110426032611</v>
      </c>
      <c r="N59" s="7">
        <f t="shared" si="9"/>
        <v>1.2000391319633372</v>
      </c>
      <c r="O59" s="7">
        <f t="shared" si="9"/>
        <v>1.1598321208566886</v>
      </c>
      <c r="P59" s="7">
        <f t="shared" si="9"/>
        <v>1.1693088771497846</v>
      </c>
      <c r="Q59" s="7">
        <f t="shared" si="9"/>
        <v>1.2014605331354693</v>
      </c>
      <c r="R59" s="7">
        <f t="shared" si="9"/>
        <v>1.2073960365196863</v>
      </c>
      <c r="S59" s="7">
        <f t="shared" si="9"/>
        <v>1.2336412162394752</v>
      </c>
      <c r="T59" s="7">
        <f t="shared" si="9"/>
        <v>1.1742164351157398</v>
      </c>
      <c r="U59" s="7">
        <f t="shared" si="9"/>
        <v>1.209749222526312</v>
      </c>
      <c r="V59" s="7">
        <f t="shared" si="9"/>
        <v>1.2380048512171702</v>
      </c>
      <c r="W59" s="7">
        <f t="shared" si="9"/>
        <v>1.2550357992142489</v>
      </c>
      <c r="X59" s="7">
        <f t="shared" si="9"/>
        <v>1.2339749681654868</v>
      </c>
      <c r="Y59" s="7">
        <f t="shared" si="9"/>
        <v>1.2291645018483388</v>
      </c>
      <c r="Z59" s="7">
        <f t="shared" si="9"/>
        <v>1.178110306140562</v>
      </c>
      <c r="AA59" s="7">
        <f t="shared" si="9"/>
        <v>1.1394508285044145</v>
      </c>
      <c r="AB59" s="7">
        <f t="shared" si="9"/>
        <v>1.1574645775698649</v>
      </c>
      <c r="AC59" s="7">
        <f t="shared" si="9"/>
        <v>1.1406723592699799</v>
      </c>
      <c r="AD59" s="7">
        <f t="shared" si="9"/>
        <v>1.1202275182386046</v>
      </c>
      <c r="AE59" s="7">
        <f t="shared" si="9"/>
        <v>1.0865061494277064</v>
      </c>
    </row>
    <row r="60" spans="1:31">
      <c r="A60" s="104"/>
      <c r="B60" s="1" t="s">
        <v>271</v>
      </c>
      <c r="C60" s="1">
        <v>2027</v>
      </c>
      <c r="D60" s="2" t="s">
        <v>278</v>
      </c>
      <c r="E60" s="1" t="s">
        <v>155</v>
      </c>
      <c r="F60" s="2"/>
      <c r="G60" s="2"/>
      <c r="H60" s="2">
        <f t="shared" ref="H60:AE60" si="10">$I$8+($I$8*H$21)</f>
        <v>3.801946617492806E-2</v>
      </c>
      <c r="I60" s="2">
        <f t="shared" si="10"/>
        <v>3.3001970689757E-2</v>
      </c>
      <c r="J60" s="2">
        <f t="shared" si="10"/>
        <v>2.8474816783906013E-2</v>
      </c>
      <c r="K60" s="2">
        <f t="shared" si="10"/>
        <v>2.4842862445563836E-2</v>
      </c>
      <c r="L60" s="2">
        <f t="shared" si="10"/>
        <v>2.3919587399919433E-2</v>
      </c>
      <c r="M60" s="2">
        <f t="shared" si="10"/>
        <v>2.3495732789584611E-2</v>
      </c>
      <c r="N60" s="2">
        <f t="shared" si="10"/>
        <v>2.4024824032937479E-2</v>
      </c>
      <c r="O60" s="2">
        <f t="shared" si="10"/>
        <v>2.3219878309919912E-2</v>
      </c>
      <c r="P60" s="2">
        <f t="shared" si="10"/>
        <v>2.3409603291614612E-2</v>
      </c>
      <c r="Q60" s="2">
        <f t="shared" si="10"/>
        <v>2.40532805325058E-2</v>
      </c>
      <c r="R60" s="2">
        <f t="shared" si="10"/>
        <v>2.4172109511123703E-2</v>
      </c>
      <c r="S60" s="2">
        <f t="shared" si="10"/>
        <v>2.4697538897288096E-2</v>
      </c>
      <c r="T60" s="2">
        <f t="shared" si="10"/>
        <v>2.3507852768171779E-2</v>
      </c>
      <c r="U60" s="2">
        <f t="shared" si="10"/>
        <v>2.4219220374611512E-2</v>
      </c>
      <c r="V60" s="2">
        <f t="shared" si="10"/>
        <v>2.4784899017213164E-2</v>
      </c>
      <c r="W60" s="2">
        <f t="shared" si="10"/>
        <v>2.5125859172466191E-2</v>
      </c>
      <c r="X60" s="2">
        <f t="shared" si="10"/>
        <v>2.4704220622141487E-2</v>
      </c>
      <c r="Y60" s="2">
        <f t="shared" si="10"/>
        <v>2.4607914923679162E-2</v>
      </c>
      <c r="Z60" s="2">
        <f t="shared" si="10"/>
        <v>2.3585808197862851E-2</v>
      </c>
      <c r="AA60" s="2">
        <f t="shared" si="10"/>
        <v>2.2811844147295458E-2</v>
      </c>
      <c r="AB60" s="2">
        <f t="shared" si="10"/>
        <v>2.3172480013196672E-2</v>
      </c>
      <c r="AC60" s="2">
        <f t="shared" si="10"/>
        <v>2.2836299234560417E-2</v>
      </c>
      <c r="AD60" s="2">
        <f t="shared" si="10"/>
        <v>2.2426992825229777E-2</v>
      </c>
      <c r="AE60" s="2">
        <f t="shared" si="10"/>
        <v>2.1751889880456503E-2</v>
      </c>
    </row>
    <row r="61" spans="1:31">
      <c r="A61" s="104"/>
      <c r="B61" s="1"/>
      <c r="C61" s="1"/>
      <c r="D61" s="2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>
      <c r="A62" s="104"/>
      <c r="B62" s="1"/>
      <c r="C62" s="1"/>
      <c r="D62" s="2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104"/>
      <c r="B63" s="1"/>
      <c r="C63" s="1"/>
      <c r="D63" s="2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104"/>
      <c r="B64" s="1"/>
      <c r="C64" s="1"/>
      <c r="D64" s="2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104"/>
      <c r="B65" s="1"/>
      <c r="C65" s="1"/>
      <c r="D65" s="2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104"/>
      <c r="B66" s="3"/>
      <c r="C66" s="3"/>
      <c r="D66" s="23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105"/>
      <c r="B67" s="51" t="s">
        <v>104</v>
      </c>
      <c r="C67" s="51" t="s">
        <v>19</v>
      </c>
      <c r="D67" s="52" t="s">
        <v>34</v>
      </c>
      <c r="E67" s="28" t="s">
        <v>155</v>
      </c>
      <c r="F67" s="28">
        <f t="shared" ref="F67:AE67" si="11">SUM(F59:F66)</f>
        <v>0</v>
      </c>
      <c r="G67" s="28">
        <f t="shared" si="11"/>
        <v>0</v>
      </c>
      <c r="H67" s="28">
        <f t="shared" si="11"/>
        <v>1.9370904905337132</v>
      </c>
      <c r="I67" s="28">
        <f t="shared" si="11"/>
        <v>1.6814492685896207</v>
      </c>
      <c r="J67" s="28">
        <f t="shared" si="11"/>
        <v>1.4507909332027458</v>
      </c>
      <c r="K67" s="28">
        <f t="shared" si="11"/>
        <v>1.2657429849100155</v>
      </c>
      <c r="L67" s="28">
        <f t="shared" si="11"/>
        <v>1.2187021531730287</v>
      </c>
      <c r="M67" s="28">
        <f t="shared" si="11"/>
        <v>1.1971067753928457</v>
      </c>
      <c r="N67" s="28">
        <f t="shared" si="11"/>
        <v>1.2240639559962747</v>
      </c>
      <c r="O67" s="28">
        <f t="shared" si="11"/>
        <v>1.1830519991666086</v>
      </c>
      <c r="P67" s="28">
        <f t="shared" si="11"/>
        <v>1.1927184804413993</v>
      </c>
      <c r="Q67" s="28">
        <f t="shared" si="11"/>
        <v>1.2255138136679751</v>
      </c>
      <c r="R67" s="28">
        <f t="shared" si="11"/>
        <v>1.2315681460308101</v>
      </c>
      <c r="S67" s="28">
        <f t="shared" si="11"/>
        <v>1.2583387551367633</v>
      </c>
      <c r="T67" s="28">
        <f t="shared" si="11"/>
        <v>1.1977242878839116</v>
      </c>
      <c r="U67" s="28">
        <f t="shared" si="11"/>
        <v>1.2339684429009234</v>
      </c>
      <c r="V67" s="28">
        <f t="shared" si="11"/>
        <v>1.2627897502343834</v>
      </c>
      <c r="W67" s="28">
        <f t="shared" si="11"/>
        <v>1.280161658386715</v>
      </c>
      <c r="X67" s="28">
        <f t="shared" si="11"/>
        <v>1.2586791887876283</v>
      </c>
      <c r="Y67" s="28">
        <f t="shared" si="11"/>
        <v>1.2537724167720179</v>
      </c>
      <c r="Z67" s="28">
        <f t="shared" si="11"/>
        <v>1.2016961143384248</v>
      </c>
      <c r="AA67" s="28">
        <f t="shared" si="11"/>
        <v>1.16226267265171</v>
      </c>
      <c r="AB67" s="28">
        <f t="shared" si="11"/>
        <v>1.1806370575830616</v>
      </c>
      <c r="AC67" s="28">
        <f t="shared" si="11"/>
        <v>1.1635086585045402</v>
      </c>
      <c r="AD67" s="28">
        <f t="shared" si="11"/>
        <v>1.1426545110638344</v>
      </c>
      <c r="AE67" s="28">
        <f t="shared" si="11"/>
        <v>1.1082580393081629</v>
      </c>
    </row>
    <row r="72" spans="1:31" ht="13.5" customHeight="1">
      <c r="A72" s="103" t="s">
        <v>156</v>
      </c>
      <c r="B72" s="9" t="s">
        <v>9</v>
      </c>
      <c r="C72" s="9" t="s">
        <v>8</v>
      </c>
      <c r="D72" s="9" t="s">
        <v>10</v>
      </c>
      <c r="E72" s="9" t="s">
        <v>7</v>
      </c>
      <c r="F72" s="9">
        <v>2025</v>
      </c>
      <c r="G72" s="9">
        <v>2026</v>
      </c>
      <c r="H72" s="9">
        <v>2027</v>
      </c>
      <c r="I72" s="9">
        <v>2028</v>
      </c>
      <c r="J72" s="9">
        <v>2029</v>
      </c>
      <c r="K72" s="9">
        <v>2030</v>
      </c>
      <c r="L72" s="9">
        <v>2031</v>
      </c>
      <c r="M72" s="9">
        <v>2032</v>
      </c>
      <c r="N72" s="9">
        <v>2033</v>
      </c>
      <c r="O72" s="9">
        <v>2034</v>
      </c>
      <c r="P72" s="9">
        <v>2035</v>
      </c>
      <c r="Q72" s="9">
        <v>2036</v>
      </c>
      <c r="R72" s="9">
        <v>2037</v>
      </c>
      <c r="S72" s="9">
        <v>2038</v>
      </c>
      <c r="T72" s="9">
        <v>2039</v>
      </c>
      <c r="U72" s="9">
        <v>2040</v>
      </c>
      <c r="V72" s="9">
        <v>2041</v>
      </c>
      <c r="W72" s="9">
        <v>2042</v>
      </c>
      <c r="X72" s="9">
        <v>2043</v>
      </c>
      <c r="Y72" s="9">
        <v>2044</v>
      </c>
      <c r="Z72" s="9">
        <v>2045</v>
      </c>
      <c r="AA72" s="9">
        <v>2046</v>
      </c>
      <c r="AB72" s="9">
        <v>2047</v>
      </c>
      <c r="AC72" s="9">
        <v>2048</v>
      </c>
      <c r="AD72" s="9">
        <v>2049</v>
      </c>
      <c r="AE72" s="32">
        <v>2050</v>
      </c>
    </row>
    <row r="73" spans="1:31">
      <c r="A73" s="104"/>
      <c r="B73" s="5" t="s">
        <v>118</v>
      </c>
      <c r="C73" s="5"/>
      <c r="D73" s="5" t="s">
        <v>55</v>
      </c>
      <c r="E73" s="5" t="s">
        <v>154</v>
      </c>
      <c r="F73" s="55">
        <f t="shared" ref="F73:AE73" si="12">F34</f>
        <v>0</v>
      </c>
      <c r="G73" s="55">
        <f t="shared" si="12"/>
        <v>0</v>
      </c>
      <c r="H73" s="55">
        <f t="shared" si="12"/>
        <v>243586.56924503567</v>
      </c>
      <c r="I73" s="55">
        <f t="shared" si="12"/>
        <v>211440.02342527214</v>
      </c>
      <c r="J73" s="55">
        <f t="shared" si="12"/>
        <v>182435.04257423338</v>
      </c>
      <c r="K73" s="55">
        <f t="shared" si="12"/>
        <v>159165.50762440264</v>
      </c>
      <c r="L73" s="55">
        <f t="shared" si="12"/>
        <v>153250.1851997448</v>
      </c>
      <c r="M73" s="55">
        <f t="shared" si="12"/>
        <v>150534.59498300904</v>
      </c>
      <c r="N73" s="55">
        <f t="shared" si="12"/>
        <v>153924.42481893935</v>
      </c>
      <c r="O73" s="55">
        <f t="shared" si="12"/>
        <v>148767.22544648699</v>
      </c>
      <c r="P73" s="55">
        <f t="shared" si="12"/>
        <v>149982.77269216516</v>
      </c>
      <c r="Q73" s="55">
        <f t="shared" si="12"/>
        <v>154106.74250511298</v>
      </c>
      <c r="R73" s="55">
        <f t="shared" si="12"/>
        <v>154868.06679870645</v>
      </c>
      <c r="S73" s="55">
        <f t="shared" si="12"/>
        <v>158234.43551539062</v>
      </c>
      <c r="T73" s="55">
        <f t="shared" si="12"/>
        <v>150612.24636269407</v>
      </c>
      <c r="U73" s="55">
        <f t="shared" si="12"/>
        <v>155169.9009580386</v>
      </c>
      <c r="V73" s="55">
        <f t="shared" si="12"/>
        <v>158794.14226675514</v>
      </c>
      <c r="W73" s="55">
        <f t="shared" si="12"/>
        <v>160978.63675926617</v>
      </c>
      <c r="X73" s="55">
        <f t="shared" si="12"/>
        <v>158277.2445970907</v>
      </c>
      <c r="Y73" s="55">
        <f t="shared" si="12"/>
        <v>157660.22450061567</v>
      </c>
      <c r="Z73" s="55">
        <f t="shared" si="12"/>
        <v>151111.69829042768</v>
      </c>
      <c r="AA73" s="55">
        <f t="shared" si="12"/>
        <v>146152.99511113297</v>
      </c>
      <c r="AB73" s="55">
        <f t="shared" si="12"/>
        <v>148463.54973379415</v>
      </c>
      <c r="AC73" s="55">
        <f t="shared" si="12"/>
        <v>146309.6761855082</v>
      </c>
      <c r="AD73" s="55">
        <f t="shared" si="12"/>
        <v>143687.29470439724</v>
      </c>
      <c r="AE73" s="55">
        <f t="shared" si="12"/>
        <v>139361.98383738179</v>
      </c>
    </row>
    <row r="74" spans="1:31">
      <c r="A74" s="104"/>
      <c r="B74" s="1" t="s">
        <v>119</v>
      </c>
      <c r="C74" s="1"/>
      <c r="D74" s="1" t="s">
        <v>55</v>
      </c>
      <c r="E74" s="1" t="s">
        <v>154</v>
      </c>
      <c r="F74" s="56">
        <f t="shared" ref="F74:AE74" si="13">F45</f>
        <v>0</v>
      </c>
      <c r="G74" s="56">
        <f t="shared" si="13"/>
        <v>0</v>
      </c>
      <c r="H74" s="56">
        <f t="shared" si="13"/>
        <v>548986.18543985614</v>
      </c>
      <c r="I74" s="56">
        <f t="shared" si="13"/>
        <v>476535.51782153372</v>
      </c>
      <c r="J74" s="56">
        <f t="shared" si="13"/>
        <v>411165.19036251114</v>
      </c>
      <c r="K74" s="56">
        <f t="shared" si="13"/>
        <v>358721.19368132995</v>
      </c>
      <c r="L74" s="56">
        <f t="shared" si="13"/>
        <v>345389.46400664083</v>
      </c>
      <c r="M74" s="56">
        <f t="shared" si="13"/>
        <v>339269.16961223248</v>
      </c>
      <c r="N74" s="56">
        <f t="shared" si="13"/>
        <v>346909.03972775413</v>
      </c>
      <c r="O74" s="56">
        <f t="shared" si="13"/>
        <v>335285.93907893565</v>
      </c>
      <c r="P74" s="56">
        <f t="shared" si="13"/>
        <v>338025.49342996191</v>
      </c>
      <c r="Q74" s="56">
        <f t="shared" si="13"/>
        <v>347319.94042470516</v>
      </c>
      <c r="R74" s="56">
        <f t="shared" si="13"/>
        <v>349035.7842871889</v>
      </c>
      <c r="S74" s="56">
        <f t="shared" si="13"/>
        <v>356622.77862059738</v>
      </c>
      <c r="T74" s="56">
        <f t="shared" si="13"/>
        <v>339444.17735120404</v>
      </c>
      <c r="U74" s="56">
        <f t="shared" si="13"/>
        <v>349716.04668540228</v>
      </c>
      <c r="V74" s="56">
        <f t="shared" si="13"/>
        <v>357884.22450141452</v>
      </c>
      <c r="W74" s="56">
        <f t="shared" si="13"/>
        <v>362807.55546450883</v>
      </c>
      <c r="X74" s="56">
        <f t="shared" si="13"/>
        <v>356719.26010780566</v>
      </c>
      <c r="Y74" s="56">
        <f t="shared" si="13"/>
        <v>355328.64358016441</v>
      </c>
      <c r="Z74" s="56">
        <f t="shared" si="13"/>
        <v>340569.82319229818</v>
      </c>
      <c r="AA74" s="56">
        <f t="shared" si="13"/>
        <v>329394.08574681112</v>
      </c>
      <c r="AB74" s="56">
        <f t="shared" si="13"/>
        <v>334601.52625749528</v>
      </c>
      <c r="AC74" s="56">
        <f t="shared" si="13"/>
        <v>329747.20761891786</v>
      </c>
      <c r="AD74" s="56">
        <f t="shared" si="13"/>
        <v>323836.9835431602</v>
      </c>
      <c r="AE74" s="56">
        <f t="shared" si="13"/>
        <v>314088.76170529803</v>
      </c>
    </row>
    <row r="75" spans="1:31">
      <c r="A75" s="104"/>
      <c r="B75" s="1" t="s">
        <v>145</v>
      </c>
      <c r="C75" s="1"/>
      <c r="D75" s="1" t="s">
        <v>55</v>
      </c>
      <c r="E75" s="1" t="s">
        <v>155</v>
      </c>
      <c r="F75" s="14">
        <f t="shared" ref="F75:AE75" si="14">F56</f>
        <v>0</v>
      </c>
      <c r="G75" s="14">
        <f t="shared" si="14"/>
        <v>0</v>
      </c>
      <c r="H75" s="14">
        <f t="shared" si="14"/>
        <v>11.460648505512852</v>
      </c>
      <c r="I75" s="14">
        <f t="shared" si="14"/>
        <v>9.948166666105438</v>
      </c>
      <c r="J75" s="14">
        <f t="shared" si="14"/>
        <v>8.583494174214092</v>
      </c>
      <c r="K75" s="14">
        <f t="shared" si="14"/>
        <v>7.4886720673413363</v>
      </c>
      <c r="L75" s="14">
        <f t="shared" si="14"/>
        <v>7.2103585654274234</v>
      </c>
      <c r="M75" s="14">
        <f t="shared" si="14"/>
        <v>7.082591155855221</v>
      </c>
      <c r="N75" s="14">
        <f t="shared" si="14"/>
        <v>7.2420812638833736</v>
      </c>
      <c r="O75" s="14">
        <f t="shared" si="14"/>
        <v>6.9994371416572765</v>
      </c>
      <c r="P75" s="14">
        <f t="shared" si="14"/>
        <v>7.0566281426543309</v>
      </c>
      <c r="Q75" s="14">
        <f t="shared" si="14"/>
        <v>7.2506592364869151</v>
      </c>
      <c r="R75" s="14">
        <f t="shared" si="14"/>
        <v>7.2864792332733765</v>
      </c>
      <c r="S75" s="14">
        <f t="shared" si="14"/>
        <v>7.4448655052318333</v>
      </c>
      <c r="T75" s="14">
        <f t="shared" si="14"/>
        <v>7.0862446215257489</v>
      </c>
      <c r="U75" s="14">
        <f t="shared" si="14"/>
        <v>7.300680407081046</v>
      </c>
      <c r="V75" s="14">
        <f t="shared" si="14"/>
        <v>7.4711994790770753</v>
      </c>
      <c r="W75" s="14">
        <f t="shared" si="14"/>
        <v>7.5739790519348587</v>
      </c>
      <c r="X75" s="14">
        <f t="shared" si="14"/>
        <v>7.4468796550255973</v>
      </c>
      <c r="Y75" s="14">
        <f t="shared" si="14"/>
        <v>7.4178491117224281</v>
      </c>
      <c r="Z75" s="14">
        <f t="shared" si="14"/>
        <v>7.1097436305511499</v>
      </c>
      <c r="AA75" s="14">
        <f t="shared" si="14"/>
        <v>6.8764386730684679</v>
      </c>
      <c r="AB75" s="14">
        <f t="shared" si="14"/>
        <v>6.9851493235168078</v>
      </c>
      <c r="AC75" s="14">
        <f t="shared" si="14"/>
        <v>6.8838104535670634</v>
      </c>
      <c r="AD75" s="14">
        <f t="shared" si="14"/>
        <v>6.7604284769025549</v>
      </c>
      <c r="AE75" s="14">
        <f t="shared" si="14"/>
        <v>6.5569243687837151</v>
      </c>
    </row>
    <row r="76" spans="1:31">
      <c r="A76" s="105"/>
      <c r="B76" s="3" t="s">
        <v>147</v>
      </c>
      <c r="C76" s="3"/>
      <c r="D76" s="3" t="s">
        <v>55</v>
      </c>
      <c r="E76" s="3" t="s">
        <v>155</v>
      </c>
      <c r="F76" s="44">
        <f t="shared" ref="F76:AE76" si="15">F67</f>
        <v>0</v>
      </c>
      <c r="G76" s="44">
        <f t="shared" si="15"/>
        <v>0</v>
      </c>
      <c r="H76" s="44">
        <f t="shared" si="15"/>
        <v>1.9370904905337132</v>
      </c>
      <c r="I76" s="44">
        <f t="shared" si="15"/>
        <v>1.6814492685896207</v>
      </c>
      <c r="J76" s="44">
        <f t="shared" si="15"/>
        <v>1.4507909332027458</v>
      </c>
      <c r="K76" s="44">
        <f t="shared" si="15"/>
        <v>1.2657429849100155</v>
      </c>
      <c r="L76" s="44">
        <f t="shared" si="15"/>
        <v>1.2187021531730287</v>
      </c>
      <c r="M76" s="44">
        <f t="shared" si="15"/>
        <v>1.1971067753928457</v>
      </c>
      <c r="N76" s="44">
        <f t="shared" si="15"/>
        <v>1.2240639559962747</v>
      </c>
      <c r="O76" s="44">
        <f t="shared" si="15"/>
        <v>1.1830519991666086</v>
      </c>
      <c r="P76" s="44">
        <f t="shared" si="15"/>
        <v>1.1927184804413993</v>
      </c>
      <c r="Q76" s="44">
        <f t="shared" si="15"/>
        <v>1.2255138136679751</v>
      </c>
      <c r="R76" s="44">
        <f t="shared" si="15"/>
        <v>1.2315681460308101</v>
      </c>
      <c r="S76" s="44">
        <f t="shared" si="15"/>
        <v>1.2583387551367633</v>
      </c>
      <c r="T76" s="44">
        <f t="shared" si="15"/>
        <v>1.1977242878839116</v>
      </c>
      <c r="U76" s="44">
        <f t="shared" si="15"/>
        <v>1.2339684429009234</v>
      </c>
      <c r="V76" s="44">
        <f t="shared" si="15"/>
        <v>1.2627897502343834</v>
      </c>
      <c r="W76" s="44">
        <f t="shared" si="15"/>
        <v>1.280161658386715</v>
      </c>
      <c r="X76" s="44">
        <f t="shared" si="15"/>
        <v>1.2586791887876283</v>
      </c>
      <c r="Y76" s="44">
        <f t="shared" si="15"/>
        <v>1.2537724167720179</v>
      </c>
      <c r="Z76" s="44">
        <f t="shared" si="15"/>
        <v>1.2016961143384248</v>
      </c>
      <c r="AA76" s="44">
        <f t="shared" si="15"/>
        <v>1.16226267265171</v>
      </c>
      <c r="AB76" s="44">
        <f t="shared" si="15"/>
        <v>1.1806370575830616</v>
      </c>
      <c r="AC76" s="44">
        <f t="shared" si="15"/>
        <v>1.1635086585045402</v>
      </c>
      <c r="AD76" s="44">
        <f t="shared" si="15"/>
        <v>1.1426545110638344</v>
      </c>
      <c r="AE76" s="44">
        <f t="shared" si="15"/>
        <v>1.1082580393081629</v>
      </c>
    </row>
    <row r="81" spans="1:9" ht="39">
      <c r="A81" s="22"/>
      <c r="F81" s="58" t="s">
        <v>118</v>
      </c>
      <c r="G81" s="29" t="s">
        <v>119</v>
      </c>
      <c r="H81" s="29" t="s">
        <v>145</v>
      </c>
      <c r="I81" s="59" t="s">
        <v>147</v>
      </c>
    </row>
    <row r="82" spans="1:9" ht="13.5" customHeight="1">
      <c r="A82" s="100" t="s">
        <v>37</v>
      </c>
      <c r="B82" s="5" t="s">
        <v>158</v>
      </c>
      <c r="C82" s="5" t="s">
        <v>38</v>
      </c>
      <c r="D82" s="5" t="s">
        <v>34</v>
      </c>
      <c r="E82" s="5"/>
      <c r="F82" s="60">
        <f>SUM($F$73:$K$73)</f>
        <v>796627.14286894386</v>
      </c>
      <c r="G82" s="55">
        <f>SUM($F$74:$K$74)</f>
        <v>1795408.087305231</v>
      </c>
      <c r="H82" s="7">
        <f>SUM($F$75:$K$75)</f>
        <v>37.480981413173716</v>
      </c>
      <c r="I82" s="34">
        <f>SUM($F$76:$K$76)</f>
        <v>6.3350736772360952</v>
      </c>
    </row>
    <row r="83" spans="1:9" ht="13.5" customHeight="1">
      <c r="A83" s="101"/>
      <c r="B83" s="1" t="s">
        <v>159</v>
      </c>
      <c r="C83" s="1" t="s">
        <v>38</v>
      </c>
      <c r="D83" s="1" t="s">
        <v>34</v>
      </c>
      <c r="E83" s="1"/>
      <c r="F83" s="61">
        <f>F82/COUNT($F$72:$K$72)</f>
        <v>132771.19047815731</v>
      </c>
      <c r="G83" s="56">
        <f>G82/COUNT($F$72:$K$72)</f>
        <v>299234.68121753848</v>
      </c>
      <c r="H83" s="2">
        <f>H82/COUNT($F$72:$K$72)</f>
        <v>6.2468302355289529</v>
      </c>
      <c r="I83" s="35">
        <f>I82/COUNT($F$72:$K$72)</f>
        <v>1.0558456128726825</v>
      </c>
    </row>
    <row r="84" spans="1:9">
      <c r="A84" s="101"/>
      <c r="B84" s="1" t="s">
        <v>158</v>
      </c>
      <c r="C84" s="1" t="s">
        <v>40</v>
      </c>
      <c r="D84" s="1" t="s">
        <v>34</v>
      </c>
      <c r="E84" s="1"/>
      <c r="F84" s="61">
        <f>SUM(F73:AE73)</f>
        <v>3836875.1841356019</v>
      </c>
      <c r="G84" s="56">
        <f>SUM(F74:AE74)</f>
        <v>8647403.9922477286</v>
      </c>
      <c r="H84" s="2">
        <f>SUM($F$75:$AE$75)</f>
        <v>180.52340891039995</v>
      </c>
      <c r="I84" s="35">
        <f>SUM($F$76:$AE$76)</f>
        <v>30.512250554657115</v>
      </c>
    </row>
    <row r="85" spans="1:9">
      <c r="A85" s="102"/>
      <c r="B85" s="3" t="s">
        <v>159</v>
      </c>
      <c r="C85" s="3" t="s">
        <v>40</v>
      </c>
      <c r="D85" s="3" t="s">
        <v>34</v>
      </c>
      <c r="E85" s="3"/>
      <c r="F85" s="62">
        <f>F84/COUNT($F$72:$AE$72)</f>
        <v>147572.12246675391</v>
      </c>
      <c r="G85" s="63">
        <f>G84/COUNT($F$72:$AE$72)</f>
        <v>332592.46124029724</v>
      </c>
      <c r="H85" s="23">
        <f>H84/COUNT($F$72:$AE$72)</f>
        <v>6.9432080350153829</v>
      </c>
      <c r="I85" s="36">
        <f>I84/COUNT($F$72:$AE$72)</f>
        <v>1.1735480982560429</v>
      </c>
    </row>
    <row r="86" spans="1:9" ht="13">
      <c r="A86" s="22"/>
    </row>
  </sheetData>
  <mergeCells count="9">
    <mergeCell ref="A58:A67"/>
    <mergeCell ref="A72:A76"/>
    <mergeCell ref="A82:A85"/>
    <mergeCell ref="A6:A11"/>
    <mergeCell ref="A13:A18"/>
    <mergeCell ref="A20:A21"/>
    <mergeCell ref="A25:A34"/>
    <mergeCell ref="A36:A45"/>
    <mergeCell ref="A47:A5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EA2C-8FCE-44FF-BB7F-DA28B9610028}">
  <dimension ref="A2:AI21"/>
  <sheetViews>
    <sheetView workbookViewId="0">
      <selection activeCell="E20" sqref="E20"/>
    </sheetView>
  </sheetViews>
  <sheetFormatPr defaultColWidth="9.08984375" defaultRowHeight="12.5"/>
  <cols>
    <col min="1" max="1" width="9.08984375" style="21"/>
    <col min="2" max="2" width="19" style="21" customWidth="1"/>
    <col min="3" max="3" width="21.6328125" style="21" customWidth="1"/>
    <col min="4" max="4" width="29.54296875" style="21" customWidth="1"/>
    <col min="5" max="5" width="28.6328125" style="21" customWidth="1"/>
    <col min="6" max="6" width="9.453125" style="21" bestFit="1" customWidth="1"/>
    <col min="7" max="7" width="10.54296875" style="21" bestFit="1" customWidth="1"/>
    <col min="8" max="35" width="9.54296875" style="21" bestFit="1" customWidth="1"/>
    <col min="36" max="16384" width="9.08984375" style="21"/>
  </cols>
  <sheetData>
    <row r="2" spans="1:35" ht="13">
      <c r="A2" s="22" t="s">
        <v>183</v>
      </c>
    </row>
    <row r="5" spans="1:35" ht="13">
      <c r="A5" s="8"/>
      <c r="B5" s="9" t="s">
        <v>9</v>
      </c>
      <c r="C5" s="9" t="s">
        <v>8</v>
      </c>
      <c r="D5" s="9" t="s">
        <v>10</v>
      </c>
      <c r="E5" s="9" t="s">
        <v>7</v>
      </c>
      <c r="F5" s="9">
        <v>2021</v>
      </c>
      <c r="G5" s="9">
        <v>2022</v>
      </c>
      <c r="H5" s="9">
        <v>2023</v>
      </c>
      <c r="I5" s="9">
        <v>2024</v>
      </c>
      <c r="J5" s="9">
        <v>2025</v>
      </c>
      <c r="K5" s="9">
        <v>2026</v>
      </c>
      <c r="L5" s="9">
        <v>2027</v>
      </c>
      <c r="M5" s="9">
        <v>2028</v>
      </c>
      <c r="N5" s="9">
        <v>2029</v>
      </c>
      <c r="O5" s="9">
        <v>2030</v>
      </c>
      <c r="P5" s="9">
        <v>2031</v>
      </c>
      <c r="Q5" s="9">
        <v>2032</v>
      </c>
      <c r="R5" s="9">
        <v>2033</v>
      </c>
      <c r="S5" s="9">
        <v>2034</v>
      </c>
      <c r="T5" s="9">
        <v>2035</v>
      </c>
      <c r="U5" s="9">
        <v>2036</v>
      </c>
      <c r="V5" s="9">
        <v>2037</v>
      </c>
      <c r="W5" s="9">
        <v>2038</v>
      </c>
      <c r="X5" s="9">
        <v>2039</v>
      </c>
      <c r="Y5" s="9">
        <v>2040</v>
      </c>
      <c r="Z5" s="9">
        <v>2041</v>
      </c>
      <c r="AA5" s="9">
        <v>2042</v>
      </c>
      <c r="AB5" s="9">
        <v>2043</v>
      </c>
      <c r="AC5" s="9">
        <v>2044</v>
      </c>
      <c r="AD5" s="9">
        <v>2045</v>
      </c>
      <c r="AE5" s="9">
        <v>2046</v>
      </c>
      <c r="AF5" s="9">
        <v>2047</v>
      </c>
      <c r="AG5" s="9">
        <v>2048</v>
      </c>
      <c r="AH5" s="9">
        <v>2049</v>
      </c>
      <c r="AI5" s="9">
        <v>2050</v>
      </c>
    </row>
    <row r="6" spans="1:35">
      <c r="A6" s="97" t="s">
        <v>29</v>
      </c>
      <c r="B6" s="5" t="s">
        <v>11</v>
      </c>
      <c r="C6" s="5" t="s">
        <v>12</v>
      </c>
      <c r="D6" s="5" t="s">
        <v>14</v>
      </c>
      <c r="E6" s="5" t="s">
        <v>13</v>
      </c>
      <c r="F6" s="5"/>
      <c r="G6" s="5"/>
      <c r="H6" s="6">
        <v>-7.8346899999999997E-2</v>
      </c>
      <c r="I6" s="6">
        <v>-8.3708000000000003E-4</v>
      </c>
      <c r="J6" s="6">
        <v>-5.9786199999999998E-2</v>
      </c>
      <c r="K6" s="6">
        <v>-0.11218773</v>
      </c>
      <c r="L6" s="6">
        <v>-3.9262940000000003E-2</v>
      </c>
      <c r="M6" s="6">
        <v>-0.13197175</v>
      </c>
      <c r="N6" s="6">
        <v>-0.13717829000000001</v>
      </c>
      <c r="O6" s="6">
        <v>-0.12754969999999999</v>
      </c>
      <c r="P6" s="6">
        <v>-3.7164599999999999E-2</v>
      </c>
      <c r="Q6" s="6">
        <v>-1.771998E-2</v>
      </c>
      <c r="R6" s="6">
        <v>2.2518610000000001E-2</v>
      </c>
      <c r="S6" s="6">
        <v>-3.350475E-2</v>
      </c>
      <c r="T6" s="6">
        <v>8.1708000000000006E-3</v>
      </c>
      <c r="U6" s="6">
        <v>2.749629E-2</v>
      </c>
      <c r="V6" s="6">
        <v>4.9402400000000003E-3</v>
      </c>
      <c r="W6" s="6">
        <v>2.1737010000000001E-2</v>
      </c>
      <c r="X6" s="6">
        <v>-4.8170230000000001E-2</v>
      </c>
      <c r="Y6" s="6">
        <v>3.0260849999999999E-2</v>
      </c>
      <c r="Z6" s="6">
        <v>2.3356600000000002E-2</v>
      </c>
      <c r="AA6" s="6">
        <v>1.375677E-2</v>
      </c>
      <c r="AB6" s="6">
        <v>-1.678106E-2</v>
      </c>
      <c r="AC6" s="6">
        <v>-3.8983500000000001E-3</v>
      </c>
      <c r="AD6" s="6">
        <v>-4.153569E-2</v>
      </c>
      <c r="AE6" s="6">
        <v>-3.2814820000000001E-2</v>
      </c>
      <c r="AF6" s="6">
        <v>1.5809150000000001E-2</v>
      </c>
      <c r="AG6" s="6">
        <v>-1.450776E-2</v>
      </c>
      <c r="AH6" s="6">
        <v>-1.7923499999999998E-2</v>
      </c>
      <c r="AI6" s="6">
        <v>-3.0102250000000001E-2</v>
      </c>
    </row>
    <row r="7" spans="1:35">
      <c r="A7" s="98"/>
      <c r="B7" s="1" t="s">
        <v>1</v>
      </c>
      <c r="C7" s="1" t="s">
        <v>6</v>
      </c>
      <c r="D7" s="1" t="s">
        <v>21</v>
      </c>
      <c r="E7" s="1" t="s">
        <v>53</v>
      </c>
      <c r="F7" s="12">
        <v>1005.904</v>
      </c>
      <c r="G7" s="12">
        <v>1005.904</v>
      </c>
      <c r="H7" s="12">
        <f>G7+(G7*H6)</f>
        <v>927.09453990240002</v>
      </c>
      <c r="I7" s="12">
        <f t="shared" ref="I7:AI7" si="0">H7+(H7*I6)</f>
        <v>926.31848760493847</v>
      </c>
      <c r="J7" s="12">
        <f t="shared" si="0"/>
        <v>870.93742524129209</v>
      </c>
      <c r="K7" s="12">
        <f t="shared" si="0"/>
        <v>773.22893253142684</v>
      </c>
      <c r="L7" s="12">
        <f t="shared" si="0"/>
        <v>742.8696913471814</v>
      </c>
      <c r="M7" s="12">
        <f t="shared" si="0"/>
        <v>644.83187815813403</v>
      </c>
      <c r="N7" s="12">
        <f t="shared" si="0"/>
        <v>556.37494377491282</v>
      </c>
      <c r="O7" s="12">
        <f t="shared" si="0"/>
        <v>485.40948660890581</v>
      </c>
      <c r="P7" s="12">
        <f t="shared" si="0"/>
        <v>467.36943720288048</v>
      </c>
      <c r="Q7" s="12">
        <f t="shared" si="0"/>
        <v>459.0876601230342</v>
      </c>
      <c r="R7" s="12">
        <f t="shared" si="0"/>
        <v>469.42567609715735</v>
      </c>
      <c r="S7" s="12">
        <f t="shared" si="0"/>
        <v>453.6976861759411</v>
      </c>
      <c r="T7" s="12">
        <f t="shared" si="0"/>
        <v>457.40475923014748</v>
      </c>
      <c r="U7" s="12">
        <f t="shared" si="0"/>
        <v>469.98169313731978</v>
      </c>
      <c r="V7" s="12">
        <f t="shared" si="0"/>
        <v>472.30351549702448</v>
      </c>
      <c r="W7" s="12">
        <f t="shared" si="0"/>
        <v>482.56998173641847</v>
      </c>
      <c r="X7" s="12">
        <f t="shared" si="0"/>
        <v>459.32447472507937</v>
      </c>
      <c r="Y7" s="12">
        <f t="shared" si="0"/>
        <v>473.22402375606379</v>
      </c>
      <c r="Z7" s="12">
        <f t="shared" si="0"/>
        <v>484.27692798932469</v>
      </c>
      <c r="AA7" s="12">
        <f t="shared" si="0"/>
        <v>490.9390143039804</v>
      </c>
      <c r="AB7" s="12">
        <f t="shared" si="0"/>
        <v>482.70053724860446</v>
      </c>
      <c r="AC7" s="12">
        <f t="shared" si="0"/>
        <v>480.81880160922134</v>
      </c>
      <c r="AD7" s="12">
        <f t="shared" si="0"/>
        <v>460.84766091940924</v>
      </c>
      <c r="AE7" s="12">
        <f t="shared" si="0"/>
        <v>445.72502787891779</v>
      </c>
      <c r="AF7" s="12">
        <f t="shared" si="0"/>
        <v>452.77156170340976</v>
      </c>
      <c r="AG7" s="12">
        <f t="shared" si="0"/>
        <v>446.2028605513915</v>
      </c>
      <c r="AH7" s="12">
        <f t="shared" si="0"/>
        <v>438.20534358029863</v>
      </c>
      <c r="AI7" s="12">
        <f t="shared" si="0"/>
        <v>425.01437677650858</v>
      </c>
    </row>
    <row r="8" spans="1:35">
      <c r="A8" s="98"/>
      <c r="B8" s="1" t="s">
        <v>52</v>
      </c>
      <c r="C8" s="1" t="s">
        <v>88</v>
      </c>
      <c r="D8" s="1" t="s">
        <v>34</v>
      </c>
      <c r="E8" s="1" t="s">
        <v>53</v>
      </c>
      <c r="F8" s="12"/>
      <c r="G8" s="12"/>
      <c r="H8" s="12"/>
      <c r="I8" s="12"/>
      <c r="J8" s="24">
        <f>(J7-$I$7)/$I$7</f>
        <v>-5.9786200000000005E-2</v>
      </c>
      <c r="K8" s="24">
        <f t="shared" ref="K8:M8" si="1">(K7-$I$7)/$I$7</f>
        <v>-0.165266651936674</v>
      </c>
      <c r="L8" s="24">
        <f t="shared" si="1"/>
        <v>-0.19804073729768346</v>
      </c>
      <c r="M8" s="24">
        <f t="shared" si="1"/>
        <v>-0.30387670462521787</v>
      </c>
      <c r="N8" s="24">
        <f t="shared" ref="N8" si="2">(N7-$I$7)/$I$7</f>
        <v>-0.39936970791389542</v>
      </c>
      <c r="O8" s="24">
        <f t="shared" ref="O8:P8" si="3">(O7-$I$7)/$I$7</f>
        <v>-0.47597992148039048</v>
      </c>
      <c r="P8" s="24">
        <f t="shared" si="3"/>
        <v>-0.49545491809054032</v>
      </c>
      <c r="Q8" s="24">
        <f t="shared" ref="Q8" si="4">(Q7-$I$7)/$I$7</f>
        <v>-0.50439544685107429</v>
      </c>
      <c r="R8" s="24">
        <f t="shared" ref="R8:S8" si="5">(R7-$I$7)/$I$7</f>
        <v>-0.49323512120448937</v>
      </c>
      <c r="S8" s="24">
        <f t="shared" si="5"/>
        <v>-0.51021415177731333</v>
      </c>
      <c r="T8" s="24">
        <f t="shared" ref="T8" si="6">(T7-$I$7)/$I$7</f>
        <v>-0.50621220956865531</v>
      </c>
      <c r="U8" s="24">
        <f t="shared" ref="U8:V8" si="7">(U7-$I$7)/$I$7</f>
        <v>-0.4926348772844959</v>
      </c>
      <c r="V8" s="24">
        <f t="shared" si="7"/>
        <v>-0.49012837181065189</v>
      </c>
      <c r="W8" s="24">
        <f t="shared" ref="W8" si="8">(W7-$I$7)/$I$7</f>
        <v>-0.47904528712998368</v>
      </c>
      <c r="X8" s="24">
        <f t="shared" ref="X8" si="9">(X7-$I$7)/$I$7</f>
        <v>-0.50413979546851639</v>
      </c>
      <c r="Y8" s="24">
        <f t="shared" ref="Y8" si="10">(Y7-$I$7)/$I$7</f>
        <v>-0.48913464419821984</v>
      </c>
      <c r="Z8" s="24">
        <f t="shared" ref="Z8" si="11">(Z7-$I$7)/$I$7</f>
        <v>-0.47720256642889997</v>
      </c>
      <c r="AA8" s="24">
        <f t="shared" ref="AA8" si="12">(AA7-$I$7)/$I$7</f>
        <v>-0.47001056237867206</v>
      </c>
      <c r="AB8" s="24">
        <f t="shared" ref="AB8" si="13">(AB7-$I$7)/$I$7</f>
        <v>-0.47890434693076178</v>
      </c>
      <c r="AC8" s="24">
        <f t="shared" ref="AC8" si="14">(AC7-$I$7)/$I$7</f>
        <v>-0.48093576016990425</v>
      </c>
      <c r="AD8" s="24">
        <f t="shared" ref="AD8" si="15">(AD7-$I$7)/$I$7</f>
        <v>-0.50249545152557273</v>
      </c>
      <c r="AE8" s="24">
        <f t="shared" ref="AE8" si="16">(AE7-$I$7)/$I$7</f>
        <v>-0.51882097373294234</v>
      </c>
      <c r="AF8" s="24">
        <f t="shared" ref="AF8" si="17">(AF7-$I$7)/$I$7</f>
        <v>-0.51121394232983253</v>
      </c>
      <c r="AG8" s="24">
        <f t="shared" ref="AG8:AH8" si="18">(AG7-$I$7)/$I$7</f>
        <v>-0.51830513314585747</v>
      </c>
      <c r="AH8" s="24">
        <f t="shared" si="18"/>
        <v>-0.52693879109191766</v>
      </c>
      <c r="AI8" s="24">
        <f t="shared" ref="AI8" si="19">(AI7-$I$7)/$I$7</f>
        <v>-0.54117899786777102</v>
      </c>
    </row>
    <row r="9" spans="1:35">
      <c r="A9" s="98"/>
      <c r="B9" s="1" t="s">
        <v>5</v>
      </c>
      <c r="C9" s="1" t="s">
        <v>6</v>
      </c>
      <c r="D9" s="1" t="s">
        <v>20</v>
      </c>
      <c r="E9" s="1" t="s">
        <v>22</v>
      </c>
      <c r="F9" s="4">
        <v>4.4999999999999998E-2</v>
      </c>
      <c r="G9" s="4">
        <v>5.0999999999999997E-2</v>
      </c>
      <c r="H9" s="16">
        <v>5.0999999999999997E-2</v>
      </c>
      <c r="I9" s="16">
        <v>5.0999999999999997E-2</v>
      </c>
      <c r="J9" s="16">
        <v>5.0999999999999997E-2</v>
      </c>
      <c r="K9" s="16">
        <v>5.0999999999999997E-2</v>
      </c>
      <c r="L9" s="16">
        <v>5.0999999999999997E-2</v>
      </c>
      <c r="M9" s="16">
        <v>5.0999999999999997E-2</v>
      </c>
      <c r="N9" s="16">
        <v>5.0999999999999997E-2</v>
      </c>
      <c r="O9" s="16">
        <v>5.0999999999999997E-2</v>
      </c>
      <c r="P9" s="16">
        <v>5.0999999999999997E-2</v>
      </c>
      <c r="Q9" s="16">
        <v>5.0999999999999997E-2</v>
      </c>
      <c r="R9" s="16">
        <v>5.0999999999999997E-2</v>
      </c>
      <c r="S9" s="16">
        <v>5.0999999999999997E-2</v>
      </c>
      <c r="T9" s="16">
        <v>5.0999999999999997E-2</v>
      </c>
      <c r="U9" s="16">
        <v>5.0999999999999997E-2</v>
      </c>
      <c r="V9" s="16">
        <v>5.0999999999999997E-2</v>
      </c>
      <c r="W9" s="16">
        <v>5.0999999999999997E-2</v>
      </c>
      <c r="X9" s="16">
        <v>5.0999999999999997E-2</v>
      </c>
      <c r="Y9" s="16">
        <v>5.0999999999999997E-2</v>
      </c>
      <c r="Z9" s="16">
        <v>5.0999999999999997E-2</v>
      </c>
      <c r="AA9" s="16">
        <v>5.0999999999999997E-2</v>
      </c>
      <c r="AB9" s="16">
        <v>5.0999999999999997E-2</v>
      </c>
      <c r="AC9" s="16">
        <v>5.0999999999999997E-2</v>
      </c>
      <c r="AD9" s="16">
        <v>5.0999999999999997E-2</v>
      </c>
      <c r="AE9" s="16">
        <v>5.0999999999999997E-2</v>
      </c>
      <c r="AF9" s="16">
        <v>5.0999999999999997E-2</v>
      </c>
      <c r="AG9" s="16">
        <v>5.0999999999999997E-2</v>
      </c>
      <c r="AH9" s="16">
        <v>5.0999999999999997E-2</v>
      </c>
      <c r="AI9" s="16">
        <v>5.0999999999999997E-2</v>
      </c>
    </row>
    <row r="10" spans="1:35">
      <c r="A10" s="98"/>
      <c r="B10" s="1" t="s">
        <v>23</v>
      </c>
      <c r="C10" s="1" t="s">
        <v>24</v>
      </c>
      <c r="D10" s="1" t="s">
        <v>26</v>
      </c>
      <c r="E10" s="1" t="s">
        <v>13</v>
      </c>
      <c r="F10" s="4"/>
      <c r="G10" s="4"/>
      <c r="H10" s="4">
        <v>-2.6329825587530366E-2</v>
      </c>
      <c r="I10" s="16">
        <v>-9.892647581765647E-3</v>
      </c>
      <c r="J10" s="16">
        <v>-3.2825787095943297E-2</v>
      </c>
      <c r="K10" s="16">
        <v>-1.6719662295432522E-2</v>
      </c>
      <c r="L10" s="16">
        <v>-2.2645913289680176E-2</v>
      </c>
      <c r="M10" s="16">
        <v>-1.2303693389614753E-2</v>
      </c>
      <c r="N10" s="16">
        <v>-5.7488003046156878E-3</v>
      </c>
      <c r="O10" s="16">
        <v>-2.7122025722303676E-3</v>
      </c>
      <c r="P10" s="16">
        <v>-4.7986912718401214E-4</v>
      </c>
      <c r="Q10" s="16">
        <v>2.1184504442495998E-3</v>
      </c>
      <c r="R10" s="16">
        <v>2.6119461936472597E-3</v>
      </c>
      <c r="S10" s="16">
        <v>6.2560390568502915E-3</v>
      </c>
      <c r="T10" s="16">
        <v>-2.8101900239323242E-3</v>
      </c>
      <c r="U10" s="16">
        <v>9.133730660777523E-5</v>
      </c>
      <c r="V10" s="16">
        <v>3.4484694388232941E-3</v>
      </c>
      <c r="W10" s="16">
        <v>5.2753662045013057E-3</v>
      </c>
      <c r="X10" s="16">
        <v>6.6552269357860426E-3</v>
      </c>
      <c r="Y10" s="16">
        <v>9.1725963595521293E-3</v>
      </c>
      <c r="Z10" s="16">
        <v>7.3225321105289667E-3</v>
      </c>
      <c r="AA10" s="16">
        <v>2.4529169261681633E-3</v>
      </c>
      <c r="AB10" s="16">
        <v>-6.4228859864063601E-5</v>
      </c>
      <c r="AC10" s="16">
        <v>5.4209057024971275E-4</v>
      </c>
      <c r="AD10" s="16">
        <v>1.9921642919007799E-3</v>
      </c>
      <c r="AE10" s="16">
        <v>-3.7966265096652831E-3</v>
      </c>
      <c r="AF10" s="16">
        <v>-7.95824247383853E-3</v>
      </c>
      <c r="AG10" s="16">
        <v>-4.9777550758536425E-4</v>
      </c>
      <c r="AH10" s="16">
        <v>-5.0936796715072034E-3</v>
      </c>
      <c r="AI10" s="16">
        <v>-9.1255642292364554E-3</v>
      </c>
    </row>
    <row r="11" spans="1:35">
      <c r="A11" s="98"/>
      <c r="B11" s="1" t="s">
        <v>2</v>
      </c>
      <c r="C11" s="1" t="s">
        <v>3</v>
      </c>
      <c r="D11" s="1" t="s">
        <v>27</v>
      </c>
      <c r="E11" s="1" t="s">
        <v>28</v>
      </c>
      <c r="F11" s="12">
        <v>0.12770000000000001</v>
      </c>
      <c r="G11" s="12">
        <v>0.13849999999999998</v>
      </c>
      <c r="H11" s="12">
        <f>G11+(G11*H10)</f>
        <v>0.13485331915612703</v>
      </c>
      <c r="I11" s="12">
        <f t="shared" ref="I11:AI11" si="20">H11+(H11*I10)</f>
        <v>0.13351926279448409</v>
      </c>
      <c r="J11" s="12">
        <f t="shared" si="20"/>
        <v>0.12913638790078505</v>
      </c>
      <c r="K11" s="12">
        <f t="shared" si="20"/>
        <v>0.12697727110503196</v>
      </c>
      <c r="L11" s="12">
        <f t="shared" si="20"/>
        <v>0.1241017548338272</v>
      </c>
      <c r="M11" s="12">
        <f t="shared" si="20"/>
        <v>0.12257484489323865</v>
      </c>
      <c r="N11" s="12">
        <f t="shared" si="20"/>
        <v>0.12187018658757819</v>
      </c>
      <c r="O11" s="12">
        <f t="shared" si="20"/>
        <v>0.12153964995403717</v>
      </c>
      <c r="P11" s="12">
        <f t="shared" si="20"/>
        <v>0.12148132682829547</v>
      </c>
      <c r="Q11" s="12">
        <f t="shared" si="20"/>
        <v>0.1217386789990829</v>
      </c>
      <c r="R11" s="12">
        <f t="shared" si="20"/>
        <v>0.1220566538783142</v>
      </c>
      <c r="S11" s="12">
        <f t="shared" si="20"/>
        <v>0.1228202450721254</v>
      </c>
      <c r="T11" s="12">
        <f t="shared" si="20"/>
        <v>0.12247509684468678</v>
      </c>
      <c r="U11" s="12">
        <f t="shared" si="20"/>
        <v>0.1224862833901591</v>
      </c>
      <c r="V11" s="12">
        <f t="shared" si="20"/>
        <v>0.12290867359510511</v>
      </c>
      <c r="W11" s="12">
        <f t="shared" si="20"/>
        <v>0.12355706185802881</v>
      </c>
      <c r="X11" s="12">
        <f t="shared" si="20"/>
        <v>0.12437936214421294</v>
      </c>
      <c r="Y11" s="12">
        <f t="shared" si="20"/>
        <v>0.12552024382862037</v>
      </c>
      <c r="Z11" s="12">
        <f t="shared" si="20"/>
        <v>0.12643936984457688</v>
      </c>
      <c r="AA11" s="12">
        <f t="shared" si="20"/>
        <v>0.12674951511500268</v>
      </c>
      <c r="AB11" s="12">
        <f t="shared" si="20"/>
        <v>0.12674137413815853</v>
      </c>
      <c r="AC11" s="12">
        <f t="shared" si="20"/>
        <v>0.12681007944193931</v>
      </c>
      <c r="AD11" s="12">
        <f t="shared" si="20"/>
        <v>0.12706270595405664</v>
      </c>
      <c r="AE11" s="12">
        <f t="shared" si="20"/>
        <v>0.12658029631624165</v>
      </c>
      <c r="AF11" s="12">
        <f t="shared" si="20"/>
        <v>0.12557293962574667</v>
      </c>
      <c r="AG11" s="12">
        <f t="shared" si="20"/>
        <v>0.12551043249198549</v>
      </c>
      <c r="AH11" s="12">
        <f t="shared" si="20"/>
        <v>0.12487112255343898</v>
      </c>
      <c r="AI11" s="12">
        <f t="shared" si="20"/>
        <v>0.12373160310420071</v>
      </c>
    </row>
    <row r="12" spans="1:35">
      <c r="A12" s="98"/>
      <c r="B12" s="1" t="s">
        <v>23</v>
      </c>
      <c r="C12" s="1" t="s">
        <v>25</v>
      </c>
      <c r="D12" s="1" t="s">
        <v>26</v>
      </c>
      <c r="E12" s="1" t="s">
        <v>13</v>
      </c>
      <c r="F12" s="1"/>
      <c r="G12" s="1"/>
      <c r="H12" s="16">
        <v>-2.1966863558229702E-2</v>
      </c>
      <c r="I12" s="16">
        <v>-3.2101644455302517E-2</v>
      </c>
      <c r="J12" s="16">
        <v>-4.0990653258656612E-2</v>
      </c>
      <c r="K12" s="16">
        <v>-2.1436038487692086E-2</v>
      </c>
      <c r="L12" s="16">
        <v>-2.9238105636122894E-2</v>
      </c>
      <c r="M12" s="16">
        <v>-1.6149177222837506E-2</v>
      </c>
      <c r="N12" s="16">
        <v>-8.1238760375270062E-3</v>
      </c>
      <c r="O12" s="16">
        <v>-6.5330398963959367E-3</v>
      </c>
      <c r="P12" s="16">
        <v>-4.5188920734650058E-3</v>
      </c>
      <c r="Q12" s="16">
        <v>-1.5764448617052028E-3</v>
      </c>
      <c r="R12" s="16">
        <v>-1.9503016294011811E-4</v>
      </c>
      <c r="S12" s="16">
        <v>7.9951401862029918E-3</v>
      </c>
      <c r="T12" s="16">
        <v>-5.8628275455762198E-3</v>
      </c>
      <c r="U12" s="16">
        <v>-9.3796755006175602E-5</v>
      </c>
      <c r="V12" s="16">
        <v>2.0750400245526227E-3</v>
      </c>
      <c r="W12" s="16">
        <v>3.0930396669771516E-3</v>
      </c>
      <c r="X12" s="16">
        <v>8.5607644775561008E-3</v>
      </c>
      <c r="Y12" s="16">
        <v>6.5826415754729533E-3</v>
      </c>
      <c r="Z12" s="16">
        <v>5.4749909256962513E-3</v>
      </c>
      <c r="AA12" s="16">
        <v>7.0370643344491604E-4</v>
      </c>
      <c r="AB12" s="16">
        <v>-2.8904696989261827E-3</v>
      </c>
      <c r="AC12" s="16">
        <v>-1.5556733259308201E-3</v>
      </c>
      <c r="AD12" s="16">
        <v>8.8842230462679228E-5</v>
      </c>
      <c r="AE12" s="16">
        <v>-5.3777023616800772E-3</v>
      </c>
      <c r="AF12" s="16">
        <v>-1.2130981265116605E-2</v>
      </c>
      <c r="AG12" s="16">
        <v>7.2373127680724013E-4</v>
      </c>
      <c r="AH12" s="16">
        <v>-5.8807088755785768E-3</v>
      </c>
      <c r="AI12" s="16">
        <v>-1.0656688679220608E-2</v>
      </c>
    </row>
    <row r="13" spans="1:35">
      <c r="A13" s="99"/>
      <c r="B13" s="3" t="s">
        <v>2</v>
      </c>
      <c r="C13" s="3" t="s">
        <v>4</v>
      </c>
      <c r="D13" s="3" t="s">
        <v>27</v>
      </c>
      <c r="E13" s="3" t="s">
        <v>28</v>
      </c>
      <c r="F13" s="15">
        <v>9.7500000000000003E-2</v>
      </c>
      <c r="G13" s="15">
        <v>0.10390000000000001</v>
      </c>
      <c r="H13" s="15">
        <f>G13+(G13*H12)</f>
        <v>0.10161764287629994</v>
      </c>
      <c r="I13" s="15">
        <f t="shared" ref="I13:AI13" si="21">H13+(H13*I12)</f>
        <v>9.8355549434299056E-2</v>
      </c>
      <c r="J13" s="15">
        <f t="shared" si="21"/>
        <v>9.4323891211373037E-2</v>
      </c>
      <c r="K13" s="15">
        <f t="shared" si="21"/>
        <v>9.2301960649057158E-2</v>
      </c>
      <c r="L13" s="15">
        <f t="shared" si="21"/>
        <v>8.9603226173178771E-2</v>
      </c>
      <c r="M13" s="15">
        <f t="shared" si="21"/>
        <v>8.8156207793970112E-2</v>
      </c>
      <c r="N13" s="15">
        <f t="shared" si="21"/>
        <v>8.744003768991343E-2</v>
      </c>
      <c r="O13" s="15">
        <f t="shared" si="21"/>
        <v>8.6868788435142855E-2</v>
      </c>
      <c r="P13" s="15">
        <f t="shared" si="21"/>
        <v>8.6476237755651775E-2</v>
      </c>
      <c r="Q13" s="15">
        <f t="shared" si="21"/>
        <v>8.6339912734982274E-2</v>
      </c>
      <c r="R13" s="15">
        <f t="shared" si="21"/>
        <v>8.6323073847733328E-2</v>
      </c>
      <c r="S13" s="15">
        <f t="shared" si="21"/>
        <v>8.7013238924449912E-2</v>
      </c>
      <c r="T13" s="15">
        <f t="shared" si="21"/>
        <v>8.6503095310453845E-2</v>
      </c>
      <c r="U13" s="15">
        <f t="shared" si="21"/>
        <v>8.6494981600815729E-2</v>
      </c>
      <c r="V13" s="15">
        <f t="shared" si="21"/>
        <v>8.6674462149560358E-2</v>
      </c>
      <c r="W13" s="15">
        <f t="shared" si="21"/>
        <v>8.6942549699102853E-2</v>
      </c>
      <c r="X13" s="15">
        <f t="shared" si="21"/>
        <v>8.7686844390155089E-2</v>
      </c>
      <c r="Y13" s="15">
        <f t="shared" si="21"/>
        <v>8.8264055457659751E-2</v>
      </c>
      <c r="Z13" s="15">
        <f t="shared" si="21"/>
        <v>8.8747300360355594E-2</v>
      </c>
      <c r="AA13" s="15">
        <f t="shared" si="21"/>
        <v>8.8809752406570047E-2</v>
      </c>
      <c r="AB13" s="15">
        <f t="shared" si="21"/>
        <v>8.8553050508269726E-2</v>
      </c>
      <c r="AC13" s="15">
        <f t="shared" si="21"/>
        <v>8.8415290889664211E-2</v>
      </c>
      <c r="AD13" s="15">
        <f t="shared" si="21"/>
        <v>8.8423145901313852E-2</v>
      </c>
      <c r="AE13" s="15">
        <f t="shared" si="21"/>
        <v>8.7947632540773174E-2</v>
      </c>
      <c r="AF13" s="15">
        <f t="shared" si="21"/>
        <v>8.68807414581097E-2</v>
      </c>
      <c r="AG13" s="15">
        <f t="shared" si="21"/>
        <v>8.6943619768055133E-2</v>
      </c>
      <c r="AH13" s="15">
        <f t="shared" si="21"/>
        <v>8.6432329651610199E-2</v>
      </c>
      <c r="AI13" s="15">
        <f t="shared" si="21"/>
        <v>8.5511247222693224E-2</v>
      </c>
    </row>
    <row r="14" spans="1:35" ht="13">
      <c r="A14" s="22"/>
    </row>
    <row r="15" spans="1:35" ht="13">
      <c r="A15" s="22"/>
    </row>
    <row r="16" spans="1:35" ht="13">
      <c r="A16" s="10"/>
      <c r="B16" s="5"/>
      <c r="C16" s="5"/>
      <c r="D16" s="5"/>
      <c r="E16" s="5"/>
      <c r="F16" s="11" t="s">
        <v>16</v>
      </c>
      <c r="G16" s="11" t="s">
        <v>17</v>
      </c>
      <c r="H16" s="11" t="s">
        <v>18</v>
      </c>
    </row>
    <row r="17" spans="1:8" ht="22">
      <c r="A17" s="74" t="s">
        <v>32</v>
      </c>
      <c r="B17" s="3" t="s">
        <v>182</v>
      </c>
      <c r="C17" s="3" t="s">
        <v>30</v>
      </c>
      <c r="D17" s="3" t="s">
        <v>15</v>
      </c>
      <c r="E17" s="3" t="s">
        <v>31</v>
      </c>
      <c r="F17" s="3">
        <v>1</v>
      </c>
      <c r="G17" s="3">
        <v>28</v>
      </c>
      <c r="H17" s="3">
        <v>265</v>
      </c>
    </row>
    <row r="18" spans="1:8" ht="13">
      <c r="A18" s="22"/>
    </row>
    <row r="19" spans="1:8" ht="13">
      <c r="A19" s="22"/>
    </row>
    <row r="20" spans="1:8" ht="13">
      <c r="A20" s="22"/>
    </row>
    <row r="21" spans="1:8" ht="13">
      <c r="A21" s="22"/>
    </row>
  </sheetData>
  <mergeCells count="1">
    <mergeCell ref="A6:A13"/>
  </mergeCells>
  <phoneticPr fontId="3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FB73B-A198-46BD-ADEC-590C0D944ADB}">
  <dimension ref="B2:G19"/>
  <sheetViews>
    <sheetView workbookViewId="0">
      <selection activeCell="E18" sqref="E18"/>
    </sheetView>
  </sheetViews>
  <sheetFormatPr defaultColWidth="9.08984375" defaultRowHeight="12.5"/>
  <cols>
    <col min="1" max="1" width="4" style="21" customWidth="1"/>
    <col min="2" max="2" width="18.54296875" style="21" customWidth="1"/>
    <col min="3" max="3" width="16.6328125" style="21" customWidth="1"/>
    <col min="4" max="4" width="16.36328125" style="68" customWidth="1"/>
    <col min="5" max="5" width="12.36328125" style="21" customWidth="1"/>
    <col min="6" max="7" width="3.6328125" style="21" customWidth="1"/>
    <col min="8" max="11" width="15.08984375" style="21" customWidth="1"/>
    <col min="12" max="13" width="3.90625" style="21" customWidth="1"/>
    <col min="14" max="17" width="13.08984375" style="21" customWidth="1"/>
    <col min="18" max="19" width="4.08984375" style="21" customWidth="1"/>
    <col min="20" max="23" width="14" style="21" customWidth="1"/>
    <col min="24" max="25" width="4.6328125" style="21" customWidth="1"/>
    <col min="26" max="29" width="14.54296875" style="21" customWidth="1"/>
    <col min="30" max="16384" width="9.08984375" style="21"/>
  </cols>
  <sheetData>
    <row r="2" spans="2:7">
      <c r="B2" s="21" t="s">
        <v>184</v>
      </c>
    </row>
    <row r="5" spans="2:7" ht="13">
      <c r="B5" s="64" t="s">
        <v>161</v>
      </c>
      <c r="C5" s="67" t="s">
        <v>162</v>
      </c>
      <c r="D5" s="67" t="s">
        <v>163</v>
      </c>
      <c r="E5" s="67" t="s">
        <v>170</v>
      </c>
      <c r="F5" s="22"/>
      <c r="G5" s="22"/>
    </row>
    <row r="6" spans="2:7">
      <c r="B6" s="21" t="s">
        <v>164</v>
      </c>
      <c r="C6" s="73">
        <v>7</v>
      </c>
      <c r="D6" s="68" t="s">
        <v>171</v>
      </c>
      <c r="E6" s="68" t="s">
        <v>100</v>
      </c>
    </row>
    <row r="7" spans="2:7" s="22" customFormat="1" ht="13">
      <c r="B7" s="21" t="s">
        <v>165</v>
      </c>
      <c r="C7" s="73">
        <v>5.3</v>
      </c>
      <c r="D7" s="70" t="s">
        <v>171</v>
      </c>
      <c r="E7" s="70" t="s">
        <v>100</v>
      </c>
    </row>
    <row r="8" spans="2:7">
      <c r="B8" s="21" t="s">
        <v>166</v>
      </c>
      <c r="C8" s="73">
        <v>6.3</v>
      </c>
      <c r="D8" s="70" t="s">
        <v>171</v>
      </c>
      <c r="E8" s="70" t="s">
        <v>100</v>
      </c>
    </row>
    <row r="9" spans="2:7">
      <c r="B9" s="21" t="s">
        <v>167</v>
      </c>
      <c r="C9" s="73">
        <v>3.5</v>
      </c>
      <c r="D9" s="70" t="s">
        <v>171</v>
      </c>
      <c r="E9" s="70" t="s">
        <v>100</v>
      </c>
    </row>
    <row r="10" spans="2:7">
      <c r="B10" s="21" t="s">
        <v>168</v>
      </c>
      <c r="C10" s="73">
        <v>2.8</v>
      </c>
      <c r="D10" s="70" t="s">
        <v>173</v>
      </c>
      <c r="E10" s="70" t="s">
        <v>100</v>
      </c>
    </row>
    <row r="11" spans="2:7">
      <c r="B11" s="21" t="s">
        <v>169</v>
      </c>
      <c r="C11" s="73">
        <v>3.2</v>
      </c>
      <c r="D11" s="70" t="s">
        <v>171</v>
      </c>
      <c r="E11" s="70" t="s">
        <v>100</v>
      </c>
    </row>
    <row r="12" spans="2:7">
      <c r="C12" s="73"/>
      <c r="D12" s="70"/>
      <c r="E12" s="33"/>
    </row>
    <row r="13" spans="2:7">
      <c r="C13" s="73"/>
      <c r="D13" s="70"/>
      <c r="E13" s="33"/>
    </row>
    <row r="14" spans="2:7">
      <c r="B14" s="66"/>
      <c r="C14" s="71"/>
      <c r="D14" s="72"/>
      <c r="E14" s="71"/>
    </row>
    <row r="15" spans="2:7">
      <c r="C15" s="33"/>
      <c r="D15" s="70"/>
      <c r="E15" s="33"/>
    </row>
    <row r="16" spans="2:7">
      <c r="C16" s="33"/>
    </row>
    <row r="17" spans="2:3" ht="13">
      <c r="B17" s="64" t="s">
        <v>172</v>
      </c>
      <c r="C17" s="67" t="s">
        <v>162</v>
      </c>
    </row>
    <row r="18" spans="2:3">
      <c r="B18" s="21" t="s">
        <v>171</v>
      </c>
      <c r="C18" s="68">
        <f>SUMIFS(C6:C14,D6:D14,$B$18,E6:E14,"Yes")</f>
        <v>25.3</v>
      </c>
    </row>
    <row r="19" spans="2:3">
      <c r="B19" s="66" t="s">
        <v>173</v>
      </c>
      <c r="C19" s="69">
        <f>SUMIFS(C6:C14,D6:D14,$B$19,E6:E14,"Yes")</f>
        <v>2.8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B6AA7-E022-45EA-ADE5-8A28C6E67E45}">
  <dimension ref="B3:AC24"/>
  <sheetViews>
    <sheetView workbookViewId="0">
      <selection activeCell="K20" sqref="K20"/>
    </sheetView>
  </sheetViews>
  <sheetFormatPr defaultColWidth="9.08984375" defaultRowHeight="12.5"/>
  <cols>
    <col min="1" max="1" width="4" style="21" customWidth="1"/>
    <col min="2" max="2" width="18.54296875" style="21" customWidth="1"/>
    <col min="3" max="3" width="16.6328125" style="21" customWidth="1"/>
    <col min="4" max="4" width="16.36328125" style="21" customWidth="1"/>
    <col min="5" max="5" width="12.36328125" style="21" customWidth="1"/>
    <col min="6" max="7" width="3.6328125" style="21" customWidth="1"/>
    <col min="8" max="11" width="15.08984375" style="21" customWidth="1"/>
    <col min="12" max="13" width="3.90625" style="21" customWidth="1"/>
    <col min="14" max="17" width="13.08984375" style="21" customWidth="1"/>
    <col min="18" max="19" width="4.08984375" style="21" customWidth="1"/>
    <col min="20" max="23" width="14" style="21" customWidth="1"/>
    <col min="24" max="25" width="4.6328125" style="21" customWidth="1"/>
    <col min="26" max="29" width="14.54296875" style="21" customWidth="1"/>
    <col min="30" max="16384" width="9.08984375" style="21"/>
  </cols>
  <sheetData>
    <row r="3" spans="2:29">
      <c r="B3" s="21" t="s">
        <v>184</v>
      </c>
    </row>
    <row r="5" spans="2:29" ht="13">
      <c r="B5" s="64" t="s">
        <v>181</v>
      </c>
      <c r="C5" s="64"/>
      <c r="D5" s="64"/>
      <c r="E5" s="64"/>
      <c r="F5" s="22"/>
      <c r="G5" s="22"/>
    </row>
    <row r="7" spans="2:29" s="22" customFormat="1" ht="13">
      <c r="B7" s="64"/>
      <c r="C7" s="67" t="s">
        <v>66</v>
      </c>
      <c r="D7" s="67" t="s">
        <v>67</v>
      </c>
      <c r="E7" s="67" t="s">
        <v>68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2:29" ht="13">
      <c r="B8" s="22" t="s">
        <v>75</v>
      </c>
      <c r="C8" s="33">
        <v>476113790</v>
      </c>
      <c r="D8" s="33">
        <v>476059700</v>
      </c>
      <c r="E8" s="33">
        <v>-54090</v>
      </c>
    </row>
    <row r="9" spans="2:29" ht="17.25" customHeight="1">
      <c r="B9" s="64" t="s">
        <v>69</v>
      </c>
      <c r="C9" s="65"/>
      <c r="D9" s="65"/>
      <c r="E9" s="65"/>
    </row>
    <row r="10" spans="2:29">
      <c r="B10" s="21" t="s">
        <v>76</v>
      </c>
      <c r="C10" s="33">
        <v>347094670</v>
      </c>
      <c r="D10" s="33">
        <v>347058690</v>
      </c>
      <c r="E10" s="33">
        <v>-35980</v>
      </c>
    </row>
    <row r="11" spans="2:29">
      <c r="B11" s="21" t="s">
        <v>77</v>
      </c>
      <c r="C11" s="33">
        <v>227254370</v>
      </c>
      <c r="D11" s="33">
        <v>227222360</v>
      </c>
      <c r="E11" s="33">
        <v>-32010</v>
      </c>
    </row>
    <row r="12" spans="2:29">
      <c r="B12" s="21" t="s">
        <v>70</v>
      </c>
      <c r="C12" s="33">
        <v>86634950</v>
      </c>
      <c r="D12" s="33">
        <v>86620270</v>
      </c>
      <c r="E12" s="33">
        <v>-14680</v>
      </c>
    </row>
    <row r="13" spans="2:29">
      <c r="B13" s="21" t="s">
        <v>78</v>
      </c>
      <c r="C13" s="33">
        <v>312476770</v>
      </c>
      <c r="D13" s="33">
        <v>312439130</v>
      </c>
      <c r="E13" s="33">
        <v>-37630</v>
      </c>
    </row>
    <row r="14" spans="2:29">
      <c r="B14" s="21" t="s">
        <v>79</v>
      </c>
      <c r="C14" s="33">
        <v>37187760</v>
      </c>
      <c r="D14" s="33">
        <v>37183000</v>
      </c>
      <c r="E14" s="33">
        <v>-4770</v>
      </c>
    </row>
    <row r="15" spans="2:29">
      <c r="B15" s="21" t="s">
        <v>80</v>
      </c>
      <c r="C15" s="33">
        <v>7422320</v>
      </c>
      <c r="D15" s="33">
        <v>7421180</v>
      </c>
      <c r="E15" s="33">
        <v>-1140</v>
      </c>
    </row>
    <row r="16" spans="2:29">
      <c r="B16" s="21" t="s">
        <v>81</v>
      </c>
      <c r="C16" s="33">
        <v>8756650</v>
      </c>
      <c r="D16" s="33">
        <v>8755090</v>
      </c>
      <c r="E16" s="33">
        <v>-1560</v>
      </c>
    </row>
    <row r="17" spans="2:5" ht="13">
      <c r="B17" s="64" t="s">
        <v>71</v>
      </c>
      <c r="C17" s="64" t="s">
        <v>72</v>
      </c>
      <c r="D17" s="64"/>
      <c r="E17" s="64" t="s">
        <v>73</v>
      </c>
    </row>
    <row r="18" spans="2:5">
      <c r="B18" s="21" t="s">
        <v>82</v>
      </c>
      <c r="C18" s="21">
        <v>0.72899999999999998</v>
      </c>
      <c r="E18" s="21">
        <v>0.66500000000000004</v>
      </c>
    </row>
    <row r="19" spans="2:5">
      <c r="B19" s="21" t="s">
        <v>83</v>
      </c>
      <c r="C19" s="21">
        <v>0.47699999999999998</v>
      </c>
      <c r="E19" s="21">
        <v>0.59199999999999997</v>
      </c>
    </row>
    <row r="20" spans="2:5">
      <c r="B20" s="21" t="s">
        <v>74</v>
      </c>
      <c r="C20" s="21">
        <v>0.4</v>
      </c>
      <c r="E20" s="21">
        <v>0.55600000000000005</v>
      </c>
    </row>
    <row r="21" spans="2:5">
      <c r="B21" s="21" t="s">
        <v>84</v>
      </c>
      <c r="C21" s="21">
        <v>0.65600000000000003</v>
      </c>
      <c r="E21" s="21">
        <v>0.69599999999999995</v>
      </c>
    </row>
    <row r="22" spans="2:5">
      <c r="B22" s="21" t="s">
        <v>85</v>
      </c>
      <c r="C22" s="21">
        <v>7.8E-2</v>
      </c>
      <c r="E22" s="21">
        <v>8.7999999999999995E-2</v>
      </c>
    </row>
    <row r="23" spans="2:5">
      <c r="B23" s="21" t="s">
        <v>86</v>
      </c>
      <c r="C23" s="21">
        <v>1.6E-2</v>
      </c>
      <c r="E23" s="21">
        <v>2.1000000000000001E-2</v>
      </c>
    </row>
    <row r="24" spans="2:5">
      <c r="B24" s="66" t="s">
        <v>87</v>
      </c>
      <c r="C24" s="66">
        <v>1.7999999999999999E-2</v>
      </c>
      <c r="D24" s="66"/>
      <c r="E24" s="66">
        <v>2.9000000000000001E-2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21CCA-3682-4481-A8DD-D3D254F2307E}">
  <sheetPr>
    <tabColor theme="6"/>
  </sheetPr>
  <dimension ref="A1:AI28"/>
  <sheetViews>
    <sheetView workbookViewId="0">
      <selection activeCell="B22" sqref="B22"/>
    </sheetView>
  </sheetViews>
  <sheetFormatPr defaultColWidth="9.08984375" defaultRowHeight="12.5"/>
  <cols>
    <col min="1" max="1" width="4" style="21" customWidth="1"/>
    <col min="2" max="2" width="36.6328125" style="21" customWidth="1"/>
    <col min="3" max="4" width="16.6328125" style="21" customWidth="1"/>
    <col min="5" max="7" width="7.36328125" style="21" customWidth="1"/>
    <col min="8" max="8" width="11.90625" style="21" customWidth="1"/>
    <col min="9" max="35" width="7.36328125" style="21" customWidth="1"/>
    <col min="36" max="16384" width="9.08984375" style="21"/>
  </cols>
  <sheetData>
    <row r="1" spans="1:35">
      <c r="A1" s="21" t="s">
        <v>186</v>
      </c>
    </row>
    <row r="5" spans="1:35" ht="13">
      <c r="B5" s="64" t="s">
        <v>209</v>
      </c>
      <c r="C5" s="64"/>
      <c r="D5" s="64"/>
      <c r="E5" s="64"/>
      <c r="F5" s="22"/>
      <c r="G5" s="22"/>
    </row>
    <row r="7" spans="1:35" s="22" customFormat="1" ht="17.25" customHeight="1">
      <c r="B7" s="64" t="s">
        <v>208</v>
      </c>
      <c r="C7" s="64" t="s">
        <v>201</v>
      </c>
      <c r="D7" s="64" t="s">
        <v>33</v>
      </c>
      <c r="E7" s="64">
        <v>2020</v>
      </c>
      <c r="F7" s="64">
        <v>2021</v>
      </c>
      <c r="G7" s="64">
        <v>2022</v>
      </c>
      <c r="H7" s="64">
        <v>2023</v>
      </c>
      <c r="I7" s="64">
        <v>2024</v>
      </c>
      <c r="J7" s="64">
        <v>2025</v>
      </c>
      <c r="K7" s="64">
        <v>2026</v>
      </c>
      <c r="L7" s="64">
        <v>2027</v>
      </c>
      <c r="M7" s="64">
        <v>2028</v>
      </c>
      <c r="N7" s="64">
        <v>2029</v>
      </c>
      <c r="O7" s="64">
        <v>2030</v>
      </c>
      <c r="P7" s="64">
        <v>2031</v>
      </c>
      <c r="Q7" s="64">
        <v>2032</v>
      </c>
      <c r="R7" s="64">
        <v>2033</v>
      </c>
      <c r="S7" s="64">
        <v>2034</v>
      </c>
      <c r="T7" s="64">
        <v>2035</v>
      </c>
      <c r="U7" s="64">
        <v>2036</v>
      </c>
      <c r="V7" s="64">
        <v>2037</v>
      </c>
      <c r="W7" s="64">
        <v>2038</v>
      </c>
      <c r="X7" s="64">
        <v>2039</v>
      </c>
      <c r="Y7" s="64">
        <v>2040</v>
      </c>
      <c r="Z7" s="64">
        <v>2041</v>
      </c>
      <c r="AA7" s="64">
        <v>2042</v>
      </c>
      <c r="AB7" s="64">
        <v>2043</v>
      </c>
      <c r="AC7" s="64">
        <v>2044</v>
      </c>
      <c r="AD7" s="64">
        <v>2045</v>
      </c>
      <c r="AE7" s="64">
        <v>2046</v>
      </c>
      <c r="AF7" s="64">
        <v>2047</v>
      </c>
      <c r="AG7" s="64">
        <v>2048</v>
      </c>
      <c r="AH7" s="64">
        <v>2049</v>
      </c>
      <c r="AI7" s="64">
        <v>2050</v>
      </c>
    </row>
    <row r="8" spans="1:35">
      <c r="B8" s="21" t="s">
        <v>198</v>
      </c>
      <c r="C8" s="33" t="s">
        <v>207</v>
      </c>
      <c r="D8" s="33" t="s">
        <v>196</v>
      </c>
      <c r="E8" s="33">
        <v>2313.4</v>
      </c>
      <c r="F8" s="33">
        <v>963.6</v>
      </c>
      <c r="G8" s="33">
        <v>374</v>
      </c>
      <c r="H8" s="33">
        <v>374</v>
      </c>
      <c r="I8" s="33">
        <v>374</v>
      </c>
      <c r="J8" s="33">
        <f>$I$8+($I$8*'P0.1 Background Data'!J8)</f>
        <v>351.63996120000002</v>
      </c>
      <c r="K8" s="33">
        <f>$I$8+($I$8*'P0.1 Background Data'!K8)</f>
        <v>312.1902721756839</v>
      </c>
      <c r="L8" s="33">
        <f>$I$8+($I$8*'P0.1 Background Data'!L8)</f>
        <v>299.93276425066637</v>
      </c>
      <c r="M8" s="33">
        <f>$I$8+($I$8*'P0.1 Background Data'!M8)</f>
        <v>260.35011247016848</v>
      </c>
      <c r="N8" s="33">
        <f>$I$8+($I$8*'P0.1 Background Data'!N8)</f>
        <v>224.63572924020312</v>
      </c>
      <c r="O8" s="33">
        <f>$I$8+($I$8*'P0.1 Background Data'!O8)</f>
        <v>195.98350936633395</v>
      </c>
      <c r="P8" s="33">
        <f>$I$8+($I$8*'P0.1 Background Data'!P8)</f>
        <v>188.69986063413793</v>
      </c>
      <c r="Q8" s="33">
        <f>$I$8+($I$8*'P0.1 Background Data'!Q8)</f>
        <v>185.35610287769822</v>
      </c>
      <c r="R8" s="33">
        <f>$I$8+($I$8*'P0.1 Background Data'!R8)</f>
        <v>189.53006466952098</v>
      </c>
      <c r="S8" s="33">
        <f>$I$8+($I$8*'P0.1 Background Data'!S8)</f>
        <v>183.17990723528482</v>
      </c>
      <c r="T8" s="33">
        <f>$I$8+($I$8*'P0.1 Background Data'!T8)</f>
        <v>184.67663362132291</v>
      </c>
      <c r="U8" s="33">
        <f>$I$8+($I$8*'P0.1 Background Data'!U8)</f>
        <v>189.75455589559854</v>
      </c>
      <c r="V8" s="33">
        <f>$I$8+($I$8*'P0.1 Background Data'!V8)</f>
        <v>190.69198894281618</v>
      </c>
      <c r="W8" s="33">
        <f>$I$8+($I$8*'P0.1 Background Data'!W8)</f>
        <v>194.83706261338611</v>
      </c>
      <c r="X8" s="33">
        <f>$I$8+($I$8*'P0.1 Background Data'!X8)</f>
        <v>185.45171649477487</v>
      </c>
      <c r="Y8" s="33">
        <f>$I$8+($I$8*'P0.1 Background Data'!Y8)</f>
        <v>191.06364306986578</v>
      </c>
      <c r="Z8" s="33">
        <f>$I$8+($I$8*'P0.1 Background Data'!Z8)</f>
        <v>195.52624015559141</v>
      </c>
      <c r="AA8" s="33">
        <f>$I$8+($I$8*'P0.1 Background Data'!AA8)</f>
        <v>198.21604967037666</v>
      </c>
      <c r="AB8" s="33">
        <f>$I$8+($I$8*'P0.1 Background Data'!AB8)</f>
        <v>194.8897742478951</v>
      </c>
      <c r="AC8" s="33">
        <f>$I$8+($I$8*'P0.1 Background Data'!AC8)</f>
        <v>194.13002569645582</v>
      </c>
      <c r="AD8" s="33">
        <f>$I$8+($I$8*'P0.1 Background Data'!AD8)</f>
        <v>186.06670112943578</v>
      </c>
      <c r="AE8" s="33">
        <f>$I$8+($I$8*'P0.1 Background Data'!AE8)</f>
        <v>179.96095582387957</v>
      </c>
      <c r="AF8" s="33">
        <f>$I$8+($I$8*'P0.1 Background Data'!AF8)</f>
        <v>182.80598556864263</v>
      </c>
      <c r="AG8" s="33">
        <f>$I$8+($I$8*'P0.1 Background Data'!AG8)</f>
        <v>180.15388020344932</v>
      </c>
      <c r="AH8" s="33">
        <f>$I$8+($I$8*'P0.1 Background Data'!AH8)</f>
        <v>176.92489213162278</v>
      </c>
      <c r="AI8" s="33">
        <f>$I$8+($I$8*'P0.1 Background Data'!AI8)</f>
        <v>171.59905479745365</v>
      </c>
    </row>
    <row r="9" spans="1:35">
      <c r="B9" s="21" t="s">
        <v>198</v>
      </c>
      <c r="C9" s="33" t="s">
        <v>206</v>
      </c>
      <c r="D9" s="33" t="s">
        <v>196</v>
      </c>
      <c r="E9" s="33">
        <v>0.02</v>
      </c>
      <c r="F9" s="33">
        <v>0.01</v>
      </c>
      <c r="G9" s="33">
        <v>0</v>
      </c>
      <c r="H9" s="33">
        <f t="shared" ref="H9:AI9" si="0">G9/G8*H8</f>
        <v>0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 t="shared" si="0"/>
        <v>0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0</v>
      </c>
      <c r="S9" s="33">
        <f t="shared" si="0"/>
        <v>0</v>
      </c>
      <c r="T9" s="33">
        <f t="shared" si="0"/>
        <v>0</v>
      </c>
      <c r="U9" s="33">
        <f t="shared" si="0"/>
        <v>0</v>
      </c>
      <c r="V9" s="33">
        <f t="shared" si="0"/>
        <v>0</v>
      </c>
      <c r="W9" s="33">
        <f t="shared" si="0"/>
        <v>0</v>
      </c>
      <c r="X9" s="33">
        <f t="shared" si="0"/>
        <v>0</v>
      </c>
      <c r="Y9" s="33">
        <f t="shared" si="0"/>
        <v>0</v>
      </c>
      <c r="Z9" s="33">
        <f t="shared" si="0"/>
        <v>0</v>
      </c>
      <c r="AA9" s="33">
        <f t="shared" si="0"/>
        <v>0</v>
      </c>
      <c r="AB9" s="33">
        <f t="shared" si="0"/>
        <v>0</v>
      </c>
      <c r="AC9" s="33">
        <f t="shared" si="0"/>
        <v>0</v>
      </c>
      <c r="AD9" s="33">
        <f t="shared" si="0"/>
        <v>0</v>
      </c>
      <c r="AE9" s="33">
        <f t="shared" si="0"/>
        <v>0</v>
      </c>
      <c r="AF9" s="33">
        <f t="shared" si="0"/>
        <v>0</v>
      </c>
      <c r="AG9" s="33">
        <f t="shared" si="0"/>
        <v>0</v>
      </c>
      <c r="AH9" s="33">
        <f t="shared" si="0"/>
        <v>0</v>
      </c>
      <c r="AI9" s="33">
        <f t="shared" si="0"/>
        <v>0</v>
      </c>
    </row>
    <row r="10" spans="1:35">
      <c r="B10" s="21" t="s">
        <v>198</v>
      </c>
      <c r="C10" s="33" t="s">
        <v>205</v>
      </c>
      <c r="D10" s="33" t="s">
        <v>196</v>
      </c>
      <c r="E10" s="33">
        <v>3.9E-2</v>
      </c>
      <c r="F10" s="33">
        <v>1.6E-2</v>
      </c>
      <c r="G10" s="33">
        <v>6.0000000000000001E-3</v>
      </c>
      <c r="H10" s="33">
        <f t="shared" ref="H10:AI10" si="1">G10/G8*H8</f>
        <v>6.0000000000000001E-3</v>
      </c>
      <c r="I10" s="33">
        <f t="shared" si="1"/>
        <v>6.0000000000000001E-3</v>
      </c>
      <c r="J10" s="33">
        <f t="shared" si="1"/>
        <v>5.6412828000000003E-3</v>
      </c>
      <c r="K10" s="33">
        <f t="shared" si="1"/>
        <v>5.0084000883799558E-3</v>
      </c>
      <c r="L10" s="33">
        <f t="shared" si="1"/>
        <v>4.8117555762138987E-3</v>
      </c>
      <c r="M10" s="33">
        <f t="shared" si="1"/>
        <v>4.1767397722486926E-3</v>
      </c>
      <c r="N10" s="33">
        <f t="shared" si="1"/>
        <v>3.6037817525166275E-3</v>
      </c>
      <c r="O10" s="33">
        <f t="shared" si="1"/>
        <v>3.1441204711176569E-3</v>
      </c>
      <c r="P10" s="33">
        <f t="shared" si="1"/>
        <v>3.0272704914567584E-3</v>
      </c>
      <c r="Q10" s="33">
        <f t="shared" si="1"/>
        <v>2.9736273188935543E-3</v>
      </c>
      <c r="R10" s="33">
        <f t="shared" si="1"/>
        <v>3.0405892727730639E-3</v>
      </c>
      <c r="S10" s="33">
        <f t="shared" si="1"/>
        <v>2.9387150893361198E-3</v>
      </c>
      <c r="T10" s="33">
        <f t="shared" si="1"/>
        <v>2.962726742588068E-3</v>
      </c>
      <c r="U10" s="33">
        <f t="shared" si="1"/>
        <v>3.0441907362930248E-3</v>
      </c>
      <c r="V10" s="33">
        <f t="shared" si="1"/>
        <v>3.0592297691360883E-3</v>
      </c>
      <c r="W10" s="33">
        <f t="shared" si="1"/>
        <v>3.1257282772200979E-3</v>
      </c>
      <c r="X10" s="33">
        <f t="shared" si="1"/>
        <v>2.9751612271889018E-3</v>
      </c>
      <c r="Y10" s="33">
        <f t="shared" si="1"/>
        <v>3.0651921348106809E-3</v>
      </c>
      <c r="Z10" s="33">
        <f t="shared" si="1"/>
        <v>3.1367846014266E-3</v>
      </c>
      <c r="AA10" s="33">
        <f t="shared" si="1"/>
        <v>3.1799366257279677E-3</v>
      </c>
      <c r="AB10" s="33">
        <f t="shared" si="1"/>
        <v>3.1265739184154293E-3</v>
      </c>
      <c r="AC10" s="33">
        <f t="shared" si="1"/>
        <v>3.1143854389805744E-3</v>
      </c>
      <c r="AD10" s="33">
        <f t="shared" si="1"/>
        <v>2.9850272908465633E-3</v>
      </c>
      <c r="AE10" s="33">
        <f t="shared" si="1"/>
        <v>2.887074157602346E-3</v>
      </c>
      <c r="AF10" s="33">
        <f t="shared" si="1"/>
        <v>2.9327163460210045E-3</v>
      </c>
      <c r="AG10" s="33">
        <f t="shared" si="1"/>
        <v>2.8901692011248552E-3</v>
      </c>
      <c r="AH10" s="33">
        <f t="shared" si="1"/>
        <v>2.838367253448494E-3</v>
      </c>
      <c r="AI10" s="33">
        <f t="shared" si="1"/>
        <v>2.7529260127933742E-3</v>
      </c>
    </row>
    <row r="11" spans="1:35">
      <c r="B11" s="21" t="s">
        <v>204</v>
      </c>
      <c r="C11" s="33" t="s">
        <v>36</v>
      </c>
      <c r="D11" s="33" t="s">
        <v>34</v>
      </c>
      <c r="E11" s="33">
        <f>E8+(E9*'P0.1 Background Data'!$G$12)+('P0.1 Background Data'!$H$12)*E10</f>
        <v>2324.2950000000001</v>
      </c>
      <c r="F11" s="33">
        <f>F8+(F9*'P0.1 Background Data'!$G$12)+('P0.1 Background Data'!$H$12)*F10</f>
        <v>968.12</v>
      </c>
      <c r="G11" s="33">
        <f>G8+(G9*'P0.1 Background Data'!$G$12)+('P0.1 Background Data'!$H$12)*G10</f>
        <v>375.59</v>
      </c>
      <c r="H11" s="33">
        <f>H8+(H9*'P0.1 Background Data'!$G$12)+('P0.1 Background Data'!$H$12)*H10</f>
        <v>375.59</v>
      </c>
      <c r="I11" s="33">
        <f>I8+(I9*'P0.1 Background Data'!$G$12)+('P0.1 Background Data'!$H$12)*I10</f>
        <v>375.59</v>
      </c>
      <c r="J11" s="33">
        <f>J8+(J9*'P0.1 Background Data'!$G$12)+('P0.1 Background Data'!$H$12)*J10</f>
        <v>353.13490114199999</v>
      </c>
      <c r="K11" s="33">
        <f>K8+(K9*'P0.1 Background Data'!$G$12)+('P0.1 Background Data'!$H$12)*K10</f>
        <v>313.51749819910458</v>
      </c>
      <c r="L11" s="33">
        <f>L8+(L9*'P0.1 Background Data'!$G$12)+('P0.1 Background Data'!$H$12)*L10</f>
        <v>301.20787947836305</v>
      </c>
      <c r="M11" s="33">
        <f>M8+(M9*'P0.1 Background Data'!$G$12)+('P0.1 Background Data'!$H$12)*M10</f>
        <v>261.45694850981437</v>
      </c>
      <c r="N11" s="33">
        <f>N8+(N9*'P0.1 Background Data'!$G$12)+('P0.1 Background Data'!$H$12)*N10</f>
        <v>225.59073140462002</v>
      </c>
      <c r="O11" s="33">
        <f>O8+(O9*'P0.1 Background Data'!$G$12)+('P0.1 Background Data'!$H$12)*O10</f>
        <v>196.81670129118012</v>
      </c>
      <c r="P11" s="33">
        <f>P8+(P9*'P0.1 Background Data'!$G$12)+('P0.1 Background Data'!$H$12)*P10</f>
        <v>189.50208731437397</v>
      </c>
      <c r="Q11" s="33">
        <f>Q8+(Q9*'P0.1 Background Data'!$G$12)+('P0.1 Background Data'!$H$12)*Q10</f>
        <v>186.14411411720502</v>
      </c>
      <c r="R11" s="33">
        <f>R8+(R9*'P0.1 Background Data'!$G$12)+('P0.1 Background Data'!$H$12)*R10</f>
        <v>190.33582082680584</v>
      </c>
      <c r="S11" s="33">
        <f>S8+(S9*'P0.1 Background Data'!$G$12)+('P0.1 Background Data'!$H$12)*S10</f>
        <v>183.95866673395889</v>
      </c>
      <c r="T11" s="33">
        <f>T8+(T9*'P0.1 Background Data'!$G$12)+('P0.1 Background Data'!$H$12)*T10</f>
        <v>185.46175620810874</v>
      </c>
      <c r="U11" s="33">
        <f>U8+(U9*'P0.1 Background Data'!$G$12)+('P0.1 Background Data'!$H$12)*U10</f>
        <v>190.5612664407162</v>
      </c>
      <c r="V11" s="33">
        <f>V8+(V9*'P0.1 Background Data'!$G$12)+('P0.1 Background Data'!$H$12)*V10</f>
        <v>191.50268483163725</v>
      </c>
      <c r="W11" s="33">
        <f>W8+(W9*'P0.1 Background Data'!$G$12)+('P0.1 Background Data'!$H$12)*W10</f>
        <v>195.66538060684942</v>
      </c>
      <c r="X11" s="33">
        <f>X8+(X9*'P0.1 Background Data'!$G$12)+('P0.1 Background Data'!$H$12)*X10</f>
        <v>186.24013421997992</v>
      </c>
      <c r="Y11" s="33">
        <f>Y8+(Y9*'P0.1 Background Data'!$G$12)+('P0.1 Background Data'!$H$12)*Y10</f>
        <v>191.8759189855906</v>
      </c>
      <c r="Z11" s="33">
        <f>Z8+(Z9*'P0.1 Background Data'!$G$12)+('P0.1 Background Data'!$H$12)*Z10</f>
        <v>196.35748807496947</v>
      </c>
      <c r="AA11" s="33">
        <f>AA8+(AA9*'P0.1 Background Data'!$G$12)+('P0.1 Background Data'!$H$12)*AA10</f>
        <v>199.05873287619457</v>
      </c>
      <c r="AB11" s="33">
        <f>AB8+(AB9*'P0.1 Background Data'!$G$12)+('P0.1 Background Data'!$H$12)*AB10</f>
        <v>195.71831633627519</v>
      </c>
      <c r="AC11" s="33">
        <f>AC8+(AC9*'P0.1 Background Data'!$G$12)+('P0.1 Background Data'!$H$12)*AC10</f>
        <v>194.95533783778566</v>
      </c>
      <c r="AD11" s="33">
        <f>AD8+(AD9*'P0.1 Background Data'!$G$12)+('P0.1 Background Data'!$H$12)*AD10</f>
        <v>186.85773336151013</v>
      </c>
      <c r="AE11" s="33">
        <f>AE8+(AE9*'P0.1 Background Data'!$G$12)+('P0.1 Background Data'!$H$12)*AE10</f>
        <v>180.72603047564419</v>
      </c>
      <c r="AF11" s="33">
        <f>AF8+(AF9*'P0.1 Background Data'!$G$12)+('P0.1 Background Data'!$H$12)*AF10</f>
        <v>183.5831554003382</v>
      </c>
      <c r="AG11" s="33">
        <f>AG8+(AG9*'P0.1 Background Data'!$G$12)+('P0.1 Background Data'!$H$12)*AG10</f>
        <v>180.91977504174741</v>
      </c>
      <c r="AH11" s="33">
        <f>AH8+(AH9*'P0.1 Background Data'!$G$12)+('P0.1 Background Data'!$H$12)*AH10</f>
        <v>177.67705945378663</v>
      </c>
      <c r="AI11" s="33">
        <f>AI8+(AI9*'P0.1 Background Data'!$G$12)+('P0.1 Background Data'!$H$12)*AI10</f>
        <v>172.32858019084389</v>
      </c>
    </row>
    <row r="12" spans="1:35">
      <c r="B12" s="21" t="s">
        <v>203</v>
      </c>
      <c r="C12" s="33" t="s">
        <v>188</v>
      </c>
      <c r="D12" s="33" t="s">
        <v>187</v>
      </c>
      <c r="E12" s="33">
        <v>994.80948026687429</v>
      </c>
      <c r="F12" s="33">
        <v>414.36777694525802</v>
      </c>
      <c r="G12" s="33">
        <v>160.82767598331932</v>
      </c>
      <c r="H12" s="33">
        <v>160.82767598331932</v>
      </c>
      <c r="I12" s="33">
        <v>160.82767598331932</v>
      </c>
      <c r="J12" s="33">
        <v>151.21240038144538</v>
      </c>
      <c r="K12" s="33">
        <v>134.24822443479988</v>
      </c>
      <c r="L12" s="33">
        <v>128.97724445370983</v>
      </c>
      <c r="M12" s="33">
        <v>111.95589179297593</v>
      </c>
      <c r="N12" s="33">
        <v>96.597974001390455</v>
      </c>
      <c r="O12" s="33">
        <v>84.276931396905297</v>
      </c>
      <c r="P12" s="33">
        <v>81.144812952311881</v>
      </c>
      <c r="Q12" s="33">
        <v>79.706928489693183</v>
      </c>
      <c r="R12" s="33">
        <v>81.501817726650458</v>
      </c>
      <c r="S12" s="33">
        <v>78.771119699173468</v>
      </c>
      <c r="T12" s="33">
        <v>79.414742764011464</v>
      </c>
      <c r="U12" s="33">
        <v>81.598353561326135</v>
      </c>
      <c r="V12" s="33">
        <v>82.001469011523923</v>
      </c>
      <c r="W12" s="33">
        <v>83.78393576344213</v>
      </c>
      <c r="X12" s="33">
        <v>79.748044307411874</v>
      </c>
      <c r="Y12" s="33">
        <v>82.161287913991814</v>
      </c>
      <c r="Z12" s="33">
        <v>84.080296251283769</v>
      </c>
      <c r="AA12" s="33">
        <v>85.236969548344547</v>
      </c>
      <c r="AB12" s="33">
        <v>83.806602848135611</v>
      </c>
      <c r="AC12" s="33">
        <v>83.479895377922588</v>
      </c>
      <c r="AD12" s="33">
        <v>80.012500322272757</v>
      </c>
      <c r="AE12" s="33">
        <v>77.386904526447438</v>
      </c>
      <c r="AF12" s="33">
        <v>78.610325708141701</v>
      </c>
      <c r="AG12" s="33">
        <v>77.469865969246158</v>
      </c>
      <c r="AH12" s="33">
        <v>76.081334826546396</v>
      </c>
      <c r="AI12" s="33">
        <v>73.791115465263957</v>
      </c>
    </row>
    <row r="13" spans="1:35">
      <c r="B13" s="21" t="s">
        <v>192</v>
      </c>
      <c r="C13" s="33" t="s">
        <v>188</v>
      </c>
      <c r="D13" s="33" t="s">
        <v>187</v>
      </c>
      <c r="E13" s="33">
        <v>22.681656150084734</v>
      </c>
      <c r="F13" s="33">
        <v>9.4475853143518815</v>
      </c>
      <c r="G13" s="33">
        <v>3.6668710124196804</v>
      </c>
      <c r="H13" s="79">
        <v>3.6668710124196804</v>
      </c>
      <c r="I13" s="33">
        <v>3.6668710124196804</v>
      </c>
      <c r="J13" s="33">
        <v>3.4476427286969549</v>
      </c>
      <c r="K13" s="33">
        <v>3.0608595171134376</v>
      </c>
      <c r="L13" s="33">
        <v>2.9406811735445841</v>
      </c>
      <c r="M13" s="33">
        <v>2.5525943328798513</v>
      </c>
      <c r="N13" s="33">
        <v>2.2024338072317025</v>
      </c>
      <c r="O13" s="33">
        <v>1.9215140358494409</v>
      </c>
      <c r="P13" s="33">
        <v>1.8501017353127109</v>
      </c>
      <c r="Q13" s="33">
        <v>1.8173179695650044</v>
      </c>
      <c r="R13" s="33">
        <v>1.8582414441676305</v>
      </c>
      <c r="S13" s="33">
        <v>1.7959815291411549</v>
      </c>
      <c r="T13" s="33">
        <v>1.8106561350194612</v>
      </c>
      <c r="U13" s="33">
        <v>1.8604424611982358</v>
      </c>
      <c r="V13" s="33">
        <v>1.8696334934627454</v>
      </c>
      <c r="W13" s="33">
        <v>1.9102737354064805</v>
      </c>
      <c r="X13" s="33">
        <v>1.8182554102089907</v>
      </c>
      <c r="Y13" s="33">
        <v>1.8732773644390133</v>
      </c>
      <c r="Z13" s="33">
        <v>1.91703075452927</v>
      </c>
      <c r="AA13" s="33">
        <v>1.9434029057022555</v>
      </c>
      <c r="AB13" s="33">
        <v>1.9107905449374918</v>
      </c>
      <c r="AC13" s="33">
        <v>1.9033416146166349</v>
      </c>
      <c r="AD13" s="33">
        <v>1.8242850073478187</v>
      </c>
      <c r="AE13" s="33">
        <v>1.7644214232030018</v>
      </c>
      <c r="AF13" s="33">
        <v>1.7923154261456307</v>
      </c>
      <c r="AG13" s="33">
        <v>1.7663129440988126</v>
      </c>
      <c r="AH13" s="33">
        <v>1.7346544340452579</v>
      </c>
      <c r="AI13" s="33">
        <v>1.6824374326080183</v>
      </c>
    </row>
    <row r="14" spans="1:35">
      <c r="B14" s="21" t="s">
        <v>191</v>
      </c>
      <c r="C14" s="33" t="s">
        <v>188</v>
      </c>
      <c r="D14" s="33" t="s">
        <v>187</v>
      </c>
      <c r="E14" s="33">
        <v>10.942904282935617</v>
      </c>
      <c r="F14" s="33">
        <v>4.558045546397838</v>
      </c>
      <c r="G14" s="33">
        <v>1.7691044358165124</v>
      </c>
      <c r="H14" s="79">
        <v>1.7691044358165124</v>
      </c>
      <c r="I14" s="33">
        <v>1.7691044358165124</v>
      </c>
      <c r="J14" s="33">
        <v>1.6633364041958991</v>
      </c>
      <c r="K14" s="33">
        <v>1.4767304687827987</v>
      </c>
      <c r="L14" s="33">
        <v>1.4187496889908082</v>
      </c>
      <c r="M14" s="33">
        <v>1.2315148097227353</v>
      </c>
      <c r="N14" s="33">
        <v>1.062577714015295</v>
      </c>
      <c r="O14" s="33">
        <v>0.92704624536595825</v>
      </c>
      <c r="P14" s="33">
        <v>0.89259294247543075</v>
      </c>
      <c r="Q14" s="33">
        <v>0.87677621338662504</v>
      </c>
      <c r="R14" s="33">
        <v>0.89651999499315504</v>
      </c>
      <c r="S14" s="33">
        <v>0.86648231669090814</v>
      </c>
      <c r="T14" s="33">
        <v>0.8735621704041262</v>
      </c>
      <c r="U14" s="33">
        <v>0.89758188917458748</v>
      </c>
      <c r="V14" s="33">
        <v>0.90201615912676314</v>
      </c>
      <c r="W14" s="33">
        <v>0.92162329339786342</v>
      </c>
      <c r="X14" s="33">
        <v>0.87722848738153059</v>
      </c>
      <c r="Y14" s="33">
        <v>0.90377416705391</v>
      </c>
      <c r="Z14" s="33">
        <v>0.92488325876412147</v>
      </c>
      <c r="AA14" s="33">
        <v>0.93760666503179002</v>
      </c>
      <c r="AB14" s="33">
        <v>0.92187263132949171</v>
      </c>
      <c r="AC14" s="33">
        <v>0.91827884915714841</v>
      </c>
      <c r="AD14" s="33">
        <v>0.88013750354500031</v>
      </c>
      <c r="AE14" s="33">
        <v>0.85125594979092178</v>
      </c>
      <c r="AF14" s="33">
        <v>0.86471358278955868</v>
      </c>
      <c r="AG14" s="33">
        <v>0.85216852566170764</v>
      </c>
      <c r="AH14" s="33">
        <v>0.83689468309201043</v>
      </c>
      <c r="AI14" s="33">
        <v>0.81170227011790352</v>
      </c>
    </row>
    <row r="15" spans="1:35">
      <c r="B15" s="21" t="s">
        <v>190</v>
      </c>
      <c r="C15" s="33" t="s">
        <v>188</v>
      </c>
      <c r="D15" s="33" t="s">
        <v>187</v>
      </c>
      <c r="E15" s="33">
        <v>4.569348956667006E-3</v>
      </c>
      <c r="F15" s="33">
        <v>1.9032699293871902E-3</v>
      </c>
      <c r="G15" s="33">
        <v>7.3871207304982269E-4</v>
      </c>
      <c r="H15" s="79">
        <v>7.3871207304982269E-4</v>
      </c>
      <c r="I15" s="33">
        <v>7.3871207304982269E-4</v>
      </c>
      <c r="J15" s="33">
        <v>6.9454728530805128E-4</v>
      </c>
      <c r="K15" s="33">
        <v>6.1662760199167864E-4</v>
      </c>
      <c r="L15" s="33">
        <v>5.9241698945233573E-4</v>
      </c>
      <c r="M15" s="33">
        <v>5.1423468262457928E-4</v>
      </c>
      <c r="N15" s="33">
        <v>4.4369284820344675E-4</v>
      </c>
      <c r="O15" s="33">
        <v>3.8709995852295156E-4</v>
      </c>
      <c r="P15" s="33">
        <v>3.7271354340442952E-4</v>
      </c>
      <c r="Q15" s="33">
        <v>3.6610906686957394E-4</v>
      </c>
      <c r="R15" s="33">
        <v>3.7435333416387372E-4</v>
      </c>
      <c r="S15" s="33">
        <v>3.6181071929104671E-4</v>
      </c>
      <c r="T15" s="33">
        <v>3.6476700231622994E-4</v>
      </c>
      <c r="U15" s="33">
        <v>3.7479674159434772E-4</v>
      </c>
      <c r="V15" s="33">
        <v>3.7664832744904172E-4</v>
      </c>
      <c r="W15" s="33">
        <v>3.8483553590928487E-4</v>
      </c>
      <c r="X15" s="33">
        <v>3.6629791963236122E-4</v>
      </c>
      <c r="Y15" s="33">
        <v>3.7738240603366817E-4</v>
      </c>
      <c r="Z15" s="33">
        <v>3.8619677593843422E-4</v>
      </c>
      <c r="AA15" s="33">
        <v>3.9150959615976078E-4</v>
      </c>
      <c r="AB15" s="33">
        <v>3.8493965013602812E-4</v>
      </c>
      <c r="AC15" s="33">
        <v>3.8343902065092039E-4</v>
      </c>
      <c r="AD15" s="33">
        <v>3.6751261635526014E-4</v>
      </c>
      <c r="AE15" s="33">
        <v>3.5545275600183326E-4</v>
      </c>
      <c r="AF15" s="33">
        <v>3.6107216193937948E-4</v>
      </c>
      <c r="AG15" s="33">
        <v>3.5583381367128189E-4</v>
      </c>
      <c r="AH15" s="33">
        <v>3.494560263119447E-4</v>
      </c>
      <c r="AI15" s="33">
        <v>3.3893661364389586E-4</v>
      </c>
    </row>
    <row r="16" spans="1:35">
      <c r="B16" s="66" t="s">
        <v>189</v>
      </c>
      <c r="C16" s="71" t="s">
        <v>188</v>
      </c>
      <c r="D16" s="71" t="s">
        <v>187</v>
      </c>
      <c r="E16" s="71">
        <v>2.7854665447472482</v>
      </c>
      <c r="F16" s="71">
        <v>1.1602297754467223</v>
      </c>
      <c r="G16" s="71">
        <v>0.45031749275329408</v>
      </c>
      <c r="H16" s="78">
        <v>0.45031749275329408</v>
      </c>
      <c r="I16" s="71">
        <v>0.45031749275329408</v>
      </c>
      <c r="J16" s="71">
        <v>0.42339472106804704</v>
      </c>
      <c r="K16" s="71">
        <v>0.3758950284174396</v>
      </c>
      <c r="L16" s="71">
        <v>0.36113628447038754</v>
      </c>
      <c r="M16" s="71">
        <v>0.31347649702033259</v>
      </c>
      <c r="N16" s="71">
        <v>0.27047432720389325</v>
      </c>
      <c r="O16" s="71">
        <v>0.23597540791133484</v>
      </c>
      <c r="P16" s="71">
        <v>0.22720547626647325</v>
      </c>
      <c r="Q16" s="71">
        <v>0.2231793997711409</v>
      </c>
      <c r="R16" s="71">
        <v>0.22820508963462127</v>
      </c>
      <c r="S16" s="71">
        <v>0.22055913515768569</v>
      </c>
      <c r="T16" s="71">
        <v>0.22236127973923209</v>
      </c>
      <c r="U16" s="71">
        <v>0.22847538997171316</v>
      </c>
      <c r="V16" s="71">
        <v>0.22960411323226698</v>
      </c>
      <c r="W16" s="71">
        <v>0.23459502013763797</v>
      </c>
      <c r="X16" s="71">
        <v>0.22329452406075326</v>
      </c>
      <c r="Y16" s="71">
        <v>0.23005160615917705</v>
      </c>
      <c r="Z16" s="71">
        <v>0.23542482950359453</v>
      </c>
      <c r="AA16" s="71">
        <v>0.23866351473536471</v>
      </c>
      <c r="AB16" s="71">
        <v>0.2346584879747797</v>
      </c>
      <c r="AC16" s="71">
        <v>0.23374370705818323</v>
      </c>
      <c r="AD16" s="71">
        <v>0.22403500090236372</v>
      </c>
      <c r="AE16" s="71">
        <v>0.21668333267405282</v>
      </c>
      <c r="AF16" s="71">
        <v>0.22010891198279675</v>
      </c>
      <c r="AG16" s="71">
        <v>0.21691562471388923</v>
      </c>
      <c r="AH16" s="71">
        <v>0.21302773751432988</v>
      </c>
      <c r="AI16" s="71">
        <v>0.20661512330273907</v>
      </c>
    </row>
    <row r="19" spans="2:35" s="22" customFormat="1" ht="13">
      <c r="B19" s="64" t="s">
        <v>202</v>
      </c>
      <c r="C19" s="64" t="s">
        <v>201</v>
      </c>
      <c r="D19" s="64"/>
      <c r="E19" s="64">
        <v>2020</v>
      </c>
      <c r="F19" s="64">
        <v>2021</v>
      </c>
      <c r="G19" s="64">
        <v>2022</v>
      </c>
      <c r="H19" s="64">
        <v>2023</v>
      </c>
      <c r="I19" s="64">
        <v>2024</v>
      </c>
      <c r="J19" s="64">
        <v>2025</v>
      </c>
      <c r="K19" s="64">
        <v>2026</v>
      </c>
      <c r="L19" s="64">
        <v>2027</v>
      </c>
      <c r="M19" s="64">
        <v>2028</v>
      </c>
      <c r="N19" s="64">
        <v>2029</v>
      </c>
      <c r="O19" s="64">
        <v>2030</v>
      </c>
      <c r="P19" s="64">
        <v>2031</v>
      </c>
      <c r="Q19" s="64">
        <v>2032</v>
      </c>
      <c r="R19" s="64">
        <v>2033</v>
      </c>
      <c r="S19" s="64">
        <v>2034</v>
      </c>
      <c r="T19" s="64">
        <v>2035</v>
      </c>
      <c r="U19" s="64">
        <v>2036</v>
      </c>
      <c r="V19" s="64">
        <v>2037</v>
      </c>
      <c r="W19" s="64">
        <v>2038</v>
      </c>
      <c r="X19" s="64">
        <v>2039</v>
      </c>
      <c r="Y19" s="64">
        <v>2040</v>
      </c>
      <c r="Z19" s="64">
        <v>2041</v>
      </c>
      <c r="AA19" s="64">
        <v>2042</v>
      </c>
      <c r="AB19" s="64">
        <v>2043</v>
      </c>
      <c r="AC19" s="64">
        <v>2044</v>
      </c>
      <c r="AD19" s="64">
        <v>2045</v>
      </c>
      <c r="AE19" s="64">
        <v>2046</v>
      </c>
      <c r="AF19" s="64">
        <v>2047</v>
      </c>
      <c r="AG19" s="64">
        <v>2048</v>
      </c>
      <c r="AH19" s="64">
        <v>2049</v>
      </c>
      <c r="AI19" s="64">
        <v>2050</v>
      </c>
    </row>
    <row r="20" spans="2:35">
      <c r="B20" s="21" t="s">
        <v>198</v>
      </c>
      <c r="C20" s="33" t="s">
        <v>200</v>
      </c>
      <c r="D20" s="33" t="s">
        <v>196</v>
      </c>
      <c r="E20" s="33">
        <f>620.9+22</f>
        <v>642.9</v>
      </c>
      <c r="F20" s="33">
        <f>626.4+160.9</f>
        <v>787.3</v>
      </c>
      <c r="G20" s="33">
        <f>504.38+22.7</f>
        <v>527.08000000000004</v>
      </c>
      <c r="H20" s="33">
        <f>504.38+22.7</f>
        <v>527.08000000000004</v>
      </c>
      <c r="I20" s="33">
        <f>504.38+22.7</f>
        <v>527.08000000000004</v>
      </c>
      <c r="J20" s="33">
        <f>$I$20+($I$20*'P0.1 Background Data'!J8)</f>
        <v>495.56788970400004</v>
      </c>
      <c r="K20" s="33">
        <f>$I$20+($I$20*'P0.1 Background Data'!K8)</f>
        <v>439.97125309721787</v>
      </c>
      <c r="L20" s="33">
        <f>$I$20+($I$20*'P0.1 Background Data'!L8)</f>
        <v>422.69668818513702</v>
      </c>
      <c r="M20" s="33">
        <f>$I$20+($I$20*'P0.1 Background Data'!M8)</f>
        <v>366.91266652614019</v>
      </c>
      <c r="N20" s="33">
        <f>$I$20+($I$20*'P0.1 Background Data'!N8)</f>
        <v>316.58021435274406</v>
      </c>
      <c r="O20" s="33">
        <f>$I$20+($I$20*'P0.1 Background Data'!O8)</f>
        <v>276.20050298611579</v>
      </c>
      <c r="P20" s="33">
        <f>$I$20+($I$20*'P0.1 Background Data'!P8)</f>
        <v>265.93562177283803</v>
      </c>
      <c r="Q20" s="33">
        <f>$I$20+($I$20*'P0.1 Background Data'!Q8)</f>
        <v>261.22324787373577</v>
      </c>
      <c r="R20" s="33">
        <f>$I$20+($I$20*'P0.1 Background Data'!R8)</f>
        <v>267.10563231553778</v>
      </c>
      <c r="S20" s="33">
        <f>$I$20+($I$20*'P0.1 Background Data'!S8)</f>
        <v>258.15632488121372</v>
      </c>
      <c r="T20" s="33">
        <f>$I$20+($I$20*'P0.1 Background Data'!T8)</f>
        <v>260.26566858055315</v>
      </c>
      <c r="U20" s="33">
        <f>$I$20+($I$20*'P0.1 Background Data'!U8)</f>
        <v>267.42200888088792</v>
      </c>
      <c r="V20" s="33">
        <f>$I$20+($I$20*'P0.1 Background Data'!V8)</f>
        <v>268.74313778604164</v>
      </c>
      <c r="W20" s="33">
        <f>$I$20+($I$20*'P0.1 Background Data'!W8)</f>
        <v>274.58481005952819</v>
      </c>
      <c r="X20" s="33">
        <f>$I$20+($I$20*'P0.1 Background Data'!X8)</f>
        <v>261.3579966044544</v>
      </c>
      <c r="Y20" s="33">
        <f>$I$20+($I$20*'P0.1 Background Data'!Y8)</f>
        <v>269.26691173600233</v>
      </c>
      <c r="Z20" s="33">
        <f>$I$20+($I$20*'P0.1 Background Data'!Z8)</f>
        <v>275.55607128665542</v>
      </c>
      <c r="AA20" s="33">
        <f>$I$20+($I$20*'P0.1 Background Data'!AA8)</f>
        <v>279.34683278144956</v>
      </c>
      <c r="AB20" s="33">
        <f>$I$20+($I$20*'P0.1 Background Data'!AB8)</f>
        <v>274.65909681973409</v>
      </c>
      <c r="AC20" s="33">
        <f>$I$20+($I$20*'P0.1 Background Data'!AC8)</f>
        <v>273.58837952964689</v>
      </c>
      <c r="AD20" s="33">
        <f>$I$20+($I$20*'P0.1 Background Data'!AD8)</f>
        <v>262.22469740990113</v>
      </c>
      <c r="AE20" s="33">
        <f>$I$20+($I$20*'P0.1 Background Data'!AE8)</f>
        <v>253.61984116484075</v>
      </c>
      <c r="AF20" s="33">
        <f>$I$20+($I$20*'P0.1 Background Data'!AF8)</f>
        <v>257.6293552767919</v>
      </c>
      <c r="AG20" s="33">
        <f>$I$20+($I$20*'P0.1 Background Data'!AG8)</f>
        <v>253.89173042148144</v>
      </c>
      <c r="AH20" s="33">
        <f>$I$20+($I$20*'P0.1 Background Data'!AH8)</f>
        <v>249.34110199127207</v>
      </c>
      <c r="AI20" s="33">
        <f>$I$20+($I$20*'P0.1 Background Data'!AI8)</f>
        <v>241.83537380385525</v>
      </c>
    </row>
    <row r="21" spans="2:35">
      <c r="B21" s="21" t="s">
        <v>198</v>
      </c>
      <c r="C21" s="33" t="s">
        <v>199</v>
      </c>
      <c r="D21" s="33" t="s">
        <v>196</v>
      </c>
      <c r="E21" s="33">
        <v>0.01</v>
      </c>
      <c r="F21" s="33">
        <f>0.01</f>
        <v>0.01</v>
      </c>
      <c r="G21" s="33">
        <f>0.01+0</f>
        <v>0.01</v>
      </c>
      <c r="H21" s="33">
        <f>0.01+0</f>
        <v>0.01</v>
      </c>
      <c r="I21" s="33">
        <f>0.01+0</f>
        <v>0.01</v>
      </c>
      <c r="J21" s="33">
        <f t="shared" ref="J21:AI21" si="2">I21/I20*J20</f>
        <v>9.4021380000000009E-3</v>
      </c>
      <c r="K21" s="33">
        <f t="shared" si="2"/>
        <v>8.3473334806332608E-3</v>
      </c>
      <c r="L21" s="33">
        <f t="shared" si="2"/>
        <v>8.0195926270231668E-3</v>
      </c>
      <c r="M21" s="33">
        <f t="shared" si="2"/>
        <v>6.9612329537478233E-3</v>
      </c>
      <c r="N21" s="33">
        <f t="shared" si="2"/>
        <v>6.0063029208610478E-3</v>
      </c>
      <c r="O21" s="33">
        <f t="shared" si="2"/>
        <v>5.2402007851960961E-3</v>
      </c>
      <c r="P21" s="33">
        <f t="shared" si="2"/>
        <v>5.0454508190945985E-3</v>
      </c>
      <c r="Q21" s="33">
        <f t="shared" si="2"/>
        <v>4.9560455314892581E-3</v>
      </c>
      <c r="R21" s="33">
        <f t="shared" si="2"/>
        <v>5.0676487879551075E-3</v>
      </c>
      <c r="S21" s="33">
        <f t="shared" si="2"/>
        <v>4.8978584822268684E-3</v>
      </c>
      <c r="T21" s="33">
        <f t="shared" si="2"/>
        <v>4.9378779043134473E-3</v>
      </c>
      <c r="U21" s="33">
        <f t="shared" si="2"/>
        <v>5.0736512271550424E-3</v>
      </c>
      <c r="V21" s="33">
        <f t="shared" si="2"/>
        <v>5.098716281893483E-3</v>
      </c>
      <c r="W21" s="33">
        <f t="shared" si="2"/>
        <v>5.2095471287001644E-3</v>
      </c>
      <c r="X21" s="33">
        <f t="shared" si="2"/>
        <v>4.9586020453148373E-3</v>
      </c>
      <c r="Y21" s="33">
        <f t="shared" si="2"/>
        <v>5.1086535580178033E-3</v>
      </c>
      <c r="Z21" s="33">
        <f t="shared" si="2"/>
        <v>5.2279743357110013E-3</v>
      </c>
      <c r="AA21" s="33">
        <f t="shared" si="2"/>
        <v>5.2998943762132813E-3</v>
      </c>
      <c r="AB21" s="33">
        <f t="shared" si="2"/>
        <v>5.2109565306923834E-3</v>
      </c>
      <c r="AC21" s="33">
        <f t="shared" si="2"/>
        <v>5.1906423983009587E-3</v>
      </c>
      <c r="AD21" s="33">
        <f t="shared" si="2"/>
        <v>4.9750454847442734E-3</v>
      </c>
      <c r="AE21" s="33">
        <f t="shared" si="2"/>
        <v>4.8117902626705778E-3</v>
      </c>
      <c r="AF21" s="33">
        <f t="shared" si="2"/>
        <v>4.8878605767016759E-3</v>
      </c>
      <c r="AG21" s="33">
        <f t="shared" si="2"/>
        <v>4.8169486685414259E-3</v>
      </c>
      <c r="AH21" s="33">
        <f t="shared" si="2"/>
        <v>4.7306120890808247E-3</v>
      </c>
      <c r="AI21" s="33">
        <f t="shared" si="2"/>
        <v>4.5882100213222908E-3</v>
      </c>
    </row>
    <row r="22" spans="2:35">
      <c r="B22" s="21" t="s">
        <v>198</v>
      </c>
      <c r="C22" s="33" t="s">
        <v>197</v>
      </c>
      <c r="D22" s="33" t="s">
        <v>196</v>
      </c>
      <c r="E22" s="33">
        <v>1E-3</v>
      </c>
      <c r="F22" s="33">
        <f>0.001</f>
        <v>1E-3</v>
      </c>
      <c r="G22" s="33">
        <f>0.001+0</f>
        <v>1E-3</v>
      </c>
      <c r="H22" s="33">
        <f>0.001+0</f>
        <v>1E-3</v>
      </c>
      <c r="I22" s="33">
        <f>0.001+0</f>
        <v>1E-3</v>
      </c>
      <c r="J22" s="33">
        <f t="shared" ref="J22:AI22" si="3">I22/I20*J20</f>
        <v>9.4021380000000002E-4</v>
      </c>
      <c r="K22" s="33">
        <f t="shared" si="3"/>
        <v>8.3473334806332593E-4</v>
      </c>
      <c r="L22" s="33">
        <f t="shared" si="3"/>
        <v>8.0195926270231648E-4</v>
      </c>
      <c r="M22" s="33">
        <f t="shared" si="3"/>
        <v>6.9612329537478213E-4</v>
      </c>
      <c r="N22" s="33">
        <f t="shared" si="3"/>
        <v>6.0063029208610465E-4</v>
      </c>
      <c r="O22" s="33">
        <f t="shared" si="3"/>
        <v>5.2402007851960948E-4</v>
      </c>
      <c r="P22" s="33">
        <f t="shared" si="3"/>
        <v>5.045450819094597E-4</v>
      </c>
      <c r="Q22" s="33">
        <f t="shared" si="3"/>
        <v>4.9560455314892572E-4</v>
      </c>
      <c r="R22" s="33">
        <f t="shared" si="3"/>
        <v>5.0676487879551069E-4</v>
      </c>
      <c r="S22" s="33">
        <f t="shared" si="3"/>
        <v>4.8978584822268671E-4</v>
      </c>
      <c r="T22" s="33">
        <f t="shared" si="3"/>
        <v>4.9378779043134471E-4</v>
      </c>
      <c r="U22" s="33">
        <f t="shared" si="3"/>
        <v>5.0736512271550417E-4</v>
      </c>
      <c r="V22" s="33">
        <f t="shared" si="3"/>
        <v>5.0987162818934826E-4</v>
      </c>
      <c r="W22" s="33">
        <f t="shared" si="3"/>
        <v>5.2095471287001639E-4</v>
      </c>
      <c r="X22" s="33">
        <f t="shared" si="3"/>
        <v>4.9586020453148375E-4</v>
      </c>
      <c r="Y22" s="33">
        <f t="shared" si="3"/>
        <v>5.1086535580178039E-4</v>
      </c>
      <c r="Z22" s="33">
        <f t="shared" si="3"/>
        <v>5.2279743357110022E-4</v>
      </c>
      <c r="AA22" s="33">
        <f t="shared" si="3"/>
        <v>5.2998943762132809E-4</v>
      </c>
      <c r="AB22" s="33">
        <f t="shared" si="3"/>
        <v>5.2109565306923829E-4</v>
      </c>
      <c r="AC22" s="33">
        <f t="shared" si="3"/>
        <v>5.1906423983009585E-4</v>
      </c>
      <c r="AD22" s="33">
        <f t="shared" si="3"/>
        <v>4.9750454847442729E-4</v>
      </c>
      <c r="AE22" s="33">
        <f t="shared" si="3"/>
        <v>4.8117902626705768E-4</v>
      </c>
      <c r="AF22" s="33">
        <f t="shared" si="3"/>
        <v>4.8878605767016753E-4</v>
      </c>
      <c r="AG22" s="33">
        <f t="shared" si="3"/>
        <v>4.8169486685414252E-4</v>
      </c>
      <c r="AH22" s="33">
        <f t="shared" si="3"/>
        <v>4.7306120890808239E-4</v>
      </c>
      <c r="AI22" s="33">
        <f t="shared" si="3"/>
        <v>4.5882100213222901E-4</v>
      </c>
    </row>
    <row r="23" spans="2:35">
      <c r="B23" s="21" t="s">
        <v>195</v>
      </c>
      <c r="C23" s="33" t="s">
        <v>36</v>
      </c>
      <c r="D23" s="33" t="s">
        <v>34</v>
      </c>
      <c r="E23" s="33">
        <f>E20+(E21*'P0.1 Background Data'!$G$12)+('P0.1 Background Data'!$H$12)*E22</f>
        <v>643.44499999999994</v>
      </c>
      <c r="F23" s="33">
        <f>F20+(F21*'P0.1 Background Data'!$G$12)+('P0.1 Background Data'!$H$12)*F22</f>
        <v>787.84499999999991</v>
      </c>
      <c r="G23" s="33">
        <f>G20+(G21*'P0.1 Background Data'!$G$12)+('P0.1 Background Data'!$H$12)*G22</f>
        <v>527.625</v>
      </c>
      <c r="H23" s="33">
        <f>H20+(H21*'P0.1 Background Data'!$G$12)+('P0.1 Background Data'!$H$12)*H22</f>
        <v>527.625</v>
      </c>
      <c r="I23" s="33">
        <f>I20+(I21*'P0.1 Background Data'!$G$12)+('P0.1 Background Data'!$H$12)*I22</f>
        <v>527.625</v>
      </c>
      <c r="J23" s="33">
        <f>J20+(J21*'P0.1 Background Data'!$G$12)+('P0.1 Background Data'!$H$12)*J22</f>
        <v>496.08030622500007</v>
      </c>
      <c r="K23" s="33">
        <f>K20+(K21*'P0.1 Background Data'!$G$12)+('P0.1 Background Data'!$H$12)*K22</f>
        <v>440.42618277191235</v>
      </c>
      <c r="L23" s="33">
        <f>L20+(L21*'P0.1 Background Data'!$G$12)+('P0.1 Background Data'!$H$12)*L22</f>
        <v>423.13375598330981</v>
      </c>
      <c r="M23" s="33">
        <f>M20+(M21*'P0.1 Background Data'!$G$12)+('P0.1 Background Data'!$H$12)*M22</f>
        <v>367.29205372211948</v>
      </c>
      <c r="N23" s="33">
        <f>N20+(N21*'P0.1 Background Data'!$G$12)+('P0.1 Background Data'!$H$12)*N22</f>
        <v>316.90755786193097</v>
      </c>
      <c r="O23" s="33">
        <f>O20+(O21*'P0.1 Background Data'!$G$12)+('P0.1 Background Data'!$H$12)*O22</f>
        <v>276.48609392890899</v>
      </c>
      <c r="P23" s="33">
        <f>P20+(P21*'P0.1 Background Data'!$G$12)+('P0.1 Background Data'!$H$12)*P22</f>
        <v>266.2105988424787</v>
      </c>
      <c r="Q23" s="33">
        <f>Q20+(Q21*'P0.1 Background Data'!$G$12)+('P0.1 Background Data'!$H$12)*Q22</f>
        <v>261.49335235520198</v>
      </c>
      <c r="R23" s="33">
        <f>R20+(R21*'P0.1 Background Data'!$G$12)+('P0.1 Background Data'!$H$12)*R22</f>
        <v>267.38181917448134</v>
      </c>
      <c r="S23" s="33">
        <f>S20+(S21*'P0.1 Background Data'!$G$12)+('P0.1 Background Data'!$H$12)*S22</f>
        <v>258.42325816849512</v>
      </c>
      <c r="T23" s="33">
        <f>T20+(T21*'P0.1 Background Data'!$G$12)+('P0.1 Background Data'!$H$12)*T22</f>
        <v>260.53478292633821</v>
      </c>
      <c r="U23" s="33">
        <f>U20+(U21*'P0.1 Background Data'!$G$12)+('P0.1 Background Data'!$H$12)*U22</f>
        <v>267.69852287276791</v>
      </c>
      <c r="V23" s="33">
        <f>V20+(V21*'P0.1 Background Data'!$G$12)+('P0.1 Background Data'!$H$12)*V22</f>
        <v>269.0210178234048</v>
      </c>
      <c r="W23" s="33">
        <f>W20+(W21*'P0.1 Background Data'!$G$12)+('P0.1 Background Data'!$H$12)*W22</f>
        <v>274.86873037804236</v>
      </c>
      <c r="X23" s="33">
        <f>X20+(X21*'P0.1 Background Data'!$G$12)+('P0.1 Background Data'!$H$12)*X22</f>
        <v>261.62824041592404</v>
      </c>
      <c r="Y23" s="33">
        <f>Y20+(Y21*'P0.1 Background Data'!$G$12)+('P0.1 Background Data'!$H$12)*Y22</f>
        <v>269.54533335491431</v>
      </c>
      <c r="Z23" s="33">
        <f>Z20+(Z21*'P0.1 Background Data'!$G$12)+('P0.1 Background Data'!$H$12)*Z22</f>
        <v>275.84099588795164</v>
      </c>
      <c r="AA23" s="33">
        <f>AA20+(AA21*'P0.1 Background Data'!$G$12)+('P0.1 Background Data'!$H$12)*AA22</f>
        <v>279.63567702495322</v>
      </c>
      <c r="AB23" s="33">
        <f>AB20+(AB21*'P0.1 Background Data'!$G$12)+('P0.1 Background Data'!$H$12)*AB22</f>
        <v>274.94309395065687</v>
      </c>
      <c r="AC23" s="33">
        <f>AC20+(AC21*'P0.1 Background Data'!$G$12)+('P0.1 Background Data'!$H$12)*AC22</f>
        <v>273.87126954035426</v>
      </c>
      <c r="AD23" s="33">
        <f>AD20+(AD21*'P0.1 Background Data'!$G$12)+('P0.1 Background Data'!$H$12)*AD22</f>
        <v>262.49583738881967</v>
      </c>
      <c r="AE23" s="33">
        <f>AE20+(AE21*'P0.1 Background Data'!$G$12)+('P0.1 Background Data'!$H$12)*AE22</f>
        <v>253.88208373415628</v>
      </c>
      <c r="AF23" s="33">
        <f>AF20+(AF21*'P0.1 Background Data'!$G$12)+('P0.1 Background Data'!$H$12)*AF22</f>
        <v>257.89574367822212</v>
      </c>
      <c r="AG23" s="33">
        <f>AG20+(AG21*'P0.1 Background Data'!$G$12)+('P0.1 Background Data'!$H$12)*AG22</f>
        <v>254.15425412391693</v>
      </c>
      <c r="AH23" s="33">
        <f>AH20+(AH21*'P0.1 Background Data'!$G$12)+('P0.1 Background Data'!$H$12)*AH22</f>
        <v>249.59892035012697</v>
      </c>
      <c r="AI23" s="33">
        <f>AI20+(AI21*'P0.1 Background Data'!$G$12)+('P0.1 Background Data'!$H$12)*AI22</f>
        <v>242.08543125001734</v>
      </c>
    </row>
    <row r="24" spans="2:35">
      <c r="B24" s="21" t="s">
        <v>194</v>
      </c>
      <c r="C24" s="33" t="s">
        <v>193</v>
      </c>
      <c r="D24" s="33" t="s">
        <v>187</v>
      </c>
      <c r="E24" s="33">
        <v>6.7570124104530311</v>
      </c>
      <c r="F24" s="33">
        <v>8.2746863754077964</v>
      </c>
      <c r="G24" s="33">
        <v>5.5397201762351589</v>
      </c>
      <c r="H24" s="33">
        <v>5.5397201762351589</v>
      </c>
      <c r="I24" s="33">
        <v>5.5397201762351589</v>
      </c>
      <c r="J24" s="33">
        <v>5.20852135783473</v>
      </c>
      <c r="K24" s="33">
        <v>4.6241891700427331</v>
      </c>
      <c r="L24" s="33">
        <v>4.4426299081106961</v>
      </c>
      <c r="M24" s="33">
        <v>3.8563282645349886</v>
      </c>
      <c r="N24" s="33">
        <v>3.3273237475274113</v>
      </c>
      <c r="O24" s="33">
        <v>2.9029246017274133</v>
      </c>
      <c r="P24" s="33">
        <v>2.7950385700740559</v>
      </c>
      <c r="Q24" s="33">
        <v>2.7455105425131143</v>
      </c>
      <c r="R24" s="33">
        <v>2.8073356236708555</v>
      </c>
      <c r="S24" s="33">
        <v>2.7132765454336694</v>
      </c>
      <c r="T24" s="33">
        <v>2.7354461854310985</v>
      </c>
      <c r="U24" s="33">
        <v>2.8106608070251062</v>
      </c>
      <c r="V24" s="33">
        <v>2.824546145970404</v>
      </c>
      <c r="W24" s="33">
        <v>2.885943333790824</v>
      </c>
      <c r="X24" s="33">
        <v>2.7469267796351531</v>
      </c>
      <c r="Y24" s="33">
        <v>2.8300511188746751</v>
      </c>
      <c r="Z24" s="33">
        <v>2.8961514908377839</v>
      </c>
      <c r="AA24" s="33">
        <v>2.935993180782396</v>
      </c>
      <c r="AB24" s="33">
        <v>2.8867241030560957</v>
      </c>
      <c r="AC24" s="33">
        <v>2.8754706421489473</v>
      </c>
      <c r="AD24" s="33">
        <v>2.7560359849525478</v>
      </c>
      <c r="AE24" s="33">
        <v>2.665597160192807</v>
      </c>
      <c r="AF24" s="33">
        <v>2.7077379855378694</v>
      </c>
      <c r="AG24" s="33">
        <v>2.6684547727008021</v>
      </c>
      <c r="AH24" s="33">
        <v>2.6206267235822995</v>
      </c>
      <c r="AI24" s="33">
        <v>2.5417399627923438</v>
      </c>
    </row>
    <row r="25" spans="2:35">
      <c r="B25" s="21" t="s">
        <v>192</v>
      </c>
      <c r="C25" s="33" t="s">
        <v>188</v>
      </c>
      <c r="D25" s="33" t="s">
        <v>187</v>
      </c>
      <c r="E25" s="33">
        <v>1.6892531026132579E-3</v>
      </c>
      <c r="F25" s="33">
        <v>2.0686715938519492E-3</v>
      </c>
      <c r="G25" s="33">
        <v>1.3849300440587897E-3</v>
      </c>
      <c r="H25" s="79">
        <v>1.3849300440587897E-3</v>
      </c>
      <c r="I25" s="33">
        <v>1.3849300440587897E-3</v>
      </c>
      <c r="J25" s="33">
        <v>1.3021303394586826E-3</v>
      </c>
      <c r="K25" s="33">
        <v>1.1560472925106833E-3</v>
      </c>
      <c r="L25" s="33">
        <v>1.110657477027674E-3</v>
      </c>
      <c r="M25" s="33">
        <v>9.6408206613374714E-4</v>
      </c>
      <c r="N25" s="33">
        <v>8.3183093688185279E-4</v>
      </c>
      <c r="O25" s="33">
        <v>7.2573115043185336E-4</v>
      </c>
      <c r="P25" s="33">
        <v>6.9875964251851395E-4</v>
      </c>
      <c r="Q25" s="33">
        <v>6.8637763562827859E-4</v>
      </c>
      <c r="R25" s="33">
        <v>7.0183390591771391E-4</v>
      </c>
      <c r="S25" s="33">
        <v>6.7831913635841732E-4</v>
      </c>
      <c r="T25" s="33">
        <v>6.8386154635777458E-4</v>
      </c>
      <c r="U25" s="33">
        <v>7.0266520175627661E-4</v>
      </c>
      <c r="V25" s="33">
        <v>7.06136536492601E-4</v>
      </c>
      <c r="W25" s="33">
        <v>7.2148583344770604E-4</v>
      </c>
      <c r="X25" s="33">
        <v>6.8673169490878828E-4</v>
      </c>
      <c r="Y25" s="33">
        <v>7.0751277971866874E-4</v>
      </c>
      <c r="Z25" s="33">
        <v>7.2403787270944602E-4</v>
      </c>
      <c r="AA25" s="33">
        <v>7.3399829519559901E-4</v>
      </c>
      <c r="AB25" s="33">
        <v>7.2168102576402389E-4</v>
      </c>
      <c r="AC25" s="33">
        <v>7.1886766053723687E-4</v>
      </c>
      <c r="AD25" s="33">
        <v>6.8900899623813698E-4</v>
      </c>
      <c r="AE25" s="33">
        <v>6.6639929004820174E-4</v>
      </c>
      <c r="AF25" s="33">
        <v>6.769344963844673E-4</v>
      </c>
      <c r="AG25" s="33">
        <v>6.671136931752005E-4</v>
      </c>
      <c r="AH25" s="33">
        <v>6.5515668089557489E-4</v>
      </c>
      <c r="AI25" s="33">
        <v>6.35434990698086E-4</v>
      </c>
    </row>
    <row r="26" spans="2:35">
      <c r="B26" s="21" t="s">
        <v>191</v>
      </c>
      <c r="C26" s="33" t="s">
        <v>188</v>
      </c>
      <c r="D26" s="33" t="s">
        <v>187</v>
      </c>
      <c r="E26" s="33">
        <v>0.47299086873171214</v>
      </c>
      <c r="F26" s="33">
        <v>0.57922804627854574</v>
      </c>
      <c r="G26" s="33">
        <v>0.3877804123364611</v>
      </c>
      <c r="H26" s="79">
        <v>0.3877804123364611</v>
      </c>
      <c r="I26" s="33">
        <v>0.3877804123364611</v>
      </c>
      <c r="J26" s="33">
        <v>0.36459649504843111</v>
      </c>
      <c r="K26" s="33">
        <v>0.32369324190299131</v>
      </c>
      <c r="L26" s="33">
        <v>0.31098409356774875</v>
      </c>
      <c r="M26" s="33">
        <v>0.26994297851744919</v>
      </c>
      <c r="N26" s="33">
        <v>0.23291266232691879</v>
      </c>
      <c r="O26" s="33">
        <v>0.20320472212091892</v>
      </c>
      <c r="P26" s="33">
        <v>0.19565269990518391</v>
      </c>
      <c r="Q26" s="33">
        <v>0.19218573797591801</v>
      </c>
      <c r="R26" s="33">
        <v>0.19651349365695989</v>
      </c>
      <c r="S26" s="33">
        <v>0.18992935818035683</v>
      </c>
      <c r="T26" s="33">
        <v>0.19148123298017689</v>
      </c>
      <c r="U26" s="33">
        <v>0.19674625649175745</v>
      </c>
      <c r="V26" s="33">
        <v>0.19771823021792825</v>
      </c>
      <c r="W26" s="33">
        <v>0.20201603336535767</v>
      </c>
      <c r="X26" s="33">
        <v>0.19228487457446072</v>
      </c>
      <c r="Y26" s="33">
        <v>0.19810357832122724</v>
      </c>
      <c r="Z26" s="33">
        <v>0.20273060435864487</v>
      </c>
      <c r="AA26" s="33">
        <v>0.20551952265476772</v>
      </c>
      <c r="AB26" s="33">
        <v>0.20207068721392671</v>
      </c>
      <c r="AC26" s="33">
        <v>0.20128294495042634</v>
      </c>
      <c r="AD26" s="33">
        <v>0.19292251894667833</v>
      </c>
      <c r="AE26" s="33">
        <v>0.1865918012134965</v>
      </c>
      <c r="AF26" s="33">
        <v>0.18954165898765085</v>
      </c>
      <c r="AG26" s="33">
        <v>0.18679183408905614</v>
      </c>
      <c r="AH26" s="33">
        <v>0.18344387065076098</v>
      </c>
      <c r="AI26" s="33">
        <v>0.17792179739546407</v>
      </c>
    </row>
    <row r="27" spans="2:35">
      <c r="B27" s="21" t="s">
        <v>190</v>
      </c>
      <c r="C27" s="33" t="s">
        <v>188</v>
      </c>
      <c r="D27" s="33" t="s">
        <v>187</v>
      </c>
      <c r="E27" s="33">
        <v>1.8581784128745834E-2</v>
      </c>
      <c r="F27" s="33">
        <v>2.2755387532371441E-2</v>
      </c>
      <c r="G27" s="33">
        <v>1.5234230484646687E-2</v>
      </c>
      <c r="H27" s="79">
        <v>1.5234230484646687E-2</v>
      </c>
      <c r="I27" s="33">
        <v>1.5234230484646687E-2</v>
      </c>
      <c r="J27" s="33">
        <v>1.4323433734045508E-2</v>
      </c>
      <c r="K27" s="33">
        <v>1.2716520217617516E-2</v>
      </c>
      <c r="L27" s="33">
        <v>1.2217232247304415E-2</v>
      </c>
      <c r="M27" s="33">
        <v>1.0604902727471218E-2</v>
      </c>
      <c r="N27" s="33">
        <v>9.150140305700381E-3</v>
      </c>
      <c r="O27" s="33">
        <v>7.9830426547503868E-3</v>
      </c>
      <c r="P27" s="33">
        <v>7.6863560677036535E-3</v>
      </c>
      <c r="Q27" s="33">
        <v>7.5501539919110641E-3</v>
      </c>
      <c r="R27" s="33">
        <v>7.720172965094853E-3</v>
      </c>
      <c r="S27" s="33">
        <v>7.461510499942591E-3</v>
      </c>
      <c r="T27" s="33">
        <v>7.5224770099355208E-3</v>
      </c>
      <c r="U27" s="33">
        <v>7.7293172193190424E-3</v>
      </c>
      <c r="V27" s="33">
        <v>7.7675019014186112E-3</v>
      </c>
      <c r="W27" s="33">
        <v>7.9363441679247658E-3</v>
      </c>
      <c r="X27" s="33">
        <v>7.5540486439966709E-3</v>
      </c>
      <c r="Y27" s="33">
        <v>7.7826405769053563E-3</v>
      </c>
      <c r="Z27" s="33">
        <v>7.9644165998039064E-3</v>
      </c>
      <c r="AA27" s="33">
        <v>8.07398124715159E-3</v>
      </c>
      <c r="AB27" s="33">
        <v>7.9384912834042642E-3</v>
      </c>
      <c r="AC27" s="33">
        <v>7.9075442659096058E-3</v>
      </c>
      <c r="AD27" s="33">
        <v>7.5790989586195069E-3</v>
      </c>
      <c r="AE27" s="33">
        <v>7.330392190530219E-3</v>
      </c>
      <c r="AF27" s="33">
        <v>7.4462794602291405E-3</v>
      </c>
      <c r="AG27" s="33">
        <v>7.3382506249272056E-3</v>
      </c>
      <c r="AH27" s="33">
        <v>7.2067234898513244E-3</v>
      </c>
      <c r="AI27" s="33">
        <v>6.9897848976789457E-3</v>
      </c>
    </row>
    <row r="28" spans="2:35">
      <c r="B28" s="66" t="s">
        <v>189</v>
      </c>
      <c r="C28" s="71" t="s">
        <v>188</v>
      </c>
      <c r="D28" s="71" t="s">
        <v>187</v>
      </c>
      <c r="E28" s="71">
        <v>6.4191617899303794E-3</v>
      </c>
      <c r="F28" s="71">
        <v>7.8609520566374057E-3</v>
      </c>
      <c r="G28" s="71">
        <v>5.2627341674234005E-3</v>
      </c>
      <c r="H28" s="78">
        <v>5.2627341674234005E-3</v>
      </c>
      <c r="I28" s="71">
        <v>5.2627341674234005E-3</v>
      </c>
      <c r="J28" s="71">
        <v>4.9480952899429937E-3</v>
      </c>
      <c r="K28" s="71">
        <v>4.3929797115405964E-3</v>
      </c>
      <c r="L28" s="71">
        <v>4.2204984127051605E-3</v>
      </c>
      <c r="M28" s="71">
        <v>3.6635118513082387E-3</v>
      </c>
      <c r="N28" s="71">
        <v>3.1609575601510404E-3</v>
      </c>
      <c r="O28" s="71">
        <v>2.7577783716410424E-3</v>
      </c>
      <c r="P28" s="71">
        <v>2.655286641570353E-3</v>
      </c>
      <c r="Q28" s="71">
        <v>2.6082350153874586E-3</v>
      </c>
      <c r="R28" s="71">
        <v>2.6669688424873126E-3</v>
      </c>
      <c r="S28" s="71">
        <v>2.5776127181619856E-3</v>
      </c>
      <c r="T28" s="71">
        <v>2.5986738761595435E-3</v>
      </c>
      <c r="U28" s="71">
        <v>2.6701277666738511E-3</v>
      </c>
      <c r="V28" s="71">
        <v>2.6833188386718838E-3</v>
      </c>
      <c r="W28" s="71">
        <v>2.7416461671012828E-3</v>
      </c>
      <c r="X28" s="71">
        <v>2.6095804406533955E-3</v>
      </c>
      <c r="Y28" s="71">
        <v>2.6885485629309413E-3</v>
      </c>
      <c r="Z28" s="71">
        <v>2.7513439162958945E-3</v>
      </c>
      <c r="AA28" s="71">
        <v>2.7891935217432763E-3</v>
      </c>
      <c r="AB28" s="71">
        <v>2.7423878979032906E-3</v>
      </c>
      <c r="AC28" s="71">
        <v>2.7316971100415002E-3</v>
      </c>
      <c r="AD28" s="71">
        <v>2.6182341857049199E-3</v>
      </c>
      <c r="AE28" s="71">
        <v>2.5323173021831666E-3</v>
      </c>
      <c r="AF28" s="71">
        <v>2.5723510862609759E-3</v>
      </c>
      <c r="AG28" s="71">
        <v>2.5350320340657619E-3</v>
      </c>
      <c r="AH28" s="71">
        <v>2.4895953874031844E-3</v>
      </c>
      <c r="AI28" s="71">
        <v>2.4146529646527264E-3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831E3-A614-4612-947B-A875B98FE5E9}">
  <dimension ref="A1:AN24"/>
  <sheetViews>
    <sheetView workbookViewId="0">
      <selection activeCell="B4" sqref="B4"/>
    </sheetView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16.08984375" style="21" customWidth="1"/>
    <col min="6" max="9" width="15.90625" style="21" customWidth="1"/>
    <col min="10" max="10" width="11.54296875" style="21" bestFit="1" customWidth="1"/>
    <col min="11" max="11" width="16.54296875" style="21" customWidth="1"/>
    <col min="12" max="12" width="12" style="21" customWidth="1"/>
    <col min="13" max="13" width="14.08984375" style="21" customWidth="1"/>
    <col min="14" max="35" width="9.54296875" style="21" bestFit="1" customWidth="1"/>
    <col min="36" max="16384" width="9.08984375" style="21"/>
  </cols>
  <sheetData>
    <row r="1" spans="1:40">
      <c r="A1" s="21" t="s">
        <v>184</v>
      </c>
    </row>
    <row r="2" spans="1:40" ht="13">
      <c r="A2" s="22" t="s">
        <v>181</v>
      </c>
    </row>
    <row r="3" spans="1:40" ht="13">
      <c r="A3" s="22"/>
    </row>
    <row r="4" spans="1:40" ht="13">
      <c r="A4" s="22"/>
    </row>
    <row r="6" spans="1:40" s="27" customFormat="1" ht="42" customHeight="1">
      <c r="A6" s="97" t="s">
        <v>115</v>
      </c>
      <c r="B6" s="26" t="s">
        <v>9</v>
      </c>
      <c r="C6" s="26" t="s">
        <v>8</v>
      </c>
      <c r="D6" s="37" t="s">
        <v>10</v>
      </c>
      <c r="E6" s="29" t="s">
        <v>118</v>
      </c>
      <c r="F6" s="29" t="s">
        <v>119</v>
      </c>
      <c r="G6" s="29" t="s">
        <v>120</v>
      </c>
      <c r="H6" s="29" t="s">
        <v>121</v>
      </c>
      <c r="I6" s="29" t="s">
        <v>122</v>
      </c>
      <c r="J6" s="29" t="s">
        <v>123</v>
      </c>
      <c r="K6" s="29" t="s">
        <v>124</v>
      </c>
      <c r="L6" s="29" t="s">
        <v>125</v>
      </c>
      <c r="M6" s="29" t="s">
        <v>126</v>
      </c>
      <c r="N6" s="29" t="s">
        <v>127</v>
      </c>
      <c r="O6" s="29" t="s">
        <v>128</v>
      </c>
      <c r="P6" s="29" t="s">
        <v>129</v>
      </c>
      <c r="Q6" s="29" t="s">
        <v>130</v>
      </c>
      <c r="R6" s="29" t="s">
        <v>131</v>
      </c>
      <c r="S6" s="29" t="s">
        <v>132</v>
      </c>
      <c r="T6" s="29" t="s">
        <v>133</v>
      </c>
      <c r="U6" s="29" t="s">
        <v>134</v>
      </c>
      <c r="V6" s="29" t="s">
        <v>135</v>
      </c>
      <c r="W6" s="29" t="s">
        <v>136</v>
      </c>
      <c r="X6" s="29" t="s">
        <v>137</v>
      </c>
      <c r="Y6" s="29" t="s">
        <v>138</v>
      </c>
      <c r="Z6" s="29" t="s">
        <v>139</v>
      </c>
      <c r="AA6" s="29" t="s">
        <v>140</v>
      </c>
      <c r="AB6" s="29" t="s">
        <v>141</v>
      </c>
      <c r="AC6" s="29" t="s">
        <v>142</v>
      </c>
      <c r="AD6" s="29" t="s">
        <v>143</v>
      </c>
      <c r="AE6" s="29" t="s">
        <v>144</v>
      </c>
      <c r="AF6" s="29" t="s">
        <v>145</v>
      </c>
      <c r="AG6" s="29" t="s">
        <v>146</v>
      </c>
      <c r="AH6" s="29" t="s">
        <v>147</v>
      </c>
      <c r="AI6" s="29" t="s">
        <v>148</v>
      </c>
      <c r="AJ6" s="29" t="s">
        <v>149</v>
      </c>
      <c r="AK6" s="29" t="s">
        <v>150</v>
      </c>
      <c r="AL6" s="29" t="s">
        <v>151</v>
      </c>
      <c r="AM6" s="29" t="s">
        <v>152</v>
      </c>
      <c r="AN6" s="29" t="s">
        <v>153</v>
      </c>
    </row>
    <row r="7" spans="1:40" ht="13.5" customHeight="1">
      <c r="A7" s="98"/>
      <c r="B7" s="54" t="s">
        <v>174</v>
      </c>
      <c r="C7" s="5" t="s">
        <v>180</v>
      </c>
      <c r="D7" s="7" t="s">
        <v>114</v>
      </c>
      <c r="E7" s="7">
        <v>31039.227830029209</v>
      </c>
      <c r="F7" s="7">
        <v>69970.096072447617</v>
      </c>
      <c r="G7" s="2">
        <v>2.7181114967373575E-3</v>
      </c>
      <c r="H7" s="2">
        <v>30635.095508399936</v>
      </c>
      <c r="I7" s="2">
        <v>6.1408513967862568E-3</v>
      </c>
      <c r="J7" s="2">
        <v>69211.866131780087</v>
      </c>
      <c r="K7" s="2">
        <v>1.0622668523106833E-5</v>
      </c>
      <c r="L7" s="2">
        <v>133.4473255683281</v>
      </c>
      <c r="M7" s="2">
        <v>2.7553511254221132E-4</v>
      </c>
      <c r="N7" s="2">
        <v>42.703785707065634</v>
      </c>
      <c r="O7" s="2">
        <v>2.5603748449424678E-3</v>
      </c>
      <c r="P7" s="2">
        <v>396.80140474526604</v>
      </c>
      <c r="Q7" s="2">
        <v>6.5136018831758508E-4</v>
      </c>
      <c r="R7" s="2">
        <v>4.8371038291396696E-4</v>
      </c>
      <c r="S7" s="2">
        <v>4.9172444242736675E-5</v>
      </c>
      <c r="T7" s="2">
        <v>1.1847736116088101E-4</v>
      </c>
      <c r="U7" s="2">
        <v>23.621358923471298</v>
      </c>
      <c r="V7" s="2">
        <v>6.514912725441071E-4</v>
      </c>
      <c r="W7" s="2">
        <v>32.690765248608869</v>
      </c>
      <c r="X7" s="2">
        <v>2.6361814823769752E-3</v>
      </c>
      <c r="Y7" s="2">
        <v>1.6463820092125552</v>
      </c>
      <c r="Z7" s="2">
        <v>4.7907709003166259E-2</v>
      </c>
      <c r="AA7" s="2">
        <v>2.0715424410374323</v>
      </c>
      <c r="AB7" s="2">
        <v>3.3577886498123002E-2</v>
      </c>
      <c r="AC7" s="2">
        <v>0.91773578250223731</v>
      </c>
      <c r="AD7" s="2">
        <v>1.0399911106040505E-3</v>
      </c>
      <c r="AE7" s="2">
        <v>0.58592588922829891</v>
      </c>
      <c r="AF7" s="2">
        <v>1.3290729423963819</v>
      </c>
      <c r="AG7" s="2">
        <v>117.91999367834252</v>
      </c>
      <c r="AH7" s="2">
        <v>0.22434062038339053</v>
      </c>
      <c r="AI7" s="2">
        <v>44.910094104346953</v>
      </c>
      <c r="AJ7" s="2">
        <v>4.816539986079147E-2</v>
      </c>
      <c r="AK7" s="2">
        <v>1.0936518882174846E-2</v>
      </c>
      <c r="AL7" s="2">
        <v>1.4727629098675418E-2</v>
      </c>
      <c r="AM7" s="2">
        <v>2.2501251879941231E-2</v>
      </c>
      <c r="AN7" s="2">
        <v>3.6174122772084338</v>
      </c>
    </row>
    <row r="8" spans="1:40" ht="13.5" customHeight="1">
      <c r="A8" s="98"/>
      <c r="B8" s="1" t="s">
        <v>174</v>
      </c>
      <c r="C8" s="1" t="s">
        <v>117</v>
      </c>
      <c r="D8" s="2" t="s">
        <v>114</v>
      </c>
      <c r="E8" s="2">
        <v>1361115.9247606141</v>
      </c>
      <c r="F8" s="2">
        <v>3067355.825409818</v>
      </c>
      <c r="G8" s="2">
        <v>0.11890496461915312</v>
      </c>
      <c r="H8" s="2">
        <v>1340145.5208526512</v>
      </c>
      <c r="I8" s="2">
        <v>0.26880104138888228</v>
      </c>
      <c r="J8" s="2">
        <v>3029583.438939211</v>
      </c>
      <c r="K8" s="2">
        <v>5.246069317374623E-4</v>
      </c>
      <c r="L8" s="2">
        <v>6590.3771601917151</v>
      </c>
      <c r="M8" s="2">
        <v>1.2922637199994973E-2</v>
      </c>
      <c r="N8" s="2">
        <v>2026.302655084148</v>
      </c>
      <c r="O8" s="2">
        <v>0.12008184299856049</v>
      </c>
      <c r="P8" s="2">
        <v>18828.285217730201</v>
      </c>
      <c r="Q8" s="2">
        <v>3.0087902153702401E-2</v>
      </c>
      <c r="R8" s="2">
        <v>2.1540314955424317E-2</v>
      </c>
      <c r="S8" s="2">
        <v>2.5246907376365682E-3</v>
      </c>
      <c r="T8" s="2">
        <v>6.0228964606415048E-3</v>
      </c>
      <c r="U8" s="2">
        <v>1077.1864987165529</v>
      </c>
      <c r="V8" s="2">
        <v>2.990559996996273E-2</v>
      </c>
      <c r="W8" s="2">
        <v>1503.3779068378976</v>
      </c>
      <c r="X8" s="2">
        <v>0.1453573013986596</v>
      </c>
      <c r="Y8" s="2">
        <v>90.780413841104931</v>
      </c>
      <c r="Z8" s="2">
        <v>2.6365677889252672</v>
      </c>
      <c r="AA8" s="2">
        <v>114.00591234846846</v>
      </c>
      <c r="AB8" s="2">
        <v>1.8504056769349913</v>
      </c>
      <c r="AC8" s="2">
        <v>50.574460723233507</v>
      </c>
      <c r="AD8" s="2">
        <v>6.2422185767739759E-2</v>
      </c>
      <c r="AE8" s="2">
        <v>35.1683532007021</v>
      </c>
      <c r="AF8" s="2">
        <v>75.661406442056219</v>
      </c>
      <c r="AG8" s="2">
        <v>6712.9442521453975</v>
      </c>
      <c r="AH8" s="2">
        <v>12.826345960763643</v>
      </c>
      <c r="AI8" s="2">
        <v>2567.6687669330122</v>
      </c>
      <c r="AJ8" s="2">
        <v>2.6898385548784938</v>
      </c>
      <c r="AK8" s="2">
        <v>0.61075938506876004</v>
      </c>
      <c r="AL8" s="2">
        <v>0.82247723156239194</v>
      </c>
      <c r="AM8" s="2">
        <v>1.2566019382473459</v>
      </c>
      <c r="AN8" s="2">
        <v>202.01752794015209</v>
      </c>
    </row>
    <row r="9" spans="1:40">
      <c r="A9" s="98"/>
      <c r="B9" s="1"/>
      <c r="C9" s="1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>
      <c r="A10" s="98"/>
      <c r="B10" s="1"/>
      <c r="C10" s="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>
      <c r="A11" s="98"/>
      <c r="B11" s="1"/>
      <c r="C11" s="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>
      <c r="A12" s="98"/>
      <c r="B12" s="1"/>
      <c r="C12" s="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>
      <c r="A13" s="98"/>
      <c r="B13" s="1"/>
      <c r="C13" s="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>
      <c r="A14" s="98"/>
      <c r="B14" s="1"/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98"/>
      <c r="B15" s="1"/>
      <c r="C15" s="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>
      <c r="A16" s="99"/>
      <c r="B16" s="3"/>
      <c r="C16" s="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spans="1:40" ht="13">
      <c r="A17" s="30"/>
      <c r="B17" s="30"/>
      <c r="C17" s="30"/>
      <c r="D17" s="30"/>
      <c r="E17" s="30"/>
      <c r="F17" s="30"/>
      <c r="G17" s="30"/>
      <c r="H17" s="30"/>
      <c r="I17" s="30"/>
      <c r="J17" s="31"/>
    </row>
    <row r="18" spans="1:40" s="27" customFormat="1" ht="91">
      <c r="A18" s="97" t="s">
        <v>116</v>
      </c>
      <c r="B18" s="26" t="s">
        <v>9</v>
      </c>
      <c r="C18" s="26" t="s">
        <v>8</v>
      </c>
      <c r="D18" s="37" t="s">
        <v>10</v>
      </c>
      <c r="E18" s="29" t="s">
        <v>118</v>
      </c>
      <c r="F18" s="29" t="s">
        <v>119</v>
      </c>
      <c r="G18" s="29" t="s">
        <v>120</v>
      </c>
      <c r="H18" s="29" t="s">
        <v>121</v>
      </c>
      <c r="I18" s="29" t="s">
        <v>122</v>
      </c>
      <c r="J18" s="29" t="s">
        <v>123</v>
      </c>
      <c r="K18" s="29" t="s">
        <v>124</v>
      </c>
      <c r="L18" s="29" t="s">
        <v>125</v>
      </c>
      <c r="M18" s="29" t="s">
        <v>126</v>
      </c>
      <c r="N18" s="29" t="s">
        <v>127</v>
      </c>
      <c r="O18" s="29" t="s">
        <v>128</v>
      </c>
      <c r="P18" s="29" t="s">
        <v>129</v>
      </c>
      <c r="Q18" s="29" t="s">
        <v>130</v>
      </c>
      <c r="R18" s="29" t="s">
        <v>131</v>
      </c>
      <c r="S18" s="29" t="s">
        <v>132</v>
      </c>
      <c r="T18" s="29" t="s">
        <v>133</v>
      </c>
      <c r="U18" s="29" t="s">
        <v>134</v>
      </c>
      <c r="V18" s="29" t="s">
        <v>135</v>
      </c>
      <c r="W18" s="29" t="s">
        <v>136</v>
      </c>
      <c r="X18" s="29" t="s">
        <v>137</v>
      </c>
      <c r="Y18" s="29" t="s">
        <v>138</v>
      </c>
      <c r="Z18" s="29" t="s">
        <v>139</v>
      </c>
      <c r="AA18" s="29" t="s">
        <v>140</v>
      </c>
      <c r="AB18" s="29" t="s">
        <v>141</v>
      </c>
      <c r="AC18" s="29" t="s">
        <v>142</v>
      </c>
      <c r="AD18" s="29" t="s">
        <v>143</v>
      </c>
      <c r="AE18" s="29" t="s">
        <v>144</v>
      </c>
      <c r="AF18" s="29" t="s">
        <v>145</v>
      </c>
      <c r="AG18" s="29" t="s">
        <v>146</v>
      </c>
      <c r="AH18" s="29" t="s">
        <v>147</v>
      </c>
      <c r="AI18" s="29" t="s">
        <v>148</v>
      </c>
      <c r="AJ18" s="29" t="s">
        <v>149</v>
      </c>
      <c r="AK18" s="29" t="s">
        <v>150</v>
      </c>
      <c r="AL18" s="29" t="s">
        <v>151</v>
      </c>
      <c r="AM18" s="29" t="s">
        <v>152</v>
      </c>
      <c r="AN18" s="29" t="s">
        <v>153</v>
      </c>
    </row>
    <row r="19" spans="1:40" ht="13.5" customHeight="1">
      <c r="A19" s="98"/>
      <c r="B19" s="5" t="s">
        <v>174</v>
      </c>
      <c r="C19" s="5" t="s">
        <v>116</v>
      </c>
      <c r="D19" s="7" t="s">
        <v>114</v>
      </c>
      <c r="E19" s="40">
        <f>SUM(E7:E8)</f>
        <v>1392155.1525906431</v>
      </c>
      <c r="F19" s="40">
        <f t="shared" ref="F19:AN19" si="0">SUM(F7:F8)</f>
        <v>3137325.9214822655</v>
      </c>
      <c r="G19" s="40">
        <f t="shared" si="0"/>
        <v>0.12162307611589047</v>
      </c>
      <c r="H19" s="40">
        <f t="shared" si="0"/>
        <v>1370780.6163610511</v>
      </c>
      <c r="I19" s="40">
        <f t="shared" si="0"/>
        <v>0.27494189278566855</v>
      </c>
      <c r="J19" s="40">
        <f t="shared" si="0"/>
        <v>3098795.3050709912</v>
      </c>
      <c r="K19" s="40">
        <f t="shared" si="0"/>
        <v>5.3522960026056914E-4</v>
      </c>
      <c r="L19" s="40">
        <f t="shared" si="0"/>
        <v>6723.824485760043</v>
      </c>
      <c r="M19" s="40">
        <f t="shared" si="0"/>
        <v>1.3198172312537185E-2</v>
      </c>
      <c r="N19" s="40">
        <f t="shared" si="0"/>
        <v>2069.0064407912137</v>
      </c>
      <c r="O19" s="40">
        <f t="shared" si="0"/>
        <v>0.12264221784350296</v>
      </c>
      <c r="P19" s="40">
        <f t="shared" si="0"/>
        <v>19225.086622475468</v>
      </c>
      <c r="Q19" s="40">
        <f t="shared" si="0"/>
        <v>3.0739262342019985E-2</v>
      </c>
      <c r="R19" s="40">
        <f t="shared" si="0"/>
        <v>2.2024025338338284E-2</v>
      </c>
      <c r="S19" s="40">
        <f t="shared" si="0"/>
        <v>2.573863181879305E-3</v>
      </c>
      <c r="T19" s="40">
        <f t="shared" si="0"/>
        <v>6.141373821802386E-3</v>
      </c>
      <c r="U19" s="40">
        <f t="shared" si="0"/>
        <v>1100.8078576400242</v>
      </c>
      <c r="V19" s="40">
        <f t="shared" si="0"/>
        <v>3.0557091242506836E-2</v>
      </c>
      <c r="W19" s="40">
        <f t="shared" si="0"/>
        <v>1536.0686720865065</v>
      </c>
      <c r="X19" s="40">
        <f t="shared" si="0"/>
        <v>0.14799348288103659</v>
      </c>
      <c r="Y19" s="40">
        <f t="shared" si="0"/>
        <v>92.42679585031749</v>
      </c>
      <c r="Z19" s="40">
        <f t="shared" si="0"/>
        <v>2.6844754979284335</v>
      </c>
      <c r="AA19" s="40">
        <f t="shared" si="0"/>
        <v>116.07745478950589</v>
      </c>
      <c r="AB19" s="40">
        <f t="shared" si="0"/>
        <v>1.8839835634331143</v>
      </c>
      <c r="AC19" s="40">
        <f t="shared" si="0"/>
        <v>51.492196505735741</v>
      </c>
      <c r="AD19" s="40">
        <f t="shared" si="0"/>
        <v>6.3462176878343809E-2</v>
      </c>
      <c r="AE19" s="40">
        <f t="shared" si="0"/>
        <v>35.754279089930399</v>
      </c>
      <c r="AF19" s="40">
        <f t="shared" si="0"/>
        <v>76.990479384452598</v>
      </c>
      <c r="AG19" s="40">
        <f t="shared" si="0"/>
        <v>6830.86424582374</v>
      </c>
      <c r="AH19" s="40">
        <f t="shared" si="0"/>
        <v>13.050686581147033</v>
      </c>
      <c r="AI19" s="40">
        <f t="shared" si="0"/>
        <v>2612.5788610373593</v>
      </c>
      <c r="AJ19" s="40">
        <f t="shared" si="0"/>
        <v>2.7380039547392854</v>
      </c>
      <c r="AK19" s="40">
        <f t="shared" si="0"/>
        <v>0.62169590395093488</v>
      </c>
      <c r="AL19" s="40">
        <f t="shared" si="0"/>
        <v>0.83720486066106736</v>
      </c>
      <c r="AM19" s="40">
        <f t="shared" si="0"/>
        <v>1.2791031901272871</v>
      </c>
      <c r="AN19" s="40">
        <f t="shared" si="0"/>
        <v>205.63494021736054</v>
      </c>
    </row>
    <row r="20" spans="1:40">
      <c r="A20" s="98"/>
      <c r="B20" s="1"/>
      <c r="C20" s="1"/>
      <c r="D20" s="2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</row>
    <row r="21" spans="1:40">
      <c r="A21" s="98"/>
      <c r="B21" s="1"/>
      <c r="C21" s="1"/>
      <c r="D21" s="2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</row>
    <row r="22" spans="1:40">
      <c r="A22" s="98"/>
      <c r="B22" s="1"/>
      <c r="C22" s="1"/>
      <c r="D22" s="2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</row>
    <row r="23" spans="1:40">
      <c r="A23" s="99"/>
      <c r="B23" s="3"/>
      <c r="C23" s="3"/>
      <c r="D23" s="2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ht="13">
      <c r="A24" s="30"/>
      <c r="B24" s="30"/>
      <c r="C24" s="30"/>
      <c r="D24" s="30"/>
      <c r="E24" s="30"/>
      <c r="F24" s="30"/>
      <c r="G24" s="30"/>
      <c r="H24" s="30"/>
      <c r="I24" s="30"/>
      <c r="J24" s="31"/>
      <c r="K24" s="30"/>
    </row>
  </sheetData>
  <mergeCells count="2">
    <mergeCell ref="A6:A16"/>
    <mergeCell ref="A18:A23"/>
  </mergeCells>
  <pageMargins left="0.7" right="0.7" top="0.75" bottom="0.75" header="0.3" footer="0.3"/>
  <ignoredErrors>
    <ignoredError sqref="E19:AN19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DF0AD-F72D-41B8-9C13-3ADE134E5106}">
  <sheetPr>
    <tabColor rgb="FFFFC000"/>
  </sheetPr>
  <dimension ref="A1:FI51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9.4531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16">
      <c r="A1" s="21" t="s">
        <v>184</v>
      </c>
    </row>
    <row r="2" spans="1:16" ht="13">
      <c r="A2" s="22" t="s">
        <v>181</v>
      </c>
    </row>
    <row r="3" spans="1:16" ht="13">
      <c r="A3" s="22"/>
    </row>
    <row r="4" spans="1:16" ht="13">
      <c r="A4" s="22"/>
    </row>
    <row r="6" spans="1:16" s="27" customFormat="1" ht="13">
      <c r="A6" s="25"/>
      <c r="B6" s="26" t="s">
        <v>9</v>
      </c>
      <c r="C6" s="26" t="s">
        <v>8</v>
      </c>
      <c r="D6" s="37" t="s">
        <v>10</v>
      </c>
      <c r="E6" s="37" t="s">
        <v>7</v>
      </c>
      <c r="F6" s="29">
        <v>2025</v>
      </c>
      <c r="G6" s="29">
        <v>2026</v>
      </c>
      <c r="H6" s="29">
        <v>2027</v>
      </c>
      <c r="I6" s="29">
        <v>2028</v>
      </c>
      <c r="J6" s="29">
        <v>2029</v>
      </c>
      <c r="L6" s="37" t="s">
        <v>56</v>
      </c>
      <c r="M6" s="37" t="s">
        <v>62</v>
      </c>
      <c r="N6" s="37" t="s">
        <v>63</v>
      </c>
      <c r="O6" s="37" t="s">
        <v>33</v>
      </c>
      <c r="P6" s="37"/>
    </row>
    <row r="7" spans="1:16">
      <c r="A7" s="97" t="s">
        <v>42</v>
      </c>
      <c r="B7" s="5" t="s">
        <v>43</v>
      </c>
      <c r="C7" s="5" t="s">
        <v>177</v>
      </c>
      <c r="D7" s="7" t="s">
        <v>175</v>
      </c>
      <c r="E7" s="7" t="s">
        <v>44</v>
      </c>
      <c r="F7" s="7"/>
      <c r="G7" s="7"/>
      <c r="H7" s="7">
        <f>'CC0.2 Project Classification'!C18*1000</f>
        <v>25300</v>
      </c>
      <c r="I7" s="7"/>
      <c r="J7" s="7"/>
      <c r="L7" s="21" t="s">
        <v>57</v>
      </c>
      <c r="M7" s="21" t="s">
        <v>59</v>
      </c>
      <c r="N7" s="21">
        <v>0.90718500000000002</v>
      </c>
    </row>
    <row r="8" spans="1:16">
      <c r="A8" s="98"/>
      <c r="B8" s="1"/>
      <c r="C8" s="1"/>
      <c r="D8" s="2"/>
      <c r="E8" s="2"/>
      <c r="F8" s="2"/>
      <c r="G8" s="2"/>
      <c r="H8" s="2"/>
      <c r="I8" s="2"/>
      <c r="J8" s="2"/>
      <c r="L8" s="21" t="s">
        <v>58</v>
      </c>
      <c r="M8" s="21" t="s">
        <v>60</v>
      </c>
      <c r="N8" s="21">
        <v>0.99399999999999999</v>
      </c>
      <c r="O8" s="21" t="s">
        <v>61</v>
      </c>
    </row>
    <row r="9" spans="1:16">
      <c r="A9" s="98"/>
      <c r="B9" s="1"/>
      <c r="C9" s="1"/>
      <c r="D9" s="2"/>
      <c r="E9" s="2"/>
      <c r="F9" s="2"/>
      <c r="G9" s="2"/>
      <c r="H9" s="2"/>
      <c r="I9" s="2"/>
      <c r="J9" s="2"/>
    </row>
    <row r="10" spans="1:16" ht="13">
      <c r="A10" s="98"/>
      <c r="B10" s="17" t="s">
        <v>48</v>
      </c>
      <c r="C10" s="17" t="s">
        <v>19</v>
      </c>
      <c r="D10" s="18" t="s">
        <v>34</v>
      </c>
      <c r="E10" s="18" t="s">
        <v>44</v>
      </c>
      <c r="F10" s="18">
        <f>SUM(F7:F9)</f>
        <v>0</v>
      </c>
      <c r="G10" s="18">
        <f t="shared" ref="G10:J10" si="0">SUM(G7:G9)</f>
        <v>0</v>
      </c>
      <c r="H10" s="18">
        <f t="shared" si="0"/>
        <v>25300</v>
      </c>
      <c r="I10" s="18">
        <f t="shared" si="0"/>
        <v>0</v>
      </c>
      <c r="J10" s="18">
        <f t="shared" si="0"/>
        <v>0</v>
      </c>
    </row>
    <row r="11" spans="1:16">
      <c r="A11" s="98"/>
      <c r="B11" s="1" t="s">
        <v>50</v>
      </c>
      <c r="C11" s="1" t="s">
        <v>177</v>
      </c>
      <c r="D11" s="2" t="s">
        <v>176</v>
      </c>
      <c r="E11" s="2" t="s">
        <v>45</v>
      </c>
      <c r="F11" s="2"/>
      <c r="G11" s="2"/>
      <c r="H11" s="2">
        <f>-'CC0.3 AVERT Results'!E8</f>
        <v>54090</v>
      </c>
      <c r="I11" s="2"/>
      <c r="J11" s="2"/>
    </row>
    <row r="12" spans="1:16">
      <c r="A12" s="98"/>
      <c r="B12" s="1"/>
      <c r="C12" s="1"/>
      <c r="D12" s="2"/>
      <c r="E12" s="2"/>
      <c r="F12" s="2"/>
      <c r="G12" s="2"/>
      <c r="H12" s="2"/>
      <c r="I12" s="2"/>
      <c r="J12" s="2"/>
    </row>
    <row r="13" spans="1:16">
      <c r="A13" s="98"/>
      <c r="B13" s="1"/>
      <c r="C13" s="1"/>
      <c r="D13" s="2"/>
      <c r="E13" s="2"/>
      <c r="F13" s="2"/>
      <c r="G13" s="2"/>
      <c r="H13" s="2"/>
      <c r="I13" s="2"/>
      <c r="J13" s="2"/>
    </row>
    <row r="14" spans="1:16" ht="13">
      <c r="A14" s="98"/>
      <c r="B14" s="17" t="s">
        <v>51</v>
      </c>
      <c r="C14" s="17" t="s">
        <v>19</v>
      </c>
      <c r="D14" s="18" t="s">
        <v>176</v>
      </c>
      <c r="E14" s="18" t="s">
        <v>45</v>
      </c>
      <c r="F14" s="18">
        <f>SUM(F11:F13)</f>
        <v>0</v>
      </c>
      <c r="G14" s="18">
        <f t="shared" ref="G14:J14" si="1">SUM(G11:G13)</f>
        <v>0</v>
      </c>
      <c r="H14" s="18">
        <f t="shared" si="1"/>
        <v>54090</v>
      </c>
      <c r="I14" s="18">
        <f t="shared" si="1"/>
        <v>0</v>
      </c>
      <c r="J14" s="18">
        <f t="shared" si="1"/>
        <v>0</v>
      </c>
    </row>
    <row r="15" spans="1:16">
      <c r="A15" s="98"/>
      <c r="B15" s="1" t="s">
        <v>47</v>
      </c>
      <c r="C15" s="1" t="s">
        <v>177</v>
      </c>
      <c r="D15" s="2" t="s">
        <v>176</v>
      </c>
      <c r="E15" s="2" t="s">
        <v>46</v>
      </c>
      <c r="F15" s="2"/>
      <c r="G15" s="2"/>
      <c r="H15" s="2">
        <f>-'CC0.3 AVERT Results'!E13</f>
        <v>37630</v>
      </c>
      <c r="I15" s="2"/>
      <c r="J15" s="2"/>
      <c r="M15" s="33"/>
    </row>
    <row r="16" spans="1:16">
      <c r="A16" s="98"/>
      <c r="B16" s="1"/>
      <c r="C16" s="1"/>
      <c r="D16" s="2"/>
      <c r="E16" s="2"/>
      <c r="F16" s="2"/>
      <c r="G16" s="2"/>
      <c r="H16" s="2"/>
      <c r="I16" s="2"/>
      <c r="J16" s="2"/>
    </row>
    <row r="17" spans="1:165">
      <c r="A17" s="98"/>
      <c r="B17" s="1"/>
      <c r="C17" s="1"/>
      <c r="D17" s="2"/>
      <c r="E17" s="2"/>
      <c r="F17" s="2"/>
      <c r="G17" s="2"/>
      <c r="H17" s="2"/>
      <c r="I17" s="2"/>
      <c r="J17" s="2"/>
    </row>
    <row r="18" spans="1:165" ht="13">
      <c r="A18" s="99"/>
      <c r="B18" s="19" t="s">
        <v>49</v>
      </c>
      <c r="C18" s="19" t="s">
        <v>19</v>
      </c>
      <c r="D18" s="20" t="s">
        <v>176</v>
      </c>
      <c r="E18" s="20" t="s">
        <v>46</v>
      </c>
      <c r="F18" s="20">
        <f>SUM(F15:F17)</f>
        <v>0</v>
      </c>
      <c r="G18" s="20">
        <f t="shared" ref="G18:J18" si="2">SUM(G15:G17)</f>
        <v>0</v>
      </c>
      <c r="H18" s="20">
        <f t="shared" si="2"/>
        <v>37630</v>
      </c>
      <c r="I18" s="20">
        <f t="shared" si="2"/>
        <v>0</v>
      </c>
      <c r="J18" s="20">
        <f t="shared" si="2"/>
        <v>0</v>
      </c>
    </row>
    <row r="19" spans="1:165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1" spans="1:165" ht="13.5" customHeight="1">
      <c r="A21" s="103" t="s">
        <v>35</v>
      </c>
      <c r="B21" s="9" t="s">
        <v>9</v>
      </c>
      <c r="C21" s="9" t="s">
        <v>8</v>
      </c>
      <c r="D21" s="9" t="s">
        <v>10</v>
      </c>
      <c r="E21" s="9" t="s">
        <v>7</v>
      </c>
      <c r="F21" s="9">
        <v>2025</v>
      </c>
      <c r="G21" s="9">
        <v>2026</v>
      </c>
      <c r="H21" s="9">
        <v>2027</v>
      </c>
      <c r="I21" s="9">
        <v>2028</v>
      </c>
      <c r="J21" s="9">
        <v>2029</v>
      </c>
      <c r="K21" s="9">
        <v>2030</v>
      </c>
      <c r="L21" s="9">
        <v>2031</v>
      </c>
      <c r="M21" s="9">
        <v>2032</v>
      </c>
      <c r="N21" s="9">
        <v>2033</v>
      </c>
      <c r="O21" s="9">
        <v>2034</v>
      </c>
      <c r="P21" s="9">
        <v>2035</v>
      </c>
      <c r="Q21" s="9">
        <v>2036</v>
      </c>
      <c r="R21" s="9">
        <v>2037</v>
      </c>
      <c r="S21" s="9">
        <v>2038</v>
      </c>
      <c r="T21" s="9">
        <v>2039</v>
      </c>
      <c r="U21" s="9">
        <v>2040</v>
      </c>
      <c r="V21" s="9">
        <v>2041</v>
      </c>
      <c r="W21" s="9">
        <v>2042</v>
      </c>
      <c r="X21" s="9">
        <v>2043</v>
      </c>
      <c r="Y21" s="9">
        <v>2044</v>
      </c>
      <c r="Z21" s="9">
        <v>2045</v>
      </c>
      <c r="AA21" s="9">
        <v>2046</v>
      </c>
      <c r="AB21" s="9">
        <v>2047</v>
      </c>
      <c r="AC21" s="9">
        <v>2048</v>
      </c>
      <c r="AD21" s="9">
        <v>2049</v>
      </c>
      <c r="AE21" s="9">
        <v>2050</v>
      </c>
    </row>
    <row r="22" spans="1:165">
      <c r="A22" s="104"/>
      <c r="B22" s="5" t="s">
        <v>178</v>
      </c>
      <c r="C22" s="5" t="s">
        <v>177</v>
      </c>
      <c r="D22" s="5" t="s">
        <v>34</v>
      </c>
      <c r="E22" s="5" t="s">
        <v>44</v>
      </c>
      <c r="F22" s="7">
        <f>F7</f>
        <v>0</v>
      </c>
      <c r="G22" s="7">
        <f t="shared" ref="G22:J22" si="3">F22+G7</f>
        <v>0</v>
      </c>
      <c r="H22" s="7">
        <f t="shared" si="3"/>
        <v>25300</v>
      </c>
      <c r="I22" s="7">
        <f t="shared" si="3"/>
        <v>25300</v>
      </c>
      <c r="J22" s="7">
        <f t="shared" si="3"/>
        <v>25300</v>
      </c>
      <c r="K22" s="7">
        <f>J22</f>
        <v>25300</v>
      </c>
      <c r="L22" s="7">
        <f t="shared" ref="L22:AA22" si="4">K22</f>
        <v>25300</v>
      </c>
      <c r="M22" s="7">
        <f t="shared" si="4"/>
        <v>25300</v>
      </c>
      <c r="N22" s="7">
        <f t="shared" si="4"/>
        <v>25300</v>
      </c>
      <c r="O22" s="7">
        <f t="shared" si="4"/>
        <v>25300</v>
      </c>
      <c r="P22" s="7">
        <f t="shared" si="4"/>
        <v>25300</v>
      </c>
      <c r="Q22" s="7">
        <f t="shared" si="4"/>
        <v>25300</v>
      </c>
      <c r="R22" s="7">
        <f t="shared" si="4"/>
        <v>25300</v>
      </c>
      <c r="S22" s="7">
        <f t="shared" si="4"/>
        <v>25300</v>
      </c>
      <c r="T22" s="7">
        <f t="shared" si="4"/>
        <v>25300</v>
      </c>
      <c r="U22" s="7">
        <f t="shared" si="4"/>
        <v>25300</v>
      </c>
      <c r="V22" s="7">
        <f t="shared" si="4"/>
        <v>25300</v>
      </c>
      <c r="W22" s="7">
        <f t="shared" si="4"/>
        <v>25300</v>
      </c>
      <c r="X22" s="7">
        <f t="shared" si="4"/>
        <v>25300</v>
      </c>
      <c r="Y22" s="7">
        <f t="shared" si="4"/>
        <v>25300</v>
      </c>
      <c r="Z22" s="7">
        <f t="shared" si="4"/>
        <v>25300</v>
      </c>
      <c r="AA22" s="7">
        <f t="shared" si="4"/>
        <v>25300</v>
      </c>
      <c r="AB22" s="7">
        <f t="shared" ref="AA22:AE26" si="5">AA22</f>
        <v>25300</v>
      </c>
      <c r="AC22" s="7">
        <f t="shared" si="5"/>
        <v>25300</v>
      </c>
      <c r="AD22" s="7">
        <f t="shared" si="5"/>
        <v>25300</v>
      </c>
      <c r="AE22" s="7">
        <f t="shared" si="5"/>
        <v>25300</v>
      </c>
    </row>
    <row r="23" spans="1:165">
      <c r="A23" s="104"/>
      <c r="B23" s="1"/>
      <c r="C23" s="1"/>
      <c r="D23" s="1"/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165">
      <c r="A24" s="104"/>
      <c r="B24" s="1"/>
      <c r="C24" s="1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165" ht="13">
      <c r="A25" s="104"/>
      <c r="B25" s="17" t="s">
        <v>179</v>
      </c>
      <c r="C25" s="17" t="s">
        <v>19</v>
      </c>
      <c r="D25" s="17" t="s">
        <v>34</v>
      </c>
      <c r="E25" s="17" t="s">
        <v>44</v>
      </c>
      <c r="F25" s="18">
        <f>SUM(F22:F24)</f>
        <v>0</v>
      </c>
      <c r="G25" s="18">
        <f t="shared" ref="G25:J25" si="6">SUM(G22:G24)</f>
        <v>0</v>
      </c>
      <c r="H25" s="18">
        <f t="shared" si="6"/>
        <v>25300</v>
      </c>
      <c r="I25" s="18">
        <f t="shared" si="6"/>
        <v>25300</v>
      </c>
      <c r="J25" s="18">
        <f t="shared" si="6"/>
        <v>25300</v>
      </c>
      <c r="K25" s="18">
        <f t="shared" ref="K25:Z26" si="7">J25</f>
        <v>25300</v>
      </c>
      <c r="L25" s="18">
        <f t="shared" si="7"/>
        <v>25300</v>
      </c>
      <c r="M25" s="18">
        <f t="shared" si="7"/>
        <v>25300</v>
      </c>
      <c r="N25" s="18">
        <f t="shared" si="7"/>
        <v>25300</v>
      </c>
      <c r="O25" s="18">
        <f t="shared" si="7"/>
        <v>25300</v>
      </c>
      <c r="P25" s="18">
        <f t="shared" si="7"/>
        <v>25300</v>
      </c>
      <c r="Q25" s="18">
        <f t="shared" si="7"/>
        <v>25300</v>
      </c>
      <c r="R25" s="18">
        <f t="shared" si="7"/>
        <v>25300</v>
      </c>
      <c r="S25" s="18">
        <f t="shared" si="7"/>
        <v>25300</v>
      </c>
      <c r="T25" s="18">
        <f t="shared" si="7"/>
        <v>25300</v>
      </c>
      <c r="U25" s="18">
        <f t="shared" si="7"/>
        <v>25300</v>
      </c>
      <c r="V25" s="18">
        <f t="shared" si="7"/>
        <v>25300</v>
      </c>
      <c r="W25" s="18">
        <f t="shared" si="7"/>
        <v>25300</v>
      </c>
      <c r="X25" s="18">
        <f t="shared" si="7"/>
        <v>25300</v>
      </c>
      <c r="Y25" s="18">
        <f t="shared" si="7"/>
        <v>25300</v>
      </c>
      <c r="Z25" s="18">
        <f t="shared" si="7"/>
        <v>25300</v>
      </c>
      <c r="AA25" s="18">
        <f t="shared" si="5"/>
        <v>25300</v>
      </c>
      <c r="AB25" s="18">
        <f t="shared" si="5"/>
        <v>25300</v>
      </c>
      <c r="AC25" s="18">
        <f t="shared" si="5"/>
        <v>25300</v>
      </c>
      <c r="AD25" s="18">
        <f t="shared" si="5"/>
        <v>25300</v>
      </c>
      <c r="AE25" s="18">
        <f t="shared" si="5"/>
        <v>25300</v>
      </c>
    </row>
    <row r="26" spans="1:165">
      <c r="A26" s="104"/>
      <c r="B26" s="1" t="s">
        <v>50</v>
      </c>
      <c r="C26" s="1" t="s">
        <v>177</v>
      </c>
      <c r="D26" s="1" t="s">
        <v>34</v>
      </c>
      <c r="E26" s="1" t="s">
        <v>45</v>
      </c>
      <c r="F26" s="2">
        <f>F11</f>
        <v>0</v>
      </c>
      <c r="G26" s="2">
        <f t="shared" ref="G26:J26" si="8">F26+G11</f>
        <v>0</v>
      </c>
      <c r="H26" s="2">
        <f t="shared" si="8"/>
        <v>54090</v>
      </c>
      <c r="I26" s="2">
        <f t="shared" si="8"/>
        <v>54090</v>
      </c>
      <c r="J26" s="2">
        <f t="shared" si="8"/>
        <v>54090</v>
      </c>
      <c r="K26" s="2">
        <f>J26</f>
        <v>54090</v>
      </c>
      <c r="L26" s="2">
        <f t="shared" si="7"/>
        <v>54090</v>
      </c>
      <c r="M26" s="2">
        <f t="shared" si="7"/>
        <v>54090</v>
      </c>
      <c r="N26" s="2">
        <f t="shared" si="7"/>
        <v>54090</v>
      </c>
      <c r="O26" s="2">
        <f t="shared" si="7"/>
        <v>54090</v>
      </c>
      <c r="P26" s="2">
        <f t="shared" si="7"/>
        <v>54090</v>
      </c>
      <c r="Q26" s="2">
        <f t="shared" si="7"/>
        <v>54090</v>
      </c>
      <c r="R26" s="2">
        <f t="shared" si="7"/>
        <v>54090</v>
      </c>
      <c r="S26" s="2">
        <f t="shared" si="7"/>
        <v>54090</v>
      </c>
      <c r="T26" s="2">
        <f t="shared" si="7"/>
        <v>54090</v>
      </c>
      <c r="U26" s="2">
        <f t="shared" si="7"/>
        <v>54090</v>
      </c>
      <c r="V26" s="2">
        <f t="shared" si="7"/>
        <v>54090</v>
      </c>
      <c r="W26" s="2">
        <f t="shared" si="7"/>
        <v>54090</v>
      </c>
      <c r="X26" s="2">
        <f t="shared" si="7"/>
        <v>54090</v>
      </c>
      <c r="Y26" s="2">
        <f t="shared" si="7"/>
        <v>54090</v>
      </c>
      <c r="Z26" s="2">
        <f t="shared" si="7"/>
        <v>54090</v>
      </c>
      <c r="AA26" s="2">
        <f t="shared" si="5"/>
        <v>54090</v>
      </c>
      <c r="AB26" s="2">
        <f t="shared" si="5"/>
        <v>54090</v>
      </c>
      <c r="AC26" s="2">
        <f t="shared" si="5"/>
        <v>54090</v>
      </c>
      <c r="AD26" s="2">
        <f t="shared" si="5"/>
        <v>54090</v>
      </c>
      <c r="AE26" s="2">
        <f t="shared" si="5"/>
        <v>54090</v>
      </c>
    </row>
    <row r="27" spans="1:165">
      <c r="A27" s="104"/>
      <c r="B27" s="1"/>
      <c r="C27" s="1"/>
      <c r="D27" s="1"/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165">
      <c r="A28" s="104"/>
      <c r="B28" s="1"/>
      <c r="C28" s="1"/>
      <c r="D28" s="1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165" ht="13">
      <c r="A29" s="104"/>
      <c r="B29" s="17" t="s">
        <v>51</v>
      </c>
      <c r="C29" s="17" t="s">
        <v>19</v>
      </c>
      <c r="D29" s="17" t="s">
        <v>34</v>
      </c>
      <c r="E29" s="17" t="s">
        <v>45</v>
      </c>
      <c r="F29" s="18">
        <f>SUM(F26:F28)</f>
        <v>0</v>
      </c>
      <c r="G29" s="18">
        <f t="shared" ref="G29:J29" si="9">SUM(G26:G28)</f>
        <v>0</v>
      </c>
      <c r="H29" s="18">
        <f t="shared" si="9"/>
        <v>54090</v>
      </c>
      <c r="I29" s="18">
        <f t="shared" si="9"/>
        <v>54090</v>
      </c>
      <c r="J29" s="18">
        <f t="shared" si="9"/>
        <v>54090</v>
      </c>
      <c r="K29" s="18">
        <f t="shared" ref="K29:AE30" si="10">J29</f>
        <v>54090</v>
      </c>
      <c r="L29" s="18">
        <f t="shared" si="10"/>
        <v>54090</v>
      </c>
      <c r="M29" s="18">
        <f t="shared" si="10"/>
        <v>54090</v>
      </c>
      <c r="N29" s="18">
        <f t="shared" si="10"/>
        <v>54090</v>
      </c>
      <c r="O29" s="18">
        <f t="shared" si="10"/>
        <v>54090</v>
      </c>
      <c r="P29" s="18">
        <f t="shared" si="10"/>
        <v>54090</v>
      </c>
      <c r="Q29" s="18">
        <f t="shared" si="10"/>
        <v>54090</v>
      </c>
      <c r="R29" s="18">
        <f t="shared" si="10"/>
        <v>54090</v>
      </c>
      <c r="S29" s="18">
        <f t="shared" si="10"/>
        <v>54090</v>
      </c>
      <c r="T29" s="18">
        <f t="shared" si="10"/>
        <v>54090</v>
      </c>
      <c r="U29" s="18">
        <f t="shared" si="10"/>
        <v>54090</v>
      </c>
      <c r="V29" s="18">
        <f t="shared" si="10"/>
        <v>54090</v>
      </c>
      <c r="W29" s="18">
        <f t="shared" si="10"/>
        <v>54090</v>
      </c>
      <c r="X29" s="18">
        <f t="shared" si="10"/>
        <v>54090</v>
      </c>
      <c r="Y29" s="18">
        <f t="shared" si="10"/>
        <v>54090</v>
      </c>
      <c r="Z29" s="18">
        <f t="shared" si="10"/>
        <v>54090</v>
      </c>
      <c r="AA29" s="18">
        <f t="shared" si="10"/>
        <v>54090</v>
      </c>
      <c r="AB29" s="18">
        <f t="shared" si="10"/>
        <v>54090</v>
      </c>
      <c r="AC29" s="18">
        <f t="shared" si="10"/>
        <v>54090</v>
      </c>
      <c r="AD29" s="18">
        <f t="shared" si="10"/>
        <v>54090</v>
      </c>
      <c r="AE29" s="18">
        <f t="shared" si="10"/>
        <v>54090</v>
      </c>
    </row>
    <row r="30" spans="1:165" s="1" customFormat="1">
      <c r="A30" s="104"/>
      <c r="B30" s="1" t="s">
        <v>47</v>
      </c>
      <c r="C30" s="1" t="s">
        <v>177</v>
      </c>
      <c r="D30" s="1" t="s">
        <v>34</v>
      </c>
      <c r="E30" s="1" t="s">
        <v>46</v>
      </c>
      <c r="F30" s="2">
        <f>F15</f>
        <v>0</v>
      </c>
      <c r="G30" s="2">
        <f>F30+G15</f>
        <v>0</v>
      </c>
      <c r="H30" s="2">
        <f t="shared" ref="H30:J30" si="11">G30+H15</f>
        <v>37630</v>
      </c>
      <c r="I30" s="2">
        <f t="shared" si="11"/>
        <v>37630</v>
      </c>
      <c r="J30" s="2">
        <f t="shared" si="11"/>
        <v>37630</v>
      </c>
      <c r="K30" s="2">
        <f>J30</f>
        <v>37630</v>
      </c>
      <c r="L30" s="2">
        <f t="shared" si="10"/>
        <v>37630</v>
      </c>
      <c r="M30" s="2">
        <f t="shared" si="10"/>
        <v>37630</v>
      </c>
      <c r="N30" s="2">
        <f t="shared" si="10"/>
        <v>37630</v>
      </c>
      <c r="O30" s="2">
        <f t="shared" si="10"/>
        <v>37630</v>
      </c>
      <c r="P30" s="2">
        <f t="shared" si="10"/>
        <v>37630</v>
      </c>
      <c r="Q30" s="2">
        <f t="shared" si="10"/>
        <v>37630</v>
      </c>
      <c r="R30" s="2">
        <f t="shared" si="10"/>
        <v>37630</v>
      </c>
      <c r="S30" s="2">
        <f t="shared" si="10"/>
        <v>37630</v>
      </c>
      <c r="T30" s="2">
        <f t="shared" si="10"/>
        <v>37630</v>
      </c>
      <c r="U30" s="2">
        <f t="shared" si="10"/>
        <v>37630</v>
      </c>
      <c r="V30" s="2">
        <f t="shared" si="10"/>
        <v>37630</v>
      </c>
      <c r="W30" s="2">
        <f t="shared" si="10"/>
        <v>37630</v>
      </c>
      <c r="X30" s="2">
        <f t="shared" si="10"/>
        <v>37630</v>
      </c>
      <c r="Y30" s="2">
        <f t="shared" si="10"/>
        <v>37630</v>
      </c>
      <c r="Z30" s="2">
        <f t="shared" si="10"/>
        <v>37630</v>
      </c>
      <c r="AA30" s="2">
        <f t="shared" si="10"/>
        <v>37630</v>
      </c>
      <c r="AB30" s="2">
        <f t="shared" si="10"/>
        <v>37630</v>
      </c>
      <c r="AC30" s="2">
        <f t="shared" si="10"/>
        <v>37630</v>
      </c>
      <c r="AD30" s="2">
        <f t="shared" si="10"/>
        <v>37630</v>
      </c>
      <c r="AE30" s="2">
        <f t="shared" si="10"/>
        <v>37630</v>
      </c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</row>
    <row r="31" spans="1:165">
      <c r="A31" s="104"/>
      <c r="B31" s="1"/>
      <c r="C31" s="1"/>
      <c r="D31" s="1"/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165">
      <c r="A32" s="104"/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13">
      <c r="A33" s="105"/>
      <c r="B33" s="19" t="s">
        <v>49</v>
      </c>
      <c r="C33" s="19" t="s">
        <v>19</v>
      </c>
      <c r="D33" s="20" t="s">
        <v>34</v>
      </c>
      <c r="E33" s="20" t="s">
        <v>46</v>
      </c>
      <c r="F33" s="20">
        <f>SUM(F30:F32)</f>
        <v>0</v>
      </c>
      <c r="G33" s="20">
        <f>SUM(G30:G32)</f>
        <v>0</v>
      </c>
      <c r="H33" s="20">
        <f t="shared" ref="H33:AE33" si="12">SUM(H30:H32)</f>
        <v>37630</v>
      </c>
      <c r="I33" s="20">
        <f t="shared" si="12"/>
        <v>37630</v>
      </c>
      <c r="J33" s="20">
        <f t="shared" si="12"/>
        <v>37630</v>
      </c>
      <c r="K33" s="20">
        <f t="shared" si="12"/>
        <v>37630</v>
      </c>
      <c r="L33" s="20">
        <f t="shared" si="12"/>
        <v>37630</v>
      </c>
      <c r="M33" s="20">
        <f t="shared" si="12"/>
        <v>37630</v>
      </c>
      <c r="N33" s="20">
        <f t="shared" si="12"/>
        <v>37630</v>
      </c>
      <c r="O33" s="20">
        <f t="shared" si="12"/>
        <v>37630</v>
      </c>
      <c r="P33" s="20">
        <f t="shared" si="12"/>
        <v>37630</v>
      </c>
      <c r="Q33" s="20">
        <f t="shared" si="12"/>
        <v>37630</v>
      </c>
      <c r="R33" s="20">
        <f t="shared" si="12"/>
        <v>37630</v>
      </c>
      <c r="S33" s="20">
        <f t="shared" si="12"/>
        <v>37630</v>
      </c>
      <c r="T33" s="20">
        <f t="shared" si="12"/>
        <v>37630</v>
      </c>
      <c r="U33" s="20">
        <f t="shared" si="12"/>
        <v>37630</v>
      </c>
      <c r="V33" s="20">
        <f t="shared" si="12"/>
        <v>37630</v>
      </c>
      <c r="W33" s="20">
        <f t="shared" si="12"/>
        <v>37630</v>
      </c>
      <c r="X33" s="20">
        <f t="shared" si="12"/>
        <v>37630</v>
      </c>
      <c r="Y33" s="20">
        <f t="shared" si="12"/>
        <v>37630</v>
      </c>
      <c r="Z33" s="20">
        <f t="shared" si="12"/>
        <v>37630</v>
      </c>
      <c r="AA33" s="20">
        <f t="shared" si="12"/>
        <v>37630</v>
      </c>
      <c r="AB33" s="20">
        <f t="shared" si="12"/>
        <v>37630</v>
      </c>
      <c r="AC33" s="20">
        <f t="shared" si="12"/>
        <v>37630</v>
      </c>
      <c r="AD33" s="20">
        <f t="shared" si="12"/>
        <v>37630</v>
      </c>
      <c r="AE33" s="20">
        <f t="shared" si="12"/>
        <v>37630</v>
      </c>
    </row>
    <row r="36" spans="1:31" ht="13.5" customHeight="1">
      <c r="A36" s="103" t="s">
        <v>54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32">
        <v>2050</v>
      </c>
    </row>
    <row r="37" spans="1:31">
      <c r="A37" s="104"/>
      <c r="B37" s="5" t="s">
        <v>47</v>
      </c>
      <c r="C37" s="5" t="s">
        <v>177</v>
      </c>
      <c r="D37" s="5" t="s">
        <v>55</v>
      </c>
      <c r="E37" s="5" t="s">
        <v>46</v>
      </c>
      <c r="F37" s="7">
        <f>F30+(F30*'CC0.1 Background Data'!J$8)</f>
        <v>0</v>
      </c>
      <c r="G37" s="7">
        <f>G30+(G30*'CC0.1 Background Data'!K$8)</f>
        <v>0</v>
      </c>
      <c r="H37" s="7">
        <f>H30+(H30*'CC0.1 Background Data'!L$8)</f>
        <v>30177.727055488172</v>
      </c>
      <c r="I37" s="7">
        <f>I30+(I30*'CC0.1 Background Data'!M$8)</f>
        <v>26195.119604953052</v>
      </c>
      <c r="J37" s="7">
        <f>J30+(J30*'CC0.1 Background Data'!N$8)</f>
        <v>22601.717891200115</v>
      </c>
      <c r="K37" s="7">
        <f>K30+(K30*'CC0.1 Background Data'!O$8)</f>
        <v>19718.875554692906</v>
      </c>
      <c r="L37" s="7">
        <f>L30+(L30*'CC0.1 Background Data'!P$8)</f>
        <v>18986.031432252967</v>
      </c>
      <c r="M37" s="7">
        <f>M30+(M30*'CC0.1 Background Data'!Q$8)</f>
        <v>18649.599334994073</v>
      </c>
      <c r="N37" s="7">
        <f>N30+(N30*'CC0.1 Background Data'!R$8)</f>
        <v>19069.562389075065</v>
      </c>
      <c r="O37" s="7">
        <f>O30+(O30*'CC0.1 Background Data'!S$8)</f>
        <v>18430.641468619699</v>
      </c>
      <c r="P37" s="7">
        <f>P30+(P30*'CC0.1 Background Data'!T$8)</f>
        <v>18581.234553931499</v>
      </c>
      <c r="Q37" s="7">
        <f>Q30+(Q30*'CC0.1 Background Data'!U$8)</f>
        <v>19092.149567784418</v>
      </c>
      <c r="R37" s="7">
        <f>R30+(R30*'CC0.1 Background Data'!V$8)</f>
        <v>19186.469368765171</v>
      </c>
      <c r="S37" s="7">
        <f>S30+(S30*'CC0.1 Background Data'!W$8)</f>
        <v>19603.525845298715</v>
      </c>
      <c r="T37" s="7">
        <f>T30+(T30*'CC0.1 Background Data'!X$8)</f>
        <v>18659.219496519727</v>
      </c>
      <c r="U37" s="7">
        <f>U30+(U30*'CC0.1 Background Data'!Y$8)</f>
        <v>19223.863338820989</v>
      </c>
      <c r="V37" s="7">
        <f>V30+(V30*'CC0.1 Background Data'!Z$8)</f>
        <v>19672.867425280496</v>
      </c>
      <c r="W37" s="7">
        <f>W30+(W30*'CC0.1 Background Data'!AA$8)</f>
        <v>19943.502537690569</v>
      </c>
      <c r="X37" s="7">
        <f>X30+(X30*'CC0.1 Background Data'!AB$8)</f>
        <v>19608.829424995434</v>
      </c>
      <c r="Y37" s="7">
        <f>Y30+(Y30*'CC0.1 Background Data'!AC$8)</f>
        <v>19532.387344806502</v>
      </c>
      <c r="Z37" s="7">
        <f>Z30+(Z30*'CC0.1 Background Data'!AD$8)</f>
        <v>18721.096159092696</v>
      </c>
      <c r="AA37" s="7">
        <f>AA30+(AA30*'CC0.1 Background Data'!AE$8)</f>
        <v>18106.766758429381</v>
      </c>
      <c r="AB37" s="7">
        <f>AB30+(AB30*'CC0.1 Background Data'!AF$8)</f>
        <v>18393.019350128401</v>
      </c>
      <c r="AC37" s="7">
        <f>AC30+(AC30*'CC0.1 Background Data'!AG$8)</f>
        <v>18126.177839721382</v>
      </c>
      <c r="AD37" s="7">
        <f>AD30+(AD30*'CC0.1 Background Data'!AH$8)</f>
        <v>17801.293291211139</v>
      </c>
      <c r="AE37" s="34">
        <f>AE30+(AE30*'CC0.1 Background Data'!AI$8)</f>
        <v>17265.434310235778</v>
      </c>
    </row>
    <row r="38" spans="1:31">
      <c r="A38" s="104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35"/>
    </row>
    <row r="39" spans="1:31">
      <c r="A39" s="104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35"/>
    </row>
    <row r="40" spans="1:31" ht="13">
      <c r="A40" s="104"/>
      <c r="B40" s="17" t="s">
        <v>49</v>
      </c>
      <c r="C40" s="17" t="s">
        <v>19</v>
      </c>
      <c r="D40" s="17" t="s">
        <v>34</v>
      </c>
      <c r="E40" s="17" t="s">
        <v>46</v>
      </c>
      <c r="F40" s="18">
        <f>SUM(F37:F39)</f>
        <v>0</v>
      </c>
      <c r="G40" s="18">
        <f>SUM(G37:G39)</f>
        <v>0</v>
      </c>
      <c r="H40" s="18">
        <f t="shared" ref="H40:AE40" si="13">SUM(H37:H39)</f>
        <v>30177.727055488172</v>
      </c>
      <c r="I40" s="18">
        <f t="shared" si="13"/>
        <v>26195.119604953052</v>
      </c>
      <c r="J40" s="18">
        <f t="shared" si="13"/>
        <v>22601.717891200115</v>
      </c>
      <c r="K40" s="18">
        <f t="shared" si="13"/>
        <v>19718.875554692906</v>
      </c>
      <c r="L40" s="18">
        <f t="shared" si="13"/>
        <v>18986.031432252967</v>
      </c>
      <c r="M40" s="18">
        <f t="shared" si="13"/>
        <v>18649.599334994073</v>
      </c>
      <c r="N40" s="18">
        <f t="shared" si="13"/>
        <v>19069.562389075065</v>
      </c>
      <c r="O40" s="18">
        <f t="shared" si="13"/>
        <v>18430.641468619699</v>
      </c>
      <c r="P40" s="18">
        <f t="shared" si="13"/>
        <v>18581.234553931499</v>
      </c>
      <c r="Q40" s="18">
        <f t="shared" si="13"/>
        <v>19092.149567784418</v>
      </c>
      <c r="R40" s="18">
        <f t="shared" si="13"/>
        <v>19186.469368765171</v>
      </c>
      <c r="S40" s="18">
        <f t="shared" si="13"/>
        <v>19603.525845298715</v>
      </c>
      <c r="T40" s="18">
        <f t="shared" si="13"/>
        <v>18659.219496519727</v>
      </c>
      <c r="U40" s="18">
        <f t="shared" si="13"/>
        <v>19223.863338820989</v>
      </c>
      <c r="V40" s="18">
        <f t="shared" si="13"/>
        <v>19672.867425280496</v>
      </c>
      <c r="W40" s="18">
        <f t="shared" si="13"/>
        <v>19943.502537690569</v>
      </c>
      <c r="X40" s="18">
        <f t="shared" si="13"/>
        <v>19608.829424995434</v>
      </c>
      <c r="Y40" s="18">
        <f t="shared" si="13"/>
        <v>19532.387344806502</v>
      </c>
      <c r="Z40" s="18">
        <f t="shared" si="13"/>
        <v>18721.096159092696</v>
      </c>
      <c r="AA40" s="18">
        <f t="shared" si="13"/>
        <v>18106.766758429381</v>
      </c>
      <c r="AB40" s="18">
        <f t="shared" si="13"/>
        <v>18393.019350128401</v>
      </c>
      <c r="AC40" s="18">
        <f t="shared" si="13"/>
        <v>18126.177839721382</v>
      </c>
      <c r="AD40" s="18">
        <f t="shared" si="13"/>
        <v>17801.293291211139</v>
      </c>
      <c r="AE40" s="38">
        <f t="shared" si="13"/>
        <v>17265.434310235778</v>
      </c>
    </row>
    <row r="41" spans="1:31">
      <c r="A41" s="104"/>
      <c r="B41" s="1" t="s">
        <v>47</v>
      </c>
      <c r="C41" s="1" t="s">
        <v>177</v>
      </c>
      <c r="D41" s="1" t="s">
        <v>55</v>
      </c>
      <c r="E41" s="1" t="s">
        <v>36</v>
      </c>
      <c r="F41" s="2">
        <f>F37/$N$8*$N$7</f>
        <v>0</v>
      </c>
      <c r="G41" s="2">
        <f t="shared" ref="G41:AE41" si="14">G37/$N$8*$N$7</f>
        <v>0</v>
      </c>
      <c r="H41" s="2">
        <f t="shared" si="14"/>
        <v>27542.033519952754</v>
      </c>
      <c r="I41" s="2">
        <f t="shared" si="14"/>
        <v>23907.26315776593</v>
      </c>
      <c r="J41" s="2">
        <f t="shared" si="14"/>
        <v>20627.705679203598</v>
      </c>
      <c r="K41" s="2">
        <f t="shared" si="14"/>
        <v>17996.648008132881</v>
      </c>
      <c r="L41" s="2">
        <f t="shared" si="14"/>
        <v>17327.809783569828</v>
      </c>
      <c r="M41" s="2">
        <f t="shared" si="14"/>
        <v>17020.761340761164</v>
      </c>
      <c r="N41" s="2">
        <f t="shared" si="14"/>
        <v>17404.045227296843</v>
      </c>
      <c r="O41" s="2">
        <f t="shared" si="14"/>
        <v>16820.927042967567</v>
      </c>
      <c r="P41" s="2">
        <f t="shared" si="14"/>
        <v>16958.367473650247</v>
      </c>
      <c r="Q41" s="2">
        <f t="shared" si="14"/>
        <v>17424.659663632301</v>
      </c>
      <c r="R41" s="2">
        <f t="shared" si="14"/>
        <v>17510.741664288966</v>
      </c>
      <c r="S41" s="2">
        <f t="shared" si="14"/>
        <v>17891.372830953034</v>
      </c>
      <c r="T41" s="2">
        <f t="shared" si="14"/>
        <v>17029.541286670272</v>
      </c>
      <c r="U41" s="2">
        <f t="shared" si="14"/>
        <v>17544.869681115011</v>
      </c>
      <c r="V41" s="2">
        <f t="shared" si="14"/>
        <v>17954.658184308941</v>
      </c>
      <c r="W41" s="2">
        <f t="shared" si="14"/>
        <v>18201.656287379094</v>
      </c>
      <c r="X41" s="2">
        <f t="shared" si="14"/>
        <v>17896.213201121212</v>
      </c>
      <c r="Y41" s="2">
        <f t="shared" si="14"/>
        <v>17826.447498388621</v>
      </c>
      <c r="Z41" s="2">
        <f t="shared" si="14"/>
        <v>17086.013701294276</v>
      </c>
      <c r="AA41" s="2">
        <f t="shared" si="14"/>
        <v>16525.33923716877</v>
      </c>
      <c r="AB41" s="2">
        <f t="shared" si="14"/>
        <v>16786.590803970055</v>
      </c>
      <c r="AC41" s="2">
        <f t="shared" si="14"/>
        <v>16543.054973367849</v>
      </c>
      <c r="AD41" s="2">
        <f t="shared" si="14"/>
        <v>16246.545527552695</v>
      </c>
      <c r="AE41" s="35">
        <f t="shared" si="14"/>
        <v>15757.487952445921</v>
      </c>
    </row>
    <row r="42" spans="1:31">
      <c r="A42" s="104"/>
      <c r="B42" s="1"/>
      <c r="C42" s="1"/>
      <c r="D42" s="1"/>
      <c r="E42" s="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35"/>
    </row>
    <row r="43" spans="1:31">
      <c r="A43" s="104"/>
      <c r="B43" s="1"/>
      <c r="C43" s="1"/>
      <c r="D43" s="1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35"/>
    </row>
    <row r="44" spans="1:31" ht="13">
      <c r="A44" s="105"/>
      <c r="B44" s="19" t="s">
        <v>49</v>
      </c>
      <c r="C44" s="19" t="s">
        <v>19</v>
      </c>
      <c r="D44" s="19" t="s">
        <v>34</v>
      </c>
      <c r="E44" s="19" t="s">
        <v>36</v>
      </c>
      <c r="F44" s="20">
        <f t="shared" ref="F44:AD44" si="15">SUM(F41:F43)</f>
        <v>0</v>
      </c>
      <c r="G44" s="20">
        <f t="shared" si="15"/>
        <v>0</v>
      </c>
      <c r="H44" s="20">
        <f t="shared" si="15"/>
        <v>27542.033519952754</v>
      </c>
      <c r="I44" s="20">
        <f t="shared" si="15"/>
        <v>23907.26315776593</v>
      </c>
      <c r="J44" s="20">
        <f t="shared" si="15"/>
        <v>20627.705679203598</v>
      </c>
      <c r="K44" s="20">
        <f t="shared" si="15"/>
        <v>17996.648008132881</v>
      </c>
      <c r="L44" s="20">
        <f t="shared" si="15"/>
        <v>17327.809783569828</v>
      </c>
      <c r="M44" s="20">
        <f t="shared" si="15"/>
        <v>17020.761340761164</v>
      </c>
      <c r="N44" s="20">
        <f t="shared" si="15"/>
        <v>17404.045227296843</v>
      </c>
      <c r="O44" s="20">
        <f t="shared" si="15"/>
        <v>16820.927042967567</v>
      </c>
      <c r="P44" s="20">
        <f t="shared" si="15"/>
        <v>16958.367473650247</v>
      </c>
      <c r="Q44" s="20">
        <f t="shared" si="15"/>
        <v>17424.659663632301</v>
      </c>
      <c r="R44" s="20">
        <f t="shared" si="15"/>
        <v>17510.741664288966</v>
      </c>
      <c r="S44" s="20">
        <f t="shared" si="15"/>
        <v>17891.372830953034</v>
      </c>
      <c r="T44" s="20">
        <f t="shared" si="15"/>
        <v>17029.541286670272</v>
      </c>
      <c r="U44" s="20">
        <f t="shared" si="15"/>
        <v>17544.869681115011</v>
      </c>
      <c r="V44" s="20">
        <f t="shared" si="15"/>
        <v>17954.658184308941</v>
      </c>
      <c r="W44" s="20">
        <f t="shared" si="15"/>
        <v>18201.656287379094</v>
      </c>
      <c r="X44" s="20">
        <f t="shared" si="15"/>
        <v>17896.213201121212</v>
      </c>
      <c r="Y44" s="20">
        <f t="shared" si="15"/>
        <v>17826.447498388621</v>
      </c>
      <c r="Z44" s="20">
        <f t="shared" si="15"/>
        <v>17086.013701294276</v>
      </c>
      <c r="AA44" s="20">
        <f t="shared" si="15"/>
        <v>16525.33923716877</v>
      </c>
      <c r="AB44" s="20">
        <f t="shared" si="15"/>
        <v>16786.590803970055</v>
      </c>
      <c r="AC44" s="20">
        <f t="shared" si="15"/>
        <v>16543.054973367849</v>
      </c>
      <c r="AD44" s="20">
        <f t="shared" si="15"/>
        <v>16246.545527552695</v>
      </c>
      <c r="AE44" s="39">
        <f>SUM(AE41:AE43)</f>
        <v>15757.487952445921</v>
      </c>
    </row>
    <row r="46" spans="1:31" ht="13">
      <c r="A46" s="22"/>
    </row>
    <row r="48" spans="1:31">
      <c r="A48" s="100" t="s">
        <v>64</v>
      </c>
      <c r="B48" s="5" t="s">
        <v>41</v>
      </c>
      <c r="C48" s="5" t="s">
        <v>38</v>
      </c>
      <c r="D48" s="5" t="s">
        <v>34</v>
      </c>
      <c r="E48" s="5" t="s">
        <v>36</v>
      </c>
      <c r="F48" s="34">
        <f>SUM(F44:K44)</f>
        <v>90073.65036505516</v>
      </c>
    </row>
    <row r="49" spans="1:6">
      <c r="A49" s="101"/>
      <c r="B49" s="1" t="s">
        <v>39</v>
      </c>
      <c r="C49" s="1" t="s">
        <v>38</v>
      </c>
      <c r="D49" s="1" t="s">
        <v>34</v>
      </c>
      <c r="E49" s="1" t="s">
        <v>89</v>
      </c>
      <c r="F49" s="35">
        <f>F48/COUNT(F44:K44)</f>
        <v>15012.275060842527</v>
      </c>
    </row>
    <row r="50" spans="1:6">
      <c r="A50" s="101"/>
      <c r="B50" s="1" t="s">
        <v>41</v>
      </c>
      <c r="C50" s="1" t="s">
        <v>40</v>
      </c>
      <c r="D50" s="1" t="s">
        <v>34</v>
      </c>
      <c r="E50" s="1" t="s">
        <v>36</v>
      </c>
      <c r="F50" s="35">
        <f>SUM(F44:AE44)</f>
        <v>433830.75372695795</v>
      </c>
    </row>
    <row r="51" spans="1:6">
      <c r="A51" s="102"/>
      <c r="B51" s="3" t="s">
        <v>39</v>
      </c>
      <c r="C51" s="3" t="s">
        <v>40</v>
      </c>
      <c r="D51" s="3" t="s">
        <v>34</v>
      </c>
      <c r="E51" s="3" t="s">
        <v>65</v>
      </c>
      <c r="F51" s="36">
        <f>F50/COUNT(F44:AE44)</f>
        <v>16685.798220267614</v>
      </c>
    </row>
  </sheetData>
  <mergeCells count="4">
    <mergeCell ref="A48:A51"/>
    <mergeCell ref="A7:A18"/>
    <mergeCell ref="A21:A33"/>
    <mergeCell ref="A36:A4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A0326-8546-4985-A605-DA3B56400900}">
  <sheetPr>
    <tabColor rgb="FFFFC000"/>
  </sheetPr>
  <dimension ref="A1:AE98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2.906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17">
      <c r="A1" s="21" t="s">
        <v>184</v>
      </c>
    </row>
    <row r="2" spans="1:17" ht="13">
      <c r="A2" s="22" t="s">
        <v>181</v>
      </c>
    </row>
    <row r="3" spans="1:17" ht="13">
      <c r="A3" s="22"/>
    </row>
    <row r="4" spans="1:17" ht="13">
      <c r="A4" s="22"/>
    </row>
    <row r="6" spans="1:17" s="27" customFormat="1" ht="15" customHeight="1">
      <c r="A6" s="97" t="s">
        <v>42</v>
      </c>
      <c r="B6" s="26" t="s">
        <v>9</v>
      </c>
      <c r="C6" s="26" t="s">
        <v>8</v>
      </c>
      <c r="D6" s="37" t="s">
        <v>10</v>
      </c>
      <c r="E6" s="37" t="s">
        <v>7</v>
      </c>
      <c r="F6" s="29" t="s">
        <v>90</v>
      </c>
      <c r="G6" s="29" t="s">
        <v>91</v>
      </c>
      <c r="H6" s="29" t="s">
        <v>92</v>
      </c>
      <c r="I6" s="29" t="s">
        <v>93</v>
      </c>
      <c r="J6" s="29" t="s">
        <v>94</v>
      </c>
      <c r="L6" s="21"/>
      <c r="M6" s="21"/>
      <c r="N6" s="21"/>
      <c r="O6" s="21"/>
      <c r="P6" s="21"/>
      <c r="Q6" s="21"/>
    </row>
    <row r="7" spans="1:17" ht="13.5" customHeight="1">
      <c r="A7" s="98"/>
      <c r="B7" s="5" t="s">
        <v>177</v>
      </c>
      <c r="C7" s="5" t="s">
        <v>95</v>
      </c>
      <c r="D7" s="7" t="s">
        <v>96</v>
      </c>
      <c r="E7" s="7" t="s">
        <v>97</v>
      </c>
      <c r="F7" s="7">
        <f>-'CC0.3 AVERT Results'!E10</f>
        <v>35980</v>
      </c>
      <c r="G7" s="7">
        <f>-'CC0.3 AVERT Results'!E11</f>
        <v>32010</v>
      </c>
      <c r="H7" s="2">
        <f>-'CC0.3 AVERT Results'!E14</f>
        <v>4770</v>
      </c>
      <c r="I7" s="2">
        <f>-'CC0.3 AVERT Results'!E15</f>
        <v>1140</v>
      </c>
      <c r="J7" s="2">
        <f>-'CC0.3 AVERT Results'!E16</f>
        <v>1560</v>
      </c>
    </row>
    <row r="8" spans="1:17">
      <c r="A8" s="98"/>
      <c r="B8" s="1"/>
      <c r="C8" s="1"/>
      <c r="D8" s="2"/>
      <c r="E8" s="2"/>
      <c r="F8" s="2"/>
      <c r="G8" s="2"/>
      <c r="H8" s="2"/>
      <c r="I8" s="2"/>
      <c r="J8" s="2"/>
    </row>
    <row r="9" spans="1:17">
      <c r="A9" s="98"/>
      <c r="B9" s="1"/>
      <c r="C9" s="1"/>
      <c r="D9" s="2"/>
      <c r="E9" s="2"/>
      <c r="F9" s="2"/>
      <c r="G9" s="2"/>
      <c r="H9" s="2"/>
      <c r="I9" s="2"/>
      <c r="J9" s="2"/>
    </row>
    <row r="10" spans="1:17">
      <c r="A10" s="98"/>
      <c r="B10" s="1"/>
      <c r="C10" s="1"/>
      <c r="D10" s="2"/>
      <c r="E10" s="2"/>
      <c r="F10" s="2"/>
      <c r="G10" s="2"/>
      <c r="H10" s="2"/>
      <c r="I10" s="2"/>
      <c r="J10" s="2"/>
    </row>
    <row r="11" spans="1:17">
      <c r="A11" s="99"/>
      <c r="B11" s="3"/>
      <c r="C11" s="3"/>
      <c r="D11" s="23"/>
      <c r="E11" s="23"/>
      <c r="F11" s="23"/>
      <c r="G11" s="23"/>
      <c r="H11" s="23"/>
      <c r="I11" s="23"/>
      <c r="J11" s="23"/>
    </row>
    <row r="12" spans="1:17" ht="13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7" s="27" customFormat="1" ht="15" customHeight="1">
      <c r="A13" s="97" t="s">
        <v>98</v>
      </c>
      <c r="B13" s="26" t="s">
        <v>9</v>
      </c>
      <c r="C13" s="26" t="s">
        <v>8</v>
      </c>
      <c r="D13" s="37" t="s">
        <v>10</v>
      </c>
      <c r="E13" s="37"/>
      <c r="F13" s="29">
        <v>2025</v>
      </c>
      <c r="G13" s="29">
        <v>2026</v>
      </c>
      <c r="H13" s="29">
        <v>2027</v>
      </c>
      <c r="I13" s="29">
        <v>2028</v>
      </c>
      <c r="J13" s="29">
        <v>2029</v>
      </c>
      <c r="L13" s="21"/>
      <c r="M13" s="21"/>
      <c r="N13" s="21"/>
      <c r="O13" s="21"/>
      <c r="P13" s="21"/>
      <c r="Q13" s="21"/>
    </row>
    <row r="14" spans="1:17" ht="13.5" customHeight="1">
      <c r="A14" s="98"/>
      <c r="B14" s="5" t="s">
        <v>177</v>
      </c>
      <c r="C14" s="5" t="s">
        <v>99</v>
      </c>
      <c r="D14" s="7" t="s">
        <v>175</v>
      </c>
      <c r="E14" s="7"/>
      <c r="F14" s="40"/>
      <c r="G14" s="40"/>
      <c r="H14" s="41" t="s">
        <v>100</v>
      </c>
      <c r="I14" s="41"/>
      <c r="J14" s="41"/>
    </row>
    <row r="15" spans="1:17">
      <c r="A15" s="98"/>
      <c r="B15" s="1"/>
      <c r="C15" s="1"/>
      <c r="D15" s="2"/>
      <c r="E15" s="2"/>
      <c r="F15" s="41"/>
      <c r="G15" s="41"/>
      <c r="H15" s="41"/>
      <c r="I15" s="41"/>
      <c r="J15" s="41"/>
    </row>
    <row r="16" spans="1:17">
      <c r="A16" s="98"/>
      <c r="B16" s="1"/>
      <c r="C16" s="1"/>
      <c r="D16" s="2"/>
      <c r="E16" s="2"/>
      <c r="F16" s="41"/>
      <c r="G16" s="41"/>
      <c r="H16" s="41"/>
      <c r="I16" s="41"/>
      <c r="J16" s="41"/>
    </row>
    <row r="17" spans="1:31">
      <c r="A17" s="98"/>
      <c r="B17" s="1"/>
      <c r="C17" s="1"/>
      <c r="D17" s="2"/>
      <c r="E17" s="2"/>
      <c r="F17" s="41"/>
      <c r="G17" s="41"/>
      <c r="H17" s="41"/>
      <c r="I17" s="41"/>
      <c r="J17" s="41"/>
    </row>
    <row r="18" spans="1:31">
      <c r="A18" s="99"/>
      <c r="B18" s="3"/>
      <c r="C18" s="3"/>
      <c r="D18" s="23"/>
      <c r="E18" s="23"/>
      <c r="F18" s="42"/>
      <c r="G18" s="42"/>
      <c r="H18" s="42"/>
      <c r="I18" s="42"/>
      <c r="J18" s="42"/>
    </row>
    <row r="19" spans="1:31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0" spans="1:31" ht="13">
      <c r="A20" s="106"/>
      <c r="B20" s="26" t="s">
        <v>9</v>
      </c>
      <c r="C20" s="26" t="s">
        <v>8</v>
      </c>
      <c r="D20" s="37" t="s">
        <v>10</v>
      </c>
      <c r="E20" s="37" t="s">
        <v>7</v>
      </c>
      <c r="F20" s="9">
        <v>2025</v>
      </c>
      <c r="G20" s="9">
        <v>2026</v>
      </c>
      <c r="H20" s="9">
        <v>2027</v>
      </c>
      <c r="I20" s="9">
        <v>2028</v>
      </c>
      <c r="J20" s="9">
        <v>2029</v>
      </c>
      <c r="K20" s="9">
        <v>2030</v>
      </c>
      <c r="L20" s="9">
        <v>2031</v>
      </c>
      <c r="M20" s="9">
        <v>2032</v>
      </c>
      <c r="N20" s="9">
        <v>2033</v>
      </c>
      <c r="O20" s="9">
        <v>2034</v>
      </c>
      <c r="P20" s="9">
        <v>2035</v>
      </c>
      <c r="Q20" s="9">
        <v>2036</v>
      </c>
      <c r="R20" s="9">
        <v>2037</v>
      </c>
      <c r="S20" s="9">
        <v>2038</v>
      </c>
      <c r="T20" s="9">
        <v>2039</v>
      </c>
      <c r="U20" s="9">
        <v>2040</v>
      </c>
      <c r="V20" s="9">
        <v>2041</v>
      </c>
      <c r="W20" s="9">
        <v>2042</v>
      </c>
      <c r="X20" s="9">
        <v>2043</v>
      </c>
      <c r="Y20" s="9">
        <v>2044</v>
      </c>
      <c r="Z20" s="9">
        <v>2045</v>
      </c>
      <c r="AA20" s="9">
        <v>2046</v>
      </c>
      <c r="AB20" s="9">
        <v>2047</v>
      </c>
      <c r="AC20" s="9">
        <v>2048</v>
      </c>
      <c r="AD20" s="9">
        <v>2049</v>
      </c>
      <c r="AE20" s="9">
        <v>2050</v>
      </c>
    </row>
    <row r="21" spans="1:31">
      <c r="A21" s="107"/>
      <c r="B21" s="3" t="s">
        <v>101</v>
      </c>
      <c r="C21" s="3" t="s">
        <v>103</v>
      </c>
      <c r="D21" s="23" t="s">
        <v>102</v>
      </c>
      <c r="E21" s="23" t="s">
        <v>22</v>
      </c>
      <c r="F21" s="43">
        <f>'CC0.1 Background Data'!J8</f>
        <v>-5.9786200000000005E-2</v>
      </c>
      <c r="G21" s="43">
        <f>'CC0.1 Background Data'!K8</f>
        <v>-0.165266651936674</v>
      </c>
      <c r="H21" s="43">
        <f>'CC0.1 Background Data'!L8</f>
        <v>-0.19804073729768346</v>
      </c>
      <c r="I21" s="43">
        <f>'CC0.1 Background Data'!M8</f>
        <v>-0.30387670462521787</v>
      </c>
      <c r="J21" s="43">
        <f>'CC0.1 Background Data'!N8</f>
        <v>-0.39936970791389542</v>
      </c>
      <c r="K21" s="43">
        <f>'CC0.1 Background Data'!O8</f>
        <v>-0.47597992148039048</v>
      </c>
      <c r="L21" s="43">
        <f>'CC0.1 Background Data'!P8</f>
        <v>-0.49545491809054032</v>
      </c>
      <c r="M21" s="43">
        <f>'CC0.1 Background Data'!Q8</f>
        <v>-0.50439544685107429</v>
      </c>
      <c r="N21" s="43">
        <f>'CC0.1 Background Data'!R8</f>
        <v>-0.49323512120448937</v>
      </c>
      <c r="O21" s="43">
        <f>'CC0.1 Background Data'!S8</f>
        <v>-0.51021415177731333</v>
      </c>
      <c r="P21" s="43">
        <f>'CC0.1 Background Data'!T8</f>
        <v>-0.50621220956865531</v>
      </c>
      <c r="Q21" s="43">
        <f>'CC0.1 Background Data'!U8</f>
        <v>-0.4926348772844959</v>
      </c>
      <c r="R21" s="43">
        <f>'CC0.1 Background Data'!V8</f>
        <v>-0.49012837181065189</v>
      </c>
      <c r="S21" s="43">
        <f>'CC0.1 Background Data'!W8</f>
        <v>-0.47904528712998368</v>
      </c>
      <c r="T21" s="43">
        <f>'CC0.1 Background Data'!X8</f>
        <v>-0.50413979546851639</v>
      </c>
      <c r="U21" s="43">
        <f>'CC0.1 Background Data'!Y8</f>
        <v>-0.48913464419821984</v>
      </c>
      <c r="V21" s="43">
        <f>'CC0.1 Background Data'!Z8</f>
        <v>-0.47720256642889997</v>
      </c>
      <c r="W21" s="43">
        <f>'CC0.1 Background Data'!AA8</f>
        <v>-0.47001056237867206</v>
      </c>
      <c r="X21" s="43">
        <f>'CC0.1 Background Data'!AB8</f>
        <v>-0.47890434693076178</v>
      </c>
      <c r="Y21" s="43">
        <f>'CC0.1 Background Data'!AC8</f>
        <v>-0.48093576016990425</v>
      </c>
      <c r="Z21" s="43">
        <f>'CC0.1 Background Data'!AD8</f>
        <v>-0.50249545152557273</v>
      </c>
      <c r="AA21" s="43">
        <f>'CC0.1 Background Data'!AE8</f>
        <v>-0.51882097373294234</v>
      </c>
      <c r="AB21" s="43">
        <f>'CC0.1 Background Data'!AF8</f>
        <v>-0.51121394232983253</v>
      </c>
      <c r="AC21" s="43">
        <f>'CC0.1 Background Data'!AG8</f>
        <v>-0.51830513314585747</v>
      </c>
      <c r="AD21" s="43">
        <f>'CC0.1 Background Data'!AH8</f>
        <v>-0.52693879109191766</v>
      </c>
      <c r="AE21" s="43">
        <f>'CC0.1 Background Data'!AI8</f>
        <v>-0.54117899786777102</v>
      </c>
    </row>
    <row r="22" spans="1:31" ht="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0"/>
    </row>
    <row r="23" spans="1:31" ht="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0"/>
    </row>
    <row r="25" spans="1:31" ht="13.5" customHeight="1">
      <c r="A25" s="103" t="s">
        <v>90</v>
      </c>
      <c r="B25" s="9" t="s">
        <v>9</v>
      </c>
      <c r="C25" s="9" t="s">
        <v>8</v>
      </c>
      <c r="D25" s="9" t="s">
        <v>10</v>
      </c>
      <c r="E25" s="9" t="s">
        <v>7</v>
      </c>
      <c r="F25" s="9">
        <v>2025</v>
      </c>
      <c r="G25" s="9">
        <v>2026</v>
      </c>
      <c r="H25" s="9">
        <v>2027</v>
      </c>
      <c r="I25" s="9">
        <v>2028</v>
      </c>
      <c r="J25" s="9">
        <v>2029</v>
      </c>
      <c r="K25" s="9">
        <v>2030</v>
      </c>
      <c r="L25" s="9">
        <v>2031</v>
      </c>
      <c r="M25" s="9">
        <v>2032</v>
      </c>
      <c r="N25" s="9">
        <v>2033</v>
      </c>
      <c r="O25" s="9">
        <v>2034</v>
      </c>
      <c r="P25" s="9">
        <v>2035</v>
      </c>
      <c r="Q25" s="9">
        <v>2036</v>
      </c>
      <c r="R25" s="9">
        <v>2037</v>
      </c>
      <c r="S25" s="9">
        <v>2038</v>
      </c>
      <c r="T25" s="9">
        <v>2039</v>
      </c>
      <c r="U25" s="9">
        <v>2040</v>
      </c>
      <c r="V25" s="9">
        <v>2041</v>
      </c>
      <c r="W25" s="9">
        <v>2042</v>
      </c>
      <c r="X25" s="9">
        <v>2043</v>
      </c>
      <c r="Y25" s="9">
        <v>2044</v>
      </c>
      <c r="Z25" s="9">
        <v>2045</v>
      </c>
      <c r="AA25" s="9">
        <v>2046</v>
      </c>
      <c r="AB25" s="9">
        <v>2047</v>
      </c>
      <c r="AC25" s="9">
        <v>2048</v>
      </c>
      <c r="AD25" s="9">
        <v>2049</v>
      </c>
      <c r="AE25" s="9">
        <v>2050</v>
      </c>
    </row>
    <row r="26" spans="1:31">
      <c r="A26" s="104"/>
      <c r="B26" s="5" t="s">
        <v>177</v>
      </c>
      <c r="C26" s="5">
        <v>2027</v>
      </c>
      <c r="D26" s="5" t="s">
        <v>96</v>
      </c>
      <c r="E26" s="5" t="s">
        <v>97</v>
      </c>
      <c r="F26" s="7"/>
      <c r="G26" s="7"/>
      <c r="H26" s="7">
        <f t="shared" ref="H26:AE26" si="0">$F$7+($F$7*H$21)</f>
        <v>28854.494272029347</v>
      </c>
      <c r="I26" s="7">
        <f t="shared" si="0"/>
        <v>25046.516167584661</v>
      </c>
      <c r="J26" s="7">
        <f t="shared" si="0"/>
        <v>21610.67790925804</v>
      </c>
      <c r="K26" s="7">
        <f t="shared" si="0"/>
        <v>18854.242425135551</v>
      </c>
      <c r="L26" s="7">
        <f t="shared" si="0"/>
        <v>18153.532047102359</v>
      </c>
      <c r="M26" s="7">
        <f t="shared" si="0"/>
        <v>17831.851822298348</v>
      </c>
      <c r="N26" s="7">
        <f t="shared" si="0"/>
        <v>18233.400339062471</v>
      </c>
      <c r="O26" s="7">
        <f t="shared" si="0"/>
        <v>17622.494819052266</v>
      </c>
      <c r="P26" s="7">
        <f t="shared" si="0"/>
        <v>17766.484699719782</v>
      </c>
      <c r="Q26" s="7">
        <f t="shared" si="0"/>
        <v>18254.997115303839</v>
      </c>
      <c r="R26" s="7">
        <f t="shared" si="0"/>
        <v>18345.181182252745</v>
      </c>
      <c r="S26" s="7">
        <f t="shared" si="0"/>
        <v>18743.950569063189</v>
      </c>
      <c r="T26" s="7">
        <f t="shared" si="0"/>
        <v>17841.050159042781</v>
      </c>
      <c r="U26" s="7">
        <f t="shared" si="0"/>
        <v>18380.935501748052</v>
      </c>
      <c r="V26" s="7">
        <f t="shared" si="0"/>
        <v>18810.251659888178</v>
      </c>
      <c r="W26" s="7">
        <f t="shared" si="0"/>
        <v>19069.019965615378</v>
      </c>
      <c r="X26" s="7">
        <f t="shared" si="0"/>
        <v>18749.02159743119</v>
      </c>
      <c r="Y26" s="7">
        <f t="shared" si="0"/>
        <v>18675.931349086844</v>
      </c>
      <c r="Z26" s="7">
        <f t="shared" si="0"/>
        <v>17900.213654109892</v>
      </c>
      <c r="AA26" s="7">
        <f t="shared" si="0"/>
        <v>17312.821365088734</v>
      </c>
      <c r="AB26" s="7">
        <f t="shared" si="0"/>
        <v>17586.522354972625</v>
      </c>
      <c r="AC26" s="7">
        <f t="shared" si="0"/>
        <v>17331.381309412049</v>
      </c>
      <c r="AD26" s="7">
        <f t="shared" si="0"/>
        <v>17020.742296512803</v>
      </c>
      <c r="AE26" s="7">
        <f t="shared" si="0"/>
        <v>16508.3796567176</v>
      </c>
    </row>
    <row r="27" spans="1:31">
      <c r="A27" s="104"/>
      <c r="B27" s="1"/>
      <c r="C27" s="1"/>
      <c r="D27" s="1"/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>
      <c r="A28" s="104"/>
      <c r="B28" s="1"/>
      <c r="C28" s="1"/>
      <c r="D28" s="1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>
      <c r="A29" s="104"/>
      <c r="B29" s="1"/>
      <c r="C29" s="1"/>
      <c r="D29" s="1"/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>
      <c r="A30" s="104"/>
      <c r="B30" s="1"/>
      <c r="C30" s="1"/>
      <c r="D30" s="1"/>
      <c r="E30" s="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>
      <c r="A31" s="104"/>
      <c r="B31" s="1"/>
      <c r="C31" s="1"/>
      <c r="D31" s="1"/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>
      <c r="A32" s="104"/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>
      <c r="A33" s="104"/>
      <c r="B33" s="3"/>
      <c r="C33" s="3"/>
      <c r="D33" s="23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>
      <c r="A34" s="105"/>
      <c r="B34" s="51" t="s">
        <v>104</v>
      </c>
      <c r="C34" s="51" t="s">
        <v>19</v>
      </c>
      <c r="D34" s="52" t="s">
        <v>34</v>
      </c>
      <c r="E34" s="28" t="s">
        <v>105</v>
      </c>
      <c r="F34" s="53">
        <f>SUM(F26:F33)/2204.62</f>
        <v>0</v>
      </c>
      <c r="G34" s="53">
        <f t="shared" ref="G34:AE34" si="1">SUM(G26:G33)/2204.62</f>
        <v>0</v>
      </c>
      <c r="H34" s="53">
        <f t="shared" si="1"/>
        <v>13.088194007143793</v>
      </c>
      <c r="I34" s="53">
        <f t="shared" si="1"/>
        <v>11.360922139681515</v>
      </c>
      <c r="J34" s="53">
        <f t="shared" si="1"/>
        <v>9.8024502677368623</v>
      </c>
      <c r="K34" s="53">
        <f t="shared" si="1"/>
        <v>8.5521506768221069</v>
      </c>
      <c r="L34" s="53">
        <f t="shared" si="1"/>
        <v>8.2343134177782833</v>
      </c>
      <c r="M34" s="53">
        <f t="shared" si="1"/>
        <v>8.0884015487015208</v>
      </c>
      <c r="N34" s="53">
        <f t="shared" si="1"/>
        <v>8.2705411087001259</v>
      </c>
      <c r="O34" s="53">
        <f t="shared" si="1"/>
        <v>7.993438696488405</v>
      </c>
      <c r="P34" s="53">
        <f t="shared" si="1"/>
        <v>8.0587514853896742</v>
      </c>
      <c r="Q34" s="53">
        <f t="shared" si="1"/>
        <v>8.2803372532698791</v>
      </c>
      <c r="R34" s="53">
        <f t="shared" si="1"/>
        <v>8.3212441065819718</v>
      </c>
      <c r="S34" s="53">
        <f t="shared" si="1"/>
        <v>8.5021230729391863</v>
      </c>
      <c r="T34" s="53">
        <f t="shared" si="1"/>
        <v>8.0925738490273975</v>
      </c>
      <c r="U34" s="53">
        <f t="shared" si="1"/>
        <v>8.3374620123867391</v>
      </c>
      <c r="V34" s="53">
        <f t="shared" si="1"/>
        <v>8.5321967776252503</v>
      </c>
      <c r="W34" s="53">
        <f t="shared" si="1"/>
        <v>8.6495722462897824</v>
      </c>
      <c r="X34" s="53">
        <f t="shared" si="1"/>
        <v>8.50442325545046</v>
      </c>
      <c r="Y34" s="53">
        <f t="shared" si="1"/>
        <v>8.4712700370525731</v>
      </c>
      <c r="Z34" s="53">
        <f t="shared" si="1"/>
        <v>8.1194099908872701</v>
      </c>
      <c r="AA34" s="53">
        <f t="shared" si="1"/>
        <v>7.8529730135301028</v>
      </c>
      <c r="AB34" s="53">
        <f t="shared" si="1"/>
        <v>7.9771218418469516</v>
      </c>
      <c r="AC34" s="53">
        <f t="shared" si="1"/>
        <v>7.8613916726746789</v>
      </c>
      <c r="AD34" s="53">
        <f t="shared" si="1"/>
        <v>7.720488019029494</v>
      </c>
      <c r="AE34" s="53">
        <f t="shared" si="1"/>
        <v>7.4880839585586632</v>
      </c>
    </row>
    <row r="36" spans="1:31" ht="13.5" customHeight="1">
      <c r="A36" s="103" t="s">
        <v>91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9">
        <v>2050</v>
      </c>
    </row>
    <row r="37" spans="1:31">
      <c r="A37" s="104"/>
      <c r="B37" s="5" t="s">
        <v>177</v>
      </c>
      <c r="C37" s="5">
        <v>2027</v>
      </c>
      <c r="D37" s="5" t="s">
        <v>96</v>
      </c>
      <c r="E37" s="5" t="s">
        <v>97</v>
      </c>
      <c r="F37" s="7"/>
      <c r="G37" s="7"/>
      <c r="H37" s="7">
        <f t="shared" ref="H37:AE37" si="2">$G$7+($G$7*H$21)</f>
        <v>25670.71599910115</v>
      </c>
      <c r="I37" s="7">
        <f t="shared" si="2"/>
        <v>22282.906684946778</v>
      </c>
      <c r="J37" s="7">
        <f t="shared" si="2"/>
        <v>19226.17564967621</v>
      </c>
      <c r="K37" s="7">
        <f t="shared" si="2"/>
        <v>16773.882713412699</v>
      </c>
      <c r="L37" s="7">
        <f t="shared" si="2"/>
        <v>16150.488071921804</v>
      </c>
      <c r="M37" s="7">
        <f t="shared" si="2"/>
        <v>15864.301746297111</v>
      </c>
      <c r="N37" s="7">
        <f t="shared" si="2"/>
        <v>16221.543770244296</v>
      </c>
      <c r="O37" s="7">
        <f t="shared" si="2"/>
        <v>15678.0450016082</v>
      </c>
      <c r="P37" s="7">
        <f t="shared" si="2"/>
        <v>15806.147171707344</v>
      </c>
      <c r="Q37" s="7">
        <f t="shared" si="2"/>
        <v>16240.757578123286</v>
      </c>
      <c r="R37" s="7">
        <f t="shared" si="2"/>
        <v>16320.990818341033</v>
      </c>
      <c r="S37" s="7">
        <f t="shared" si="2"/>
        <v>16675.760358969223</v>
      </c>
      <c r="T37" s="7">
        <f t="shared" si="2"/>
        <v>15872.48514705279</v>
      </c>
      <c r="U37" s="7">
        <f t="shared" si="2"/>
        <v>16352.800039214982</v>
      </c>
      <c r="V37" s="7">
        <f t="shared" si="2"/>
        <v>16734.74584861091</v>
      </c>
      <c r="W37" s="7">
        <f t="shared" si="2"/>
        <v>16964.961898258705</v>
      </c>
      <c r="X37" s="7">
        <f t="shared" si="2"/>
        <v>16680.271854746316</v>
      </c>
      <c r="Y37" s="7">
        <f t="shared" si="2"/>
        <v>16615.246316961366</v>
      </c>
      <c r="Z37" s="7">
        <f t="shared" si="2"/>
        <v>15925.120596666417</v>
      </c>
      <c r="AA37" s="7">
        <f t="shared" si="2"/>
        <v>15402.540630808515</v>
      </c>
      <c r="AB37" s="7">
        <f t="shared" si="2"/>
        <v>15646.041706022061</v>
      </c>
      <c r="AC37" s="7">
        <f t="shared" si="2"/>
        <v>15419.052688001102</v>
      </c>
      <c r="AD37" s="7">
        <f t="shared" si="2"/>
        <v>15142.689297147717</v>
      </c>
      <c r="AE37" s="7">
        <f t="shared" si="2"/>
        <v>14686.86027825265</v>
      </c>
    </row>
    <row r="38" spans="1:31">
      <c r="A38" s="104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>
      <c r="A39" s="104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>
      <c r="A40" s="104"/>
      <c r="B40" s="1"/>
      <c r="C40" s="1"/>
      <c r="D40" s="1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>
      <c r="A41" s="104"/>
      <c r="B41" s="1"/>
      <c r="C41" s="1"/>
      <c r="D41" s="1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>
      <c r="A42" s="104"/>
      <c r="B42" s="1"/>
      <c r="C42" s="1"/>
      <c r="D42" s="1"/>
      <c r="E42" s="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>
      <c r="A43" s="104"/>
      <c r="B43" s="1"/>
      <c r="C43" s="1"/>
      <c r="D43" s="1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>
      <c r="A44" s="104"/>
      <c r="B44" s="3"/>
      <c r="C44" s="3"/>
      <c r="D44" s="23"/>
      <c r="E44" s="1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>
      <c r="A45" s="105"/>
      <c r="B45" s="51" t="s">
        <v>104</v>
      </c>
      <c r="C45" s="51" t="s">
        <v>19</v>
      </c>
      <c r="D45" s="52" t="s">
        <v>34</v>
      </c>
      <c r="E45" s="28" t="s">
        <v>105</v>
      </c>
      <c r="F45" s="53">
        <f>SUM(F37:F44)/2204.62</f>
        <v>0</v>
      </c>
      <c r="G45" s="53">
        <f t="shared" ref="G45" si="3">SUM(G37:G44)/2204.62</f>
        <v>0</v>
      </c>
      <c r="H45" s="53">
        <f t="shared" ref="H45" si="4">SUM(H37:H44)/2204.62</f>
        <v>11.644054757328316</v>
      </c>
      <c r="I45" s="53">
        <f t="shared" ref="I45" si="5">SUM(I37:I44)/2204.62</f>
        <v>10.107368473907876</v>
      </c>
      <c r="J45" s="53">
        <f t="shared" ref="J45" si="6">SUM(J37:J44)/2204.62</f>
        <v>8.7208569502572821</v>
      </c>
      <c r="K45" s="53">
        <f t="shared" ref="K45" si="7">SUM(K37:K44)/2204.62</f>
        <v>7.6085142625090487</v>
      </c>
      <c r="L45" s="53">
        <f t="shared" ref="L45" si="8">SUM(L37:L44)/2204.62</f>
        <v>7.3257468733486064</v>
      </c>
      <c r="M45" s="53">
        <f t="shared" ref="M45" si="9">SUM(M37:M44)/2204.62</f>
        <v>7.1959347852678066</v>
      </c>
      <c r="N45" s="53">
        <f t="shared" ref="N45" si="10">SUM(N37:N44)/2204.62</f>
        <v>7.3579772342826866</v>
      </c>
      <c r="O45" s="53">
        <f t="shared" ref="O45" si="11">SUM(O37:O44)/2204.62</f>
        <v>7.1114500465423518</v>
      </c>
      <c r="P45" s="53">
        <f t="shared" ref="P45" si="12">SUM(P37:P44)/2204.62</f>
        <v>7.1695562825826418</v>
      </c>
      <c r="Q45" s="53">
        <f t="shared" ref="Q45" si="13">SUM(Q37:Q44)/2204.62</f>
        <v>7.3666924812998555</v>
      </c>
      <c r="R45" s="53">
        <f t="shared" ref="R45" si="14">SUM(R37:R44)/2204.62</f>
        <v>7.4030857101636718</v>
      </c>
      <c r="S45" s="53">
        <f t="shared" ref="S45" si="15">SUM(S37:S44)/2204.62</f>
        <v>7.5640066582763579</v>
      </c>
      <c r="T45" s="53">
        <f t="shared" ref="T45" si="16">SUM(T37:T44)/2204.62</f>
        <v>7.1996467178256527</v>
      </c>
      <c r="U45" s="53">
        <f t="shared" ref="U45" si="17">SUM(U37:U44)/2204.62</f>
        <v>7.4175141472067674</v>
      </c>
      <c r="V45" s="53">
        <f t="shared" ref="V45" si="18">SUM(V37:V44)/2204.62</f>
        <v>7.5907620581374164</v>
      </c>
      <c r="W45" s="53">
        <f t="shared" ref="W45" si="19">SUM(W37:W44)/2204.62</f>
        <v>7.6951864258959395</v>
      </c>
      <c r="X45" s="53">
        <f t="shared" ref="X45" si="20">SUM(X37:X44)/2204.62</f>
        <v>7.5660530407717959</v>
      </c>
      <c r="Y45" s="53">
        <f t="shared" ref="Y45" si="21">SUM(Y37:Y44)/2204.62</f>
        <v>7.5365579179003035</v>
      </c>
      <c r="Z45" s="53">
        <f t="shared" ref="Z45" si="22">SUM(Z37:Z44)/2204.62</f>
        <v>7.2235217845553503</v>
      </c>
      <c r="AA45" s="53">
        <f t="shared" ref="AA45" si="23">SUM(AA37:AA44)/2204.62</f>
        <v>6.9864832174290878</v>
      </c>
      <c r="AB45" s="53">
        <f t="shared" ref="AB45" si="24">SUM(AB37:AB44)/2204.62</f>
        <v>7.0969335785859062</v>
      </c>
      <c r="AC45" s="53">
        <f t="shared" ref="AC45" si="25">SUM(AC37:AC44)/2204.62</f>
        <v>6.9939729694918409</v>
      </c>
      <c r="AD45" s="53">
        <f t="shared" ref="AD45" si="26">SUM(AD37:AD44)/2204.62</f>
        <v>6.8686164949731552</v>
      </c>
      <c r="AE45" s="53">
        <f t="shared" ref="AE45" si="27">SUM(AE37:AE44)/2204.62</f>
        <v>6.6618556840873486</v>
      </c>
    </row>
    <row r="47" spans="1:31" ht="13.5" customHeight="1">
      <c r="A47" s="103" t="s">
        <v>92</v>
      </c>
      <c r="B47" s="9" t="s">
        <v>9</v>
      </c>
      <c r="C47" s="9" t="s">
        <v>8</v>
      </c>
      <c r="D47" s="9" t="s">
        <v>10</v>
      </c>
      <c r="E47" s="9" t="s">
        <v>7</v>
      </c>
      <c r="F47" s="9">
        <v>2025</v>
      </c>
      <c r="G47" s="9">
        <v>2026</v>
      </c>
      <c r="H47" s="9">
        <v>2027</v>
      </c>
      <c r="I47" s="9">
        <v>2028</v>
      </c>
      <c r="J47" s="9">
        <v>2029</v>
      </c>
      <c r="K47" s="9">
        <v>2030</v>
      </c>
      <c r="L47" s="9">
        <v>2031</v>
      </c>
      <c r="M47" s="9">
        <v>2032</v>
      </c>
      <c r="N47" s="9">
        <v>2033</v>
      </c>
      <c r="O47" s="9">
        <v>2034</v>
      </c>
      <c r="P47" s="9">
        <v>2035</v>
      </c>
      <c r="Q47" s="9">
        <v>2036</v>
      </c>
      <c r="R47" s="9">
        <v>2037</v>
      </c>
      <c r="S47" s="9">
        <v>2038</v>
      </c>
      <c r="T47" s="9">
        <v>2039</v>
      </c>
      <c r="U47" s="9">
        <v>2040</v>
      </c>
      <c r="V47" s="9">
        <v>2041</v>
      </c>
      <c r="W47" s="9">
        <v>2042</v>
      </c>
      <c r="X47" s="9">
        <v>2043</v>
      </c>
      <c r="Y47" s="9">
        <v>2044</v>
      </c>
      <c r="Z47" s="9">
        <v>2045</v>
      </c>
      <c r="AA47" s="9">
        <v>2046</v>
      </c>
      <c r="AB47" s="9">
        <v>2047</v>
      </c>
      <c r="AC47" s="9">
        <v>2048</v>
      </c>
      <c r="AD47" s="9">
        <v>2049</v>
      </c>
      <c r="AE47" s="9">
        <v>2050</v>
      </c>
    </row>
    <row r="48" spans="1:31">
      <c r="A48" s="104"/>
      <c r="B48" s="5" t="s">
        <v>177</v>
      </c>
      <c r="C48" s="5">
        <v>2027</v>
      </c>
      <c r="D48" s="5" t="s">
        <v>96</v>
      </c>
      <c r="E48" s="5" t="s">
        <v>97</v>
      </c>
      <c r="F48" s="7"/>
      <c r="G48" s="7"/>
      <c r="H48" s="7">
        <f t="shared" ref="H48:V48" si="28">$H$7+($H$7*H$21)</f>
        <v>3825.34568309005</v>
      </c>
      <c r="I48" s="7">
        <f t="shared" si="28"/>
        <v>3320.5081189377106</v>
      </c>
      <c r="J48" s="7">
        <f t="shared" si="28"/>
        <v>2865.0064932507189</v>
      </c>
      <c r="K48" s="7">
        <f t="shared" si="28"/>
        <v>2499.5757745385376</v>
      </c>
      <c r="L48" s="7">
        <f t="shared" si="28"/>
        <v>2406.6800407081228</v>
      </c>
      <c r="M48" s="7">
        <f t="shared" si="28"/>
        <v>2364.0337185203757</v>
      </c>
      <c r="N48" s="7">
        <f t="shared" si="28"/>
        <v>2417.2684718545856</v>
      </c>
      <c r="O48" s="7">
        <f t="shared" si="28"/>
        <v>2336.2784960222152</v>
      </c>
      <c r="P48" s="7">
        <f t="shared" si="28"/>
        <v>2355.3677603575143</v>
      </c>
      <c r="Q48" s="7">
        <f t="shared" si="28"/>
        <v>2420.1316353529546</v>
      </c>
      <c r="R48" s="7">
        <f t="shared" si="28"/>
        <v>2432.0876664631905</v>
      </c>
      <c r="S48" s="7">
        <f t="shared" si="28"/>
        <v>2484.9539803899779</v>
      </c>
      <c r="T48" s="7">
        <f t="shared" si="28"/>
        <v>2365.2531756151766</v>
      </c>
      <c r="U48" s="7">
        <f t="shared" si="28"/>
        <v>2436.8277471744914</v>
      </c>
      <c r="V48" s="7">
        <f t="shared" si="28"/>
        <v>2493.7437581341474</v>
      </c>
      <c r="W48" s="7">
        <f t="shared" ref="W48:AE48" si="29">$H$7+($H$7*W$21)</f>
        <v>2528.0496174537343</v>
      </c>
      <c r="X48" s="7">
        <f t="shared" si="29"/>
        <v>2485.6262651402662</v>
      </c>
      <c r="Y48" s="7">
        <f t="shared" si="29"/>
        <v>2475.9364239895567</v>
      </c>
      <c r="Z48" s="7">
        <f t="shared" si="29"/>
        <v>2373.0966962230182</v>
      </c>
      <c r="AA48" s="7">
        <f t="shared" si="29"/>
        <v>2295.2239552938649</v>
      </c>
      <c r="AB48" s="7">
        <f t="shared" si="29"/>
        <v>2331.5094950866987</v>
      </c>
      <c r="AC48" s="7">
        <f t="shared" si="29"/>
        <v>2297.6845148942598</v>
      </c>
      <c r="AD48" s="7">
        <f t="shared" si="29"/>
        <v>2256.5019664915526</v>
      </c>
      <c r="AE48" s="7">
        <f t="shared" si="29"/>
        <v>2188.5761801707322</v>
      </c>
    </row>
    <row r="49" spans="1:31">
      <c r="A49" s="104"/>
      <c r="B49" s="1"/>
      <c r="C49" s="1"/>
      <c r="D49" s="1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>
      <c r="A50" s="104"/>
      <c r="B50" s="1"/>
      <c r="C50" s="1"/>
      <c r="D50" s="1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>
      <c r="A51" s="104"/>
      <c r="B51" s="1"/>
      <c r="C51" s="1"/>
      <c r="D51" s="1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104"/>
      <c r="B52" s="1"/>
      <c r="C52" s="1"/>
      <c r="D52" s="1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104"/>
      <c r="B53" s="1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3"/>
      <c r="C55" s="3"/>
      <c r="D55" s="23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5"/>
      <c r="B56" s="51" t="s">
        <v>104</v>
      </c>
      <c r="C56" s="51" t="s">
        <v>19</v>
      </c>
      <c r="D56" s="52" t="s">
        <v>34</v>
      </c>
      <c r="E56" s="28" t="s">
        <v>105</v>
      </c>
      <c r="F56" s="53">
        <f>SUM(F48:F55)/2204.62</f>
        <v>0</v>
      </c>
      <c r="G56" s="53">
        <f t="shared" ref="G56" si="30">SUM(G48:G55)/2204.62</f>
        <v>0</v>
      </c>
      <c r="H56" s="53">
        <f t="shared" ref="H56" si="31">SUM(H48:H55)/2204.62</f>
        <v>1.7351496779898805</v>
      </c>
      <c r="I56" s="53">
        <f t="shared" ref="I56" si="32">SUM(I48:I55)/2204.62</f>
        <v>1.5061589384736194</v>
      </c>
      <c r="J56" s="53">
        <f t="shared" ref="J56" si="33">SUM(J48:J55)/2204.62</f>
        <v>1.2995466308255932</v>
      </c>
      <c r="K56" s="53">
        <f t="shared" ref="K56" si="34">SUM(K48:K55)/2204.62</f>
        <v>1.1337898479277779</v>
      </c>
      <c r="L56" s="53">
        <f t="shared" ref="L56" si="35">SUM(L48:L55)/2204.62</f>
        <v>1.0916530017454813</v>
      </c>
      <c r="M56" s="53">
        <f t="shared" ref="M56" si="36">SUM(M48:M55)/2204.62</f>
        <v>1.0723089323876114</v>
      </c>
      <c r="N56" s="53">
        <f t="shared" ref="N56" si="37">SUM(N48:N55)/2204.62</f>
        <v>1.0964558390355643</v>
      </c>
      <c r="O56" s="53">
        <f t="shared" ref="O56" si="38">SUM(O48:O55)/2204.62</f>
        <v>1.0597193602626374</v>
      </c>
      <c r="P56" s="53">
        <f t="shared" ref="P56" si="39">SUM(P48:P55)/2204.62</f>
        <v>1.0683781152114715</v>
      </c>
      <c r="Q56" s="53">
        <f t="shared" ref="Q56" si="40">SUM(Q48:Q55)/2204.62</f>
        <v>1.0977545496969794</v>
      </c>
      <c r="R56" s="53">
        <f t="shared" ref="R56" si="41">SUM(R48:R55)/2204.62</f>
        <v>1.1031777206335744</v>
      </c>
      <c r="S56" s="53">
        <f t="shared" ref="S56" si="42">SUM(S48:S55)/2204.62</f>
        <v>1.1271575057787637</v>
      </c>
      <c r="T56" s="53">
        <f t="shared" ref="T56" si="43">SUM(T48:T55)/2204.62</f>
        <v>1.072862069479174</v>
      </c>
      <c r="U56" s="53">
        <f t="shared" ref="U56" si="44">SUM(U48:U55)/2204.62</f>
        <v>1.105327787634373</v>
      </c>
      <c r="V56" s="53">
        <f t="shared" ref="V56" si="45">SUM(V48:V55)/2204.62</f>
        <v>1.1311444866390341</v>
      </c>
      <c r="W56" s="53">
        <f t="shared" ref="W56" si="46">SUM(W48:W55)/2204.62</f>
        <v>1.1467053811784953</v>
      </c>
      <c r="X56" s="53">
        <f t="shared" ref="X56" si="47">SUM(X48:X55)/2204.62</f>
        <v>1.1274624493746161</v>
      </c>
      <c r="Y56" s="53">
        <f t="shared" ref="Y56" si="48">SUM(Y48:Y55)/2204.62</f>
        <v>1.1230672061350966</v>
      </c>
      <c r="Z56" s="53">
        <f t="shared" ref="Z56" si="49">SUM(Z48:Z55)/2204.62</f>
        <v>1.0764198348119034</v>
      </c>
      <c r="AA56" s="53">
        <f t="shared" ref="AA56" si="50">SUM(AA48:AA55)/2204.62</f>
        <v>1.0410973116881208</v>
      </c>
      <c r="AB56" s="53">
        <f t="shared" ref="AB56" si="51">SUM(AB48:AB55)/2204.62</f>
        <v>1.057556175253195</v>
      </c>
      <c r="AC56" s="53">
        <f t="shared" ref="AC56" si="52">SUM(AC48:AC55)/2204.62</f>
        <v>1.0422134040761037</v>
      </c>
      <c r="AD56" s="53">
        <f t="shared" ref="AD56" si="53">SUM(AD48:AD55)/2204.62</f>
        <v>1.0235332921281457</v>
      </c>
      <c r="AE56" s="53">
        <f t="shared" ref="AE56" si="54">SUM(AE48:AE55)/2204.62</f>
        <v>0.99272263708518127</v>
      </c>
    </row>
    <row r="58" spans="1:31" ht="13.5" customHeight="1">
      <c r="A58" s="103" t="s">
        <v>93</v>
      </c>
      <c r="B58" s="9" t="s">
        <v>9</v>
      </c>
      <c r="C58" s="9" t="s">
        <v>8</v>
      </c>
      <c r="D58" s="9" t="s">
        <v>10</v>
      </c>
      <c r="E58" s="9" t="s">
        <v>7</v>
      </c>
      <c r="F58" s="9">
        <v>2025</v>
      </c>
      <c r="G58" s="9">
        <v>2026</v>
      </c>
      <c r="H58" s="9">
        <v>2027</v>
      </c>
      <c r="I58" s="9">
        <v>2028</v>
      </c>
      <c r="J58" s="9">
        <v>2029</v>
      </c>
      <c r="K58" s="9">
        <v>2030</v>
      </c>
      <c r="L58" s="9">
        <v>2031</v>
      </c>
      <c r="M58" s="9">
        <v>2032</v>
      </c>
      <c r="N58" s="9">
        <v>2033</v>
      </c>
      <c r="O58" s="9">
        <v>2034</v>
      </c>
      <c r="P58" s="9">
        <v>2035</v>
      </c>
      <c r="Q58" s="9">
        <v>2036</v>
      </c>
      <c r="R58" s="9">
        <v>2037</v>
      </c>
      <c r="S58" s="9">
        <v>2038</v>
      </c>
      <c r="T58" s="9">
        <v>2039</v>
      </c>
      <c r="U58" s="9">
        <v>2040</v>
      </c>
      <c r="V58" s="9">
        <v>2041</v>
      </c>
      <c r="W58" s="9">
        <v>2042</v>
      </c>
      <c r="X58" s="9">
        <v>2043</v>
      </c>
      <c r="Y58" s="9">
        <v>2044</v>
      </c>
      <c r="Z58" s="9">
        <v>2045</v>
      </c>
      <c r="AA58" s="9">
        <v>2046</v>
      </c>
      <c r="AB58" s="9">
        <v>2047</v>
      </c>
      <c r="AC58" s="9">
        <v>2048</v>
      </c>
      <c r="AD58" s="9">
        <v>2049</v>
      </c>
      <c r="AE58" s="9">
        <v>2050</v>
      </c>
    </row>
    <row r="59" spans="1:31">
      <c r="A59" s="104"/>
      <c r="B59" s="5" t="s">
        <v>177</v>
      </c>
      <c r="C59" s="5">
        <v>2027</v>
      </c>
      <c r="D59" s="5" t="s">
        <v>96</v>
      </c>
      <c r="E59" s="5" t="s">
        <v>97</v>
      </c>
      <c r="F59" s="7"/>
      <c r="G59" s="7"/>
      <c r="H59" s="7">
        <f t="shared" ref="H59:AE59" si="55">$I$7+($I$7*H$21)</f>
        <v>914.23355948064091</v>
      </c>
      <c r="I59" s="7">
        <f t="shared" si="55"/>
        <v>793.58055672725163</v>
      </c>
      <c r="J59" s="7">
        <f t="shared" si="55"/>
        <v>684.71853297815915</v>
      </c>
      <c r="K59" s="7">
        <f t="shared" si="55"/>
        <v>597.38288951235484</v>
      </c>
      <c r="L59" s="7">
        <f t="shared" si="55"/>
        <v>575.18139337678406</v>
      </c>
      <c r="M59" s="7">
        <f t="shared" si="55"/>
        <v>564.98919058977526</v>
      </c>
      <c r="N59" s="7">
        <f t="shared" si="55"/>
        <v>577.71196182688209</v>
      </c>
      <c r="O59" s="7">
        <f t="shared" si="55"/>
        <v>558.35586697386282</v>
      </c>
      <c r="P59" s="7">
        <f t="shared" si="55"/>
        <v>562.91808109173292</v>
      </c>
      <c r="Q59" s="7">
        <f t="shared" si="55"/>
        <v>578.39623989567463</v>
      </c>
      <c r="R59" s="7">
        <f t="shared" si="55"/>
        <v>581.25365613585689</v>
      </c>
      <c r="S59" s="7">
        <f t="shared" si="55"/>
        <v>593.88837267181862</v>
      </c>
      <c r="T59" s="7">
        <f t="shared" si="55"/>
        <v>565.28063316589135</v>
      </c>
      <c r="U59" s="7">
        <f t="shared" si="55"/>
        <v>582.38650561402937</v>
      </c>
      <c r="V59" s="7">
        <f t="shared" si="55"/>
        <v>595.98907427105405</v>
      </c>
      <c r="W59" s="7">
        <f t="shared" si="55"/>
        <v>604.1879588883138</v>
      </c>
      <c r="X59" s="7">
        <f t="shared" si="55"/>
        <v>594.04904449893161</v>
      </c>
      <c r="Y59" s="7">
        <f t="shared" si="55"/>
        <v>591.73323340630918</v>
      </c>
      <c r="Z59" s="7">
        <f t="shared" si="55"/>
        <v>567.15518526084713</v>
      </c>
      <c r="AA59" s="7">
        <f t="shared" si="55"/>
        <v>548.54408994444577</v>
      </c>
      <c r="AB59" s="7">
        <f t="shared" si="55"/>
        <v>557.21610574399097</v>
      </c>
      <c r="AC59" s="7">
        <f t="shared" si="55"/>
        <v>549.13214821372253</v>
      </c>
      <c r="AD59" s="7">
        <f t="shared" si="55"/>
        <v>539.28977815521387</v>
      </c>
      <c r="AE59" s="7">
        <f t="shared" si="55"/>
        <v>523.05594243074108</v>
      </c>
    </row>
    <row r="60" spans="1:31">
      <c r="A60" s="104"/>
      <c r="B60" s="1"/>
      <c r="C60" s="1"/>
      <c r="D60" s="1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>
      <c r="A61" s="104"/>
      <c r="B61" s="1"/>
      <c r="C61" s="1"/>
      <c r="D61" s="1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>
      <c r="A62" s="104"/>
      <c r="B62" s="1"/>
      <c r="C62" s="1"/>
      <c r="D62" s="1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104"/>
      <c r="B63" s="1"/>
      <c r="C63" s="1"/>
      <c r="D63" s="1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104"/>
      <c r="B64" s="1"/>
      <c r="C64" s="1"/>
      <c r="D64" s="1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104"/>
      <c r="B65" s="1"/>
      <c r="C65" s="1"/>
      <c r="D65" s="1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104"/>
      <c r="B66" s="3"/>
      <c r="C66" s="3"/>
      <c r="D66" s="23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105"/>
      <c r="B67" s="51" t="s">
        <v>104</v>
      </c>
      <c r="C67" s="51" t="s">
        <v>19</v>
      </c>
      <c r="D67" s="52" t="s">
        <v>34</v>
      </c>
      <c r="E67" s="28" t="s">
        <v>105</v>
      </c>
      <c r="F67" s="53">
        <f>SUM(F59:F66)/2204.62</f>
        <v>0</v>
      </c>
      <c r="G67" s="53">
        <f t="shared" ref="G67" si="56">SUM(G59:G66)/2204.62</f>
        <v>0</v>
      </c>
      <c r="H67" s="53">
        <f t="shared" ref="H67" si="57">SUM(H59:H66)/2204.62</f>
        <v>0.41468986014852488</v>
      </c>
      <c r="I67" s="53">
        <f t="shared" ref="I67" si="58">SUM(I59:I66)/2204.62</f>
        <v>0.35996251359746878</v>
      </c>
      <c r="J67" s="53">
        <f t="shared" ref="J67" si="59">SUM(J59:J66)/2204.62</f>
        <v>0.31058347151806626</v>
      </c>
      <c r="K67" s="53">
        <f t="shared" ref="K67" si="60">SUM(K59:K66)/2204.62</f>
        <v>0.27096864290097833</v>
      </c>
      <c r="L67" s="53">
        <f t="shared" ref="L67" si="61">SUM(L59:L66)/2204.62</f>
        <v>0.2608982016750207</v>
      </c>
      <c r="M67" s="53">
        <f t="shared" ref="M67" si="62">SUM(M59:M66)/2204.62</f>
        <v>0.25627509075930333</v>
      </c>
      <c r="N67" s="53">
        <f t="shared" ref="N67" si="63">SUM(N59:N66)/2204.62</f>
        <v>0.26204604958082667</v>
      </c>
      <c r="O67" s="53">
        <f t="shared" ref="O67" si="64">SUM(O59:O66)/2204.62</f>
        <v>0.25326626220113346</v>
      </c>
      <c r="P67" s="53">
        <f t="shared" ref="P67" si="65">SUM(P59:P66)/2204.62</f>
        <v>0.25533565017632653</v>
      </c>
      <c r="Q67" s="53">
        <f t="shared" ref="Q67" si="66">SUM(Q59:Q66)/2204.62</f>
        <v>0.26235643326091329</v>
      </c>
      <c r="R67" s="53">
        <f t="shared" ref="R67" si="67">SUM(R59:R66)/2204.62</f>
        <v>0.26365253700676622</v>
      </c>
      <c r="S67" s="53">
        <f t="shared" ref="S67" si="68">SUM(S59:S66)/2204.62</f>
        <v>0.26938355484020765</v>
      </c>
      <c r="T67" s="53">
        <f t="shared" ref="T67" si="69">SUM(T59:T66)/2204.62</f>
        <v>0.25640728704533722</v>
      </c>
      <c r="U67" s="53">
        <f t="shared" ref="U67" si="70">SUM(U59:U66)/2204.62</f>
        <v>0.26416638949752314</v>
      </c>
      <c r="V67" s="53">
        <f t="shared" ref="V67" si="71">SUM(V59:V66)/2204.62</f>
        <v>0.270336418190461</v>
      </c>
      <c r="W67" s="53">
        <f t="shared" ref="W67" si="72">SUM(W59:W66)/2204.62</f>
        <v>0.27405537411813091</v>
      </c>
      <c r="X67" s="53">
        <f t="shared" ref="X67" si="73">SUM(X59:X66)/2204.62</f>
        <v>0.26945643444173217</v>
      </c>
      <c r="Y67" s="53">
        <f t="shared" ref="Y67" si="74">SUM(Y59:Y66)/2204.62</f>
        <v>0.26840599895052625</v>
      </c>
      <c r="Z67" s="53">
        <f t="shared" ref="Z67" si="75">SUM(Z59:Z66)/2204.62</f>
        <v>0.25725757058397691</v>
      </c>
      <c r="AA67" s="53">
        <f t="shared" ref="AA67" si="76">SUM(AA59:AA66)/2204.62</f>
        <v>0.24881570971162639</v>
      </c>
      <c r="AB67" s="53">
        <f t="shared" ref="AB67" si="77">SUM(AB59:AB66)/2204.62</f>
        <v>0.25274927458881397</v>
      </c>
      <c r="AC67" s="53">
        <f t="shared" ref="AC67" si="78">SUM(AC59:AC66)/2204.62</f>
        <v>0.24908244877290533</v>
      </c>
      <c r="AD67" s="53">
        <f t="shared" ref="AD67" si="79">SUM(AD59:AD66)/2204.62</f>
        <v>0.24461801950232417</v>
      </c>
      <c r="AE67" s="53">
        <f t="shared" ref="AE67" si="80">SUM(AE59:AE66)/2204.62</f>
        <v>0.23725446672476033</v>
      </c>
    </row>
    <row r="69" spans="1:31" ht="13.5" customHeight="1">
      <c r="A69" s="103" t="s">
        <v>94</v>
      </c>
      <c r="B69" s="9" t="s">
        <v>9</v>
      </c>
      <c r="C69" s="9" t="s">
        <v>8</v>
      </c>
      <c r="D69" s="9" t="s">
        <v>10</v>
      </c>
      <c r="E69" s="9" t="s">
        <v>7</v>
      </c>
      <c r="F69" s="9">
        <v>2025</v>
      </c>
      <c r="G69" s="9">
        <v>2026</v>
      </c>
      <c r="H69" s="9">
        <v>2027</v>
      </c>
      <c r="I69" s="9">
        <v>2028</v>
      </c>
      <c r="J69" s="9">
        <v>2029</v>
      </c>
      <c r="K69" s="9">
        <v>2030</v>
      </c>
      <c r="L69" s="9">
        <v>2031</v>
      </c>
      <c r="M69" s="9">
        <v>2032</v>
      </c>
      <c r="N69" s="9">
        <v>2033</v>
      </c>
      <c r="O69" s="9">
        <v>2034</v>
      </c>
      <c r="P69" s="9">
        <v>2035</v>
      </c>
      <c r="Q69" s="9">
        <v>2036</v>
      </c>
      <c r="R69" s="9">
        <v>2037</v>
      </c>
      <c r="S69" s="9">
        <v>2038</v>
      </c>
      <c r="T69" s="9">
        <v>2039</v>
      </c>
      <c r="U69" s="9">
        <v>2040</v>
      </c>
      <c r="V69" s="9">
        <v>2041</v>
      </c>
      <c r="W69" s="9">
        <v>2042</v>
      </c>
      <c r="X69" s="9">
        <v>2043</v>
      </c>
      <c r="Y69" s="9">
        <v>2044</v>
      </c>
      <c r="Z69" s="9">
        <v>2045</v>
      </c>
      <c r="AA69" s="9">
        <v>2046</v>
      </c>
      <c r="AB69" s="9">
        <v>2047</v>
      </c>
      <c r="AC69" s="9">
        <v>2048</v>
      </c>
      <c r="AD69" s="9">
        <v>2049</v>
      </c>
      <c r="AE69" s="9">
        <v>2050</v>
      </c>
    </row>
    <row r="70" spans="1:31">
      <c r="A70" s="104"/>
      <c r="B70" s="5" t="s">
        <v>177</v>
      </c>
      <c r="C70" s="5">
        <v>2027</v>
      </c>
      <c r="D70" s="5" t="s">
        <v>96</v>
      </c>
      <c r="E70" s="5" t="s">
        <v>97</v>
      </c>
      <c r="F70" s="7"/>
      <c r="G70" s="7"/>
      <c r="H70" s="7">
        <f t="shared" ref="H70:AE70" si="81">$J$7+($J$7*H$21)</f>
        <v>1251.0564498156139</v>
      </c>
      <c r="I70" s="7">
        <f t="shared" si="81"/>
        <v>1085.95234078466</v>
      </c>
      <c r="J70" s="7">
        <f t="shared" si="81"/>
        <v>936.9832556543231</v>
      </c>
      <c r="K70" s="7">
        <f t="shared" si="81"/>
        <v>817.47132249059086</v>
      </c>
      <c r="L70" s="7">
        <f t="shared" si="81"/>
        <v>787.09032777875711</v>
      </c>
      <c r="M70" s="7">
        <f t="shared" si="81"/>
        <v>773.14310291232414</v>
      </c>
      <c r="N70" s="7">
        <f t="shared" si="81"/>
        <v>790.55321092099655</v>
      </c>
      <c r="O70" s="7">
        <f t="shared" si="81"/>
        <v>764.06592322739118</v>
      </c>
      <c r="P70" s="7">
        <f t="shared" si="81"/>
        <v>770.30895307289768</v>
      </c>
      <c r="Q70" s="7">
        <f t="shared" si="81"/>
        <v>791.4895914361864</v>
      </c>
      <c r="R70" s="7">
        <f t="shared" si="81"/>
        <v>795.39973997538311</v>
      </c>
      <c r="S70" s="7">
        <f t="shared" si="81"/>
        <v>812.68935207722541</v>
      </c>
      <c r="T70" s="7">
        <f t="shared" si="81"/>
        <v>773.54191906911444</v>
      </c>
      <c r="U70" s="7">
        <f t="shared" si="81"/>
        <v>796.94995505077702</v>
      </c>
      <c r="V70" s="7">
        <f t="shared" si="81"/>
        <v>815.56399637091602</v>
      </c>
      <c r="W70" s="7">
        <f t="shared" si="81"/>
        <v>826.78352268927154</v>
      </c>
      <c r="X70" s="7">
        <f t="shared" si="81"/>
        <v>812.90921878801157</v>
      </c>
      <c r="Y70" s="7">
        <f t="shared" si="81"/>
        <v>809.74021413494938</v>
      </c>
      <c r="Z70" s="7">
        <f t="shared" si="81"/>
        <v>776.10709562010652</v>
      </c>
      <c r="AA70" s="7">
        <f t="shared" si="81"/>
        <v>750.63928097660994</v>
      </c>
      <c r="AB70" s="7">
        <f t="shared" si="81"/>
        <v>762.50624996546128</v>
      </c>
      <c r="AC70" s="7">
        <f t="shared" si="81"/>
        <v>751.44399229246233</v>
      </c>
      <c r="AD70" s="7">
        <f t="shared" si="81"/>
        <v>737.97548589660846</v>
      </c>
      <c r="AE70" s="7">
        <f t="shared" si="81"/>
        <v>715.76076332627724</v>
      </c>
    </row>
    <row r="71" spans="1:31">
      <c r="A71" s="104"/>
      <c r="B71" s="1"/>
      <c r="C71" s="1"/>
      <c r="D71" s="1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>
      <c r="A72" s="104"/>
      <c r="B72" s="1"/>
      <c r="C72" s="1"/>
      <c r="D72" s="1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>
      <c r="A73" s="104"/>
      <c r="B73" s="1"/>
      <c r="C73" s="1"/>
      <c r="D73" s="1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>
      <c r="A74" s="104"/>
      <c r="B74" s="1"/>
      <c r="C74" s="1"/>
      <c r="D74" s="1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>
      <c r="A75" s="104"/>
      <c r="B75" s="1"/>
      <c r="C75" s="1"/>
      <c r="D75" s="1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>
      <c r="A76" s="104"/>
      <c r="B76" s="1"/>
      <c r="C76" s="1"/>
      <c r="D76" s="1"/>
      <c r="E76" s="1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>
      <c r="A77" s="104"/>
      <c r="B77" s="3"/>
      <c r="C77" s="3"/>
      <c r="D77" s="23"/>
      <c r="E77" s="1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>
      <c r="A78" s="105"/>
      <c r="B78" s="51" t="s">
        <v>104</v>
      </c>
      <c r="C78" s="51" t="s">
        <v>19</v>
      </c>
      <c r="D78" s="52" t="s">
        <v>34</v>
      </c>
      <c r="E78" s="28" t="s">
        <v>105</v>
      </c>
      <c r="F78" s="53">
        <f>SUM(F70:F77)/2204.62</f>
        <v>0</v>
      </c>
      <c r="G78" s="53">
        <f t="shared" ref="G78" si="82">SUM(G70:G77)/2204.62</f>
        <v>0</v>
      </c>
      <c r="H78" s="53">
        <f t="shared" ref="H78" si="83">SUM(H70:H77)/2204.62</f>
        <v>0.5674703349400867</v>
      </c>
      <c r="I78" s="53">
        <f t="shared" ref="I78" si="84">SUM(I70:I77)/2204.62</f>
        <v>0.49258028176495727</v>
      </c>
      <c r="J78" s="53">
        <f t="shared" ref="J78" si="85">SUM(J70:J77)/2204.62</f>
        <v>0.42500896102472224</v>
      </c>
      <c r="K78" s="53">
        <f t="shared" ref="K78" si="86">SUM(K70:K77)/2204.62</f>
        <v>0.37079919554870722</v>
      </c>
      <c r="L78" s="53">
        <f t="shared" ref="L78" si="87">SUM(L70:L77)/2204.62</f>
        <v>0.35701859176581774</v>
      </c>
      <c r="M78" s="53">
        <f t="shared" ref="M78" si="88">SUM(M70:M77)/2204.62</f>
        <v>0.35069222946009931</v>
      </c>
      <c r="N78" s="53">
        <f t="shared" ref="N78" si="89">SUM(N70:N77)/2204.62</f>
        <v>0.35858933100534179</v>
      </c>
      <c r="O78" s="53">
        <f t="shared" ref="O78" si="90">SUM(O70:O77)/2204.62</f>
        <v>0.34657488511734053</v>
      </c>
      <c r="P78" s="53">
        <f t="shared" ref="P78" si="91">SUM(P70:P77)/2204.62</f>
        <v>0.34940667918865731</v>
      </c>
      <c r="Q78" s="53">
        <f t="shared" ref="Q78" si="92">SUM(Q70:Q77)/2204.62</f>
        <v>0.35901406656756557</v>
      </c>
      <c r="R78" s="53">
        <f t="shared" ref="R78" si="93">SUM(R70:R77)/2204.62</f>
        <v>0.36078768221978536</v>
      </c>
      <c r="S78" s="53">
        <f t="shared" ref="S78" si="94">SUM(S70:S77)/2204.62</f>
        <v>0.36863012767607362</v>
      </c>
      <c r="T78" s="53">
        <f t="shared" ref="T78" si="95">SUM(T70:T77)/2204.62</f>
        <v>0.35087312964098777</v>
      </c>
      <c r="U78" s="53">
        <f t="shared" ref="U78" si="96">SUM(U70:U77)/2204.62</f>
        <v>0.36149084878608423</v>
      </c>
      <c r="V78" s="53">
        <f t="shared" ref="V78" si="97">SUM(V70:V77)/2204.62</f>
        <v>0.36993404594484131</v>
      </c>
      <c r="W78" s="53">
        <f t="shared" ref="W78" si="98">SUM(W70:W77)/2204.62</f>
        <v>0.37502314353007393</v>
      </c>
      <c r="X78" s="53">
        <f t="shared" ref="X78" si="99">SUM(X70:X77)/2204.62</f>
        <v>0.3687298576571072</v>
      </c>
      <c r="Y78" s="53">
        <f t="shared" ref="Y78" si="100">SUM(Y70:Y77)/2204.62</f>
        <v>0.3672924196165096</v>
      </c>
      <c r="Z78" s="53">
        <f t="shared" ref="Z78" si="101">SUM(Z70:Z77)/2204.62</f>
        <v>0.35203667553596835</v>
      </c>
      <c r="AA78" s="53">
        <f t="shared" ref="AA78" si="102">SUM(AA70:AA77)/2204.62</f>
        <v>0.34048465539485717</v>
      </c>
      <c r="AB78" s="53">
        <f t="shared" ref="AB78" si="103">SUM(AB70:AB77)/2204.62</f>
        <v>0.34586742838469275</v>
      </c>
      <c r="AC78" s="53">
        <f t="shared" ref="AC78" si="104">SUM(AC70:AC77)/2204.62</f>
        <v>0.34084966674187039</v>
      </c>
      <c r="AD78" s="53">
        <f t="shared" ref="AD78" si="105">SUM(AD70:AD77)/2204.62</f>
        <v>0.33474044774002254</v>
      </c>
      <c r="AE78" s="53">
        <f t="shared" ref="AE78" si="106">SUM(AE70:AE77)/2204.62</f>
        <v>0.32466400709704041</v>
      </c>
    </row>
    <row r="83" spans="1:31" ht="13.5" customHeight="1">
      <c r="A83" s="103" t="s">
        <v>111</v>
      </c>
      <c r="B83" s="9" t="s">
        <v>9</v>
      </c>
      <c r="C83" s="9" t="s">
        <v>8</v>
      </c>
      <c r="D83" s="9" t="s">
        <v>10</v>
      </c>
      <c r="E83" s="9" t="s">
        <v>7</v>
      </c>
      <c r="F83" s="9">
        <v>2025</v>
      </c>
      <c r="G83" s="9">
        <v>2026</v>
      </c>
      <c r="H83" s="9">
        <v>2027</v>
      </c>
      <c r="I83" s="9">
        <v>2028</v>
      </c>
      <c r="J83" s="9">
        <v>2029</v>
      </c>
      <c r="K83" s="9">
        <v>2030</v>
      </c>
      <c r="L83" s="9">
        <v>2031</v>
      </c>
      <c r="M83" s="9">
        <v>2032</v>
      </c>
      <c r="N83" s="9">
        <v>2033</v>
      </c>
      <c r="O83" s="9">
        <v>2034</v>
      </c>
      <c r="P83" s="9">
        <v>2035</v>
      </c>
      <c r="Q83" s="9">
        <v>2036</v>
      </c>
      <c r="R83" s="9">
        <v>2037</v>
      </c>
      <c r="S83" s="9">
        <v>2038</v>
      </c>
      <c r="T83" s="9">
        <v>2039</v>
      </c>
      <c r="U83" s="9">
        <v>2040</v>
      </c>
      <c r="V83" s="9">
        <v>2041</v>
      </c>
      <c r="W83" s="9">
        <v>2042</v>
      </c>
      <c r="X83" s="9">
        <v>2043</v>
      </c>
      <c r="Y83" s="9">
        <v>2044</v>
      </c>
      <c r="Z83" s="9">
        <v>2045</v>
      </c>
      <c r="AA83" s="9">
        <v>2046</v>
      </c>
      <c r="AB83" s="9">
        <v>2047</v>
      </c>
      <c r="AC83" s="9">
        <v>2048</v>
      </c>
      <c r="AD83" s="9">
        <v>2049</v>
      </c>
      <c r="AE83" s="32">
        <v>2050</v>
      </c>
    </row>
    <row r="84" spans="1:31">
      <c r="A84" s="104"/>
      <c r="B84" s="5" t="s">
        <v>106</v>
      </c>
      <c r="C84" s="5" t="s">
        <v>112</v>
      </c>
      <c r="D84" s="5" t="s">
        <v>55</v>
      </c>
      <c r="E84" s="5" t="s">
        <v>105</v>
      </c>
      <c r="F84" s="13">
        <f>F34</f>
        <v>0</v>
      </c>
      <c r="G84" s="13">
        <f t="shared" ref="G84:AE84" si="107">G34</f>
        <v>0</v>
      </c>
      <c r="H84" s="13">
        <f t="shared" si="107"/>
        <v>13.088194007143793</v>
      </c>
      <c r="I84" s="13">
        <f t="shared" si="107"/>
        <v>11.360922139681515</v>
      </c>
      <c r="J84" s="13">
        <f t="shared" si="107"/>
        <v>9.8024502677368623</v>
      </c>
      <c r="K84" s="13">
        <f t="shared" si="107"/>
        <v>8.5521506768221069</v>
      </c>
      <c r="L84" s="13">
        <f t="shared" si="107"/>
        <v>8.2343134177782833</v>
      </c>
      <c r="M84" s="13">
        <f t="shared" si="107"/>
        <v>8.0884015487015208</v>
      </c>
      <c r="N84" s="13">
        <f t="shared" si="107"/>
        <v>8.2705411087001259</v>
      </c>
      <c r="O84" s="13">
        <f t="shared" si="107"/>
        <v>7.993438696488405</v>
      </c>
      <c r="P84" s="13">
        <f t="shared" si="107"/>
        <v>8.0587514853896742</v>
      </c>
      <c r="Q84" s="13">
        <f t="shared" si="107"/>
        <v>8.2803372532698791</v>
      </c>
      <c r="R84" s="13">
        <f t="shared" si="107"/>
        <v>8.3212441065819718</v>
      </c>
      <c r="S84" s="13">
        <f t="shared" si="107"/>
        <v>8.5021230729391863</v>
      </c>
      <c r="T84" s="13">
        <f t="shared" si="107"/>
        <v>8.0925738490273975</v>
      </c>
      <c r="U84" s="13">
        <f t="shared" si="107"/>
        <v>8.3374620123867391</v>
      </c>
      <c r="V84" s="13">
        <f t="shared" si="107"/>
        <v>8.5321967776252503</v>
      </c>
      <c r="W84" s="13">
        <f t="shared" si="107"/>
        <v>8.6495722462897824</v>
      </c>
      <c r="X84" s="13">
        <f t="shared" si="107"/>
        <v>8.50442325545046</v>
      </c>
      <c r="Y84" s="13">
        <f t="shared" si="107"/>
        <v>8.4712700370525731</v>
      </c>
      <c r="Z84" s="13">
        <f t="shared" si="107"/>
        <v>8.1194099908872701</v>
      </c>
      <c r="AA84" s="13">
        <f t="shared" si="107"/>
        <v>7.8529730135301028</v>
      </c>
      <c r="AB84" s="13">
        <f t="shared" si="107"/>
        <v>7.9771218418469516</v>
      </c>
      <c r="AC84" s="13">
        <f t="shared" si="107"/>
        <v>7.8613916726746789</v>
      </c>
      <c r="AD84" s="13">
        <f t="shared" si="107"/>
        <v>7.720488019029494</v>
      </c>
      <c r="AE84" s="13">
        <f t="shared" si="107"/>
        <v>7.4880839585586632</v>
      </c>
    </row>
    <row r="85" spans="1:31">
      <c r="A85" s="104"/>
      <c r="B85" s="1" t="s">
        <v>107</v>
      </c>
      <c r="C85" s="1" t="s">
        <v>112</v>
      </c>
      <c r="D85" s="1" t="s">
        <v>55</v>
      </c>
      <c r="E85" s="1" t="s">
        <v>105</v>
      </c>
      <c r="F85" s="14">
        <f>F45</f>
        <v>0</v>
      </c>
      <c r="G85" s="14">
        <f t="shared" ref="G85:AE85" si="108">G45</f>
        <v>0</v>
      </c>
      <c r="H85" s="14">
        <f t="shared" si="108"/>
        <v>11.644054757328316</v>
      </c>
      <c r="I85" s="14">
        <f t="shared" si="108"/>
        <v>10.107368473907876</v>
      </c>
      <c r="J85" s="14">
        <f t="shared" si="108"/>
        <v>8.7208569502572821</v>
      </c>
      <c r="K85" s="14">
        <f t="shared" si="108"/>
        <v>7.6085142625090487</v>
      </c>
      <c r="L85" s="14">
        <f t="shared" si="108"/>
        <v>7.3257468733486064</v>
      </c>
      <c r="M85" s="14">
        <f t="shared" si="108"/>
        <v>7.1959347852678066</v>
      </c>
      <c r="N85" s="14">
        <f t="shared" si="108"/>
        <v>7.3579772342826866</v>
      </c>
      <c r="O85" s="14">
        <f t="shared" si="108"/>
        <v>7.1114500465423518</v>
      </c>
      <c r="P85" s="14">
        <f t="shared" si="108"/>
        <v>7.1695562825826418</v>
      </c>
      <c r="Q85" s="14">
        <f t="shared" si="108"/>
        <v>7.3666924812998555</v>
      </c>
      <c r="R85" s="14">
        <f t="shared" si="108"/>
        <v>7.4030857101636718</v>
      </c>
      <c r="S85" s="14">
        <f t="shared" si="108"/>
        <v>7.5640066582763579</v>
      </c>
      <c r="T85" s="14">
        <f t="shared" si="108"/>
        <v>7.1996467178256527</v>
      </c>
      <c r="U85" s="14">
        <f t="shared" si="108"/>
        <v>7.4175141472067674</v>
      </c>
      <c r="V85" s="14">
        <f t="shared" si="108"/>
        <v>7.5907620581374164</v>
      </c>
      <c r="W85" s="14">
        <f t="shared" si="108"/>
        <v>7.6951864258959395</v>
      </c>
      <c r="X85" s="14">
        <f t="shared" si="108"/>
        <v>7.5660530407717959</v>
      </c>
      <c r="Y85" s="14">
        <f t="shared" si="108"/>
        <v>7.5365579179003035</v>
      </c>
      <c r="Z85" s="14">
        <f t="shared" si="108"/>
        <v>7.2235217845553503</v>
      </c>
      <c r="AA85" s="14">
        <f t="shared" si="108"/>
        <v>6.9864832174290878</v>
      </c>
      <c r="AB85" s="14">
        <f t="shared" si="108"/>
        <v>7.0969335785859062</v>
      </c>
      <c r="AC85" s="14">
        <f t="shared" si="108"/>
        <v>6.9939729694918409</v>
      </c>
      <c r="AD85" s="14">
        <f t="shared" si="108"/>
        <v>6.8686164949731552</v>
      </c>
      <c r="AE85" s="14">
        <f t="shared" si="108"/>
        <v>6.6618556840873486</v>
      </c>
    </row>
    <row r="86" spans="1:31">
      <c r="A86" s="104"/>
      <c r="B86" s="1" t="s">
        <v>108</v>
      </c>
      <c r="C86" s="1" t="s">
        <v>112</v>
      </c>
      <c r="D86" s="1" t="s">
        <v>55</v>
      </c>
      <c r="E86" s="1" t="s">
        <v>105</v>
      </c>
      <c r="F86" s="14">
        <f>F56</f>
        <v>0</v>
      </c>
      <c r="G86" s="14">
        <f t="shared" ref="G86:AE86" si="109">G56</f>
        <v>0</v>
      </c>
      <c r="H86" s="14">
        <f t="shared" si="109"/>
        <v>1.7351496779898805</v>
      </c>
      <c r="I86" s="14">
        <f t="shared" si="109"/>
        <v>1.5061589384736194</v>
      </c>
      <c r="J86" s="14">
        <f t="shared" si="109"/>
        <v>1.2995466308255932</v>
      </c>
      <c r="K86" s="14">
        <f t="shared" si="109"/>
        <v>1.1337898479277779</v>
      </c>
      <c r="L86" s="14">
        <f t="shared" si="109"/>
        <v>1.0916530017454813</v>
      </c>
      <c r="M86" s="14">
        <f t="shared" si="109"/>
        <v>1.0723089323876114</v>
      </c>
      <c r="N86" s="14">
        <f t="shared" si="109"/>
        <v>1.0964558390355643</v>
      </c>
      <c r="O86" s="14">
        <f t="shared" si="109"/>
        <v>1.0597193602626374</v>
      </c>
      <c r="P86" s="14">
        <f t="shared" si="109"/>
        <v>1.0683781152114715</v>
      </c>
      <c r="Q86" s="14">
        <f t="shared" si="109"/>
        <v>1.0977545496969794</v>
      </c>
      <c r="R86" s="14">
        <f t="shared" si="109"/>
        <v>1.1031777206335744</v>
      </c>
      <c r="S86" s="14">
        <f t="shared" si="109"/>
        <v>1.1271575057787637</v>
      </c>
      <c r="T86" s="14">
        <f t="shared" si="109"/>
        <v>1.072862069479174</v>
      </c>
      <c r="U86" s="14">
        <f t="shared" si="109"/>
        <v>1.105327787634373</v>
      </c>
      <c r="V86" s="14">
        <f t="shared" si="109"/>
        <v>1.1311444866390341</v>
      </c>
      <c r="W86" s="14">
        <f t="shared" si="109"/>
        <v>1.1467053811784953</v>
      </c>
      <c r="X86" s="14">
        <f t="shared" si="109"/>
        <v>1.1274624493746161</v>
      </c>
      <c r="Y86" s="14">
        <f t="shared" si="109"/>
        <v>1.1230672061350966</v>
      </c>
      <c r="Z86" s="14">
        <f t="shared" si="109"/>
        <v>1.0764198348119034</v>
      </c>
      <c r="AA86" s="14">
        <f t="shared" si="109"/>
        <v>1.0410973116881208</v>
      </c>
      <c r="AB86" s="14">
        <f t="shared" si="109"/>
        <v>1.057556175253195</v>
      </c>
      <c r="AC86" s="14">
        <f t="shared" si="109"/>
        <v>1.0422134040761037</v>
      </c>
      <c r="AD86" s="14">
        <f t="shared" si="109"/>
        <v>1.0235332921281457</v>
      </c>
      <c r="AE86" s="14">
        <f t="shared" si="109"/>
        <v>0.99272263708518127</v>
      </c>
    </row>
    <row r="87" spans="1:31">
      <c r="A87" s="104"/>
      <c r="B87" s="1" t="s">
        <v>109</v>
      </c>
      <c r="C87" s="1" t="s">
        <v>112</v>
      </c>
      <c r="D87" s="1" t="s">
        <v>55</v>
      </c>
      <c r="E87" s="1" t="s">
        <v>105</v>
      </c>
      <c r="F87" s="14">
        <f>F67</f>
        <v>0</v>
      </c>
      <c r="G87" s="14">
        <f t="shared" ref="G87:AE87" si="110">G67</f>
        <v>0</v>
      </c>
      <c r="H87" s="14">
        <f t="shared" si="110"/>
        <v>0.41468986014852488</v>
      </c>
      <c r="I87" s="14">
        <f t="shared" si="110"/>
        <v>0.35996251359746878</v>
      </c>
      <c r="J87" s="14">
        <f t="shared" si="110"/>
        <v>0.31058347151806626</v>
      </c>
      <c r="K87" s="14">
        <f t="shared" si="110"/>
        <v>0.27096864290097833</v>
      </c>
      <c r="L87" s="14">
        <f t="shared" si="110"/>
        <v>0.2608982016750207</v>
      </c>
      <c r="M87" s="14">
        <f t="shared" si="110"/>
        <v>0.25627509075930333</v>
      </c>
      <c r="N87" s="14">
        <f t="shared" si="110"/>
        <v>0.26204604958082667</v>
      </c>
      <c r="O87" s="14">
        <f t="shared" si="110"/>
        <v>0.25326626220113346</v>
      </c>
      <c r="P87" s="14">
        <f t="shared" si="110"/>
        <v>0.25533565017632653</v>
      </c>
      <c r="Q87" s="14">
        <f t="shared" si="110"/>
        <v>0.26235643326091329</v>
      </c>
      <c r="R87" s="14">
        <f t="shared" si="110"/>
        <v>0.26365253700676622</v>
      </c>
      <c r="S87" s="14">
        <f t="shared" si="110"/>
        <v>0.26938355484020765</v>
      </c>
      <c r="T87" s="14">
        <f t="shared" si="110"/>
        <v>0.25640728704533722</v>
      </c>
      <c r="U87" s="14">
        <f t="shared" si="110"/>
        <v>0.26416638949752314</v>
      </c>
      <c r="V87" s="14">
        <f t="shared" si="110"/>
        <v>0.270336418190461</v>
      </c>
      <c r="W87" s="14">
        <f t="shared" si="110"/>
        <v>0.27405537411813091</v>
      </c>
      <c r="X87" s="14">
        <f t="shared" si="110"/>
        <v>0.26945643444173217</v>
      </c>
      <c r="Y87" s="14">
        <f t="shared" si="110"/>
        <v>0.26840599895052625</v>
      </c>
      <c r="Z87" s="14">
        <f t="shared" si="110"/>
        <v>0.25725757058397691</v>
      </c>
      <c r="AA87" s="14">
        <f t="shared" si="110"/>
        <v>0.24881570971162639</v>
      </c>
      <c r="AB87" s="14">
        <f t="shared" si="110"/>
        <v>0.25274927458881397</v>
      </c>
      <c r="AC87" s="14">
        <f t="shared" si="110"/>
        <v>0.24908244877290533</v>
      </c>
      <c r="AD87" s="14">
        <f t="shared" si="110"/>
        <v>0.24461801950232417</v>
      </c>
      <c r="AE87" s="14">
        <f t="shared" si="110"/>
        <v>0.23725446672476033</v>
      </c>
    </row>
    <row r="88" spans="1:31">
      <c r="A88" s="105"/>
      <c r="B88" s="3" t="s">
        <v>110</v>
      </c>
      <c r="C88" s="3" t="s">
        <v>112</v>
      </c>
      <c r="D88" s="3" t="s">
        <v>55</v>
      </c>
      <c r="E88" s="3" t="s">
        <v>105</v>
      </c>
      <c r="F88" s="44">
        <f>F78</f>
        <v>0</v>
      </c>
      <c r="G88" s="44">
        <f t="shared" ref="G88:AE88" si="111">G78</f>
        <v>0</v>
      </c>
      <c r="H88" s="44">
        <f t="shared" si="111"/>
        <v>0.5674703349400867</v>
      </c>
      <c r="I88" s="44">
        <f t="shared" si="111"/>
        <v>0.49258028176495727</v>
      </c>
      <c r="J88" s="44">
        <f t="shared" si="111"/>
        <v>0.42500896102472224</v>
      </c>
      <c r="K88" s="44">
        <f t="shared" si="111"/>
        <v>0.37079919554870722</v>
      </c>
      <c r="L88" s="44">
        <f t="shared" si="111"/>
        <v>0.35701859176581774</v>
      </c>
      <c r="M88" s="44">
        <f t="shared" si="111"/>
        <v>0.35069222946009931</v>
      </c>
      <c r="N88" s="44">
        <f t="shared" si="111"/>
        <v>0.35858933100534179</v>
      </c>
      <c r="O88" s="44">
        <f t="shared" si="111"/>
        <v>0.34657488511734053</v>
      </c>
      <c r="P88" s="44">
        <f t="shared" si="111"/>
        <v>0.34940667918865731</v>
      </c>
      <c r="Q88" s="44">
        <f t="shared" si="111"/>
        <v>0.35901406656756557</v>
      </c>
      <c r="R88" s="44">
        <f t="shared" si="111"/>
        <v>0.36078768221978536</v>
      </c>
      <c r="S88" s="44">
        <f t="shared" si="111"/>
        <v>0.36863012767607362</v>
      </c>
      <c r="T88" s="44">
        <f t="shared" si="111"/>
        <v>0.35087312964098777</v>
      </c>
      <c r="U88" s="44">
        <f t="shared" si="111"/>
        <v>0.36149084878608423</v>
      </c>
      <c r="V88" s="44">
        <f t="shared" si="111"/>
        <v>0.36993404594484131</v>
      </c>
      <c r="W88" s="44">
        <f t="shared" si="111"/>
        <v>0.37502314353007393</v>
      </c>
      <c r="X88" s="44">
        <f t="shared" si="111"/>
        <v>0.3687298576571072</v>
      </c>
      <c r="Y88" s="44">
        <f t="shared" si="111"/>
        <v>0.3672924196165096</v>
      </c>
      <c r="Z88" s="44">
        <f t="shared" si="111"/>
        <v>0.35203667553596835</v>
      </c>
      <c r="AA88" s="44">
        <f t="shared" si="111"/>
        <v>0.34048465539485717</v>
      </c>
      <c r="AB88" s="44">
        <f t="shared" si="111"/>
        <v>0.34586742838469275</v>
      </c>
      <c r="AC88" s="44">
        <f t="shared" si="111"/>
        <v>0.34084966674187039</v>
      </c>
      <c r="AD88" s="44">
        <f t="shared" si="111"/>
        <v>0.33474044774002254</v>
      </c>
      <c r="AE88" s="44">
        <f t="shared" si="111"/>
        <v>0.32466400709704041</v>
      </c>
    </row>
    <row r="93" spans="1:31" ht="29.25" customHeight="1">
      <c r="A93" s="22"/>
      <c r="F93" s="58" t="s">
        <v>106</v>
      </c>
      <c r="G93" s="29" t="s">
        <v>107</v>
      </c>
      <c r="H93" s="29" t="s">
        <v>108</v>
      </c>
      <c r="I93" s="29" t="s">
        <v>109</v>
      </c>
      <c r="J93" s="59" t="s">
        <v>110</v>
      </c>
      <c r="L93" s="27"/>
    </row>
    <row r="94" spans="1:31" ht="13.5" customHeight="1">
      <c r="A94" s="100" t="s">
        <v>37</v>
      </c>
      <c r="B94" s="5" t="s">
        <v>41</v>
      </c>
      <c r="C94" s="5" t="s">
        <v>38</v>
      </c>
      <c r="D94" s="5" t="s">
        <v>34</v>
      </c>
      <c r="E94" s="5" t="s">
        <v>105</v>
      </c>
      <c r="F94" s="48">
        <f>SUM($F$84:$K$84)</f>
        <v>42.803717091384279</v>
      </c>
      <c r="G94" s="13">
        <f>SUM($F$85:$K$85)</f>
        <v>38.080794444002521</v>
      </c>
      <c r="H94" s="13">
        <f>SUM($F$86:$K$86)</f>
        <v>5.6746450952168708</v>
      </c>
      <c r="I94" s="13">
        <f>SUM($F$87:$K$87)</f>
        <v>1.3562044881650381</v>
      </c>
      <c r="J94" s="45">
        <f>SUM($F$88:$K$88)</f>
        <v>1.8558587732784733</v>
      </c>
    </row>
    <row r="95" spans="1:31" ht="13.5" customHeight="1">
      <c r="A95" s="101"/>
      <c r="B95" s="1" t="s">
        <v>39</v>
      </c>
      <c r="C95" s="1" t="s">
        <v>38</v>
      </c>
      <c r="D95" s="1" t="s">
        <v>34</v>
      </c>
      <c r="E95" s="1" t="s">
        <v>113</v>
      </c>
      <c r="F95" s="49">
        <f>F94/COUNT($F$83:$K$83)</f>
        <v>7.1339528485640464</v>
      </c>
      <c r="G95" s="14">
        <f>G94/COUNT($F$83:$K$83)</f>
        <v>6.3467990740004199</v>
      </c>
      <c r="H95" s="14">
        <f>H94/COUNT($F$83:$K$83)</f>
        <v>0.94577418253614509</v>
      </c>
      <c r="I95" s="14">
        <f>I94/COUNT($F$83:$K$83)</f>
        <v>0.22603408136083969</v>
      </c>
      <c r="J95" s="46">
        <f>J94/COUNT($F$83:$K$83)</f>
        <v>0.30930979554641219</v>
      </c>
    </row>
    <row r="96" spans="1:31">
      <c r="A96" s="101"/>
      <c r="B96" s="1" t="s">
        <v>41</v>
      </c>
      <c r="C96" s="1" t="s">
        <v>40</v>
      </c>
      <c r="D96" s="1" t="s">
        <v>34</v>
      </c>
      <c r="E96" s="1" t="s">
        <v>105</v>
      </c>
      <c r="F96" s="49">
        <f>SUM(F84:AE84)</f>
        <v>206.15983445559266</v>
      </c>
      <c r="G96" s="14">
        <f>SUM(F85:AE85)</f>
        <v>183.41234855262709</v>
      </c>
      <c r="H96" s="14">
        <f>SUM($F$86:$AE$86)</f>
        <v>27.331362155452389</v>
      </c>
      <c r="I96" s="14">
        <f>SUM($F$87:$AE$87)</f>
        <v>6.5320236597936541</v>
      </c>
      <c r="J96" s="46">
        <f>SUM($F$88:$AE$88)</f>
        <v>8.9385586923492113</v>
      </c>
    </row>
    <row r="97" spans="1:10">
      <c r="A97" s="102"/>
      <c r="B97" s="3" t="s">
        <v>39</v>
      </c>
      <c r="C97" s="3" t="s">
        <v>40</v>
      </c>
      <c r="D97" s="3" t="s">
        <v>34</v>
      </c>
      <c r="E97" s="3" t="s">
        <v>157</v>
      </c>
      <c r="F97" s="50">
        <f>F96/COUNT($F$83:$AE$83)</f>
        <v>7.9292244021381793</v>
      </c>
      <c r="G97" s="44">
        <f>G96/COUNT($F$83:$AE$83)</f>
        <v>7.0543210981779652</v>
      </c>
      <c r="H97" s="44">
        <f>H96/COUNT($F$83:$AE$83)</f>
        <v>1.0512062367481687</v>
      </c>
      <c r="I97" s="44">
        <f>I96/COUNT($F$83:$AE$83)</f>
        <v>0.25123167922283285</v>
      </c>
      <c r="J97" s="47">
        <f>J96/COUNT($F$83:$AE$83)</f>
        <v>0.34379071893650814</v>
      </c>
    </row>
    <row r="98" spans="1:10" ht="13">
      <c r="A98" s="22"/>
    </row>
  </sheetData>
  <mergeCells count="10">
    <mergeCell ref="A6:A11"/>
    <mergeCell ref="A13:A18"/>
    <mergeCell ref="A20:A21"/>
    <mergeCell ref="A25:A34"/>
    <mergeCell ref="A83:A88"/>
    <mergeCell ref="A94:A97"/>
    <mergeCell ref="A36:A45"/>
    <mergeCell ref="A47:A56"/>
    <mergeCell ref="A58:A67"/>
    <mergeCell ref="A69:A78"/>
  </mergeCells>
  <phoneticPr fontId="3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ED5EB-0205-4096-B36A-80B6C32FA4D9}">
  <sheetPr>
    <tabColor rgb="FFFFC000"/>
  </sheetPr>
  <dimension ref="A1:AE86"/>
  <sheetViews>
    <sheetView workbookViewId="0">
      <selection activeCell="D6" sqref="D6"/>
    </sheetView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0.08984375" style="21" customWidth="1"/>
    <col min="6" max="6" width="16.08984375" style="21" customWidth="1"/>
    <col min="7" max="10" width="15.90625" style="21" customWidth="1"/>
    <col min="11" max="11" width="12.3632812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1" width="12.36328125" style="21" bestFit="1" customWidth="1"/>
    <col min="32" max="36" width="9.54296875" style="21" bestFit="1" customWidth="1"/>
    <col min="37" max="16384" width="9.08984375" style="21"/>
  </cols>
  <sheetData>
    <row r="1" spans="1:17">
      <c r="A1" s="21" t="s">
        <v>184</v>
      </c>
    </row>
    <row r="2" spans="1:17" ht="13">
      <c r="A2" s="22" t="s">
        <v>181</v>
      </c>
    </row>
    <row r="3" spans="1:17" ht="13">
      <c r="A3" s="22"/>
    </row>
    <row r="4" spans="1:17" ht="13">
      <c r="A4" s="22"/>
    </row>
    <row r="6" spans="1:17" s="27" customFormat="1" ht="40.5" customHeight="1">
      <c r="A6" s="97" t="s">
        <v>42</v>
      </c>
      <c r="B6" s="26" t="s">
        <v>9</v>
      </c>
      <c r="C6" s="26" t="s">
        <v>8</v>
      </c>
      <c r="D6" s="37" t="s">
        <v>10</v>
      </c>
      <c r="E6" s="37"/>
      <c r="F6" s="29" t="s">
        <v>118</v>
      </c>
      <c r="G6" s="29" t="s">
        <v>119</v>
      </c>
      <c r="H6" s="29" t="s">
        <v>145</v>
      </c>
      <c r="I6" s="29" t="s">
        <v>147</v>
      </c>
      <c r="J6" s="21"/>
      <c r="K6" s="21"/>
      <c r="L6" s="21"/>
      <c r="M6" s="21"/>
      <c r="N6" s="21"/>
      <c r="O6" s="21"/>
      <c r="P6" s="21"/>
      <c r="Q6" s="21"/>
    </row>
    <row r="7" spans="1:17" ht="13.5" customHeight="1">
      <c r="A7" s="98"/>
      <c r="B7" s="5" t="s">
        <v>177</v>
      </c>
      <c r="C7" s="5" t="s">
        <v>95</v>
      </c>
      <c r="D7" s="7" t="s">
        <v>114</v>
      </c>
      <c r="E7" s="7"/>
      <c r="F7" s="7">
        <f>'CC0.4 COBRA Results'!E19</f>
        <v>1392155.1525906431</v>
      </c>
      <c r="G7" s="7">
        <f>'CC0.4 COBRA Results'!F19</f>
        <v>3137325.9214822655</v>
      </c>
      <c r="H7" s="2">
        <f>'CC0.4 COBRA Results'!AF19</f>
        <v>76.990479384452598</v>
      </c>
      <c r="I7" s="2">
        <f>'CC0.4 COBRA Results'!AH19</f>
        <v>13.050686581147033</v>
      </c>
    </row>
    <row r="8" spans="1:17">
      <c r="A8" s="98"/>
      <c r="B8" s="1"/>
      <c r="C8" s="1"/>
      <c r="D8" s="2"/>
      <c r="E8" s="2"/>
      <c r="F8" s="2"/>
      <c r="G8" s="2"/>
      <c r="H8" s="2"/>
      <c r="I8" s="2"/>
    </row>
    <row r="9" spans="1:17">
      <c r="A9" s="98"/>
      <c r="B9" s="1"/>
      <c r="C9" s="1"/>
      <c r="D9" s="2"/>
      <c r="E9" s="2"/>
      <c r="F9" s="2"/>
      <c r="G9" s="2"/>
      <c r="H9" s="2"/>
      <c r="I9" s="2"/>
    </row>
    <row r="10" spans="1:17">
      <c r="A10" s="98"/>
      <c r="B10" s="1"/>
      <c r="C10" s="1"/>
      <c r="D10" s="2"/>
      <c r="E10" s="2"/>
      <c r="F10" s="2"/>
      <c r="G10" s="2"/>
      <c r="H10" s="2"/>
      <c r="I10" s="2"/>
    </row>
    <row r="11" spans="1:17">
      <c r="A11" s="99"/>
      <c r="B11" s="3"/>
      <c r="C11" s="3"/>
      <c r="D11" s="23"/>
      <c r="E11" s="23"/>
      <c r="F11" s="23"/>
      <c r="G11" s="23"/>
      <c r="H11" s="23"/>
      <c r="I11" s="23"/>
    </row>
    <row r="12" spans="1:17" ht="13">
      <c r="A12" s="30"/>
      <c r="B12" s="30"/>
      <c r="C12" s="30"/>
      <c r="D12" s="30"/>
      <c r="E12" s="30"/>
      <c r="F12" s="30"/>
      <c r="G12" s="30"/>
      <c r="H12" s="30"/>
      <c r="I12" s="30"/>
    </row>
    <row r="13" spans="1:17" s="27" customFormat="1" ht="15" customHeight="1">
      <c r="A13" s="97" t="s">
        <v>98</v>
      </c>
      <c r="B13" s="26" t="s">
        <v>9</v>
      </c>
      <c r="C13" s="26" t="s">
        <v>8</v>
      </c>
      <c r="D13" s="37" t="s">
        <v>10</v>
      </c>
      <c r="E13" s="37"/>
      <c r="F13" s="29">
        <v>2025</v>
      </c>
      <c r="G13" s="29">
        <v>2026</v>
      </c>
      <c r="H13" s="29">
        <v>2027</v>
      </c>
      <c r="I13" s="29">
        <v>2028</v>
      </c>
      <c r="J13" s="29">
        <v>2029</v>
      </c>
      <c r="L13" s="21"/>
      <c r="M13" s="21"/>
      <c r="N13" s="21"/>
      <c r="O13" s="21"/>
      <c r="P13" s="21"/>
      <c r="Q13" s="21"/>
    </row>
    <row r="14" spans="1:17" ht="13.5" customHeight="1">
      <c r="A14" s="98"/>
      <c r="B14" s="5" t="s">
        <v>177</v>
      </c>
      <c r="C14" s="5" t="s">
        <v>99</v>
      </c>
      <c r="D14" s="7" t="s">
        <v>175</v>
      </c>
      <c r="E14" s="7"/>
      <c r="F14" s="40"/>
      <c r="G14" s="40"/>
      <c r="H14" s="41" t="s">
        <v>100</v>
      </c>
      <c r="I14" s="41"/>
      <c r="J14" s="41"/>
    </row>
    <row r="15" spans="1:17">
      <c r="A15" s="98"/>
      <c r="B15" s="1"/>
      <c r="C15" s="1"/>
      <c r="D15" s="2"/>
      <c r="E15" s="2"/>
      <c r="F15" s="41"/>
      <c r="G15" s="41"/>
      <c r="H15" s="41"/>
      <c r="I15" s="41"/>
      <c r="J15" s="41"/>
    </row>
    <row r="16" spans="1:17">
      <c r="A16" s="98"/>
      <c r="B16" s="1"/>
      <c r="C16" s="1"/>
      <c r="D16" s="2"/>
      <c r="E16" s="2"/>
      <c r="F16" s="41"/>
      <c r="G16" s="41"/>
      <c r="H16" s="41"/>
      <c r="I16" s="41"/>
      <c r="J16" s="41"/>
    </row>
    <row r="17" spans="1:31">
      <c r="A17" s="98"/>
      <c r="B17" s="1"/>
      <c r="C17" s="1"/>
      <c r="D17" s="2"/>
      <c r="E17" s="2"/>
      <c r="F17" s="41"/>
      <c r="G17" s="41"/>
      <c r="H17" s="41"/>
      <c r="I17" s="41"/>
      <c r="J17" s="41"/>
    </row>
    <row r="18" spans="1:31">
      <c r="A18" s="99"/>
      <c r="B18" s="3"/>
      <c r="C18" s="3"/>
      <c r="D18" s="23"/>
      <c r="E18" s="23"/>
      <c r="F18" s="42"/>
      <c r="G18" s="42"/>
      <c r="H18" s="42"/>
      <c r="I18" s="42"/>
      <c r="J18" s="42"/>
    </row>
    <row r="19" spans="1:31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0" spans="1:31" ht="13">
      <c r="A20" s="106"/>
      <c r="B20" s="26" t="s">
        <v>9</v>
      </c>
      <c r="C20" s="26" t="s">
        <v>8</v>
      </c>
      <c r="D20" s="37" t="s">
        <v>10</v>
      </c>
      <c r="E20" s="37" t="s">
        <v>7</v>
      </c>
      <c r="F20" s="9">
        <v>2025</v>
      </c>
      <c r="G20" s="9">
        <v>2026</v>
      </c>
      <c r="H20" s="9">
        <v>2027</v>
      </c>
      <c r="I20" s="9">
        <v>2028</v>
      </c>
      <c r="J20" s="9">
        <v>2029</v>
      </c>
      <c r="K20" s="9">
        <v>2030</v>
      </c>
      <c r="L20" s="9">
        <v>2031</v>
      </c>
      <c r="M20" s="9">
        <v>2032</v>
      </c>
      <c r="N20" s="9">
        <v>2033</v>
      </c>
      <c r="O20" s="9">
        <v>2034</v>
      </c>
      <c r="P20" s="9">
        <v>2035</v>
      </c>
      <c r="Q20" s="9">
        <v>2036</v>
      </c>
      <c r="R20" s="9">
        <v>2037</v>
      </c>
      <c r="S20" s="9">
        <v>2038</v>
      </c>
      <c r="T20" s="9">
        <v>2039</v>
      </c>
      <c r="U20" s="9">
        <v>2040</v>
      </c>
      <c r="V20" s="9">
        <v>2041</v>
      </c>
      <c r="W20" s="9">
        <v>2042</v>
      </c>
      <c r="X20" s="9">
        <v>2043</v>
      </c>
      <c r="Y20" s="9">
        <v>2044</v>
      </c>
      <c r="Z20" s="9">
        <v>2045</v>
      </c>
      <c r="AA20" s="9">
        <v>2046</v>
      </c>
      <c r="AB20" s="9">
        <v>2047</v>
      </c>
      <c r="AC20" s="9">
        <v>2048</v>
      </c>
      <c r="AD20" s="9">
        <v>2049</v>
      </c>
      <c r="AE20" s="9">
        <v>2050</v>
      </c>
    </row>
    <row r="21" spans="1:31">
      <c r="A21" s="107"/>
      <c r="B21" s="3" t="s">
        <v>101</v>
      </c>
      <c r="C21" s="3" t="s">
        <v>103</v>
      </c>
      <c r="D21" s="23" t="s">
        <v>102</v>
      </c>
      <c r="E21" s="23" t="s">
        <v>22</v>
      </c>
      <c r="F21" s="43">
        <f>'CC0.1 Background Data'!J8</f>
        <v>-5.9786200000000005E-2</v>
      </c>
      <c r="G21" s="43">
        <f>'CC0.1 Background Data'!K8</f>
        <v>-0.165266651936674</v>
      </c>
      <c r="H21" s="43">
        <f>'CC0.1 Background Data'!L8</f>
        <v>-0.19804073729768346</v>
      </c>
      <c r="I21" s="43">
        <f>'CC0.1 Background Data'!M8</f>
        <v>-0.30387670462521787</v>
      </c>
      <c r="J21" s="43">
        <f>'CC0.1 Background Data'!N8</f>
        <v>-0.39936970791389542</v>
      </c>
      <c r="K21" s="43">
        <f>'CC0.1 Background Data'!O8</f>
        <v>-0.47597992148039048</v>
      </c>
      <c r="L21" s="43">
        <f>'CC0.1 Background Data'!P8</f>
        <v>-0.49545491809054032</v>
      </c>
      <c r="M21" s="43">
        <f>'CC0.1 Background Data'!Q8</f>
        <v>-0.50439544685107429</v>
      </c>
      <c r="N21" s="43">
        <f>'CC0.1 Background Data'!R8</f>
        <v>-0.49323512120448937</v>
      </c>
      <c r="O21" s="43">
        <f>'CC0.1 Background Data'!S8</f>
        <v>-0.51021415177731333</v>
      </c>
      <c r="P21" s="43">
        <f>'CC0.1 Background Data'!T8</f>
        <v>-0.50621220956865531</v>
      </c>
      <c r="Q21" s="43">
        <f>'CC0.1 Background Data'!U8</f>
        <v>-0.4926348772844959</v>
      </c>
      <c r="R21" s="43">
        <f>'CC0.1 Background Data'!V8</f>
        <v>-0.49012837181065189</v>
      </c>
      <c r="S21" s="43">
        <f>'CC0.1 Background Data'!W8</f>
        <v>-0.47904528712998368</v>
      </c>
      <c r="T21" s="43">
        <f>'CC0.1 Background Data'!X8</f>
        <v>-0.50413979546851639</v>
      </c>
      <c r="U21" s="43">
        <f>'CC0.1 Background Data'!Y8</f>
        <v>-0.48913464419821984</v>
      </c>
      <c r="V21" s="43">
        <f>'CC0.1 Background Data'!Z8</f>
        <v>-0.47720256642889997</v>
      </c>
      <c r="W21" s="43">
        <f>'CC0.1 Background Data'!AA8</f>
        <v>-0.47001056237867206</v>
      </c>
      <c r="X21" s="43">
        <f>'CC0.1 Background Data'!AB8</f>
        <v>-0.47890434693076178</v>
      </c>
      <c r="Y21" s="43">
        <f>'CC0.1 Background Data'!AC8</f>
        <v>-0.48093576016990425</v>
      </c>
      <c r="Z21" s="43">
        <f>'CC0.1 Background Data'!AD8</f>
        <v>-0.50249545152557273</v>
      </c>
      <c r="AA21" s="43">
        <f>'CC0.1 Background Data'!AE8</f>
        <v>-0.51882097373294234</v>
      </c>
      <c r="AB21" s="43">
        <f>'CC0.1 Background Data'!AF8</f>
        <v>-0.51121394232983253</v>
      </c>
      <c r="AC21" s="43">
        <f>'CC0.1 Background Data'!AG8</f>
        <v>-0.51830513314585747</v>
      </c>
      <c r="AD21" s="43">
        <f>'CC0.1 Background Data'!AH8</f>
        <v>-0.52693879109191766</v>
      </c>
      <c r="AE21" s="43">
        <f>'CC0.1 Background Data'!AI8</f>
        <v>-0.54117899786777102</v>
      </c>
    </row>
    <row r="22" spans="1:31" ht="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0"/>
    </row>
    <row r="23" spans="1:31" ht="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/>
      <c r="L23" s="30"/>
    </row>
    <row r="25" spans="1:31" ht="13.5" customHeight="1">
      <c r="A25" s="100" t="s">
        <v>118</v>
      </c>
      <c r="B25" s="9" t="s">
        <v>9</v>
      </c>
      <c r="C25" s="9" t="s">
        <v>8</v>
      </c>
      <c r="D25" s="9" t="s">
        <v>10</v>
      </c>
      <c r="E25" s="9" t="s">
        <v>7</v>
      </c>
      <c r="F25" s="9">
        <v>2025</v>
      </c>
      <c r="G25" s="9">
        <v>2026</v>
      </c>
      <c r="H25" s="9">
        <v>2027</v>
      </c>
      <c r="I25" s="9">
        <v>2028</v>
      </c>
      <c r="J25" s="9">
        <v>2029</v>
      </c>
      <c r="K25" s="9">
        <v>2030</v>
      </c>
      <c r="L25" s="9">
        <v>2031</v>
      </c>
      <c r="M25" s="9">
        <v>2032</v>
      </c>
      <c r="N25" s="9">
        <v>2033</v>
      </c>
      <c r="O25" s="9">
        <v>2034</v>
      </c>
      <c r="P25" s="9">
        <v>2035</v>
      </c>
      <c r="Q25" s="9">
        <v>2036</v>
      </c>
      <c r="R25" s="9">
        <v>2037</v>
      </c>
      <c r="S25" s="9">
        <v>2038</v>
      </c>
      <c r="T25" s="9">
        <v>2039</v>
      </c>
      <c r="U25" s="9">
        <v>2040</v>
      </c>
      <c r="V25" s="9">
        <v>2041</v>
      </c>
      <c r="W25" s="9">
        <v>2042</v>
      </c>
      <c r="X25" s="9">
        <v>2043</v>
      </c>
      <c r="Y25" s="9">
        <v>2044</v>
      </c>
      <c r="Z25" s="9">
        <v>2045</v>
      </c>
      <c r="AA25" s="9">
        <v>2046</v>
      </c>
      <c r="AB25" s="9">
        <v>2047</v>
      </c>
      <c r="AC25" s="9">
        <v>2048</v>
      </c>
      <c r="AD25" s="9">
        <v>2049</v>
      </c>
      <c r="AE25" s="9">
        <v>2050</v>
      </c>
    </row>
    <row r="26" spans="1:31">
      <c r="A26" s="101"/>
      <c r="B26" s="5" t="s">
        <v>177</v>
      </c>
      <c r="C26" s="5">
        <v>2027</v>
      </c>
      <c r="D26" s="2" t="s">
        <v>114</v>
      </c>
      <c r="E26" s="5" t="s">
        <v>154</v>
      </c>
      <c r="F26" s="55">
        <f>$F$7+($F$7*F$21)</f>
        <v>1308923.4862068284</v>
      </c>
      <c r="G26" s="55">
        <f t="shared" ref="G26:AE26" si="0">$F$7+($F$7*G$21)</f>
        <v>1162078.3315455981</v>
      </c>
      <c r="H26" s="55">
        <f t="shared" si="0"/>
        <v>1116451.7197388231</v>
      </c>
      <c r="I26" s="55">
        <f t="shared" si="0"/>
        <v>969111.63249438116</v>
      </c>
      <c r="J26" s="55">
        <f t="shared" si="0"/>
        <v>836170.55592969351</v>
      </c>
      <c r="K26" s="55">
        <f t="shared" si="0"/>
        <v>729517.25237202784</v>
      </c>
      <c r="L26" s="55">
        <f t="shared" si="0"/>
        <v>702405.03549452242</v>
      </c>
      <c r="M26" s="55">
        <f t="shared" si="0"/>
        <v>689958.43231366016</v>
      </c>
      <c r="N26" s="55">
        <f t="shared" si="0"/>
        <v>705495.33716714289</v>
      </c>
      <c r="O26" s="55">
        <f t="shared" si="0"/>
        <v>681857.89226919191</v>
      </c>
      <c r="P26" s="55">
        <f t="shared" si="0"/>
        <v>687429.2167353452</v>
      </c>
      <c r="Q26" s="55">
        <f t="shared" si="0"/>
        <v>706330.96983317297</v>
      </c>
      <c r="R26" s="55">
        <f t="shared" si="0"/>
        <v>709820.41434358153</v>
      </c>
      <c r="S26" s="55">
        <f t="shared" si="0"/>
        <v>725249.78778837225</v>
      </c>
      <c r="T26" s="55">
        <f t="shared" si="0"/>
        <v>690314.33870315505</v>
      </c>
      <c r="U26" s="55">
        <f t="shared" si="0"/>
        <v>711203.83735950047</v>
      </c>
      <c r="V26" s="55">
        <f t="shared" si="0"/>
        <v>727815.14090717142</v>
      </c>
      <c r="W26" s="55">
        <f t="shared" si="0"/>
        <v>737827.52640314889</v>
      </c>
      <c r="X26" s="55">
        <f t="shared" si="0"/>
        <v>725445.99841292622</v>
      </c>
      <c r="Y26" s="55">
        <f t="shared" si="0"/>
        <v>722617.9560050132</v>
      </c>
      <c r="Z26" s="55">
        <f t="shared" si="0"/>
        <v>692603.52059595531</v>
      </c>
      <c r="AA26" s="55">
        <f t="shared" si="0"/>
        <v>669875.86073623272</v>
      </c>
      <c r="AB26" s="55">
        <f t="shared" si="0"/>
        <v>680466.02869999094</v>
      </c>
      <c r="AC26" s="55">
        <f t="shared" si="0"/>
        <v>670593.99086745828</v>
      </c>
      <c r="AD26" s="55">
        <f t="shared" si="0"/>
        <v>658574.59947214543</v>
      </c>
      <c r="AE26" s="55">
        <f t="shared" si="0"/>
        <v>638750.02223518502</v>
      </c>
    </row>
    <row r="27" spans="1:31">
      <c r="A27" s="101"/>
      <c r="B27" s="1"/>
      <c r="C27" s="1"/>
      <c r="D27" s="2"/>
      <c r="E27" s="1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</row>
    <row r="28" spans="1:31">
      <c r="A28" s="101"/>
      <c r="B28" s="1"/>
      <c r="C28" s="1"/>
      <c r="D28" s="2"/>
      <c r="E28" s="1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</row>
    <row r="29" spans="1:31">
      <c r="A29" s="101"/>
      <c r="B29" s="1"/>
      <c r="C29" s="1"/>
      <c r="D29" s="2"/>
      <c r="E29" s="1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1:31">
      <c r="A30" s="101"/>
      <c r="B30" s="1"/>
      <c r="C30" s="1"/>
      <c r="D30" s="2"/>
      <c r="E30" s="1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</row>
    <row r="31" spans="1:31">
      <c r="A31" s="101"/>
      <c r="B31" s="1"/>
      <c r="C31" s="1"/>
      <c r="D31" s="2"/>
      <c r="E31" s="1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</row>
    <row r="32" spans="1:31">
      <c r="A32" s="101"/>
      <c r="B32" s="1"/>
      <c r="C32" s="1"/>
      <c r="D32" s="2"/>
      <c r="E32" s="1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</row>
    <row r="33" spans="1:31">
      <c r="A33" s="101"/>
      <c r="B33" s="3"/>
      <c r="C33" s="3"/>
      <c r="D33" s="23"/>
      <c r="E33" s="1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</row>
    <row r="34" spans="1:31">
      <c r="A34" s="102"/>
      <c r="B34" s="51" t="s">
        <v>104</v>
      </c>
      <c r="C34" s="51" t="s">
        <v>19</v>
      </c>
      <c r="D34" s="52" t="s">
        <v>34</v>
      </c>
      <c r="E34" s="28" t="s">
        <v>154</v>
      </c>
      <c r="F34" s="57">
        <f>SUM(F26:F33)</f>
        <v>1308923.4862068284</v>
      </c>
      <c r="G34" s="57">
        <f t="shared" ref="G34:AE34" si="1">SUM(G26:G33)</f>
        <v>1162078.3315455981</v>
      </c>
      <c r="H34" s="57">
        <f t="shared" si="1"/>
        <v>1116451.7197388231</v>
      </c>
      <c r="I34" s="57">
        <f t="shared" si="1"/>
        <v>969111.63249438116</v>
      </c>
      <c r="J34" s="57">
        <f t="shared" si="1"/>
        <v>836170.55592969351</v>
      </c>
      <c r="K34" s="57">
        <f t="shared" si="1"/>
        <v>729517.25237202784</v>
      </c>
      <c r="L34" s="57">
        <f t="shared" si="1"/>
        <v>702405.03549452242</v>
      </c>
      <c r="M34" s="57">
        <f t="shared" si="1"/>
        <v>689958.43231366016</v>
      </c>
      <c r="N34" s="57">
        <f t="shared" si="1"/>
        <v>705495.33716714289</v>
      </c>
      <c r="O34" s="57">
        <f t="shared" si="1"/>
        <v>681857.89226919191</v>
      </c>
      <c r="P34" s="57">
        <f t="shared" si="1"/>
        <v>687429.2167353452</v>
      </c>
      <c r="Q34" s="57">
        <f t="shared" si="1"/>
        <v>706330.96983317297</v>
      </c>
      <c r="R34" s="57">
        <f t="shared" si="1"/>
        <v>709820.41434358153</v>
      </c>
      <c r="S34" s="57">
        <f t="shared" si="1"/>
        <v>725249.78778837225</v>
      </c>
      <c r="T34" s="57">
        <f t="shared" si="1"/>
        <v>690314.33870315505</v>
      </c>
      <c r="U34" s="57">
        <f t="shared" si="1"/>
        <v>711203.83735950047</v>
      </c>
      <c r="V34" s="57">
        <f t="shared" si="1"/>
        <v>727815.14090717142</v>
      </c>
      <c r="W34" s="57">
        <f t="shared" si="1"/>
        <v>737827.52640314889</v>
      </c>
      <c r="X34" s="57">
        <f t="shared" si="1"/>
        <v>725445.99841292622</v>
      </c>
      <c r="Y34" s="57">
        <f t="shared" si="1"/>
        <v>722617.9560050132</v>
      </c>
      <c r="Z34" s="57">
        <f t="shared" si="1"/>
        <v>692603.52059595531</v>
      </c>
      <c r="AA34" s="57">
        <f t="shared" si="1"/>
        <v>669875.86073623272</v>
      </c>
      <c r="AB34" s="57">
        <f t="shared" si="1"/>
        <v>680466.02869999094</v>
      </c>
      <c r="AC34" s="57">
        <f t="shared" si="1"/>
        <v>670593.99086745828</v>
      </c>
      <c r="AD34" s="57">
        <f t="shared" si="1"/>
        <v>658574.59947214543</v>
      </c>
      <c r="AE34" s="57">
        <f t="shared" si="1"/>
        <v>638750.02223518502</v>
      </c>
    </row>
    <row r="36" spans="1:31" ht="13.5" customHeight="1">
      <c r="A36" s="100" t="s">
        <v>119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9">
        <v>2050</v>
      </c>
    </row>
    <row r="37" spans="1:31">
      <c r="A37" s="101"/>
      <c r="B37" s="5" t="s">
        <v>177</v>
      </c>
      <c r="C37" s="5">
        <v>2027</v>
      </c>
      <c r="D37" s="2" t="s">
        <v>114</v>
      </c>
      <c r="E37" s="5" t="s">
        <v>154</v>
      </c>
      <c r="F37" s="55">
        <f>$G$7+($G$7*F$21)</f>
        <v>2949757.1264753425</v>
      </c>
      <c r="G37" s="55">
        <f t="shared" ref="G37:AE37" si="2">$G$7+($G$7*G$21)</f>
        <v>2618830.5704047508</v>
      </c>
      <c r="H37" s="55">
        <f t="shared" si="2"/>
        <v>2516007.5828487836</v>
      </c>
      <c r="I37" s="55">
        <f t="shared" si="2"/>
        <v>2183965.6591269597</v>
      </c>
      <c r="J37" s="55">
        <f t="shared" si="2"/>
        <v>1884372.9845892002</v>
      </c>
      <c r="K37" s="55">
        <f t="shared" si="2"/>
        <v>1644021.775716743</v>
      </c>
      <c r="L37" s="55">
        <f t="shared" si="2"/>
        <v>1582922.3640309407</v>
      </c>
      <c r="M37" s="55">
        <f t="shared" si="2"/>
        <v>1554873.0113987597</v>
      </c>
      <c r="N37" s="55">
        <f t="shared" si="2"/>
        <v>1589886.590341974</v>
      </c>
      <c r="O37" s="55">
        <f t="shared" si="2"/>
        <v>1536617.8376042135</v>
      </c>
      <c r="P37" s="55">
        <f t="shared" si="2"/>
        <v>1549173.2346317102</v>
      </c>
      <c r="Q37" s="55">
        <f t="shared" si="2"/>
        <v>1591769.7511513815</v>
      </c>
      <c r="R37" s="55">
        <f t="shared" si="2"/>
        <v>1599633.4757468095</v>
      </c>
      <c r="S37" s="55">
        <f t="shared" si="2"/>
        <v>1634404.724605453</v>
      </c>
      <c r="T37" s="55">
        <f t="shared" si="2"/>
        <v>1555675.0731081215</v>
      </c>
      <c r="U37" s="55">
        <f t="shared" si="2"/>
        <v>1602751.1231441854</v>
      </c>
      <c r="V37" s="55">
        <f t="shared" si="2"/>
        <v>1640185.9400270148</v>
      </c>
      <c r="W37" s="55">
        <f t="shared" si="2"/>
        <v>1662749.6007612003</v>
      </c>
      <c r="X37" s="55">
        <f t="shared" si="2"/>
        <v>1634846.8999458507</v>
      </c>
      <c r="Y37" s="55">
        <f t="shared" si="2"/>
        <v>1628473.6945334468</v>
      </c>
      <c r="Z37" s="55">
        <f t="shared" si="2"/>
        <v>1560833.915984151</v>
      </c>
      <c r="AA37" s="55">
        <f t="shared" si="2"/>
        <v>1509615.431981236</v>
      </c>
      <c r="AB37" s="55">
        <f t="shared" si="2"/>
        <v>1533481.1687877418</v>
      </c>
      <c r="AC37" s="55">
        <f t="shared" si="2"/>
        <v>1511233.7920264499</v>
      </c>
      <c r="AD37" s="55">
        <f t="shared" si="2"/>
        <v>1484147.193155064</v>
      </c>
      <c r="AE37" s="55">
        <f t="shared" si="2"/>
        <v>1439471.0233099118</v>
      </c>
    </row>
    <row r="38" spans="1:31">
      <c r="A38" s="101"/>
      <c r="B38" s="1"/>
      <c r="C38" s="1"/>
      <c r="D38" s="2"/>
      <c r="E38" s="1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</row>
    <row r="39" spans="1:31">
      <c r="A39" s="101"/>
      <c r="B39" s="1"/>
      <c r="C39" s="1"/>
      <c r="D39" s="2"/>
      <c r="E39" s="1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</row>
    <row r="40" spans="1:31">
      <c r="A40" s="101"/>
      <c r="B40" s="1"/>
      <c r="C40" s="1"/>
      <c r="D40" s="2"/>
      <c r="E40" s="1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</row>
    <row r="41" spans="1:31">
      <c r="A41" s="101"/>
      <c r="B41" s="1"/>
      <c r="C41" s="1"/>
      <c r="D41" s="2"/>
      <c r="E41" s="1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</row>
    <row r="42" spans="1:31">
      <c r="A42" s="101"/>
      <c r="B42" s="1"/>
      <c r="C42" s="1"/>
      <c r="D42" s="2"/>
      <c r="E42" s="1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</row>
    <row r="43" spans="1:31">
      <c r="A43" s="101"/>
      <c r="B43" s="1"/>
      <c r="C43" s="1"/>
      <c r="D43" s="2"/>
      <c r="E43" s="1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</row>
    <row r="44" spans="1:31">
      <c r="A44" s="101"/>
      <c r="B44" s="3"/>
      <c r="C44" s="3"/>
      <c r="D44" s="23"/>
      <c r="E44" s="1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</row>
    <row r="45" spans="1:31">
      <c r="A45" s="102"/>
      <c r="B45" s="51" t="s">
        <v>104</v>
      </c>
      <c r="C45" s="51" t="s">
        <v>19</v>
      </c>
      <c r="D45" s="52" t="s">
        <v>34</v>
      </c>
      <c r="E45" s="28" t="s">
        <v>154</v>
      </c>
      <c r="F45" s="57">
        <f>SUM(F37:F44)</f>
        <v>2949757.1264753425</v>
      </c>
      <c r="G45" s="57">
        <f t="shared" ref="G45" si="3">SUM(G37:G44)</f>
        <v>2618830.5704047508</v>
      </c>
      <c r="H45" s="57">
        <f t="shared" ref="H45" si="4">SUM(H37:H44)</f>
        <v>2516007.5828487836</v>
      </c>
      <c r="I45" s="57">
        <f t="shared" ref="I45" si="5">SUM(I37:I44)</f>
        <v>2183965.6591269597</v>
      </c>
      <c r="J45" s="57">
        <f t="shared" ref="J45" si="6">SUM(J37:J44)</f>
        <v>1884372.9845892002</v>
      </c>
      <c r="K45" s="57">
        <f t="shared" ref="K45" si="7">SUM(K37:K44)</f>
        <v>1644021.775716743</v>
      </c>
      <c r="L45" s="57">
        <f t="shared" ref="L45" si="8">SUM(L37:L44)</f>
        <v>1582922.3640309407</v>
      </c>
      <c r="M45" s="57">
        <f t="shared" ref="M45" si="9">SUM(M37:M44)</f>
        <v>1554873.0113987597</v>
      </c>
      <c r="N45" s="57">
        <f t="shared" ref="N45" si="10">SUM(N37:N44)</f>
        <v>1589886.590341974</v>
      </c>
      <c r="O45" s="57">
        <f t="shared" ref="O45" si="11">SUM(O37:O44)</f>
        <v>1536617.8376042135</v>
      </c>
      <c r="P45" s="57">
        <f t="shared" ref="P45" si="12">SUM(P37:P44)</f>
        <v>1549173.2346317102</v>
      </c>
      <c r="Q45" s="57">
        <f t="shared" ref="Q45" si="13">SUM(Q37:Q44)</f>
        <v>1591769.7511513815</v>
      </c>
      <c r="R45" s="57">
        <f t="shared" ref="R45" si="14">SUM(R37:R44)</f>
        <v>1599633.4757468095</v>
      </c>
      <c r="S45" s="57">
        <f t="shared" ref="S45" si="15">SUM(S37:S44)</f>
        <v>1634404.724605453</v>
      </c>
      <c r="T45" s="57">
        <f t="shared" ref="T45" si="16">SUM(T37:T44)</f>
        <v>1555675.0731081215</v>
      </c>
      <c r="U45" s="57">
        <f t="shared" ref="U45" si="17">SUM(U37:U44)</f>
        <v>1602751.1231441854</v>
      </c>
      <c r="V45" s="57">
        <f t="shared" ref="V45" si="18">SUM(V37:V44)</f>
        <v>1640185.9400270148</v>
      </c>
      <c r="W45" s="57">
        <f t="shared" ref="W45" si="19">SUM(W37:W44)</f>
        <v>1662749.6007612003</v>
      </c>
      <c r="X45" s="57">
        <f t="shared" ref="X45" si="20">SUM(X37:X44)</f>
        <v>1634846.8999458507</v>
      </c>
      <c r="Y45" s="57">
        <f t="shared" ref="Y45" si="21">SUM(Y37:Y44)</f>
        <v>1628473.6945334468</v>
      </c>
      <c r="Z45" s="57">
        <f t="shared" ref="Z45" si="22">SUM(Z37:Z44)</f>
        <v>1560833.915984151</v>
      </c>
      <c r="AA45" s="57">
        <f t="shared" ref="AA45" si="23">SUM(AA37:AA44)</f>
        <v>1509615.431981236</v>
      </c>
      <c r="AB45" s="57">
        <f t="shared" ref="AB45" si="24">SUM(AB37:AB44)</f>
        <v>1533481.1687877418</v>
      </c>
      <c r="AC45" s="57">
        <f t="shared" ref="AC45" si="25">SUM(AC37:AC44)</f>
        <v>1511233.7920264499</v>
      </c>
      <c r="AD45" s="57">
        <f t="shared" ref="AD45" si="26">SUM(AD37:AD44)</f>
        <v>1484147.193155064</v>
      </c>
      <c r="AE45" s="57">
        <f t="shared" ref="AE45" si="27">SUM(AE37:AE44)</f>
        <v>1439471.0233099118</v>
      </c>
    </row>
    <row r="47" spans="1:31" ht="13.5" customHeight="1">
      <c r="A47" s="103" t="s">
        <v>145</v>
      </c>
      <c r="B47" s="9" t="s">
        <v>9</v>
      </c>
      <c r="C47" s="9" t="s">
        <v>8</v>
      </c>
      <c r="D47" s="9" t="s">
        <v>10</v>
      </c>
      <c r="E47" s="9" t="s">
        <v>7</v>
      </c>
      <c r="F47" s="9">
        <v>2025</v>
      </c>
      <c r="G47" s="9">
        <v>2026</v>
      </c>
      <c r="H47" s="9">
        <v>2027</v>
      </c>
      <c r="I47" s="9">
        <v>2028</v>
      </c>
      <c r="J47" s="9">
        <v>2029</v>
      </c>
      <c r="K47" s="9">
        <v>2030</v>
      </c>
      <c r="L47" s="9">
        <v>2031</v>
      </c>
      <c r="M47" s="9">
        <v>2032</v>
      </c>
      <c r="N47" s="9">
        <v>2033</v>
      </c>
      <c r="O47" s="9">
        <v>2034</v>
      </c>
      <c r="P47" s="9">
        <v>2035</v>
      </c>
      <c r="Q47" s="9">
        <v>2036</v>
      </c>
      <c r="R47" s="9">
        <v>2037</v>
      </c>
      <c r="S47" s="9">
        <v>2038</v>
      </c>
      <c r="T47" s="9">
        <v>2039</v>
      </c>
      <c r="U47" s="9">
        <v>2040</v>
      </c>
      <c r="V47" s="9">
        <v>2041</v>
      </c>
      <c r="W47" s="9">
        <v>2042</v>
      </c>
      <c r="X47" s="9">
        <v>2043</v>
      </c>
      <c r="Y47" s="9">
        <v>2044</v>
      </c>
      <c r="Z47" s="9">
        <v>2045</v>
      </c>
      <c r="AA47" s="9">
        <v>2046</v>
      </c>
      <c r="AB47" s="9">
        <v>2047</v>
      </c>
      <c r="AC47" s="9">
        <v>2048</v>
      </c>
      <c r="AD47" s="9">
        <v>2049</v>
      </c>
      <c r="AE47" s="9">
        <v>2050</v>
      </c>
    </row>
    <row r="48" spans="1:31">
      <c r="A48" s="104"/>
      <c r="B48" s="5" t="s">
        <v>177</v>
      </c>
      <c r="C48" s="5">
        <v>2027</v>
      </c>
      <c r="D48" s="2" t="s">
        <v>114</v>
      </c>
      <c r="E48" s="5" t="s">
        <v>155</v>
      </c>
      <c r="F48" s="7">
        <f>$H$7+($H$7*F$21)</f>
        <v>72.387511185877841</v>
      </c>
      <c r="G48" s="7">
        <f t="shared" ref="G48:V48" si="28">$H$7+($H$7*G$21)</f>
        <v>64.26652062558459</v>
      </c>
      <c r="H48" s="7">
        <f t="shared" si="28"/>
        <v>61.743228082253509</v>
      </c>
      <c r="I48" s="7">
        <f t="shared" si="28"/>
        <v>53.594866221589371</v>
      </c>
      <c r="J48" s="7">
        <f t="shared" si="28"/>
        <v>46.242814120532977</v>
      </c>
      <c r="K48" s="7">
        <f t="shared" si="28"/>
        <v>40.34455705230323</v>
      </c>
      <c r="L48" s="7">
        <f t="shared" si="28"/>
        <v>38.8451677272772</v>
      </c>
      <c r="M48" s="7">
        <f t="shared" si="28"/>
        <v>38.156832132053204</v>
      </c>
      <c r="N48" s="7">
        <f t="shared" si="28"/>
        <v>39.016070953670379</v>
      </c>
      <c r="O48" s="7">
        <f t="shared" si="28"/>
        <v>37.708847250385389</v>
      </c>
      <c r="P48" s="7">
        <f t="shared" si="28"/>
        <v>38.016958699498844</v>
      </c>
      <c r="Q48" s="7">
        <f t="shared" si="28"/>
        <v>39.062284020818282</v>
      </c>
      <c r="R48" s="7">
        <f t="shared" si="28"/>
        <v>39.255261078829285</v>
      </c>
      <c r="S48" s="7">
        <f t="shared" si="28"/>
        <v>40.108553081452413</v>
      </c>
      <c r="T48" s="7">
        <f t="shared" si="28"/>
        <v>38.176514854551634</v>
      </c>
      <c r="U48" s="7">
        <f t="shared" si="28"/>
        <v>39.331768644087994</v>
      </c>
      <c r="V48" s="7">
        <f t="shared" si="28"/>
        <v>40.250425031600507</v>
      </c>
      <c r="W48" s="7">
        <f t="shared" ref="W48:AE48" si="29">$H$7+($H$7*W$21)</f>
        <v>40.804140871162474</v>
      </c>
      <c r="X48" s="7">
        <f t="shared" si="29"/>
        <v>40.119404134955047</v>
      </c>
      <c r="Y48" s="7">
        <f t="shared" si="29"/>
        <v>39.963004655845545</v>
      </c>
      <c r="Z48" s="7">
        <f t="shared" si="29"/>
        <v>38.303113682991793</v>
      </c>
      <c r="AA48" s="7">
        <f t="shared" si="29"/>
        <v>37.04620390204488</v>
      </c>
      <c r="AB48" s="7">
        <f t="shared" si="29"/>
        <v>37.631872896462887</v>
      </c>
      <c r="AC48" s="7">
        <f t="shared" si="29"/>
        <v>37.0859187161305</v>
      </c>
      <c r="AD48" s="7">
        <f t="shared" si="29"/>
        <v>36.421209252021939</v>
      </c>
      <c r="AE48" s="7">
        <f t="shared" si="29"/>
        <v>35.324848905815259</v>
      </c>
    </row>
    <row r="49" spans="1:31">
      <c r="A49" s="104"/>
      <c r="B49" s="1"/>
      <c r="C49" s="1"/>
      <c r="D49" s="2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>
      <c r="A50" s="104"/>
      <c r="B50" s="1"/>
      <c r="C50" s="1"/>
      <c r="D50" s="2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>
      <c r="A51" s="104"/>
      <c r="B51" s="1"/>
      <c r="C51" s="1"/>
      <c r="D51" s="2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104"/>
      <c r="B52" s="1"/>
      <c r="C52" s="1"/>
      <c r="D52" s="2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104"/>
      <c r="B53" s="1"/>
      <c r="C53" s="1"/>
      <c r="D53" s="2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104"/>
      <c r="B54" s="1"/>
      <c r="C54" s="1"/>
      <c r="D54" s="2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104"/>
      <c r="B55" s="3"/>
      <c r="C55" s="3"/>
      <c r="D55" s="23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105"/>
      <c r="B56" s="51" t="s">
        <v>104</v>
      </c>
      <c r="C56" s="51" t="s">
        <v>19</v>
      </c>
      <c r="D56" s="52" t="s">
        <v>34</v>
      </c>
      <c r="E56" s="28" t="s">
        <v>155</v>
      </c>
      <c r="F56" s="28">
        <f>SUM(F48:F55)</f>
        <v>72.387511185877841</v>
      </c>
      <c r="G56" s="28">
        <f t="shared" ref="G56:AE56" si="30">SUM(G48:G55)</f>
        <v>64.26652062558459</v>
      </c>
      <c r="H56" s="28">
        <f t="shared" si="30"/>
        <v>61.743228082253509</v>
      </c>
      <c r="I56" s="28">
        <f t="shared" si="30"/>
        <v>53.594866221589371</v>
      </c>
      <c r="J56" s="28">
        <f t="shared" si="30"/>
        <v>46.242814120532977</v>
      </c>
      <c r="K56" s="28">
        <f t="shared" si="30"/>
        <v>40.34455705230323</v>
      </c>
      <c r="L56" s="28">
        <f t="shared" si="30"/>
        <v>38.8451677272772</v>
      </c>
      <c r="M56" s="28">
        <f t="shared" si="30"/>
        <v>38.156832132053204</v>
      </c>
      <c r="N56" s="28">
        <f t="shared" si="30"/>
        <v>39.016070953670379</v>
      </c>
      <c r="O56" s="28">
        <f t="shared" si="30"/>
        <v>37.708847250385389</v>
      </c>
      <c r="P56" s="28">
        <f t="shared" si="30"/>
        <v>38.016958699498844</v>
      </c>
      <c r="Q56" s="28">
        <f t="shared" si="30"/>
        <v>39.062284020818282</v>
      </c>
      <c r="R56" s="28">
        <f t="shared" si="30"/>
        <v>39.255261078829285</v>
      </c>
      <c r="S56" s="28">
        <f t="shared" si="30"/>
        <v>40.108553081452413</v>
      </c>
      <c r="T56" s="28">
        <f t="shared" si="30"/>
        <v>38.176514854551634</v>
      </c>
      <c r="U56" s="28">
        <f t="shared" si="30"/>
        <v>39.331768644087994</v>
      </c>
      <c r="V56" s="28">
        <f t="shared" si="30"/>
        <v>40.250425031600507</v>
      </c>
      <c r="W56" s="28">
        <f t="shared" si="30"/>
        <v>40.804140871162474</v>
      </c>
      <c r="X56" s="28">
        <f t="shared" si="30"/>
        <v>40.119404134955047</v>
      </c>
      <c r="Y56" s="28">
        <f t="shared" si="30"/>
        <v>39.963004655845545</v>
      </c>
      <c r="Z56" s="28">
        <f t="shared" si="30"/>
        <v>38.303113682991793</v>
      </c>
      <c r="AA56" s="28">
        <f t="shared" si="30"/>
        <v>37.04620390204488</v>
      </c>
      <c r="AB56" s="28">
        <f t="shared" si="30"/>
        <v>37.631872896462887</v>
      </c>
      <c r="AC56" s="28">
        <f t="shared" si="30"/>
        <v>37.0859187161305</v>
      </c>
      <c r="AD56" s="28">
        <f t="shared" si="30"/>
        <v>36.421209252021939</v>
      </c>
      <c r="AE56" s="28">
        <f t="shared" si="30"/>
        <v>35.324848905815259</v>
      </c>
    </row>
    <row r="58" spans="1:31" ht="13.5" customHeight="1">
      <c r="A58" s="103" t="s">
        <v>147</v>
      </c>
      <c r="B58" s="9" t="s">
        <v>9</v>
      </c>
      <c r="C58" s="9" t="s">
        <v>8</v>
      </c>
      <c r="D58" s="9" t="s">
        <v>10</v>
      </c>
      <c r="E58" s="9" t="s">
        <v>7</v>
      </c>
      <c r="F58" s="9">
        <v>2025</v>
      </c>
      <c r="G58" s="9">
        <v>2026</v>
      </c>
      <c r="H58" s="9">
        <v>2027</v>
      </c>
      <c r="I58" s="9">
        <v>2028</v>
      </c>
      <c r="J58" s="9">
        <v>2029</v>
      </c>
      <c r="K58" s="9">
        <v>2030</v>
      </c>
      <c r="L58" s="9">
        <v>2031</v>
      </c>
      <c r="M58" s="9">
        <v>2032</v>
      </c>
      <c r="N58" s="9">
        <v>2033</v>
      </c>
      <c r="O58" s="9">
        <v>2034</v>
      </c>
      <c r="P58" s="9">
        <v>2035</v>
      </c>
      <c r="Q58" s="9">
        <v>2036</v>
      </c>
      <c r="R58" s="9">
        <v>2037</v>
      </c>
      <c r="S58" s="9">
        <v>2038</v>
      </c>
      <c r="T58" s="9">
        <v>2039</v>
      </c>
      <c r="U58" s="9">
        <v>2040</v>
      </c>
      <c r="V58" s="9">
        <v>2041</v>
      </c>
      <c r="W58" s="9">
        <v>2042</v>
      </c>
      <c r="X58" s="9">
        <v>2043</v>
      </c>
      <c r="Y58" s="9">
        <v>2044</v>
      </c>
      <c r="Z58" s="9">
        <v>2045</v>
      </c>
      <c r="AA58" s="9">
        <v>2046</v>
      </c>
      <c r="AB58" s="9">
        <v>2047</v>
      </c>
      <c r="AC58" s="9">
        <v>2048</v>
      </c>
      <c r="AD58" s="9">
        <v>2049</v>
      </c>
      <c r="AE58" s="9">
        <v>2050</v>
      </c>
    </row>
    <row r="59" spans="1:31">
      <c r="A59" s="104"/>
      <c r="B59" s="5" t="s">
        <v>177</v>
      </c>
      <c r="C59" s="5">
        <v>2027</v>
      </c>
      <c r="D59" s="2" t="s">
        <v>114</v>
      </c>
      <c r="E59" s="5" t="s">
        <v>155</v>
      </c>
      <c r="F59" s="7">
        <f>$I$7+($I$7*F$21)</f>
        <v>12.270435623069261</v>
      </c>
      <c r="G59" s="7">
        <f t="shared" ref="G59:AE59" si="31">$I$7+($I$7*G$21)</f>
        <v>10.893843304405985</v>
      </c>
      <c r="H59" s="7">
        <f t="shared" si="31"/>
        <v>10.46611898837569</v>
      </c>
      <c r="I59" s="7">
        <f t="shared" si="31"/>
        <v>9.0848869497715228</v>
      </c>
      <c r="J59" s="7">
        <f t="shared" si="31"/>
        <v>7.8386376931585486</v>
      </c>
      <c r="K59" s="7">
        <f t="shared" si="31"/>
        <v>6.8388218069874824</v>
      </c>
      <c r="L59" s="7">
        <f t="shared" si="31"/>
        <v>6.5846597300595162</v>
      </c>
      <c r="M59" s="7">
        <f t="shared" si="31"/>
        <v>6.4679796913360565</v>
      </c>
      <c r="N59" s="7">
        <f t="shared" si="31"/>
        <v>6.6136296034931732</v>
      </c>
      <c r="O59" s="7">
        <f t="shared" si="31"/>
        <v>6.3920415970355347</v>
      </c>
      <c r="P59" s="7">
        <f t="shared" si="31"/>
        <v>6.4442696905165935</v>
      </c>
      <c r="Q59" s="7">
        <f t="shared" si="31"/>
        <v>6.6214631987652472</v>
      </c>
      <c r="R59" s="7">
        <f t="shared" si="31"/>
        <v>6.6541748161183145</v>
      </c>
      <c r="S59" s="7">
        <f t="shared" si="31"/>
        <v>6.7988166806380281</v>
      </c>
      <c r="T59" s="7">
        <f t="shared" si="31"/>
        <v>6.4713161174038563</v>
      </c>
      <c r="U59" s="7">
        <f t="shared" si="31"/>
        <v>6.667143643735197</v>
      </c>
      <c r="V59" s="7">
        <f t="shared" si="31"/>
        <v>6.8228654509644624</v>
      </c>
      <c r="W59" s="7">
        <f t="shared" si="31"/>
        <v>6.9167260417143277</v>
      </c>
      <c r="X59" s="7">
        <f t="shared" si="31"/>
        <v>6.8006560470047575</v>
      </c>
      <c r="Y59" s="7">
        <f t="shared" si="31"/>
        <v>6.7741447095039158</v>
      </c>
      <c r="Z59" s="7">
        <f t="shared" si="31"/>
        <v>6.492775934834822</v>
      </c>
      <c r="AA59" s="7">
        <f t="shared" si="31"/>
        <v>6.279716661232885</v>
      </c>
      <c r="AB59" s="7">
        <f t="shared" si="31"/>
        <v>6.3789936438878145</v>
      </c>
      <c r="AC59" s="7">
        <f t="shared" si="31"/>
        <v>6.2864487350607652</v>
      </c>
      <c r="AD59" s="7">
        <f t="shared" si="31"/>
        <v>6.1737735711579038</v>
      </c>
      <c r="AE59" s="7">
        <f t="shared" si="31"/>
        <v>5.9879290956755149</v>
      </c>
    </row>
    <row r="60" spans="1:31">
      <c r="A60" s="104"/>
      <c r="B60" s="1"/>
      <c r="C60" s="1"/>
      <c r="D60" s="2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>
      <c r="A61" s="104"/>
      <c r="B61" s="1"/>
      <c r="C61" s="1"/>
      <c r="D61" s="2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>
      <c r="A62" s="104"/>
      <c r="B62" s="1"/>
      <c r="C62" s="1"/>
      <c r="D62" s="2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104"/>
      <c r="B63" s="1"/>
      <c r="C63" s="1"/>
      <c r="D63" s="2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104"/>
      <c r="B64" s="1"/>
      <c r="C64" s="1"/>
      <c r="D64" s="2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104"/>
      <c r="B65" s="1"/>
      <c r="C65" s="1"/>
      <c r="D65" s="2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104"/>
      <c r="B66" s="3"/>
      <c r="C66" s="3"/>
      <c r="D66" s="23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105"/>
      <c r="B67" s="51" t="s">
        <v>104</v>
      </c>
      <c r="C67" s="51" t="s">
        <v>19</v>
      </c>
      <c r="D67" s="52" t="s">
        <v>34</v>
      </c>
      <c r="E67" s="28" t="s">
        <v>155</v>
      </c>
      <c r="F67" s="28">
        <f>SUM(F59:F66)</f>
        <v>12.270435623069261</v>
      </c>
      <c r="G67" s="28">
        <f t="shared" ref="G67" si="32">SUM(G59:G66)</f>
        <v>10.893843304405985</v>
      </c>
      <c r="H67" s="28">
        <f t="shared" ref="H67" si="33">SUM(H59:H66)</f>
        <v>10.46611898837569</v>
      </c>
      <c r="I67" s="28">
        <f t="shared" ref="I67" si="34">SUM(I59:I66)</f>
        <v>9.0848869497715228</v>
      </c>
      <c r="J67" s="28">
        <f t="shared" ref="J67" si="35">SUM(J59:J66)</f>
        <v>7.8386376931585486</v>
      </c>
      <c r="K67" s="28">
        <f t="shared" ref="K67" si="36">SUM(K59:K66)</f>
        <v>6.8388218069874824</v>
      </c>
      <c r="L67" s="28">
        <f t="shared" ref="L67" si="37">SUM(L59:L66)</f>
        <v>6.5846597300595162</v>
      </c>
      <c r="M67" s="28">
        <f t="shared" ref="M67" si="38">SUM(M59:M66)</f>
        <v>6.4679796913360565</v>
      </c>
      <c r="N67" s="28">
        <f t="shared" ref="N67" si="39">SUM(N59:N66)</f>
        <v>6.6136296034931732</v>
      </c>
      <c r="O67" s="28">
        <f t="shared" ref="O67" si="40">SUM(O59:O66)</f>
        <v>6.3920415970355347</v>
      </c>
      <c r="P67" s="28">
        <f t="shared" ref="P67" si="41">SUM(P59:P66)</f>
        <v>6.4442696905165935</v>
      </c>
      <c r="Q67" s="28">
        <f t="shared" ref="Q67" si="42">SUM(Q59:Q66)</f>
        <v>6.6214631987652472</v>
      </c>
      <c r="R67" s="28">
        <f t="shared" ref="R67" si="43">SUM(R59:R66)</f>
        <v>6.6541748161183145</v>
      </c>
      <c r="S67" s="28">
        <f t="shared" ref="S67" si="44">SUM(S59:S66)</f>
        <v>6.7988166806380281</v>
      </c>
      <c r="T67" s="28">
        <f t="shared" ref="T67" si="45">SUM(T59:T66)</f>
        <v>6.4713161174038563</v>
      </c>
      <c r="U67" s="28">
        <f t="shared" ref="U67" si="46">SUM(U59:U66)</f>
        <v>6.667143643735197</v>
      </c>
      <c r="V67" s="28">
        <f t="shared" ref="V67" si="47">SUM(V59:V66)</f>
        <v>6.8228654509644624</v>
      </c>
      <c r="W67" s="28">
        <f t="shared" ref="W67" si="48">SUM(W59:W66)</f>
        <v>6.9167260417143277</v>
      </c>
      <c r="X67" s="28">
        <f t="shared" ref="X67" si="49">SUM(X59:X66)</f>
        <v>6.8006560470047575</v>
      </c>
      <c r="Y67" s="28">
        <f t="shared" ref="Y67" si="50">SUM(Y59:Y66)</f>
        <v>6.7741447095039158</v>
      </c>
      <c r="Z67" s="28">
        <f t="shared" ref="Z67" si="51">SUM(Z59:Z66)</f>
        <v>6.492775934834822</v>
      </c>
      <c r="AA67" s="28">
        <f t="shared" ref="AA67" si="52">SUM(AA59:AA66)</f>
        <v>6.279716661232885</v>
      </c>
      <c r="AB67" s="28">
        <f t="shared" ref="AB67" si="53">SUM(AB59:AB66)</f>
        <v>6.3789936438878145</v>
      </c>
      <c r="AC67" s="28">
        <f t="shared" ref="AC67" si="54">SUM(AC59:AC66)</f>
        <v>6.2864487350607652</v>
      </c>
      <c r="AD67" s="28">
        <f t="shared" ref="AD67" si="55">SUM(AD59:AD66)</f>
        <v>6.1737735711579038</v>
      </c>
      <c r="AE67" s="28">
        <f t="shared" ref="AE67" si="56">SUM(AE59:AE66)</f>
        <v>5.9879290956755149</v>
      </c>
    </row>
    <row r="72" spans="1:31" ht="13.5" customHeight="1">
      <c r="A72" s="103" t="s">
        <v>156</v>
      </c>
      <c r="B72" s="9" t="s">
        <v>9</v>
      </c>
      <c r="C72" s="9" t="s">
        <v>8</v>
      </c>
      <c r="D72" s="9" t="s">
        <v>10</v>
      </c>
      <c r="E72" s="9" t="s">
        <v>7</v>
      </c>
      <c r="F72" s="9">
        <v>2025</v>
      </c>
      <c r="G72" s="9">
        <v>2026</v>
      </c>
      <c r="H72" s="9">
        <v>2027</v>
      </c>
      <c r="I72" s="9">
        <v>2028</v>
      </c>
      <c r="J72" s="9">
        <v>2029</v>
      </c>
      <c r="K72" s="9">
        <v>2030</v>
      </c>
      <c r="L72" s="9">
        <v>2031</v>
      </c>
      <c r="M72" s="9">
        <v>2032</v>
      </c>
      <c r="N72" s="9">
        <v>2033</v>
      </c>
      <c r="O72" s="9">
        <v>2034</v>
      </c>
      <c r="P72" s="9">
        <v>2035</v>
      </c>
      <c r="Q72" s="9">
        <v>2036</v>
      </c>
      <c r="R72" s="9">
        <v>2037</v>
      </c>
      <c r="S72" s="9">
        <v>2038</v>
      </c>
      <c r="T72" s="9">
        <v>2039</v>
      </c>
      <c r="U72" s="9">
        <v>2040</v>
      </c>
      <c r="V72" s="9">
        <v>2041</v>
      </c>
      <c r="W72" s="9">
        <v>2042</v>
      </c>
      <c r="X72" s="9">
        <v>2043</v>
      </c>
      <c r="Y72" s="9">
        <v>2044</v>
      </c>
      <c r="Z72" s="9">
        <v>2045</v>
      </c>
      <c r="AA72" s="9">
        <v>2046</v>
      </c>
      <c r="AB72" s="9">
        <v>2047</v>
      </c>
      <c r="AC72" s="9">
        <v>2048</v>
      </c>
      <c r="AD72" s="9">
        <v>2049</v>
      </c>
      <c r="AE72" s="32">
        <v>2050</v>
      </c>
    </row>
    <row r="73" spans="1:31">
      <c r="A73" s="104"/>
      <c r="B73" s="5" t="s">
        <v>118</v>
      </c>
      <c r="C73" s="5"/>
      <c r="D73" s="5" t="s">
        <v>55</v>
      </c>
      <c r="E73" s="5" t="s">
        <v>154</v>
      </c>
      <c r="F73" s="55">
        <f>F34</f>
        <v>1308923.4862068284</v>
      </c>
      <c r="G73" s="55">
        <f t="shared" ref="G73:AE73" si="57">G34</f>
        <v>1162078.3315455981</v>
      </c>
      <c r="H73" s="55">
        <f t="shared" si="57"/>
        <v>1116451.7197388231</v>
      </c>
      <c r="I73" s="55">
        <f t="shared" si="57"/>
        <v>969111.63249438116</v>
      </c>
      <c r="J73" s="55">
        <f t="shared" si="57"/>
        <v>836170.55592969351</v>
      </c>
      <c r="K73" s="55">
        <f t="shared" si="57"/>
        <v>729517.25237202784</v>
      </c>
      <c r="L73" s="55">
        <f t="shared" si="57"/>
        <v>702405.03549452242</v>
      </c>
      <c r="M73" s="55">
        <f t="shared" si="57"/>
        <v>689958.43231366016</v>
      </c>
      <c r="N73" s="55">
        <f t="shared" si="57"/>
        <v>705495.33716714289</v>
      </c>
      <c r="O73" s="55">
        <f t="shared" si="57"/>
        <v>681857.89226919191</v>
      </c>
      <c r="P73" s="55">
        <f t="shared" si="57"/>
        <v>687429.2167353452</v>
      </c>
      <c r="Q73" s="55">
        <f t="shared" si="57"/>
        <v>706330.96983317297</v>
      </c>
      <c r="R73" s="55">
        <f t="shared" si="57"/>
        <v>709820.41434358153</v>
      </c>
      <c r="S73" s="55">
        <f t="shared" si="57"/>
        <v>725249.78778837225</v>
      </c>
      <c r="T73" s="55">
        <f t="shared" si="57"/>
        <v>690314.33870315505</v>
      </c>
      <c r="U73" s="55">
        <f t="shared" si="57"/>
        <v>711203.83735950047</v>
      </c>
      <c r="V73" s="55">
        <f t="shared" si="57"/>
        <v>727815.14090717142</v>
      </c>
      <c r="W73" s="55">
        <f t="shared" si="57"/>
        <v>737827.52640314889</v>
      </c>
      <c r="X73" s="55">
        <f t="shared" si="57"/>
        <v>725445.99841292622</v>
      </c>
      <c r="Y73" s="55">
        <f t="shared" si="57"/>
        <v>722617.9560050132</v>
      </c>
      <c r="Z73" s="55">
        <f t="shared" si="57"/>
        <v>692603.52059595531</v>
      </c>
      <c r="AA73" s="55">
        <f t="shared" si="57"/>
        <v>669875.86073623272</v>
      </c>
      <c r="AB73" s="55">
        <f t="shared" si="57"/>
        <v>680466.02869999094</v>
      </c>
      <c r="AC73" s="55">
        <f t="shared" si="57"/>
        <v>670593.99086745828</v>
      </c>
      <c r="AD73" s="55">
        <f t="shared" si="57"/>
        <v>658574.59947214543</v>
      </c>
      <c r="AE73" s="55">
        <f t="shared" si="57"/>
        <v>638750.02223518502</v>
      </c>
    </row>
    <row r="74" spans="1:31">
      <c r="A74" s="104"/>
      <c r="B74" s="1" t="s">
        <v>119</v>
      </c>
      <c r="C74" s="1"/>
      <c r="D74" s="1" t="s">
        <v>55</v>
      </c>
      <c r="E74" s="1" t="s">
        <v>154</v>
      </c>
      <c r="F74" s="56">
        <f>F45</f>
        <v>2949757.1264753425</v>
      </c>
      <c r="G74" s="56">
        <f t="shared" ref="G74:AE74" si="58">G45</f>
        <v>2618830.5704047508</v>
      </c>
      <c r="H74" s="56">
        <f t="shared" si="58"/>
        <v>2516007.5828487836</v>
      </c>
      <c r="I74" s="56">
        <f t="shared" si="58"/>
        <v>2183965.6591269597</v>
      </c>
      <c r="J74" s="56">
        <f t="shared" si="58"/>
        <v>1884372.9845892002</v>
      </c>
      <c r="K74" s="56">
        <f t="shared" si="58"/>
        <v>1644021.775716743</v>
      </c>
      <c r="L74" s="56">
        <f t="shared" si="58"/>
        <v>1582922.3640309407</v>
      </c>
      <c r="M74" s="56">
        <f t="shared" si="58"/>
        <v>1554873.0113987597</v>
      </c>
      <c r="N74" s="56">
        <f t="shared" si="58"/>
        <v>1589886.590341974</v>
      </c>
      <c r="O74" s="56">
        <f t="shared" si="58"/>
        <v>1536617.8376042135</v>
      </c>
      <c r="P74" s="56">
        <f t="shared" si="58"/>
        <v>1549173.2346317102</v>
      </c>
      <c r="Q74" s="56">
        <f t="shared" si="58"/>
        <v>1591769.7511513815</v>
      </c>
      <c r="R74" s="56">
        <f t="shared" si="58"/>
        <v>1599633.4757468095</v>
      </c>
      <c r="S74" s="56">
        <f t="shared" si="58"/>
        <v>1634404.724605453</v>
      </c>
      <c r="T74" s="56">
        <f t="shared" si="58"/>
        <v>1555675.0731081215</v>
      </c>
      <c r="U74" s="56">
        <f t="shared" si="58"/>
        <v>1602751.1231441854</v>
      </c>
      <c r="V74" s="56">
        <f t="shared" si="58"/>
        <v>1640185.9400270148</v>
      </c>
      <c r="W74" s="56">
        <f t="shared" si="58"/>
        <v>1662749.6007612003</v>
      </c>
      <c r="X74" s="56">
        <f t="shared" si="58"/>
        <v>1634846.8999458507</v>
      </c>
      <c r="Y74" s="56">
        <f t="shared" si="58"/>
        <v>1628473.6945334468</v>
      </c>
      <c r="Z74" s="56">
        <f t="shared" si="58"/>
        <v>1560833.915984151</v>
      </c>
      <c r="AA74" s="56">
        <f t="shared" si="58"/>
        <v>1509615.431981236</v>
      </c>
      <c r="AB74" s="56">
        <f t="shared" si="58"/>
        <v>1533481.1687877418</v>
      </c>
      <c r="AC74" s="56">
        <f t="shared" si="58"/>
        <v>1511233.7920264499</v>
      </c>
      <c r="AD74" s="56">
        <f t="shared" si="58"/>
        <v>1484147.193155064</v>
      </c>
      <c r="AE74" s="56">
        <f t="shared" si="58"/>
        <v>1439471.0233099118</v>
      </c>
    </row>
    <row r="75" spans="1:31">
      <c r="A75" s="104"/>
      <c r="B75" s="1" t="s">
        <v>145</v>
      </c>
      <c r="C75" s="1"/>
      <c r="D75" s="1" t="s">
        <v>55</v>
      </c>
      <c r="E75" s="1" t="s">
        <v>155</v>
      </c>
      <c r="F75" s="14">
        <f>F56</f>
        <v>72.387511185877841</v>
      </c>
      <c r="G75" s="14">
        <f t="shared" ref="G75:AE75" si="59">G56</f>
        <v>64.26652062558459</v>
      </c>
      <c r="H75" s="14">
        <f t="shared" si="59"/>
        <v>61.743228082253509</v>
      </c>
      <c r="I75" s="14">
        <f t="shared" si="59"/>
        <v>53.594866221589371</v>
      </c>
      <c r="J75" s="14">
        <f t="shared" si="59"/>
        <v>46.242814120532977</v>
      </c>
      <c r="K75" s="14">
        <f t="shared" si="59"/>
        <v>40.34455705230323</v>
      </c>
      <c r="L75" s="14">
        <f t="shared" si="59"/>
        <v>38.8451677272772</v>
      </c>
      <c r="M75" s="14">
        <f t="shared" si="59"/>
        <v>38.156832132053204</v>
      </c>
      <c r="N75" s="14">
        <f t="shared" si="59"/>
        <v>39.016070953670379</v>
      </c>
      <c r="O75" s="14">
        <f t="shared" si="59"/>
        <v>37.708847250385389</v>
      </c>
      <c r="P75" s="14">
        <f t="shared" si="59"/>
        <v>38.016958699498844</v>
      </c>
      <c r="Q75" s="14">
        <f t="shared" si="59"/>
        <v>39.062284020818282</v>
      </c>
      <c r="R75" s="14">
        <f t="shared" si="59"/>
        <v>39.255261078829285</v>
      </c>
      <c r="S75" s="14">
        <f t="shared" si="59"/>
        <v>40.108553081452413</v>
      </c>
      <c r="T75" s="14">
        <f t="shared" si="59"/>
        <v>38.176514854551634</v>
      </c>
      <c r="U75" s="14">
        <f t="shared" si="59"/>
        <v>39.331768644087994</v>
      </c>
      <c r="V75" s="14">
        <f t="shared" si="59"/>
        <v>40.250425031600507</v>
      </c>
      <c r="W75" s="14">
        <f t="shared" si="59"/>
        <v>40.804140871162474</v>
      </c>
      <c r="X75" s="14">
        <f t="shared" si="59"/>
        <v>40.119404134955047</v>
      </c>
      <c r="Y75" s="14">
        <f t="shared" si="59"/>
        <v>39.963004655845545</v>
      </c>
      <c r="Z75" s="14">
        <f t="shared" si="59"/>
        <v>38.303113682991793</v>
      </c>
      <c r="AA75" s="14">
        <f t="shared" si="59"/>
        <v>37.04620390204488</v>
      </c>
      <c r="AB75" s="14">
        <f t="shared" si="59"/>
        <v>37.631872896462887</v>
      </c>
      <c r="AC75" s="14">
        <f t="shared" si="59"/>
        <v>37.0859187161305</v>
      </c>
      <c r="AD75" s="14">
        <f t="shared" si="59"/>
        <v>36.421209252021939</v>
      </c>
      <c r="AE75" s="14">
        <f t="shared" si="59"/>
        <v>35.324848905815259</v>
      </c>
    </row>
    <row r="76" spans="1:31">
      <c r="A76" s="105"/>
      <c r="B76" s="3" t="s">
        <v>147</v>
      </c>
      <c r="C76" s="3"/>
      <c r="D76" s="3" t="s">
        <v>55</v>
      </c>
      <c r="E76" s="3" t="s">
        <v>155</v>
      </c>
      <c r="F76" s="44">
        <f>F67</f>
        <v>12.270435623069261</v>
      </c>
      <c r="G76" s="44">
        <f t="shared" ref="G76:AE76" si="60">G67</f>
        <v>10.893843304405985</v>
      </c>
      <c r="H76" s="44">
        <f t="shared" si="60"/>
        <v>10.46611898837569</v>
      </c>
      <c r="I76" s="44">
        <f t="shared" si="60"/>
        <v>9.0848869497715228</v>
      </c>
      <c r="J76" s="44">
        <f t="shared" si="60"/>
        <v>7.8386376931585486</v>
      </c>
      <c r="K76" s="44">
        <f t="shared" si="60"/>
        <v>6.8388218069874824</v>
      </c>
      <c r="L76" s="44">
        <f t="shared" si="60"/>
        <v>6.5846597300595162</v>
      </c>
      <c r="M76" s="44">
        <f t="shared" si="60"/>
        <v>6.4679796913360565</v>
      </c>
      <c r="N76" s="44">
        <f t="shared" si="60"/>
        <v>6.6136296034931732</v>
      </c>
      <c r="O76" s="44">
        <f t="shared" si="60"/>
        <v>6.3920415970355347</v>
      </c>
      <c r="P76" s="44">
        <f t="shared" si="60"/>
        <v>6.4442696905165935</v>
      </c>
      <c r="Q76" s="44">
        <f t="shared" si="60"/>
        <v>6.6214631987652472</v>
      </c>
      <c r="R76" s="44">
        <f t="shared" si="60"/>
        <v>6.6541748161183145</v>
      </c>
      <c r="S76" s="44">
        <f t="shared" si="60"/>
        <v>6.7988166806380281</v>
      </c>
      <c r="T76" s="44">
        <f t="shared" si="60"/>
        <v>6.4713161174038563</v>
      </c>
      <c r="U76" s="44">
        <f t="shared" si="60"/>
        <v>6.667143643735197</v>
      </c>
      <c r="V76" s="44">
        <f t="shared" si="60"/>
        <v>6.8228654509644624</v>
      </c>
      <c r="W76" s="44">
        <f t="shared" si="60"/>
        <v>6.9167260417143277</v>
      </c>
      <c r="X76" s="44">
        <f t="shared" si="60"/>
        <v>6.8006560470047575</v>
      </c>
      <c r="Y76" s="44">
        <f t="shared" si="60"/>
        <v>6.7741447095039158</v>
      </c>
      <c r="Z76" s="44">
        <f t="shared" si="60"/>
        <v>6.492775934834822</v>
      </c>
      <c r="AA76" s="44">
        <f t="shared" si="60"/>
        <v>6.279716661232885</v>
      </c>
      <c r="AB76" s="44">
        <f t="shared" si="60"/>
        <v>6.3789936438878145</v>
      </c>
      <c r="AC76" s="44">
        <f t="shared" si="60"/>
        <v>6.2864487350607652</v>
      </c>
      <c r="AD76" s="44">
        <f t="shared" si="60"/>
        <v>6.1737735711579038</v>
      </c>
      <c r="AE76" s="44">
        <f t="shared" si="60"/>
        <v>5.9879290956755149</v>
      </c>
    </row>
    <row r="81" spans="1:8" ht="39">
      <c r="A81" s="22"/>
      <c r="E81" s="58" t="s">
        <v>118</v>
      </c>
      <c r="F81" s="29" t="s">
        <v>119</v>
      </c>
      <c r="G81" s="29" t="s">
        <v>145</v>
      </c>
      <c r="H81" s="59" t="s">
        <v>147</v>
      </c>
    </row>
    <row r="82" spans="1:8" ht="13.5" customHeight="1">
      <c r="A82" s="100" t="s">
        <v>37</v>
      </c>
      <c r="B82" s="5" t="s">
        <v>158</v>
      </c>
      <c r="C82" s="5" t="s">
        <v>160</v>
      </c>
      <c r="D82" s="5" t="s">
        <v>34</v>
      </c>
      <c r="E82" s="60">
        <f>SUM($F$73:$K$73)</f>
        <v>6122252.9782873522</v>
      </c>
      <c r="F82" s="55">
        <f>SUM($F$74:$K$74)</f>
        <v>13796955.699161779</v>
      </c>
      <c r="G82" s="7">
        <f>SUM($F$75:$K$75)</f>
        <v>338.57949728814151</v>
      </c>
      <c r="H82" s="34">
        <f>SUM($F$76:$K$76)</f>
        <v>57.392744365768486</v>
      </c>
    </row>
    <row r="83" spans="1:8" ht="13.5" customHeight="1">
      <c r="A83" s="101"/>
      <c r="B83" s="1" t="s">
        <v>159</v>
      </c>
      <c r="C83" s="1" t="s">
        <v>160</v>
      </c>
      <c r="D83" s="1" t="s">
        <v>34</v>
      </c>
      <c r="E83" s="61">
        <f>E82/COUNT($F$72:$K$72)</f>
        <v>1020375.4963812254</v>
      </c>
      <c r="F83" s="56">
        <f>F82/COUNT($F$72:$K$72)</f>
        <v>2299492.6165269632</v>
      </c>
      <c r="G83" s="2">
        <f>G82/COUNT($F$72:$K$72)</f>
        <v>56.429916214690252</v>
      </c>
      <c r="H83" s="35">
        <f>H82/COUNT($F$72:$K$72)</f>
        <v>9.5654573942947483</v>
      </c>
    </row>
    <row r="84" spans="1:8">
      <c r="A84" s="101"/>
      <c r="B84" s="1" t="s">
        <v>158</v>
      </c>
      <c r="C84" s="1" t="s">
        <v>40</v>
      </c>
      <c r="D84" s="1" t="s">
        <v>34</v>
      </c>
      <c r="E84" s="61">
        <f>SUM(F73:AE73)</f>
        <v>20056888.884630226</v>
      </c>
      <c r="F84" s="56">
        <f>SUM(F74:AE74)</f>
        <v>45199701.545437396</v>
      </c>
      <c r="G84" s="2">
        <f>SUM($F$75:$AE$75)</f>
        <v>1109.2078977797973</v>
      </c>
      <c r="H84" s="35">
        <f>SUM($F$76:$AE$76)</f>
        <v>188.02226902590721</v>
      </c>
    </row>
    <row r="85" spans="1:8">
      <c r="A85" s="102"/>
      <c r="B85" s="3" t="s">
        <v>159</v>
      </c>
      <c r="C85" s="3" t="s">
        <v>40</v>
      </c>
      <c r="D85" s="3" t="s">
        <v>34</v>
      </c>
      <c r="E85" s="62">
        <f>E84/COUNT($F$72:$AE$72)</f>
        <v>771418.80325500865</v>
      </c>
      <c r="F85" s="63">
        <f>F84/COUNT($F$72:$AE$72)</f>
        <v>1738450.0594398999</v>
      </c>
      <c r="G85" s="23">
        <f>G84/COUNT($F$72:$AE$72)</f>
        <v>42.661842222299896</v>
      </c>
      <c r="H85" s="36">
        <f>H84/COUNT($F$72:$AE$72)</f>
        <v>7.2316257317656616</v>
      </c>
    </row>
    <row r="86" spans="1:8" ht="13">
      <c r="A86" s="22"/>
    </row>
  </sheetData>
  <mergeCells count="9">
    <mergeCell ref="A58:A67"/>
    <mergeCell ref="A72:A76"/>
    <mergeCell ref="A82:A85"/>
    <mergeCell ref="A6:A11"/>
    <mergeCell ref="A13:A18"/>
    <mergeCell ref="A20:A21"/>
    <mergeCell ref="A25:A34"/>
    <mergeCell ref="A36:A45"/>
    <mergeCell ref="A47:A5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36AB-B122-41A5-8117-D4BBAFCC2BA9}">
  <sheetPr>
    <tabColor theme="6"/>
  </sheetPr>
  <dimension ref="A1:AC24"/>
  <sheetViews>
    <sheetView workbookViewId="0">
      <selection activeCell="B22" sqref="B22"/>
    </sheetView>
  </sheetViews>
  <sheetFormatPr defaultColWidth="9.08984375" defaultRowHeight="12.5"/>
  <cols>
    <col min="1" max="1" width="4" style="21" customWidth="1"/>
    <col min="2" max="2" width="36.6328125" style="21" customWidth="1"/>
    <col min="3" max="3" width="16.6328125" style="21" customWidth="1"/>
    <col min="4" max="4" width="16.36328125" style="21" customWidth="1"/>
    <col min="5" max="5" width="12.36328125" style="21" customWidth="1"/>
    <col min="6" max="7" width="3.6328125" style="21" customWidth="1"/>
    <col min="8" max="11" width="15.08984375" style="21" customWidth="1"/>
    <col min="12" max="13" width="3.90625" style="21" customWidth="1"/>
    <col min="14" max="17" width="13.08984375" style="21" customWidth="1"/>
    <col min="18" max="19" width="4.08984375" style="21" customWidth="1"/>
    <col min="20" max="23" width="14" style="21" customWidth="1"/>
    <col min="24" max="25" width="4.6328125" style="21" customWidth="1"/>
    <col min="26" max="29" width="14.54296875" style="21" customWidth="1"/>
    <col min="30" max="16384" width="9.08984375" style="21"/>
  </cols>
  <sheetData>
    <row r="1" spans="1:29">
      <c r="A1" s="21" t="s">
        <v>186</v>
      </c>
    </row>
    <row r="5" spans="1:29" ht="13">
      <c r="B5" s="64" t="s">
        <v>210</v>
      </c>
      <c r="C5" s="64"/>
      <c r="D5" s="64"/>
      <c r="E5" s="64"/>
      <c r="F5" s="22"/>
      <c r="G5" s="22"/>
    </row>
    <row r="7" spans="1:29" s="22" customFormat="1" ht="13">
      <c r="B7" s="64" t="s">
        <v>66</v>
      </c>
      <c r="C7" s="67" t="s">
        <v>67</v>
      </c>
      <c r="D7" s="67" t="s">
        <v>68</v>
      </c>
      <c r="E7" s="67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29" ht="13">
      <c r="B8" s="22" t="s">
        <v>75</v>
      </c>
      <c r="C8" s="33">
        <v>476113790</v>
      </c>
      <c r="D8" s="33">
        <v>476045480</v>
      </c>
      <c r="E8" s="33">
        <v>-68310</v>
      </c>
    </row>
    <row r="9" spans="1:29" ht="17.25" customHeight="1">
      <c r="B9" s="64" t="s">
        <v>69</v>
      </c>
      <c r="C9" s="65"/>
      <c r="D9" s="65"/>
      <c r="E9" s="65"/>
    </row>
    <row r="10" spans="1:29">
      <c r="B10" s="21" t="s">
        <v>76</v>
      </c>
      <c r="C10" s="33">
        <v>347094670</v>
      </c>
      <c r="D10" s="33">
        <v>347049120</v>
      </c>
      <c r="E10" s="33">
        <v>-45550</v>
      </c>
    </row>
    <row r="11" spans="1:29">
      <c r="B11" s="21" t="s">
        <v>77</v>
      </c>
      <c r="C11" s="33">
        <v>227254370</v>
      </c>
      <c r="D11" s="33">
        <v>227213950</v>
      </c>
      <c r="E11" s="33">
        <v>-40420</v>
      </c>
    </row>
    <row r="12" spans="1:29">
      <c r="B12" s="21" t="s">
        <v>70</v>
      </c>
      <c r="C12" s="33">
        <v>86634950</v>
      </c>
      <c r="D12" s="33">
        <v>86616360</v>
      </c>
      <c r="E12" s="33">
        <v>-18590</v>
      </c>
    </row>
    <row r="13" spans="1:29">
      <c r="B13" s="21" t="s">
        <v>78</v>
      </c>
      <c r="C13" s="33">
        <v>312476770</v>
      </c>
      <c r="D13" s="33">
        <v>312429240</v>
      </c>
      <c r="E13" s="33">
        <v>-47520</v>
      </c>
    </row>
    <row r="14" spans="1:29">
      <c r="B14" s="21" t="s">
        <v>79</v>
      </c>
      <c r="C14" s="33">
        <v>37187760</v>
      </c>
      <c r="D14" s="33">
        <v>37181740</v>
      </c>
      <c r="E14" s="33">
        <v>-6020</v>
      </c>
    </row>
    <row r="15" spans="1:29">
      <c r="B15" s="21" t="s">
        <v>80</v>
      </c>
      <c r="C15" s="33">
        <v>7422320</v>
      </c>
      <c r="D15" s="33">
        <v>7420880</v>
      </c>
      <c r="E15" s="33">
        <v>-1440</v>
      </c>
    </row>
    <row r="16" spans="1:29">
      <c r="B16" s="21" t="s">
        <v>81</v>
      </c>
      <c r="C16" s="33">
        <v>8756650</v>
      </c>
      <c r="D16" s="33">
        <v>8754690</v>
      </c>
      <c r="E16" s="33">
        <v>-1970</v>
      </c>
    </row>
    <row r="17" spans="2:5" ht="13">
      <c r="B17" s="64" t="s">
        <v>71</v>
      </c>
      <c r="C17" s="67" t="s">
        <v>72</v>
      </c>
      <c r="D17" s="67"/>
      <c r="E17" s="67" t="s">
        <v>73</v>
      </c>
    </row>
    <row r="18" spans="2:5">
      <c r="B18" s="21" t="s">
        <v>82</v>
      </c>
      <c r="C18" s="21">
        <v>0.72899999999999998</v>
      </c>
      <c r="E18" s="21">
        <v>0.66700000000000004</v>
      </c>
    </row>
    <row r="19" spans="2:5">
      <c r="B19" s="21" t="s">
        <v>83</v>
      </c>
      <c r="C19" s="21">
        <v>0.47699999999999998</v>
      </c>
      <c r="E19" s="21">
        <v>0.59199999999999997</v>
      </c>
    </row>
    <row r="20" spans="2:5">
      <c r="B20" s="21" t="s">
        <v>74</v>
      </c>
      <c r="C20" s="21">
        <v>0.4</v>
      </c>
      <c r="E20" s="21">
        <v>0.55600000000000005</v>
      </c>
    </row>
    <row r="21" spans="2:5">
      <c r="B21" s="21" t="s">
        <v>84</v>
      </c>
      <c r="C21" s="21">
        <v>0.65600000000000003</v>
      </c>
      <c r="E21" s="21">
        <v>0.69599999999999995</v>
      </c>
    </row>
    <row r="22" spans="2:5">
      <c r="B22" s="21" t="s">
        <v>85</v>
      </c>
      <c r="C22" s="21">
        <v>7.8E-2</v>
      </c>
      <c r="E22" s="21">
        <v>8.7999999999999995E-2</v>
      </c>
    </row>
    <row r="23" spans="2:5">
      <c r="B23" s="21" t="s">
        <v>86</v>
      </c>
      <c r="C23" s="21">
        <v>1.6E-2</v>
      </c>
      <c r="E23" s="21">
        <v>2.1000000000000001E-2</v>
      </c>
    </row>
    <row r="24" spans="2:5">
      <c r="B24" s="66" t="s">
        <v>87</v>
      </c>
      <c r="C24" s="66">
        <v>1.7999999999999999E-2</v>
      </c>
      <c r="D24" s="66"/>
      <c r="E24" s="66">
        <v>2.9000000000000001E-2</v>
      </c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C946-7822-4259-B941-882C471AC295}">
  <sheetPr>
    <tabColor theme="6"/>
  </sheetPr>
  <dimension ref="A1:AN36"/>
  <sheetViews>
    <sheetView workbookViewId="0">
      <selection activeCell="B22" sqref="B22"/>
    </sheetView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20.453125" style="21" customWidth="1"/>
    <col min="5" max="5" width="16.08984375" style="21" customWidth="1"/>
    <col min="6" max="9" width="15.90625" style="21" customWidth="1"/>
    <col min="10" max="10" width="11.54296875" style="21" bestFit="1" customWidth="1"/>
    <col min="11" max="11" width="16.54296875" style="21" customWidth="1"/>
    <col min="12" max="12" width="12" style="21" customWidth="1"/>
    <col min="13" max="13" width="14.08984375" style="21" customWidth="1"/>
    <col min="14" max="35" width="9.54296875" style="21" bestFit="1" customWidth="1"/>
    <col min="36" max="16384" width="9.08984375" style="21"/>
  </cols>
  <sheetData>
    <row r="1" spans="1:4">
      <c r="A1" s="21" t="s">
        <v>186</v>
      </c>
    </row>
    <row r="2" spans="1:4" ht="13">
      <c r="A2" s="22" t="s">
        <v>210</v>
      </c>
    </row>
    <row r="3" spans="1:4" ht="13">
      <c r="A3" s="22" t="s">
        <v>222</v>
      </c>
    </row>
    <row r="4" spans="1:4" ht="13">
      <c r="A4" s="22"/>
    </row>
    <row r="5" spans="1:4" ht="13">
      <c r="A5" s="22"/>
      <c r="B5" s="90" t="s">
        <v>211</v>
      </c>
      <c r="C5" s="21" t="s">
        <v>221</v>
      </c>
    </row>
    <row r="6" spans="1:4" ht="13">
      <c r="A6" s="22"/>
    </row>
    <row r="7" spans="1:4" ht="13">
      <c r="A7" s="22"/>
      <c r="B7" s="64" t="str">
        <f>B5</f>
        <v>Total - All In</v>
      </c>
      <c r="C7" s="67" t="s">
        <v>220</v>
      </c>
      <c r="D7" s="67" t="s">
        <v>219</v>
      </c>
    </row>
    <row r="8" spans="1:4" ht="13">
      <c r="A8" s="22"/>
      <c r="B8" s="89" t="s">
        <v>218</v>
      </c>
      <c r="C8" s="88">
        <f>_xlfn.XLOOKUP($B5,$C$33:$C$35,E$33:E$35,0,0,1)</f>
        <v>2065037.6373949891</v>
      </c>
      <c r="D8" s="88">
        <f>_xlfn.XLOOKUP($B5,$C$33:$C$35,F$33:F$35,0,0,1)</f>
        <v>4653778.0409731902</v>
      </c>
    </row>
    <row r="9" spans="1:4" ht="13">
      <c r="A9" s="22"/>
      <c r="B9" s="86" t="s">
        <v>217</v>
      </c>
      <c r="C9" s="87">
        <f>_xlfn.XLOOKUP($B$5,$C$33:$C$35,H$33:H$35,0,0,1)</f>
        <v>2034014.4809330078</v>
      </c>
      <c r="D9" s="87">
        <f>_xlfn.XLOOKUP($B5,$C$33:$C$35,J$33:J$35,0,0,1)</f>
        <v>4597573.939057827</v>
      </c>
    </row>
    <row r="10" spans="1:4" ht="13">
      <c r="A10" s="22"/>
      <c r="B10" s="86" t="s">
        <v>145</v>
      </c>
      <c r="C10" s="85">
        <f>_xlfn.XLOOKUP($B$5,$C$33:$C$35,AF$33:AF$35,0,0,1)</f>
        <v>111.68804752739067</v>
      </c>
      <c r="D10" s="85">
        <f>_xlfn.XLOOKUP($B$5,$C$33:$C$35,AF$33:AF$35,0,0,1)</f>
        <v>111.68804752739067</v>
      </c>
    </row>
    <row r="11" spans="1:4" ht="13">
      <c r="A11" s="22"/>
      <c r="B11" s="86" t="s">
        <v>147</v>
      </c>
      <c r="C11" s="85">
        <f>_xlfn.XLOOKUP($B$5,$C$33:$C$35,$AH$33:$AH$35,0,0,1)</f>
        <v>18.925253508747268</v>
      </c>
      <c r="D11" s="85">
        <f>_xlfn.XLOOKUP($B$5,$C$33:$C$35,$AH$33:$AH$35,0,0,1)</f>
        <v>18.925253508747268</v>
      </c>
    </row>
    <row r="12" spans="1:4" ht="13">
      <c r="A12" s="22"/>
      <c r="B12" s="86" t="s">
        <v>149</v>
      </c>
      <c r="C12" s="85">
        <f>_xlfn.XLOOKUP($B$5,$C$33:$C$35,$AJ$33:$AJ$35,0,0,1)</f>
        <v>3.9694317125739826</v>
      </c>
      <c r="D12" s="85">
        <f>_xlfn.XLOOKUP($B$5,$C$33:$C$35,$AJ$33:$AJ$35,0,0,1)</f>
        <v>3.9694317125739826</v>
      </c>
    </row>
    <row r="13" spans="1:4" ht="13">
      <c r="A13" s="22"/>
      <c r="B13" s="86" t="s">
        <v>150</v>
      </c>
      <c r="C13" s="85">
        <f>_xlfn.XLOOKUP($B$5,$C$33:$C$35,$AK$33:$AK$35,0,0,1)</f>
        <v>0.90130601197018489</v>
      </c>
      <c r="D13" s="85">
        <f>_xlfn.XLOOKUP($B$5,$C$33:$C$35,$AK$33:$AK$35,0,0,1)</f>
        <v>0.90130601197018489</v>
      </c>
    </row>
    <row r="14" spans="1:4" ht="13">
      <c r="A14" s="22"/>
      <c r="B14" s="86" t="s">
        <v>151</v>
      </c>
      <c r="C14" s="85">
        <f>_xlfn.XLOOKUP($B$5,$C$33:$C$35,$AL$33:$AL$35,0,0,1)</f>
        <v>1.2137409530481515</v>
      </c>
      <c r="D14" s="85">
        <f>_xlfn.XLOOKUP($B$5,$C$33:$C$35,$AL$33:$AL$35,0,0,1)</f>
        <v>1.2137409530481515</v>
      </c>
    </row>
    <row r="15" spans="1:4" ht="13">
      <c r="A15" s="22"/>
      <c r="B15" s="84" t="s">
        <v>152</v>
      </c>
      <c r="C15" s="83">
        <f>_xlfn.XLOOKUP($B$5,$C$33:$C$35,$AM$33:$AM$35,0,0,1)</f>
        <v>1.8543847475556494</v>
      </c>
      <c r="D15" s="83">
        <f>_xlfn.XLOOKUP($B$5,$C$33:$C$35,$AM$33:$AM$35,0,0,1)</f>
        <v>1.8543847475556494</v>
      </c>
    </row>
    <row r="16" spans="1:4" ht="13">
      <c r="A16" s="22"/>
    </row>
    <row r="17" spans="1:40" ht="13">
      <c r="A17" s="22"/>
    </row>
    <row r="18" spans="1:40" ht="13">
      <c r="A18" s="22"/>
    </row>
    <row r="20" spans="1:40" s="27" customFormat="1" ht="42" customHeight="1">
      <c r="A20" s="97" t="s">
        <v>115</v>
      </c>
      <c r="B20" s="26" t="s">
        <v>9</v>
      </c>
      <c r="C20" s="26" t="s">
        <v>8</v>
      </c>
      <c r="D20" s="37" t="s">
        <v>10</v>
      </c>
      <c r="E20" s="29" t="s">
        <v>118</v>
      </c>
      <c r="F20" s="29" t="s">
        <v>119</v>
      </c>
      <c r="G20" s="29" t="s">
        <v>120</v>
      </c>
      <c r="H20" s="29" t="s">
        <v>121</v>
      </c>
      <c r="I20" s="29" t="s">
        <v>122</v>
      </c>
      <c r="J20" s="29" t="s">
        <v>123</v>
      </c>
      <c r="K20" s="29" t="s">
        <v>124</v>
      </c>
      <c r="L20" s="29" t="s">
        <v>125</v>
      </c>
      <c r="M20" s="29" t="s">
        <v>126</v>
      </c>
      <c r="N20" s="29" t="s">
        <v>127</v>
      </c>
      <c r="O20" s="29" t="s">
        <v>128</v>
      </c>
      <c r="P20" s="29" t="s">
        <v>129</v>
      </c>
      <c r="Q20" s="29" t="s">
        <v>130</v>
      </c>
      <c r="R20" s="29" t="s">
        <v>131</v>
      </c>
      <c r="S20" s="29" t="s">
        <v>132</v>
      </c>
      <c r="T20" s="29" t="s">
        <v>133</v>
      </c>
      <c r="U20" s="29" t="s">
        <v>134</v>
      </c>
      <c r="V20" s="29" t="s">
        <v>135</v>
      </c>
      <c r="W20" s="29" t="s">
        <v>136</v>
      </c>
      <c r="X20" s="29" t="s">
        <v>137</v>
      </c>
      <c r="Y20" s="29" t="s">
        <v>138</v>
      </c>
      <c r="Z20" s="29" t="s">
        <v>139</v>
      </c>
      <c r="AA20" s="29" t="s">
        <v>140</v>
      </c>
      <c r="AB20" s="29" t="s">
        <v>141</v>
      </c>
      <c r="AC20" s="29" t="s">
        <v>142</v>
      </c>
      <c r="AD20" s="29" t="s">
        <v>143</v>
      </c>
      <c r="AE20" s="29" t="s">
        <v>144</v>
      </c>
      <c r="AF20" s="29" t="s">
        <v>145</v>
      </c>
      <c r="AG20" s="29" t="s">
        <v>146</v>
      </c>
      <c r="AH20" s="29" t="s">
        <v>147</v>
      </c>
      <c r="AI20" s="29" t="s">
        <v>148</v>
      </c>
      <c r="AJ20" s="29" t="s">
        <v>149</v>
      </c>
      <c r="AK20" s="29" t="s">
        <v>150</v>
      </c>
      <c r="AL20" s="29" t="s">
        <v>151</v>
      </c>
      <c r="AM20" s="29" t="s">
        <v>152</v>
      </c>
      <c r="AN20" s="29" t="s">
        <v>153</v>
      </c>
    </row>
    <row r="21" spans="1:40" ht="13.5" customHeight="1">
      <c r="A21" s="98"/>
      <c r="B21" s="54" t="s">
        <v>216</v>
      </c>
      <c r="C21" s="5" t="s">
        <v>180</v>
      </c>
      <c r="D21" s="7" t="s">
        <v>114</v>
      </c>
      <c r="E21" s="7">
        <f>'P0.3a Coal-NG Ret COBRA Results'!E7</f>
        <v>108462.12084629282</v>
      </c>
      <c r="F21" s="7">
        <f>'P0.3a Coal-NG Ret COBRA Results'!F7</f>
        <v>244533.25870157618</v>
      </c>
      <c r="G21" s="7">
        <f>'P0.3a Coal-NG Ret COBRA Results'!G7</f>
        <v>9.5157641895506385E-3</v>
      </c>
      <c r="H21" s="7">
        <f>'P0.3a Coal-NG Ret COBRA Results'!H7</f>
        <v>107249.5904352021</v>
      </c>
      <c r="I21" s="7">
        <f>'P0.3a Coal-NG Ret COBRA Results'!I7</f>
        <v>2.1481027488751438E-2</v>
      </c>
      <c r="J21" s="7">
        <f>'P0.3a Coal-NG Ret COBRA Results'!J7</f>
        <v>242106.81921119581</v>
      </c>
      <c r="K21" s="7">
        <f>'P0.3a Coal-NG Ret COBRA Results'!K7</f>
        <v>2.555433400216071E-5</v>
      </c>
      <c r="L21" s="7">
        <f>'P0.3a Coal-NG Ret COBRA Results'!L7</f>
        <v>321.02644658921878</v>
      </c>
      <c r="M21" s="7">
        <f>'P0.3a Coal-NG Ret COBRA Results'!M7</f>
        <v>9.4963651849955266E-4</v>
      </c>
      <c r="N21" s="7">
        <f>'P0.3a Coal-NG Ret COBRA Results'!N7</f>
        <v>146.39649462383741</v>
      </c>
      <c r="O21" s="7">
        <f>'P0.3a Coal-NG Ret COBRA Results'!O7</f>
        <v>8.824355187332102E-3</v>
      </c>
      <c r="P21" s="7">
        <f>'P0.3a Coal-NG Ret COBRA Results'!P7</f>
        <v>1360.3055739132092</v>
      </c>
      <c r="Q21" s="7">
        <f>'P0.3a Coal-NG Ret COBRA Results'!Q7</f>
        <v>2.2430002645992728E-3</v>
      </c>
      <c r="R21" s="7">
        <f>'P0.3a Coal-NG Ret COBRA Results'!R7</f>
        <v>1.700274716030003E-3</v>
      </c>
      <c r="S21" s="7">
        <f>'P0.3a Coal-NG Ret COBRA Results'!S7</f>
        <v>1.5415616745142438E-4</v>
      </c>
      <c r="T21" s="7">
        <f>'P0.3a Coal-NG Ret COBRA Results'!T7</f>
        <v>3.885693811178408E-4</v>
      </c>
      <c r="U21" s="7">
        <f>'P0.3a Coal-NG Ret COBRA Results'!U7</f>
        <v>81.967975964691092</v>
      </c>
      <c r="V21" s="7">
        <f>'P0.3a Coal-NG Ret COBRA Results'!V7</f>
        <v>2.2470365756988571E-3</v>
      </c>
      <c r="W21" s="7">
        <f>'P0.3a Coal-NG Ret COBRA Results'!W7</f>
        <v>112.65199768356322</v>
      </c>
      <c r="X21" s="7">
        <f>'P0.3a Coal-NG Ret COBRA Results'!X7</f>
        <v>8.2925626100515352E-3</v>
      </c>
      <c r="Y21" s="7">
        <f>'P0.3a Coal-NG Ret COBRA Results'!Y7</f>
        <v>5.1789779962900129</v>
      </c>
      <c r="Z21" s="7">
        <f>'P0.3a Coal-NG Ret COBRA Results'!Z7</f>
        <v>0.15062920731111437</v>
      </c>
      <c r="AA21" s="7">
        <f>'P0.3a Coal-NG Ret COBRA Results'!AA7</f>
        <v>6.5132481243086824</v>
      </c>
      <c r="AB21" s="7">
        <f>'P0.3a Coal-NG Ret COBRA Results'!AB7</f>
        <v>0.10560586924711483</v>
      </c>
      <c r="AC21" s="7">
        <f>'P0.3a Coal-NG Ret COBRA Results'!AC7</f>
        <v>2.8863724063081699</v>
      </c>
      <c r="AD21" s="7">
        <f>'P0.3a Coal-NG Ret COBRA Results'!AD7</f>
        <v>3.3469765713062321E-3</v>
      </c>
      <c r="AE21" s="7">
        <f>'P0.3a Coal-NG Ret COBRA Results'!AE7</f>
        <v>1.8856701790793986</v>
      </c>
      <c r="AF21" s="7">
        <f>'P0.3a Coal-NG Ret COBRA Results'!AF7</f>
        <v>4.269527262409337</v>
      </c>
      <c r="AG21" s="7">
        <f>'P0.3a Coal-NG Ret COBRA Results'!AG7</f>
        <v>378.80737146379079</v>
      </c>
      <c r="AH21" s="7">
        <f>'P0.3a Coal-NG Ret COBRA Results'!AH7</f>
        <v>0.71897047935031455</v>
      </c>
      <c r="AI21" s="7">
        <f>'P0.3a Coal-NG Ret COBRA Results'!AI7</f>
        <v>143.92860209929557</v>
      </c>
      <c r="AJ21" s="7">
        <f>'P0.3a Coal-NG Ret COBRA Results'!AJ7</f>
        <v>0.15028839918334161</v>
      </c>
      <c r="AK21" s="7">
        <f>'P0.3a Coal-NG Ret COBRA Results'!AK7</f>
        <v>3.4124742951205253E-2</v>
      </c>
      <c r="AL21" s="7">
        <f>'P0.3a Coal-NG Ret COBRA Results'!AL7</f>
        <v>4.5953976464500799E-2</v>
      </c>
      <c r="AM21" s="7">
        <f>'P0.3a Coal-NG Ret COBRA Results'!AM7</f>
        <v>7.0209679767635536E-2</v>
      </c>
      <c r="AN21" s="7">
        <f>'P0.3a Coal-NG Ret COBRA Results'!AN7</f>
        <v>11.287253960293141</v>
      </c>
    </row>
    <row r="22" spans="1:40" ht="13.5" customHeight="1">
      <c r="A22" s="98"/>
      <c r="B22" s="1" t="s">
        <v>216</v>
      </c>
      <c r="C22" s="1" t="s">
        <v>117</v>
      </c>
      <c r="D22" s="2" t="s">
        <v>114</v>
      </c>
      <c r="E22" s="2">
        <f>'P0.3a Coal-NG Ret COBRA Results'!E8</f>
        <v>189313.25044099602</v>
      </c>
      <c r="F22" s="2">
        <f>'P0.3a Coal-NG Ret COBRA Results'!F8</f>
        <v>426581.66859540064</v>
      </c>
      <c r="G22" s="2">
        <f>'P0.3a Coal-NG Ret COBRA Results'!G8</f>
        <v>1.6558174348248498E-2</v>
      </c>
      <c r="H22" s="2">
        <f>'P0.3a Coal-NG Ret COBRA Results'!H8</f>
        <v>186622.68019991618</v>
      </c>
      <c r="I22" s="2">
        <f>'P0.3a Coal-NG Ret COBRA Results'!I8</f>
        <v>3.7415361717207066E-2</v>
      </c>
      <c r="J22" s="2">
        <f>'P0.3a Coal-NG Ret COBRA Results'!J8</f>
        <v>421698.36706986453</v>
      </c>
      <c r="K22" s="2">
        <f>'P0.3a Coal-NG Ret COBRA Results'!K8</f>
        <v>6.5994909224489147E-5</v>
      </c>
      <c r="L22" s="2">
        <f>'P0.3a Coal-NG Ret COBRA Results'!L8</f>
        <v>829.06137172365607</v>
      </c>
      <c r="M22" s="2">
        <f>'P0.3a Coal-NG Ret COBRA Results'!M8</f>
        <v>1.69649773199539E-3</v>
      </c>
      <c r="N22" s="2">
        <f>'P0.3a Coal-NG Ret COBRA Results'!N8</f>
        <v>264.44100489886239</v>
      </c>
      <c r="O22" s="2">
        <f>'P0.3a Coal-NG Ret COBRA Results'!O8</f>
        <v>1.5764486999269321E-2</v>
      </c>
      <c r="P22" s="2">
        <f>'P0.3a Coal-NG Ret COBRA Results'!P8</f>
        <v>2457.1722893561973</v>
      </c>
      <c r="Q22" s="2">
        <f>'P0.3a Coal-NG Ret COBRA Results'!Q8</f>
        <v>3.9152450053709029E-3</v>
      </c>
      <c r="R22" s="2">
        <f>'P0.3a Coal-NG Ret COBRA Results'!R8</f>
        <v>2.8434130022122624E-3</v>
      </c>
      <c r="S22" s="2">
        <f>'P0.3a Coal-NG Ret COBRA Results'!S8</f>
        <v>3.2229070022485963E-4</v>
      </c>
      <c r="T22" s="2">
        <f>'P0.3a Coal-NG Ret COBRA Results'!T8</f>
        <v>7.4954130293376439E-4</v>
      </c>
      <c r="U22" s="2">
        <f>'P0.3a Coal-NG Ret COBRA Results'!U8</f>
        <v>140.83270680520735</v>
      </c>
      <c r="V22" s="2">
        <f>'P0.3a Coal-NG Ret COBRA Results'!V8</f>
        <v>3.9565897630015508E-3</v>
      </c>
      <c r="W22" s="2">
        <f>'P0.3a Coal-NG Ret COBRA Results'!W8</f>
        <v>198.67363465085438</v>
      </c>
      <c r="X22" s="2">
        <f>'P0.3a Coal-NG Ret COBRA Results'!X8</f>
        <v>1.8598418868999753E-2</v>
      </c>
      <c r="Y22" s="2">
        <f>'P0.3a Coal-NG Ret COBRA Results'!Y8</f>
        <v>11.615324070219593</v>
      </c>
      <c r="Z22" s="2">
        <f>'P0.3a Coal-NG Ret COBRA Results'!Z8</f>
        <v>0.33744735264173487</v>
      </c>
      <c r="AA22" s="2">
        <f>'P0.3a Coal-NG Ret COBRA Results'!AA8</f>
        <v>14.591315826997242</v>
      </c>
      <c r="AB22" s="2">
        <f>'P0.3a Coal-NG Ret COBRA Results'!AB8</f>
        <v>0.23677856549084186</v>
      </c>
      <c r="AC22" s="2">
        <f>'P0.3a Coal-NG Ret COBRA Results'!AC8</f>
        <v>6.4715258982318806</v>
      </c>
      <c r="AD22" s="2">
        <f>'P0.3a Coal-NG Ret COBRA Results'!AD8</f>
        <v>8.1479638404914657E-3</v>
      </c>
      <c r="AE22" s="2">
        <f>'P0.3a Coal-NG Ret COBRA Results'!AE8</f>
        <v>4.5905228515194771</v>
      </c>
      <c r="AF22" s="2">
        <f>'P0.3a Coal-NG Ret COBRA Results'!AF8</f>
        <v>9.7407990203936432</v>
      </c>
      <c r="AG22" s="2">
        <f>'P0.3a Coal-NG Ret COBRA Results'!AG8</f>
        <v>864.2377120670094</v>
      </c>
      <c r="AH22" s="2">
        <f>'P0.3a Coal-NG Ret COBRA Results'!AH8</f>
        <v>1.6490687873321268</v>
      </c>
      <c r="AI22" s="2">
        <f>'P0.3a Coal-NG Ret COBRA Results'!AI8</f>
        <v>330.12226808084023</v>
      </c>
      <c r="AJ22" s="2">
        <f>'P0.3a Coal-NG Ret COBRA Results'!AJ8</f>
        <v>0.34529276638824558</v>
      </c>
      <c r="AK22" s="2">
        <f>'P0.3a Coal-NG Ret COBRA Results'!AK8</f>
        <v>7.8402769577284551E-2</v>
      </c>
      <c r="AL22" s="2">
        <f>'P0.3a Coal-NG Ret COBRA Results'!AL8</f>
        <v>0.10558085349242552</v>
      </c>
      <c r="AM22" s="2">
        <f>'P0.3a Coal-NG Ret COBRA Results'!AM8</f>
        <v>0.16130914331853577</v>
      </c>
      <c r="AN22" s="2">
        <f>'P0.3a Coal-NG Ret COBRA Results'!AN8</f>
        <v>25.932854206010454</v>
      </c>
    </row>
    <row r="23" spans="1:40">
      <c r="A23" s="98"/>
      <c r="B23" s="1" t="s">
        <v>215</v>
      </c>
      <c r="C23" s="1" t="s">
        <v>180</v>
      </c>
      <c r="D23" s="2" t="s">
        <v>114</v>
      </c>
      <c r="E23" s="2">
        <f>'P0.3a Coal-NG Ret COBRA Results'!E9</f>
        <v>2168.2680745134335</v>
      </c>
      <c r="F23" s="2">
        <f>'P0.3a Coal-NG Ret COBRA Results'!F9</f>
        <v>4888.4686063601994</v>
      </c>
      <c r="G23" s="2">
        <f>'P0.3a Coal-NG Ret COBRA Results'!G9</f>
        <v>1.9022974375772548E-4</v>
      </c>
      <c r="H23" s="2">
        <f>'P0.3a Coal-NG Ret COBRA Results'!H9</f>
        <v>2144.027710250873</v>
      </c>
      <c r="I23" s="2">
        <f>'P0.3a Coal-NG Ret COBRA Results'!I9</f>
        <v>4.2942724138113027E-4</v>
      </c>
      <c r="J23" s="2">
        <f>'P0.3a Coal-NG Ret COBRA Results'!J9</f>
        <v>4839.9576578851611</v>
      </c>
      <c r="K23" s="2">
        <f>'P0.3a Coal-NG Ret COBRA Results'!K9</f>
        <v>5.1046940097471351E-7</v>
      </c>
      <c r="L23" s="2">
        <f>'P0.3a Coal-NG Ret COBRA Results'!L9</f>
        <v>6.412774360450304</v>
      </c>
      <c r="M23" s="2">
        <f>'P0.3a Coal-NG Ret COBRA Results'!M9</f>
        <v>1.8987493748026503E-5</v>
      </c>
      <c r="N23" s="2">
        <f>'P0.3a Coal-NG Ret COBRA Results'!N9</f>
        <v>2.9270059253149356</v>
      </c>
      <c r="O23" s="2">
        <f>'P0.3a Coal-NG Ret COBRA Results'!O9</f>
        <v>1.7643885754343969E-4</v>
      </c>
      <c r="P23" s="2">
        <f>'P0.3a Coal-NG Ret COBRA Results'!P9</f>
        <v>27.197590137800265</v>
      </c>
      <c r="Q23" s="2">
        <f>'P0.3a Coal-NG Ret COBRA Results'!Q9</f>
        <v>4.4848337568538018E-5</v>
      </c>
      <c r="R23" s="2">
        <f>'P0.3a Coal-NG Ret COBRA Results'!R9</f>
        <v>3.3997479373393133E-5</v>
      </c>
      <c r="S23" s="2">
        <f>'P0.3a Coal-NG Ret COBRA Results'!S9</f>
        <v>3.0816299210260368E-6</v>
      </c>
      <c r="T23" s="2">
        <f>'P0.3a Coal-NG Ret COBRA Results'!T9</f>
        <v>7.769228274118798E-6</v>
      </c>
      <c r="U23" s="2">
        <f>'P0.3a Coal-NG Ret COBRA Results'!U9</f>
        <v>1.6389501667199891</v>
      </c>
      <c r="V23" s="2">
        <f>'P0.3a Coal-NG Ret COBRA Results'!V9</f>
        <v>4.492982498392324E-5</v>
      </c>
      <c r="W23" s="2">
        <f>'P0.3a Coal-NG Ret COBRA Results'!W9</f>
        <v>2.2524916527535574</v>
      </c>
      <c r="X23" s="2">
        <f>'P0.3a Coal-NG Ret COBRA Results'!X9</f>
        <v>1.6576011211998329E-4</v>
      </c>
      <c r="Y23" s="2">
        <f>'P0.3a Coal-NG Ret COBRA Results'!Y9</f>
        <v>0.10352263994864483</v>
      </c>
      <c r="Z23" s="2">
        <f>'P0.3a Coal-NG Ret COBRA Results'!Z9</f>
        <v>3.010919944724143E-3</v>
      </c>
      <c r="AA23" s="2">
        <f>'P0.3a Coal-NG Ret COBRA Results'!AA9</f>
        <v>0.13019300195820072</v>
      </c>
      <c r="AB23" s="2">
        <f>'P0.3a Coal-NG Ret COBRA Results'!AB9</f>
        <v>2.110955073232266E-3</v>
      </c>
      <c r="AC23" s="2">
        <f>'P0.3a Coal-NG Ret COBRA Results'!AC9</f>
        <v>5.7695680342125695E-2</v>
      </c>
      <c r="AD23" s="2">
        <f>'P0.3a Coal-NG Ret COBRA Results'!AD9</f>
        <v>6.6925054442670763E-5</v>
      </c>
      <c r="AE23" s="2">
        <f>'P0.3a Coal-NG Ret COBRA Results'!AE9</f>
        <v>3.7705247320048797E-2</v>
      </c>
      <c r="AF23" s="2">
        <f>'P0.3a Coal-NG Ret COBRA Results'!AF9</f>
        <v>8.5386880753248851E-2</v>
      </c>
      <c r="AG23" s="2">
        <f>'P0.3a Coal-NG Ret COBRA Results'!AG9</f>
        <v>7.5758223024854612</v>
      </c>
      <c r="AH23" s="2">
        <f>'P0.3a Coal-NG Ret COBRA Results'!AH9</f>
        <v>1.4379389793189607E-2</v>
      </c>
      <c r="AI23" s="2">
        <f>'P0.3a Coal-NG Ret COBRA Results'!AI9</f>
        <v>2.8785680795195132</v>
      </c>
      <c r="AJ23" s="2">
        <f>'P0.3a Coal-NG Ret COBRA Results'!AJ9</f>
        <v>3.0043050319515817E-3</v>
      </c>
      <c r="AK23" s="2">
        <f>'P0.3a Coal-NG Ret COBRA Results'!AK9</f>
        <v>6.8216269286080144E-4</v>
      </c>
      <c r="AL23" s="2">
        <f>'P0.3a Coal-NG Ret COBRA Results'!AL9</f>
        <v>9.186322819863252E-4</v>
      </c>
      <c r="AM23" s="2">
        <f>'P0.3a Coal-NG Ret COBRA Results'!AM9</f>
        <v>1.4035100571044589E-3</v>
      </c>
      <c r="AN23" s="2">
        <f>'P0.3a Coal-NG Ret COBRA Results'!AN9</f>
        <v>0.2256352057383742</v>
      </c>
    </row>
    <row r="24" spans="1:40">
      <c r="A24" s="98"/>
      <c r="B24" s="1" t="s">
        <v>215</v>
      </c>
      <c r="C24" s="1" t="s">
        <v>117</v>
      </c>
      <c r="D24" s="2" t="s">
        <v>114</v>
      </c>
      <c r="E24" s="2">
        <f>'P0.3a Coal-NG Ret COBRA Results'!E10</f>
        <v>3795.6907685535584</v>
      </c>
      <c r="F24" s="2">
        <f>'P0.3a Coal-NG Ret COBRA Results'!F10</f>
        <v>8552.8041085794393</v>
      </c>
      <c r="G24" s="2">
        <f>'P0.3a Coal-NG Ret COBRA Results'!G10</f>
        <v>3.3199451686312024E-4</v>
      </c>
      <c r="H24" s="2">
        <f>'P0.3a Coal-NG Ret COBRA Results'!H10</f>
        <v>3741.8199159876444</v>
      </c>
      <c r="I24" s="2">
        <f>'P0.3a Coal-NG Ret COBRA Results'!I10</f>
        <v>7.5017913829586891E-4</v>
      </c>
      <c r="J24" s="2">
        <f>'P0.3a Coal-NG Ret COBRA Results'!J10</f>
        <v>8455.0650617861374</v>
      </c>
      <c r="K24" s="2">
        <f>'P0.3a Coal-NG Ret COBRA Results'!K10</f>
        <v>1.3210481947251528E-6</v>
      </c>
      <c r="L24" s="2">
        <f>'P0.3a Coal-NG Ret COBRA Results'!L10</f>
        <v>16.595674443711182</v>
      </c>
      <c r="M24" s="2">
        <f>'P0.3a Coal-NG Ret COBRA Results'!M10</f>
        <v>3.3944538812062322E-5</v>
      </c>
      <c r="N24" s="2">
        <f>'P0.3a Coal-NG Ret COBRA Results'!N10</f>
        <v>5.2904557608114615</v>
      </c>
      <c r="O24" s="2">
        <f>'P0.3a Coal-NG Ret COBRA Results'!O10</f>
        <v>3.1542527525788358E-4</v>
      </c>
      <c r="P24" s="2">
        <f>'P0.3a Coal-NG Ret COBRA Results'!P10</f>
        <v>49.158649988217093</v>
      </c>
      <c r="Q24" s="2">
        <f>'P0.3a Coal-NG Ret COBRA Results'!Q10</f>
        <v>7.8350705356770801E-5</v>
      </c>
      <c r="R24" s="2">
        <f>'P0.3a Coal-NG Ret COBRA Results'!R10</f>
        <v>5.6893325113598138E-5</v>
      </c>
      <c r="S24" s="2">
        <f>'P0.3a Coal-NG Ret COBRA Results'!S10</f>
        <v>6.4628858192155266E-6</v>
      </c>
      <c r="T24" s="2">
        <f>'P0.3a Coal-NG Ret COBRA Results'!T10</f>
        <v>1.4994494423957165E-5</v>
      </c>
      <c r="U24" s="2">
        <f>'P0.3a Coal-NG Ret COBRA Results'!U10</f>
        <v>2.8180937705477094</v>
      </c>
      <c r="V24" s="2">
        <f>'P0.3a Coal-NG Ret COBRA Results'!V10</f>
        <v>7.9243383883412011E-5</v>
      </c>
      <c r="W24" s="2">
        <f>'P0.3a Coal-NG Ret COBRA Results'!W10</f>
        <v>3.979010528081051</v>
      </c>
      <c r="X24" s="2">
        <f>'P0.3a Coal-NG Ret COBRA Results'!X10</f>
        <v>3.7244353488920582E-4</v>
      </c>
      <c r="Y24" s="2">
        <f>'P0.3a Coal-NG Ret COBRA Results'!Y10</f>
        <v>0.23260323289131926</v>
      </c>
      <c r="Z24" s="2">
        <f>'P0.3a Coal-NG Ret COBRA Results'!Z10</f>
        <v>6.7576305129747327E-3</v>
      </c>
      <c r="AA24" s="2">
        <f>'P0.3a Coal-NG Ret COBRA Results'!AA10</f>
        <v>0.29220179173150246</v>
      </c>
      <c r="AB24" s="2">
        <f>'P0.3a Coal-NG Ret COBRA Results'!AB10</f>
        <v>4.7416341026635406E-3</v>
      </c>
      <c r="AC24" s="2">
        <f>'P0.3a Coal-NG Ret COBRA Results'!AC10</f>
        <v>0.12959622350830458</v>
      </c>
      <c r="AD24" s="2">
        <f>'P0.3a Coal-NG Ret COBRA Results'!AD10</f>
        <v>1.6347591816515797E-4</v>
      </c>
      <c r="AE24" s="2">
        <f>'P0.3a Coal-NG Ret COBRA Results'!AE10</f>
        <v>9.2101530235181389E-2</v>
      </c>
      <c r="AF24" s="2">
        <f>'P0.3a Coal-NG Ret COBRA Results'!AF10</f>
        <v>0.19509815134093605</v>
      </c>
      <c r="AG24" s="2">
        <f>'P0.3a Coal-NG Ret COBRA Results'!AG10</f>
        <v>17.309789432097375</v>
      </c>
      <c r="AH24" s="2">
        <f>'P0.3a Coal-NG Ret COBRA Results'!AH10</f>
        <v>3.3028836463610559E-2</v>
      </c>
      <c r="AI24" s="2">
        <f>'P0.3a Coal-NG Ret COBRA Results'!AI10</f>
        <v>6.6119463840426187</v>
      </c>
      <c r="AJ24" s="2">
        <f>'P0.3a Coal-NG Ret COBRA Results'!AJ10</f>
        <v>6.915473783861723E-3</v>
      </c>
      <c r="AK24" s="2">
        <f>'P0.3a Coal-NG Ret COBRA Results'!AK10</f>
        <v>1.5702371853438066E-3</v>
      </c>
      <c r="AL24" s="2">
        <f>'P0.3a Coal-NG Ret COBRA Results'!AL10</f>
        <v>2.1145626440783505E-3</v>
      </c>
      <c r="AM24" s="2">
        <f>'P0.3a Coal-NG Ret COBRA Results'!AM10</f>
        <v>3.2306739544395459E-3</v>
      </c>
      <c r="AN24" s="2">
        <f>'P0.3a Coal-NG Ret COBRA Results'!AN10</f>
        <v>0.51937946826469972</v>
      </c>
    </row>
    <row r="25" spans="1:40">
      <c r="A25" s="98"/>
      <c r="B25" s="1" t="str">
        <f>'P0.3b Solar COBRA Results'!B7</f>
        <v>35 MW Utility Scale Facility in Midwest Subregion</v>
      </c>
      <c r="C25" s="1" t="str">
        <f>'P0.3b Solar COBRA Results'!C7</f>
        <v>Cleveland MSA</v>
      </c>
      <c r="D25" s="1" t="str">
        <f>'P0.3b Solar COBRA Results'!D7</f>
        <v>COBRA</v>
      </c>
      <c r="E25" s="2">
        <f>'P0.3b Solar COBRA Results'!E7</f>
        <v>39246.801092750073</v>
      </c>
      <c r="F25" s="2">
        <f>'P0.3b Solar COBRA Results'!F7</f>
        <v>88471.994530206837</v>
      </c>
      <c r="G25" s="2">
        <f>'P0.3b Solar COBRA Results'!G7</f>
        <v>3.4368509220035113E-3</v>
      </c>
      <c r="H25" s="2">
        <f>'P0.3b Solar COBRA Results'!H7</f>
        <v>38735.812114437256</v>
      </c>
      <c r="I25" s="2">
        <f>'P0.3b Solar COBRA Results'!I7</f>
        <v>7.7646516419203494E-3</v>
      </c>
      <c r="J25" s="2">
        <f>'P0.3b Solar COBRA Results'!J7</f>
        <v>87513.277113616903</v>
      </c>
      <c r="K25" s="2">
        <f>'P0.3b Solar COBRA Results'!K7</f>
        <v>1.3431123887051328E-5</v>
      </c>
      <c r="L25" s="2">
        <f>'P0.3b Solar COBRA Results'!L7</f>
        <v>168.72855989105756</v>
      </c>
      <c r="M25" s="2">
        <f>'P0.3b Solar COBRA Results'!M7</f>
        <v>3.483925675193786E-4</v>
      </c>
      <c r="N25" s="2">
        <f>'P0.3b Solar COBRA Results'!N7</f>
        <v>53.995564032473901</v>
      </c>
      <c r="O25" s="2">
        <f>'P0.3b Solar COBRA Results'!O7</f>
        <v>3.237393229618486E-3</v>
      </c>
      <c r="P25" s="2">
        <f>'P0.3b Solar COBRA Results'!P7</f>
        <v>501.72400230967241</v>
      </c>
      <c r="Q25" s="2">
        <f>'P0.3b Solar COBRA Results'!Q7</f>
        <v>8.2359364195649454E-4</v>
      </c>
      <c r="R25" s="2">
        <f>'P0.3b Solar COBRA Results'!R7</f>
        <v>6.1161400034777608E-4</v>
      </c>
      <c r="S25" s="2">
        <f>'P0.3b Solar COBRA Results'!S7</f>
        <v>6.2174262545400071E-5</v>
      </c>
      <c r="T25" s="2">
        <f>'P0.3b Solar COBRA Results'!T7</f>
        <v>1.4980537906331918E-4</v>
      </c>
      <c r="U25" s="2">
        <f>'P0.3b Solar COBRA Results'!U7</f>
        <v>29.867355043694925</v>
      </c>
      <c r="V25" s="2">
        <f>'P0.3b Solar COBRA Results'!V7</f>
        <v>8.2375988353788183E-4</v>
      </c>
      <c r="W25" s="2">
        <f>'P0.3b Solar COBRA Results'!W7</f>
        <v>41.334922105022784</v>
      </c>
      <c r="X25" s="2">
        <f>'P0.3b Solar COBRA Results'!X7</f>
        <v>3.3332159776482632E-3</v>
      </c>
      <c r="Y25" s="2">
        <f>'P0.3b Solar COBRA Results'!Y7</f>
        <v>2.0817029688987079</v>
      </c>
      <c r="Z25" s="2">
        <f>'P0.3b Solar COBRA Results'!Z7</f>
        <v>6.0575014335694441E-2</v>
      </c>
      <c r="AA25" s="2">
        <f>'P0.3b Solar COBRA Results'!AA7</f>
        <v>2.6192801883836334</v>
      </c>
      <c r="AB25" s="2">
        <f>'P0.3b Solar COBRA Results'!AB7</f>
        <v>4.2456236358756977E-2</v>
      </c>
      <c r="AC25" s="2">
        <f>'P0.3b Solar COBRA Results'!AC7</f>
        <v>1.1603948717553076</v>
      </c>
      <c r="AD25" s="2">
        <f>'P0.3b Solar COBRA Results'!AD7</f>
        <v>1.3149859206288144E-3</v>
      </c>
      <c r="AE25" s="2">
        <f>'P0.3b Solar COBRA Results'!AE7</f>
        <v>0.74085661599518193</v>
      </c>
      <c r="AF25" s="2">
        <f>'P0.3b Solar COBRA Results'!AF7</f>
        <v>1.680512896379349</v>
      </c>
      <c r="AG25" s="2">
        <f>'P0.3b Solar COBRA Results'!AG7</f>
        <v>149.10097391654296</v>
      </c>
      <c r="AH25" s="2">
        <f>'P0.3b Solar COBRA Results'!AH7</f>
        <v>0.28366202516646377</v>
      </c>
      <c r="AI25" s="2">
        <f>'P0.3b Solar COBRA Results'!AI7</f>
        <v>56.785473011015846</v>
      </c>
      <c r="AJ25" s="2">
        <f>'P0.3b Solar COBRA Results'!AJ7</f>
        <v>6.0900858648429194E-2</v>
      </c>
      <c r="AK25" s="2">
        <f>'P0.3b Solar COBRA Results'!AK7</f>
        <v>1.3828254199832149E-2</v>
      </c>
      <c r="AL25" s="2">
        <f>'P0.3b Solar COBRA Results'!AL7</f>
        <v>1.8621775360609723E-2</v>
      </c>
      <c r="AM25" s="2">
        <f>'P0.3b Solar COBRA Results'!AM7</f>
        <v>2.845082908798734E-2</v>
      </c>
      <c r="AN25" s="2">
        <f>'P0.3b Solar COBRA Results'!AN7</f>
        <v>4.5738956679294382</v>
      </c>
    </row>
    <row r="26" spans="1:40">
      <c r="A26" s="98"/>
      <c r="B26" s="1" t="str">
        <f>'P0.3b Solar COBRA Results'!B8</f>
        <v>35 MW Utility Scale Facility in Midwest Subregion</v>
      </c>
      <c r="C26" s="1" t="str">
        <f>'P0.3b Solar COBRA Results'!C8</f>
        <v>Rest of Country</v>
      </c>
      <c r="D26" s="1" t="str">
        <f>'P0.3b Solar COBRA Results'!D8</f>
        <v>COBRA</v>
      </c>
      <c r="E26" s="2">
        <f>'P0.3b Solar COBRA Results'!E8</f>
        <v>1722051.5061718833</v>
      </c>
      <c r="F26" s="2">
        <f>'P0.3b Solar COBRA Results'!F8</f>
        <v>3880749.8464310663</v>
      </c>
      <c r="G26" s="2">
        <f>'P0.3b Solar COBRA Results'!G8</f>
        <v>0.15043576084691374</v>
      </c>
      <c r="H26" s="2">
        <f>'P0.3b Solar COBRA Results'!H8</f>
        <v>1695520.5505572138</v>
      </c>
      <c r="I26" s="2">
        <f>'P0.3b Solar COBRA Results'!I8</f>
        <v>0.34008099863206326</v>
      </c>
      <c r="J26" s="2">
        <f>'P0.3b Solar COBRA Results'!J8</f>
        <v>3832960.4529434787</v>
      </c>
      <c r="K26" s="2">
        <f>'P0.3b Solar COBRA Results'!K8</f>
        <v>6.6377384336923425E-4</v>
      </c>
      <c r="L26" s="2">
        <f>'P0.3b Solar COBRA Results'!L8</f>
        <v>8338.6621720478361</v>
      </c>
      <c r="M26" s="2">
        <f>'P0.3b Solar COBRA Results'!M8</f>
        <v>1.6350164226018642E-2</v>
      </c>
      <c r="N26" s="2">
        <f>'P0.3b Solar COBRA Results'!N8</f>
        <v>2563.7470130532834</v>
      </c>
      <c r="O26" s="2">
        <f>'P0.3b Solar COBRA Results'!O8</f>
        <v>0.15193165910451645</v>
      </c>
      <c r="P26" s="2">
        <f>'P0.3b Solar COBRA Results'!P8</f>
        <v>23822.184885974377</v>
      </c>
      <c r="Q26" s="2">
        <f>'P0.3b Solar COBRA Results'!Q8</f>
        <v>3.8065294565746505E-2</v>
      </c>
      <c r="R26" s="2">
        <f>'P0.3b Solar COBRA Results'!R8</f>
        <v>2.7251971191483614E-2</v>
      </c>
      <c r="S26" s="2">
        <f>'P0.3b Solar COBRA Results'!S8</f>
        <v>3.1942274392565964E-3</v>
      </c>
      <c r="T26" s="2">
        <f>'P0.3b Solar COBRA Results'!T8</f>
        <v>7.6190959350062835E-3</v>
      </c>
      <c r="U26" s="2">
        <f>'P0.3b Solar COBRA Results'!U8</f>
        <v>1362.7950351840739</v>
      </c>
      <c r="V26" s="2">
        <f>'P0.3b Solar COBRA Results'!V8</f>
        <v>3.7835662433802798E-2</v>
      </c>
      <c r="W26" s="2">
        <f>'P0.3b Solar COBRA Results'!W8</f>
        <v>1902.0260789485092</v>
      </c>
      <c r="X26" s="2">
        <f>'P0.3b Solar COBRA Results'!X8</f>
        <v>0.18389970881169612</v>
      </c>
      <c r="Y26" s="2">
        <f>'P0.3b Solar COBRA Results'!Y8</f>
        <v>114.85141448380321</v>
      </c>
      <c r="Z26" s="2">
        <f>'P0.3b Solar COBRA Results'!Z8</f>
        <v>3.3356704520568763</v>
      </c>
      <c r="AA26" s="2">
        <f>'P0.3b Solar COBRA Results'!AA8</f>
        <v>144.23530272118944</v>
      </c>
      <c r="AB26" s="2">
        <f>'P0.3b Solar COBRA Results'!AB8</f>
        <v>2.3410525029873557</v>
      </c>
      <c r="AC26" s="2">
        <f>'P0.3b Solar COBRA Results'!AC8</f>
        <v>63.984600425283666</v>
      </c>
      <c r="AD26" s="2">
        <f>'P0.3b Solar COBRA Results'!AD8</f>
        <v>7.8961544352270915E-2</v>
      </c>
      <c r="AE26" s="2">
        <f>'P0.3b Solar COBRA Results'!AE8</f>
        <v>44.486546680474689</v>
      </c>
      <c r="AF26" s="2">
        <f>'P0.3b Solar COBRA Results'!AF8</f>
        <v>95.716723316114155</v>
      </c>
      <c r="AG26" s="2">
        <f>'P0.3b Solar COBRA Results'!AG8</f>
        <v>8492.322015070893</v>
      </c>
      <c r="AH26" s="2">
        <f>'P0.3b Solar COBRA Results'!AH8</f>
        <v>16.226143990641564</v>
      </c>
      <c r="AI26" s="2">
        <f>'P0.3b Solar COBRA Results'!AI8</f>
        <v>3248.264412949567</v>
      </c>
      <c r="AJ26" s="2">
        <f>'P0.3b Solar COBRA Results'!AJ8</f>
        <v>3.4030299095381529</v>
      </c>
      <c r="AK26" s="2">
        <f>'P0.3b Solar COBRA Results'!AK8</f>
        <v>0.77269784536365826</v>
      </c>
      <c r="AL26" s="2">
        <f>'P0.3b Solar COBRA Results'!AL8</f>
        <v>1.0405511528045508</v>
      </c>
      <c r="AM26" s="2">
        <f>'P0.3b Solar COBRA Results'!AM8</f>
        <v>1.5897809113699468</v>
      </c>
      <c r="AN26" s="2">
        <f>'P0.3b Solar COBRA Results'!AN8</f>
        <v>255.58102310060468</v>
      </c>
    </row>
    <row r="27" spans="1:40">
      <c r="A27" s="98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>
      <c r="A28" s="98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>
      <c r="A29" s="98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>
      <c r="A30" s="99"/>
      <c r="B30" s="3"/>
      <c r="C30" s="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</row>
    <row r="31" spans="1:40" ht="13">
      <c r="A31" s="30"/>
      <c r="B31" s="30"/>
      <c r="C31" s="30"/>
      <c r="D31" s="30"/>
      <c r="E31" s="30"/>
      <c r="F31" s="30"/>
      <c r="G31" s="30"/>
      <c r="H31" s="30"/>
      <c r="I31" s="30"/>
      <c r="J31" s="31"/>
    </row>
    <row r="32" spans="1:40" s="27" customFormat="1" ht="91">
      <c r="A32" s="97" t="s">
        <v>116</v>
      </c>
      <c r="B32" s="26" t="s">
        <v>9</v>
      </c>
      <c r="C32" s="26" t="s">
        <v>8</v>
      </c>
      <c r="D32" s="37" t="s">
        <v>10</v>
      </c>
      <c r="E32" s="29" t="s">
        <v>118</v>
      </c>
      <c r="F32" s="29" t="s">
        <v>119</v>
      </c>
      <c r="G32" s="29" t="s">
        <v>120</v>
      </c>
      <c r="H32" s="29" t="s">
        <v>121</v>
      </c>
      <c r="I32" s="29" t="s">
        <v>122</v>
      </c>
      <c r="J32" s="29" t="s">
        <v>123</v>
      </c>
      <c r="K32" s="29" t="s">
        <v>124</v>
      </c>
      <c r="L32" s="29" t="s">
        <v>125</v>
      </c>
      <c r="M32" s="29" t="s">
        <v>126</v>
      </c>
      <c r="N32" s="29" t="s">
        <v>127</v>
      </c>
      <c r="O32" s="29" t="s">
        <v>128</v>
      </c>
      <c r="P32" s="29" t="s">
        <v>129</v>
      </c>
      <c r="Q32" s="29" t="s">
        <v>130</v>
      </c>
      <c r="R32" s="29" t="s">
        <v>131</v>
      </c>
      <c r="S32" s="29" t="s">
        <v>132</v>
      </c>
      <c r="T32" s="29" t="s">
        <v>133</v>
      </c>
      <c r="U32" s="29" t="s">
        <v>134</v>
      </c>
      <c r="V32" s="29" t="s">
        <v>135</v>
      </c>
      <c r="W32" s="29" t="s">
        <v>136</v>
      </c>
      <c r="X32" s="29" t="s">
        <v>137</v>
      </c>
      <c r="Y32" s="29" t="s">
        <v>138</v>
      </c>
      <c r="Z32" s="29" t="s">
        <v>139</v>
      </c>
      <c r="AA32" s="29" t="s">
        <v>140</v>
      </c>
      <c r="AB32" s="29" t="s">
        <v>141</v>
      </c>
      <c r="AC32" s="29" t="s">
        <v>142</v>
      </c>
      <c r="AD32" s="29" t="s">
        <v>143</v>
      </c>
      <c r="AE32" s="29" t="s">
        <v>144</v>
      </c>
      <c r="AF32" s="29" t="s">
        <v>145</v>
      </c>
      <c r="AG32" s="29" t="s">
        <v>146</v>
      </c>
      <c r="AH32" s="29" t="s">
        <v>147</v>
      </c>
      <c r="AI32" s="29" t="s">
        <v>148</v>
      </c>
      <c r="AJ32" s="29" t="s">
        <v>149</v>
      </c>
      <c r="AK32" s="29" t="s">
        <v>150</v>
      </c>
      <c r="AL32" s="29" t="s">
        <v>151</v>
      </c>
      <c r="AM32" s="29" t="s">
        <v>152</v>
      </c>
      <c r="AN32" s="29" t="s">
        <v>153</v>
      </c>
    </row>
    <row r="33" spans="1:40" ht="13.5" customHeight="1">
      <c r="A33" s="98"/>
      <c r="B33" s="5" t="s">
        <v>212</v>
      </c>
      <c r="C33" s="5" t="s">
        <v>214</v>
      </c>
      <c r="D33" s="7" t="s">
        <v>114</v>
      </c>
      <c r="E33" s="40">
        <f t="shared" ref="E33:AN33" si="0">E21+E23+E25</f>
        <v>149877.19001355633</v>
      </c>
      <c r="F33" s="40">
        <f t="shared" si="0"/>
        <v>337893.72183814319</v>
      </c>
      <c r="G33" s="40">
        <f t="shared" si="0"/>
        <v>1.3142844855311876E-2</v>
      </c>
      <c r="H33" s="40">
        <f t="shared" si="0"/>
        <v>148129.43025989021</v>
      </c>
      <c r="I33" s="40">
        <f t="shared" si="0"/>
        <v>2.9675106372052916E-2</v>
      </c>
      <c r="J33" s="40">
        <f t="shared" si="0"/>
        <v>334460.05398269789</v>
      </c>
      <c r="K33" s="40">
        <f t="shared" si="0"/>
        <v>3.9495927290186748E-5</v>
      </c>
      <c r="L33" s="40">
        <f t="shared" si="0"/>
        <v>496.16778084072666</v>
      </c>
      <c r="M33" s="40">
        <f t="shared" si="0"/>
        <v>1.3170165797669578E-3</v>
      </c>
      <c r="N33" s="40">
        <f t="shared" si="0"/>
        <v>203.31906458162626</v>
      </c>
      <c r="O33" s="40">
        <f t="shared" si="0"/>
        <v>1.2238187274494028E-2</v>
      </c>
      <c r="P33" s="40">
        <f t="shared" si="0"/>
        <v>1889.2271663606818</v>
      </c>
      <c r="Q33" s="40">
        <f t="shared" si="0"/>
        <v>3.1114422441243053E-3</v>
      </c>
      <c r="R33" s="40">
        <f t="shared" si="0"/>
        <v>2.3458861957511724E-3</v>
      </c>
      <c r="S33" s="40">
        <f t="shared" si="0"/>
        <v>2.1941205991785049E-4</v>
      </c>
      <c r="T33" s="40">
        <f t="shared" si="0"/>
        <v>5.461439884552788E-4</v>
      </c>
      <c r="U33" s="40">
        <f t="shared" si="0"/>
        <v>113.47428117510601</v>
      </c>
      <c r="V33" s="40">
        <f t="shared" si="0"/>
        <v>3.1157262842206618E-3</v>
      </c>
      <c r="W33" s="40">
        <f t="shared" si="0"/>
        <v>156.23941144133957</v>
      </c>
      <c r="X33" s="40">
        <f t="shared" si="0"/>
        <v>1.1791538699819781E-2</v>
      </c>
      <c r="Y33" s="40">
        <f t="shared" si="0"/>
        <v>7.3642036051373658</v>
      </c>
      <c r="Z33" s="40">
        <f t="shared" si="0"/>
        <v>0.21421514159153293</v>
      </c>
      <c r="AA33" s="40">
        <f t="shared" si="0"/>
        <v>9.2627213146505163</v>
      </c>
      <c r="AB33" s="40">
        <f t="shared" si="0"/>
        <v>0.15017306067910408</v>
      </c>
      <c r="AC33" s="40">
        <f t="shared" si="0"/>
        <v>4.1044629584056036</v>
      </c>
      <c r="AD33" s="40">
        <f t="shared" si="0"/>
        <v>4.7288875463777167E-3</v>
      </c>
      <c r="AE33" s="40">
        <f t="shared" si="0"/>
        <v>2.6642320423946293</v>
      </c>
      <c r="AF33" s="40">
        <f t="shared" si="0"/>
        <v>6.0354270395419345</v>
      </c>
      <c r="AG33" s="40">
        <f t="shared" si="0"/>
        <v>535.48416768281913</v>
      </c>
      <c r="AH33" s="40">
        <f t="shared" si="0"/>
        <v>1.017011894309968</v>
      </c>
      <c r="AI33" s="40">
        <f t="shared" si="0"/>
        <v>203.59264318983094</v>
      </c>
      <c r="AJ33" s="40">
        <f t="shared" si="0"/>
        <v>0.2141935628637224</v>
      </c>
      <c r="AK33" s="40">
        <f t="shared" si="0"/>
        <v>4.8635159843898206E-2</v>
      </c>
      <c r="AL33" s="40">
        <f t="shared" si="0"/>
        <v>6.5494384107096848E-2</v>
      </c>
      <c r="AM33" s="40">
        <f t="shared" si="0"/>
        <v>0.10006401891272733</v>
      </c>
      <c r="AN33" s="40">
        <f t="shared" si="0"/>
        <v>16.086784833960955</v>
      </c>
    </row>
    <row r="34" spans="1:40">
      <c r="A34" s="98"/>
      <c r="B34" s="1" t="s">
        <v>212</v>
      </c>
      <c r="C34" s="1" t="s">
        <v>213</v>
      </c>
      <c r="D34" s="2" t="s">
        <v>114</v>
      </c>
      <c r="E34" s="41">
        <f t="shared" ref="E34:AN34" si="1">E22+E24+E26</f>
        <v>1915160.4473814329</v>
      </c>
      <c r="F34" s="41">
        <f t="shared" si="1"/>
        <v>4315884.3191350466</v>
      </c>
      <c r="G34" s="41">
        <f t="shared" si="1"/>
        <v>0.16732592971202537</v>
      </c>
      <c r="H34" s="41">
        <f t="shared" si="1"/>
        <v>1885885.0506731176</v>
      </c>
      <c r="I34" s="41">
        <f t="shared" si="1"/>
        <v>0.3782465394875662</v>
      </c>
      <c r="J34" s="41">
        <f t="shared" si="1"/>
        <v>4263113.8850751296</v>
      </c>
      <c r="K34" s="41">
        <f t="shared" si="1"/>
        <v>7.3108980078844855E-4</v>
      </c>
      <c r="L34" s="41">
        <f t="shared" si="1"/>
        <v>9184.3192182152034</v>
      </c>
      <c r="M34" s="41">
        <f t="shared" si="1"/>
        <v>1.8080606496826093E-2</v>
      </c>
      <c r="N34" s="41">
        <f t="shared" si="1"/>
        <v>2833.4784737129571</v>
      </c>
      <c r="O34" s="41">
        <f t="shared" si="1"/>
        <v>0.16801157137904366</v>
      </c>
      <c r="P34" s="41">
        <f t="shared" si="1"/>
        <v>26328.515825318791</v>
      </c>
      <c r="Q34" s="41">
        <f t="shared" si="1"/>
        <v>4.2058890276474178E-2</v>
      </c>
      <c r="R34" s="41">
        <f t="shared" si="1"/>
        <v>3.0152277518809473E-2</v>
      </c>
      <c r="S34" s="41">
        <f t="shared" si="1"/>
        <v>3.5229810253006714E-3</v>
      </c>
      <c r="T34" s="41">
        <f t="shared" si="1"/>
        <v>8.3836317323640053E-3</v>
      </c>
      <c r="U34" s="41">
        <f t="shared" si="1"/>
        <v>1506.4458357598289</v>
      </c>
      <c r="V34" s="41">
        <f t="shared" si="1"/>
        <v>4.1871495580687763E-2</v>
      </c>
      <c r="W34" s="41">
        <f t="shared" si="1"/>
        <v>2104.6787241274446</v>
      </c>
      <c r="X34" s="41">
        <f t="shared" si="1"/>
        <v>0.20287057121558508</v>
      </c>
      <c r="Y34" s="41">
        <f t="shared" si="1"/>
        <v>126.69934178691412</v>
      </c>
      <c r="Z34" s="41">
        <f t="shared" si="1"/>
        <v>3.6798754352115859</v>
      </c>
      <c r="AA34" s="41">
        <f t="shared" si="1"/>
        <v>159.11882033991819</v>
      </c>
      <c r="AB34" s="41">
        <f t="shared" si="1"/>
        <v>2.5825727025808609</v>
      </c>
      <c r="AC34" s="41">
        <f t="shared" si="1"/>
        <v>70.585722547023849</v>
      </c>
      <c r="AD34" s="41">
        <f t="shared" si="1"/>
        <v>8.7272984110927543E-2</v>
      </c>
      <c r="AE34" s="41">
        <f t="shared" si="1"/>
        <v>49.169171062229346</v>
      </c>
      <c r="AF34" s="41">
        <f t="shared" si="1"/>
        <v>105.65262048784874</v>
      </c>
      <c r="AG34" s="41">
        <f t="shared" si="1"/>
        <v>9373.8695165699992</v>
      </c>
      <c r="AH34" s="41">
        <f t="shared" si="1"/>
        <v>17.908241614437301</v>
      </c>
      <c r="AI34" s="41">
        <f t="shared" si="1"/>
        <v>3584.9986274144499</v>
      </c>
      <c r="AJ34" s="41">
        <f t="shared" si="1"/>
        <v>3.75523814971026</v>
      </c>
      <c r="AK34" s="41">
        <f t="shared" si="1"/>
        <v>0.85267085212628668</v>
      </c>
      <c r="AL34" s="41">
        <f t="shared" si="1"/>
        <v>1.1482465689410546</v>
      </c>
      <c r="AM34" s="41">
        <f t="shared" si="1"/>
        <v>1.7543207286429221</v>
      </c>
      <c r="AN34" s="41">
        <f t="shared" si="1"/>
        <v>282.03325677487982</v>
      </c>
    </row>
    <row r="35" spans="1:40">
      <c r="A35" s="99"/>
      <c r="B35" s="82" t="s">
        <v>212</v>
      </c>
      <c r="C35" s="81" t="s">
        <v>211</v>
      </c>
      <c r="D35" s="28" t="s">
        <v>34</v>
      </c>
      <c r="E35" s="80">
        <f t="shared" ref="E35:AN35" si="2">SUM(E33:E34)</f>
        <v>2065037.6373949891</v>
      </c>
      <c r="F35" s="80">
        <f t="shared" si="2"/>
        <v>4653778.0409731902</v>
      </c>
      <c r="G35" s="80">
        <f t="shared" si="2"/>
        <v>0.18046877456733723</v>
      </c>
      <c r="H35" s="80">
        <f t="shared" si="2"/>
        <v>2034014.4809330078</v>
      </c>
      <c r="I35" s="80">
        <f t="shared" si="2"/>
        <v>0.4079216458596191</v>
      </c>
      <c r="J35" s="80">
        <f t="shared" si="2"/>
        <v>4597573.939057827</v>
      </c>
      <c r="K35" s="80">
        <f t="shared" si="2"/>
        <v>7.7058572807863531E-4</v>
      </c>
      <c r="L35" s="80">
        <f t="shared" si="2"/>
        <v>9680.4869990559309</v>
      </c>
      <c r="M35" s="80">
        <f t="shared" si="2"/>
        <v>1.9397623076593051E-2</v>
      </c>
      <c r="N35" s="80">
        <f t="shared" si="2"/>
        <v>3036.7975382945833</v>
      </c>
      <c r="O35" s="80">
        <f t="shared" si="2"/>
        <v>0.18024975865353768</v>
      </c>
      <c r="P35" s="80">
        <f t="shared" si="2"/>
        <v>28217.742991679472</v>
      </c>
      <c r="Q35" s="80">
        <f t="shared" si="2"/>
        <v>4.5170332520598482E-2</v>
      </c>
      <c r="R35" s="80">
        <f t="shared" si="2"/>
        <v>3.2498163714560643E-2</v>
      </c>
      <c r="S35" s="80">
        <f t="shared" si="2"/>
        <v>3.742393085218522E-3</v>
      </c>
      <c r="T35" s="80">
        <f t="shared" si="2"/>
        <v>8.9297757208192836E-3</v>
      </c>
      <c r="U35" s="80">
        <f t="shared" si="2"/>
        <v>1619.9201169349349</v>
      </c>
      <c r="V35" s="80">
        <f t="shared" si="2"/>
        <v>4.4987221864908424E-2</v>
      </c>
      <c r="W35" s="80">
        <f t="shared" si="2"/>
        <v>2260.9181355687842</v>
      </c>
      <c r="X35" s="80">
        <f t="shared" si="2"/>
        <v>0.21466210991540485</v>
      </c>
      <c r="Y35" s="80">
        <f t="shared" si="2"/>
        <v>134.06354539205148</v>
      </c>
      <c r="Z35" s="80">
        <f t="shared" si="2"/>
        <v>3.8940905768031189</v>
      </c>
      <c r="AA35" s="80">
        <f t="shared" si="2"/>
        <v>168.38154165456871</v>
      </c>
      <c r="AB35" s="80">
        <f t="shared" si="2"/>
        <v>2.732745763259965</v>
      </c>
      <c r="AC35" s="80">
        <f t="shared" si="2"/>
        <v>74.690185505429454</v>
      </c>
      <c r="AD35" s="80">
        <f t="shared" si="2"/>
        <v>9.2001871657305265E-2</v>
      </c>
      <c r="AE35" s="80">
        <f t="shared" si="2"/>
        <v>51.833403104623976</v>
      </c>
      <c r="AF35" s="80">
        <f t="shared" si="2"/>
        <v>111.68804752739067</v>
      </c>
      <c r="AG35" s="80">
        <f t="shared" si="2"/>
        <v>9909.3536842528192</v>
      </c>
      <c r="AH35" s="80">
        <f t="shared" si="2"/>
        <v>18.925253508747268</v>
      </c>
      <c r="AI35" s="80">
        <f t="shared" si="2"/>
        <v>3788.5912706042809</v>
      </c>
      <c r="AJ35" s="80">
        <f t="shared" si="2"/>
        <v>3.9694317125739826</v>
      </c>
      <c r="AK35" s="80">
        <f t="shared" si="2"/>
        <v>0.90130601197018489</v>
      </c>
      <c r="AL35" s="80">
        <f t="shared" si="2"/>
        <v>1.2137409530481515</v>
      </c>
      <c r="AM35" s="80">
        <f t="shared" si="2"/>
        <v>1.8543847475556494</v>
      </c>
      <c r="AN35" s="80">
        <f t="shared" si="2"/>
        <v>298.12004160884078</v>
      </c>
    </row>
    <row r="36" spans="1:40" ht="13">
      <c r="A36" s="30"/>
      <c r="B36" s="30"/>
      <c r="C36" s="30"/>
      <c r="D36" s="30"/>
      <c r="E36" s="30"/>
      <c r="F36" s="30"/>
      <c r="G36" s="30"/>
      <c r="H36" s="30"/>
      <c r="I36" s="30"/>
      <c r="J36" s="31"/>
      <c r="K36" s="30"/>
    </row>
  </sheetData>
  <mergeCells count="2">
    <mergeCell ref="A20:A30"/>
    <mergeCell ref="A32:A35"/>
  </mergeCells>
  <dataValidations count="1">
    <dataValidation type="list" allowBlank="1" showInputMessage="1" showErrorMessage="1" sqref="B5" xr:uid="{1C3DB888-CF57-4BA6-AF60-D502908BB9A5}">
      <formula1>$C$33:$C$35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D4B72-0229-435D-93EF-BFA176677FCB}">
  <sheetPr>
    <tabColor theme="6"/>
  </sheetPr>
  <dimension ref="A1:AN24"/>
  <sheetViews>
    <sheetView workbookViewId="0">
      <selection activeCell="B22" sqref="B22"/>
    </sheetView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16.08984375" style="21" customWidth="1"/>
    <col min="6" max="9" width="15.90625" style="21" customWidth="1"/>
    <col min="10" max="10" width="11.54296875" style="21" bestFit="1" customWidth="1"/>
    <col min="11" max="11" width="16.54296875" style="21" customWidth="1"/>
    <col min="12" max="12" width="12" style="21" customWidth="1"/>
    <col min="13" max="13" width="14.08984375" style="21" customWidth="1"/>
    <col min="14" max="35" width="9.54296875" style="21" bestFit="1" customWidth="1"/>
    <col min="36" max="16384" width="9.08984375" style="21"/>
  </cols>
  <sheetData>
    <row r="1" spans="1:40">
      <c r="A1" s="21" t="s">
        <v>186</v>
      </c>
    </row>
    <row r="2" spans="1:40" ht="13">
      <c r="A2" s="22" t="s">
        <v>222</v>
      </c>
    </row>
    <row r="3" spans="1:40" ht="13">
      <c r="A3" s="22"/>
    </row>
    <row r="4" spans="1:40" ht="13">
      <c r="A4" s="22"/>
    </row>
    <row r="6" spans="1:40" s="27" customFormat="1" ht="42" customHeight="1">
      <c r="A6" s="97" t="s">
        <v>115</v>
      </c>
      <c r="B6" s="26" t="s">
        <v>9</v>
      </c>
      <c r="C6" s="26" t="s">
        <v>8</v>
      </c>
      <c r="D6" s="37" t="s">
        <v>10</v>
      </c>
      <c r="E6" s="29" t="s">
        <v>118</v>
      </c>
      <c r="F6" s="29" t="s">
        <v>119</v>
      </c>
      <c r="G6" s="29" t="s">
        <v>120</v>
      </c>
      <c r="H6" s="29" t="s">
        <v>121</v>
      </c>
      <c r="I6" s="29" t="s">
        <v>122</v>
      </c>
      <c r="J6" s="29" t="s">
        <v>123</v>
      </c>
      <c r="K6" s="29" t="s">
        <v>124</v>
      </c>
      <c r="L6" s="29" t="s">
        <v>125</v>
      </c>
      <c r="M6" s="29" t="s">
        <v>126</v>
      </c>
      <c r="N6" s="29" t="s">
        <v>127</v>
      </c>
      <c r="O6" s="29" t="s">
        <v>128</v>
      </c>
      <c r="P6" s="29" t="s">
        <v>129</v>
      </c>
      <c r="Q6" s="29" t="s">
        <v>130</v>
      </c>
      <c r="R6" s="29" t="s">
        <v>131</v>
      </c>
      <c r="S6" s="29" t="s">
        <v>132</v>
      </c>
      <c r="T6" s="29" t="s">
        <v>133</v>
      </c>
      <c r="U6" s="29" t="s">
        <v>134</v>
      </c>
      <c r="V6" s="29" t="s">
        <v>135</v>
      </c>
      <c r="W6" s="29" t="s">
        <v>136</v>
      </c>
      <c r="X6" s="29" t="s">
        <v>137</v>
      </c>
      <c r="Y6" s="29" t="s">
        <v>138</v>
      </c>
      <c r="Z6" s="29" t="s">
        <v>139</v>
      </c>
      <c r="AA6" s="29" t="s">
        <v>140</v>
      </c>
      <c r="AB6" s="29" t="s">
        <v>141</v>
      </c>
      <c r="AC6" s="29" t="s">
        <v>142</v>
      </c>
      <c r="AD6" s="29" t="s">
        <v>143</v>
      </c>
      <c r="AE6" s="29" t="s">
        <v>144</v>
      </c>
      <c r="AF6" s="29" t="s">
        <v>145</v>
      </c>
      <c r="AG6" s="29" t="s">
        <v>146</v>
      </c>
      <c r="AH6" s="29" t="s">
        <v>147</v>
      </c>
      <c r="AI6" s="29" t="s">
        <v>148</v>
      </c>
      <c r="AJ6" s="29" t="s">
        <v>149</v>
      </c>
      <c r="AK6" s="29" t="s">
        <v>150</v>
      </c>
      <c r="AL6" s="29" t="s">
        <v>151</v>
      </c>
      <c r="AM6" s="29" t="s">
        <v>152</v>
      </c>
      <c r="AN6" s="29" t="s">
        <v>153</v>
      </c>
    </row>
    <row r="7" spans="1:40" ht="13.5" customHeight="1">
      <c r="A7" s="98"/>
      <c r="B7" s="54" t="s">
        <v>216</v>
      </c>
      <c r="C7" s="5" t="s">
        <v>180</v>
      </c>
      <c r="D7" s="7" t="s">
        <v>114</v>
      </c>
      <c r="E7" s="7">
        <v>108462.12084629282</v>
      </c>
      <c r="F7" s="7">
        <v>244533.25870157618</v>
      </c>
      <c r="G7" s="2">
        <v>9.5157641895506385E-3</v>
      </c>
      <c r="H7" s="2">
        <v>107249.5904352021</v>
      </c>
      <c r="I7" s="2">
        <v>2.1481027488751438E-2</v>
      </c>
      <c r="J7" s="2">
        <v>242106.81921119581</v>
      </c>
      <c r="K7" s="2">
        <v>2.555433400216071E-5</v>
      </c>
      <c r="L7" s="2">
        <v>321.02644658921878</v>
      </c>
      <c r="M7" s="2">
        <v>9.4963651849955266E-4</v>
      </c>
      <c r="N7" s="2">
        <v>146.39649462383741</v>
      </c>
      <c r="O7" s="2">
        <v>8.824355187332102E-3</v>
      </c>
      <c r="P7" s="2">
        <v>1360.3055739132092</v>
      </c>
      <c r="Q7" s="2">
        <v>2.2430002645992728E-3</v>
      </c>
      <c r="R7" s="2">
        <v>1.700274716030003E-3</v>
      </c>
      <c r="S7" s="2">
        <v>1.5415616745142438E-4</v>
      </c>
      <c r="T7" s="2">
        <v>3.885693811178408E-4</v>
      </c>
      <c r="U7" s="2">
        <v>81.967975964691092</v>
      </c>
      <c r="V7" s="2">
        <v>2.2470365756988571E-3</v>
      </c>
      <c r="W7" s="2">
        <v>112.65199768356322</v>
      </c>
      <c r="X7" s="2">
        <v>8.2925626100515352E-3</v>
      </c>
      <c r="Y7" s="2">
        <v>5.1789779962900129</v>
      </c>
      <c r="Z7" s="2">
        <v>0.15062920731111437</v>
      </c>
      <c r="AA7" s="2">
        <v>6.5132481243086824</v>
      </c>
      <c r="AB7" s="2">
        <v>0.10560586924711483</v>
      </c>
      <c r="AC7" s="2">
        <v>2.8863724063081699</v>
      </c>
      <c r="AD7" s="2">
        <v>3.3469765713062321E-3</v>
      </c>
      <c r="AE7" s="2">
        <v>1.8856701790793986</v>
      </c>
      <c r="AF7" s="2">
        <v>4.269527262409337</v>
      </c>
      <c r="AG7" s="2">
        <v>378.80737146379079</v>
      </c>
      <c r="AH7" s="2">
        <v>0.71897047935031455</v>
      </c>
      <c r="AI7" s="2">
        <v>143.92860209929557</v>
      </c>
      <c r="AJ7" s="2">
        <v>0.15028839918334161</v>
      </c>
      <c r="AK7" s="2">
        <v>3.4124742951205253E-2</v>
      </c>
      <c r="AL7" s="2">
        <v>4.5953976464500799E-2</v>
      </c>
      <c r="AM7" s="2">
        <v>7.0209679767635536E-2</v>
      </c>
      <c r="AN7" s="2">
        <v>11.287253960293141</v>
      </c>
    </row>
    <row r="8" spans="1:40" ht="13.5" customHeight="1">
      <c r="A8" s="98"/>
      <c r="B8" s="1" t="s">
        <v>216</v>
      </c>
      <c r="C8" s="1" t="s">
        <v>117</v>
      </c>
      <c r="D8" s="2" t="s">
        <v>114</v>
      </c>
      <c r="E8" s="2">
        <v>189313.25044099602</v>
      </c>
      <c r="F8" s="2">
        <v>426581.66859540064</v>
      </c>
      <c r="G8" s="2">
        <v>1.6558174348248498E-2</v>
      </c>
      <c r="H8" s="2">
        <v>186622.68019991618</v>
      </c>
      <c r="I8" s="2">
        <v>3.7415361717207066E-2</v>
      </c>
      <c r="J8" s="2">
        <v>421698.36706986453</v>
      </c>
      <c r="K8" s="2">
        <v>6.5994909224489147E-5</v>
      </c>
      <c r="L8" s="2">
        <v>829.06137172365607</v>
      </c>
      <c r="M8" s="2">
        <v>1.69649773199539E-3</v>
      </c>
      <c r="N8" s="2">
        <v>264.44100489886239</v>
      </c>
      <c r="O8" s="2">
        <v>1.5764486999269321E-2</v>
      </c>
      <c r="P8" s="2">
        <v>2457.1722893561973</v>
      </c>
      <c r="Q8" s="2">
        <v>3.9152450053709029E-3</v>
      </c>
      <c r="R8" s="2">
        <v>2.8434130022122624E-3</v>
      </c>
      <c r="S8" s="2">
        <v>3.2229070022485963E-4</v>
      </c>
      <c r="T8" s="2">
        <v>7.4954130293376439E-4</v>
      </c>
      <c r="U8" s="2">
        <v>140.83270680520735</v>
      </c>
      <c r="V8" s="2">
        <v>3.9565897630015508E-3</v>
      </c>
      <c r="W8" s="2">
        <v>198.67363465085438</v>
      </c>
      <c r="X8" s="2">
        <v>1.8598418868999753E-2</v>
      </c>
      <c r="Y8" s="2">
        <v>11.615324070219593</v>
      </c>
      <c r="Z8" s="2">
        <v>0.33744735264173487</v>
      </c>
      <c r="AA8" s="2">
        <v>14.591315826997242</v>
      </c>
      <c r="AB8" s="2">
        <v>0.23677856549084186</v>
      </c>
      <c r="AC8" s="2">
        <v>6.4715258982318806</v>
      </c>
      <c r="AD8" s="2">
        <v>8.1479638404914657E-3</v>
      </c>
      <c r="AE8" s="2">
        <v>4.5905228515194771</v>
      </c>
      <c r="AF8" s="2">
        <v>9.7407990203936432</v>
      </c>
      <c r="AG8" s="2">
        <v>864.2377120670094</v>
      </c>
      <c r="AH8" s="2">
        <v>1.6490687873321268</v>
      </c>
      <c r="AI8" s="2">
        <v>330.12226808084023</v>
      </c>
      <c r="AJ8" s="2">
        <v>0.34529276638824558</v>
      </c>
      <c r="AK8" s="2">
        <v>7.8402769577284551E-2</v>
      </c>
      <c r="AL8" s="2">
        <v>0.10558085349242552</v>
      </c>
      <c r="AM8" s="2">
        <v>0.16130914331853577</v>
      </c>
      <c r="AN8" s="2">
        <v>25.932854206010454</v>
      </c>
    </row>
    <row r="9" spans="1:40">
      <c r="A9" s="98"/>
      <c r="B9" s="1" t="s">
        <v>215</v>
      </c>
      <c r="C9" s="1" t="s">
        <v>180</v>
      </c>
      <c r="D9" s="2" t="s">
        <v>114</v>
      </c>
      <c r="E9" s="2">
        <v>2168.2680745134335</v>
      </c>
      <c r="F9" s="2">
        <v>4888.4686063601994</v>
      </c>
      <c r="G9" s="2">
        <v>1.9022974375772548E-4</v>
      </c>
      <c r="H9" s="2">
        <v>2144.027710250873</v>
      </c>
      <c r="I9" s="2">
        <v>4.2942724138113027E-4</v>
      </c>
      <c r="J9" s="2">
        <v>4839.9576578851611</v>
      </c>
      <c r="K9" s="2">
        <v>5.1046940097471351E-7</v>
      </c>
      <c r="L9" s="2">
        <v>6.412774360450304</v>
      </c>
      <c r="M9" s="2">
        <v>1.8987493748026503E-5</v>
      </c>
      <c r="N9" s="2">
        <v>2.9270059253149356</v>
      </c>
      <c r="O9" s="2">
        <v>1.7643885754343969E-4</v>
      </c>
      <c r="P9" s="2">
        <v>27.197590137800265</v>
      </c>
      <c r="Q9" s="2">
        <v>4.4848337568538018E-5</v>
      </c>
      <c r="R9" s="2">
        <v>3.3997479373393133E-5</v>
      </c>
      <c r="S9" s="2">
        <v>3.0816299210260368E-6</v>
      </c>
      <c r="T9" s="2">
        <v>7.769228274118798E-6</v>
      </c>
      <c r="U9" s="2">
        <v>1.6389501667199891</v>
      </c>
      <c r="V9" s="2">
        <v>4.492982498392324E-5</v>
      </c>
      <c r="W9" s="2">
        <v>2.2524916527535574</v>
      </c>
      <c r="X9" s="2">
        <v>1.6576011211998329E-4</v>
      </c>
      <c r="Y9" s="2">
        <v>0.10352263994864483</v>
      </c>
      <c r="Z9" s="2">
        <v>3.010919944724143E-3</v>
      </c>
      <c r="AA9" s="2">
        <v>0.13019300195820072</v>
      </c>
      <c r="AB9" s="2">
        <v>2.110955073232266E-3</v>
      </c>
      <c r="AC9" s="2">
        <v>5.7695680342125695E-2</v>
      </c>
      <c r="AD9" s="2">
        <v>6.6925054442670763E-5</v>
      </c>
      <c r="AE9" s="2">
        <v>3.7705247320048797E-2</v>
      </c>
      <c r="AF9" s="2">
        <v>8.5386880753248851E-2</v>
      </c>
      <c r="AG9" s="2">
        <v>7.5758223024854612</v>
      </c>
      <c r="AH9" s="2">
        <v>1.4379389793189607E-2</v>
      </c>
      <c r="AI9" s="2">
        <v>2.8785680795195132</v>
      </c>
      <c r="AJ9" s="2">
        <v>3.0043050319515817E-3</v>
      </c>
      <c r="AK9" s="2">
        <v>6.8216269286080144E-4</v>
      </c>
      <c r="AL9" s="2">
        <v>9.186322819863252E-4</v>
      </c>
      <c r="AM9" s="2">
        <v>1.4035100571044589E-3</v>
      </c>
      <c r="AN9" s="2">
        <v>0.2256352057383742</v>
      </c>
    </row>
    <row r="10" spans="1:40">
      <c r="A10" s="98"/>
      <c r="B10" s="1" t="s">
        <v>215</v>
      </c>
      <c r="C10" s="1" t="s">
        <v>117</v>
      </c>
      <c r="D10" s="2" t="s">
        <v>114</v>
      </c>
      <c r="E10" s="2">
        <v>3795.6907685535584</v>
      </c>
      <c r="F10" s="2">
        <v>8552.8041085794393</v>
      </c>
      <c r="G10" s="2">
        <v>3.3199451686312024E-4</v>
      </c>
      <c r="H10" s="2">
        <v>3741.8199159876444</v>
      </c>
      <c r="I10" s="2">
        <v>7.5017913829586891E-4</v>
      </c>
      <c r="J10" s="2">
        <v>8455.0650617861374</v>
      </c>
      <c r="K10" s="2">
        <v>1.3210481947251528E-6</v>
      </c>
      <c r="L10" s="2">
        <v>16.595674443711182</v>
      </c>
      <c r="M10" s="2">
        <v>3.3944538812062322E-5</v>
      </c>
      <c r="N10" s="2">
        <v>5.2904557608114615</v>
      </c>
      <c r="O10" s="2">
        <v>3.1542527525788358E-4</v>
      </c>
      <c r="P10" s="2">
        <v>49.158649988217093</v>
      </c>
      <c r="Q10" s="2">
        <v>7.8350705356770801E-5</v>
      </c>
      <c r="R10" s="2">
        <v>5.6893325113598138E-5</v>
      </c>
      <c r="S10" s="2">
        <v>6.4628858192155266E-6</v>
      </c>
      <c r="T10" s="2">
        <v>1.4994494423957165E-5</v>
      </c>
      <c r="U10" s="2">
        <v>2.8180937705477094</v>
      </c>
      <c r="V10" s="2">
        <v>7.9243383883412011E-5</v>
      </c>
      <c r="W10" s="2">
        <v>3.979010528081051</v>
      </c>
      <c r="X10" s="2">
        <v>3.7244353488920582E-4</v>
      </c>
      <c r="Y10" s="2">
        <v>0.23260323289131926</v>
      </c>
      <c r="Z10" s="2">
        <v>6.7576305129747327E-3</v>
      </c>
      <c r="AA10" s="2">
        <v>0.29220179173150246</v>
      </c>
      <c r="AB10" s="2">
        <v>4.7416341026635406E-3</v>
      </c>
      <c r="AC10" s="2">
        <v>0.12959622350830458</v>
      </c>
      <c r="AD10" s="2">
        <v>1.6347591816515797E-4</v>
      </c>
      <c r="AE10" s="2">
        <v>9.2101530235181389E-2</v>
      </c>
      <c r="AF10" s="2">
        <v>0.19509815134093605</v>
      </c>
      <c r="AG10" s="2">
        <v>17.309789432097375</v>
      </c>
      <c r="AH10" s="2">
        <v>3.3028836463610559E-2</v>
      </c>
      <c r="AI10" s="2">
        <v>6.6119463840426187</v>
      </c>
      <c r="AJ10" s="2">
        <v>6.915473783861723E-3</v>
      </c>
      <c r="AK10" s="2">
        <v>1.5702371853438066E-3</v>
      </c>
      <c r="AL10" s="2">
        <v>2.1145626440783505E-3</v>
      </c>
      <c r="AM10" s="2">
        <v>3.2306739544395459E-3</v>
      </c>
      <c r="AN10" s="2">
        <v>0.51937946826469972</v>
      </c>
    </row>
    <row r="11" spans="1:40">
      <c r="A11" s="98"/>
      <c r="B11" s="1"/>
      <c r="C11" s="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>
      <c r="A12" s="98"/>
      <c r="B12" s="1"/>
      <c r="C12" s="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>
      <c r="A13" s="98"/>
      <c r="B13" s="1"/>
      <c r="C13" s="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>
      <c r="A14" s="98"/>
      <c r="B14" s="1"/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98"/>
      <c r="B15" s="1"/>
      <c r="C15" s="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>
      <c r="A16" s="99"/>
      <c r="B16" s="3"/>
      <c r="C16" s="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spans="1:40" ht="13">
      <c r="A17" s="30"/>
      <c r="B17" s="30"/>
      <c r="C17" s="30"/>
      <c r="D17" s="30"/>
      <c r="E17" s="30"/>
      <c r="F17" s="30"/>
      <c r="G17" s="30"/>
      <c r="H17" s="30"/>
      <c r="I17" s="30"/>
      <c r="J17" s="31"/>
    </row>
    <row r="18" spans="1:40" s="27" customFormat="1" ht="91">
      <c r="A18" s="97" t="s">
        <v>116</v>
      </c>
      <c r="B18" s="26" t="s">
        <v>9</v>
      </c>
      <c r="C18" s="26" t="s">
        <v>8</v>
      </c>
      <c r="D18" s="37" t="s">
        <v>10</v>
      </c>
      <c r="E18" s="29" t="s">
        <v>118</v>
      </c>
      <c r="F18" s="29" t="s">
        <v>119</v>
      </c>
      <c r="G18" s="29" t="s">
        <v>120</v>
      </c>
      <c r="H18" s="29" t="s">
        <v>121</v>
      </c>
      <c r="I18" s="29" t="s">
        <v>122</v>
      </c>
      <c r="J18" s="29" t="s">
        <v>123</v>
      </c>
      <c r="K18" s="29" t="s">
        <v>124</v>
      </c>
      <c r="L18" s="29" t="s">
        <v>125</v>
      </c>
      <c r="M18" s="29" t="s">
        <v>126</v>
      </c>
      <c r="N18" s="29" t="s">
        <v>127</v>
      </c>
      <c r="O18" s="29" t="s">
        <v>128</v>
      </c>
      <c r="P18" s="29" t="s">
        <v>129</v>
      </c>
      <c r="Q18" s="29" t="s">
        <v>130</v>
      </c>
      <c r="R18" s="29" t="s">
        <v>131</v>
      </c>
      <c r="S18" s="29" t="s">
        <v>132</v>
      </c>
      <c r="T18" s="29" t="s">
        <v>133</v>
      </c>
      <c r="U18" s="29" t="s">
        <v>134</v>
      </c>
      <c r="V18" s="29" t="s">
        <v>135</v>
      </c>
      <c r="W18" s="29" t="s">
        <v>136</v>
      </c>
      <c r="X18" s="29" t="s">
        <v>137</v>
      </c>
      <c r="Y18" s="29" t="s">
        <v>138</v>
      </c>
      <c r="Z18" s="29" t="s">
        <v>139</v>
      </c>
      <c r="AA18" s="29" t="s">
        <v>140</v>
      </c>
      <c r="AB18" s="29" t="s">
        <v>141</v>
      </c>
      <c r="AC18" s="29" t="s">
        <v>142</v>
      </c>
      <c r="AD18" s="29" t="s">
        <v>143</v>
      </c>
      <c r="AE18" s="29" t="s">
        <v>144</v>
      </c>
      <c r="AF18" s="29" t="s">
        <v>145</v>
      </c>
      <c r="AG18" s="29" t="s">
        <v>146</v>
      </c>
      <c r="AH18" s="29" t="s">
        <v>147</v>
      </c>
      <c r="AI18" s="29" t="s">
        <v>148</v>
      </c>
      <c r="AJ18" s="29" t="s">
        <v>149</v>
      </c>
      <c r="AK18" s="29" t="s">
        <v>150</v>
      </c>
      <c r="AL18" s="29" t="s">
        <v>151</v>
      </c>
      <c r="AM18" s="29" t="s">
        <v>152</v>
      </c>
      <c r="AN18" s="29" t="s">
        <v>153</v>
      </c>
    </row>
    <row r="19" spans="1:40" ht="13.5" customHeight="1">
      <c r="A19" s="98"/>
      <c r="B19" s="5" t="s">
        <v>216</v>
      </c>
      <c r="C19" s="5" t="s">
        <v>116</v>
      </c>
      <c r="D19" s="7" t="s">
        <v>114</v>
      </c>
      <c r="E19" s="40">
        <f t="shared" ref="E19:AN19" si="0">SUM(E7:E8)</f>
        <v>297775.37128728884</v>
      </c>
      <c r="F19" s="40">
        <f t="shared" si="0"/>
        <v>671114.92729697679</v>
      </c>
      <c r="G19" s="40">
        <f t="shared" si="0"/>
        <v>2.6073938537799136E-2</v>
      </c>
      <c r="H19" s="40">
        <f t="shared" si="0"/>
        <v>293872.2706351183</v>
      </c>
      <c r="I19" s="40">
        <f t="shared" si="0"/>
        <v>5.8896389205958508E-2</v>
      </c>
      <c r="J19" s="40">
        <f t="shared" si="0"/>
        <v>663805.18628106033</v>
      </c>
      <c r="K19" s="40">
        <f t="shared" si="0"/>
        <v>9.1549243226649854E-5</v>
      </c>
      <c r="L19" s="40">
        <f t="shared" si="0"/>
        <v>1150.0878183128748</v>
      </c>
      <c r="M19" s="40">
        <f t="shared" si="0"/>
        <v>2.6461342504949426E-3</v>
      </c>
      <c r="N19" s="40">
        <f t="shared" si="0"/>
        <v>410.83749952269977</v>
      </c>
      <c r="O19" s="40">
        <f t="shared" si="0"/>
        <v>2.4588842186601421E-2</v>
      </c>
      <c r="P19" s="40">
        <f t="shared" si="0"/>
        <v>3817.4778632694065</v>
      </c>
      <c r="Q19" s="40">
        <f t="shared" si="0"/>
        <v>6.1582452699701761E-3</v>
      </c>
      <c r="R19" s="40">
        <f t="shared" si="0"/>
        <v>4.5436877182422654E-3</v>
      </c>
      <c r="S19" s="40">
        <f t="shared" si="0"/>
        <v>4.7644686767628401E-4</v>
      </c>
      <c r="T19" s="40">
        <f t="shared" si="0"/>
        <v>1.1381106840516052E-3</v>
      </c>
      <c r="U19" s="40">
        <f t="shared" si="0"/>
        <v>222.80068276989846</v>
      </c>
      <c r="V19" s="40">
        <f t="shared" si="0"/>
        <v>6.2036263387004083E-3</v>
      </c>
      <c r="W19" s="40">
        <f t="shared" si="0"/>
        <v>311.32563233441761</v>
      </c>
      <c r="X19" s="40">
        <f t="shared" si="0"/>
        <v>2.6890981479051286E-2</v>
      </c>
      <c r="Y19" s="40">
        <f t="shared" si="0"/>
        <v>16.794302066509605</v>
      </c>
      <c r="Z19" s="40">
        <f t="shared" si="0"/>
        <v>0.48807655995284926</v>
      </c>
      <c r="AA19" s="40">
        <f t="shared" si="0"/>
        <v>21.104563951305924</v>
      </c>
      <c r="AB19" s="40">
        <f t="shared" si="0"/>
        <v>0.34238443473795671</v>
      </c>
      <c r="AC19" s="40">
        <f t="shared" si="0"/>
        <v>9.3578983045400506</v>
      </c>
      <c r="AD19" s="40">
        <f t="shared" si="0"/>
        <v>1.1494940411797699E-2</v>
      </c>
      <c r="AE19" s="40">
        <f t="shared" si="0"/>
        <v>6.4761930305988757</v>
      </c>
      <c r="AF19" s="40">
        <f t="shared" si="0"/>
        <v>14.01032628280298</v>
      </c>
      <c r="AG19" s="40">
        <f t="shared" si="0"/>
        <v>1243.0450835308002</v>
      </c>
      <c r="AH19" s="40">
        <f t="shared" si="0"/>
        <v>2.3680392666824415</v>
      </c>
      <c r="AI19" s="40">
        <f t="shared" si="0"/>
        <v>474.0508701801358</v>
      </c>
      <c r="AJ19" s="40">
        <f t="shared" si="0"/>
        <v>0.49558116557158716</v>
      </c>
      <c r="AK19" s="40">
        <f t="shared" si="0"/>
        <v>0.1125275125284898</v>
      </c>
      <c r="AL19" s="40">
        <f t="shared" si="0"/>
        <v>0.15153482995692633</v>
      </c>
      <c r="AM19" s="40">
        <f t="shared" si="0"/>
        <v>0.2315188230861713</v>
      </c>
      <c r="AN19" s="40">
        <f t="shared" si="0"/>
        <v>37.220108166303596</v>
      </c>
    </row>
    <row r="20" spans="1:40">
      <c r="A20" s="98"/>
      <c r="B20" s="1" t="s">
        <v>215</v>
      </c>
      <c r="C20" s="1" t="s">
        <v>116</v>
      </c>
      <c r="D20" s="2" t="s">
        <v>114</v>
      </c>
      <c r="E20" s="41">
        <f t="shared" ref="E20:AN20" si="1">SUM(E9:E10)</f>
        <v>5963.9588430669919</v>
      </c>
      <c r="F20" s="41">
        <f t="shared" si="1"/>
        <v>13441.272714939638</v>
      </c>
      <c r="G20" s="41">
        <f t="shared" si="1"/>
        <v>5.2222426062084571E-4</v>
      </c>
      <c r="H20" s="41">
        <f t="shared" si="1"/>
        <v>5885.8476262385175</v>
      </c>
      <c r="I20" s="41">
        <f t="shared" si="1"/>
        <v>1.1796063796769992E-3</v>
      </c>
      <c r="J20" s="41">
        <f t="shared" si="1"/>
        <v>13295.022719671299</v>
      </c>
      <c r="K20" s="41">
        <f t="shared" si="1"/>
        <v>1.8315175956998662E-6</v>
      </c>
      <c r="L20" s="41">
        <f t="shared" si="1"/>
        <v>23.008448804161485</v>
      </c>
      <c r="M20" s="41">
        <f t="shared" si="1"/>
        <v>5.2932032560088822E-5</v>
      </c>
      <c r="N20" s="41">
        <f t="shared" si="1"/>
        <v>8.2174616861263967</v>
      </c>
      <c r="O20" s="41">
        <f t="shared" si="1"/>
        <v>4.9186413280132328E-4</v>
      </c>
      <c r="P20" s="41">
        <f t="shared" si="1"/>
        <v>76.356240126017354</v>
      </c>
      <c r="Q20" s="41">
        <f t="shared" si="1"/>
        <v>1.2319904292530881E-4</v>
      </c>
      <c r="R20" s="41">
        <f t="shared" si="1"/>
        <v>9.0890804486991271E-5</v>
      </c>
      <c r="S20" s="41">
        <f t="shared" si="1"/>
        <v>9.5445157402415634E-6</v>
      </c>
      <c r="T20" s="41">
        <f t="shared" si="1"/>
        <v>2.2763722698075963E-5</v>
      </c>
      <c r="U20" s="41">
        <f t="shared" si="1"/>
        <v>4.4570439372676987</v>
      </c>
      <c r="V20" s="41">
        <f t="shared" si="1"/>
        <v>1.2417320886733526E-4</v>
      </c>
      <c r="W20" s="41">
        <f t="shared" si="1"/>
        <v>6.2315021808346085</v>
      </c>
      <c r="X20" s="41">
        <f t="shared" si="1"/>
        <v>5.3820364700918907E-4</v>
      </c>
      <c r="Y20" s="41">
        <f t="shared" si="1"/>
        <v>0.33612587283996409</v>
      </c>
      <c r="Z20" s="41">
        <f t="shared" si="1"/>
        <v>9.7685504576988762E-3</v>
      </c>
      <c r="AA20" s="41">
        <f t="shared" si="1"/>
        <v>0.42239479368970317</v>
      </c>
      <c r="AB20" s="41">
        <f t="shared" si="1"/>
        <v>6.8525891758958067E-3</v>
      </c>
      <c r="AC20" s="41">
        <f t="shared" si="1"/>
        <v>0.18729190385043026</v>
      </c>
      <c r="AD20" s="41">
        <f t="shared" si="1"/>
        <v>2.3040097260782874E-4</v>
      </c>
      <c r="AE20" s="41">
        <f t="shared" si="1"/>
        <v>0.12980677755523018</v>
      </c>
      <c r="AF20" s="41">
        <f t="shared" si="1"/>
        <v>0.28048503209418491</v>
      </c>
      <c r="AG20" s="41">
        <f t="shared" si="1"/>
        <v>24.885611734582838</v>
      </c>
      <c r="AH20" s="41">
        <f t="shared" si="1"/>
        <v>4.7408226256800162E-2</v>
      </c>
      <c r="AI20" s="41">
        <f t="shared" si="1"/>
        <v>9.4905144635621319</v>
      </c>
      <c r="AJ20" s="41">
        <f t="shared" si="1"/>
        <v>9.9197788158133047E-3</v>
      </c>
      <c r="AK20" s="41">
        <f t="shared" si="1"/>
        <v>2.252399878204608E-3</v>
      </c>
      <c r="AL20" s="41">
        <f t="shared" si="1"/>
        <v>3.0331949260646758E-3</v>
      </c>
      <c r="AM20" s="41">
        <f t="shared" si="1"/>
        <v>4.6341840115440049E-3</v>
      </c>
      <c r="AN20" s="41">
        <f t="shared" si="1"/>
        <v>0.74501467400307386</v>
      </c>
    </row>
    <row r="21" spans="1:40">
      <c r="A21" s="98"/>
      <c r="B21" s="1"/>
      <c r="C21" s="1"/>
      <c r="D21" s="2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</row>
    <row r="22" spans="1:40">
      <c r="A22" s="98"/>
      <c r="B22" s="1"/>
      <c r="C22" s="1"/>
      <c r="D22" s="2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</row>
    <row r="23" spans="1:40">
      <c r="A23" s="99"/>
      <c r="B23" s="3" t="s">
        <v>116</v>
      </c>
      <c r="C23" s="3" t="s">
        <v>116</v>
      </c>
      <c r="D23" s="23" t="s">
        <v>34</v>
      </c>
      <c r="E23" s="42">
        <f t="shared" ref="E23:AN23" si="2">SUM(E19:E22)</f>
        <v>303739.33013035584</v>
      </c>
      <c r="F23" s="42">
        <f t="shared" si="2"/>
        <v>684556.20001191646</v>
      </c>
      <c r="G23" s="42">
        <f t="shared" si="2"/>
        <v>2.6596162798419982E-2</v>
      </c>
      <c r="H23" s="42">
        <f t="shared" si="2"/>
        <v>299758.11826135684</v>
      </c>
      <c r="I23" s="42">
        <f t="shared" si="2"/>
        <v>6.0075995585635505E-2</v>
      </c>
      <c r="J23" s="42">
        <f t="shared" si="2"/>
        <v>677100.20900073159</v>
      </c>
      <c r="K23" s="42">
        <f t="shared" si="2"/>
        <v>9.3380760822349719E-5</v>
      </c>
      <c r="L23" s="42">
        <f t="shared" si="2"/>
        <v>1173.0962671170362</v>
      </c>
      <c r="M23" s="42">
        <f t="shared" si="2"/>
        <v>2.6990662830550312E-3</v>
      </c>
      <c r="N23" s="42">
        <f t="shared" si="2"/>
        <v>419.05496120882617</v>
      </c>
      <c r="O23" s="42">
        <f t="shared" si="2"/>
        <v>2.5080706319402745E-2</v>
      </c>
      <c r="P23" s="42">
        <f t="shared" si="2"/>
        <v>3893.8341033954239</v>
      </c>
      <c r="Q23" s="42">
        <f t="shared" si="2"/>
        <v>6.2814443128954853E-3</v>
      </c>
      <c r="R23" s="42">
        <f t="shared" si="2"/>
        <v>4.6345785227292569E-3</v>
      </c>
      <c r="S23" s="42">
        <f t="shared" si="2"/>
        <v>4.859913834165256E-4</v>
      </c>
      <c r="T23" s="42">
        <f t="shared" si="2"/>
        <v>1.1608744067496811E-3</v>
      </c>
      <c r="U23" s="42">
        <f t="shared" si="2"/>
        <v>227.25772670716617</v>
      </c>
      <c r="V23" s="42">
        <f t="shared" si="2"/>
        <v>6.3277995475677432E-3</v>
      </c>
      <c r="W23" s="42">
        <f t="shared" si="2"/>
        <v>317.55713451525219</v>
      </c>
      <c r="X23" s="42">
        <f t="shared" si="2"/>
        <v>2.7429185126060476E-2</v>
      </c>
      <c r="Y23" s="42">
        <f t="shared" si="2"/>
        <v>17.13042793934957</v>
      </c>
      <c r="Z23" s="42">
        <f t="shared" si="2"/>
        <v>0.49784511041054813</v>
      </c>
      <c r="AA23" s="42">
        <f t="shared" si="2"/>
        <v>21.526958744995628</v>
      </c>
      <c r="AB23" s="42">
        <f t="shared" si="2"/>
        <v>0.34923702391385253</v>
      </c>
      <c r="AC23" s="42">
        <f t="shared" si="2"/>
        <v>9.5451902083904816</v>
      </c>
      <c r="AD23" s="42">
        <f t="shared" si="2"/>
        <v>1.1725341384405527E-2</v>
      </c>
      <c r="AE23" s="42">
        <f t="shared" si="2"/>
        <v>6.605999808154106</v>
      </c>
      <c r="AF23" s="42">
        <f t="shared" si="2"/>
        <v>14.290811314897166</v>
      </c>
      <c r="AG23" s="42">
        <f t="shared" si="2"/>
        <v>1267.9306952653831</v>
      </c>
      <c r="AH23" s="42">
        <f t="shared" si="2"/>
        <v>2.4154474929392418</v>
      </c>
      <c r="AI23" s="42">
        <f t="shared" si="2"/>
        <v>483.54138464369794</v>
      </c>
      <c r="AJ23" s="42">
        <f t="shared" si="2"/>
        <v>0.50550094438740045</v>
      </c>
      <c r="AK23" s="42">
        <f t="shared" si="2"/>
        <v>0.11477991240669441</v>
      </c>
      <c r="AL23" s="42">
        <f t="shared" si="2"/>
        <v>0.15456802488299101</v>
      </c>
      <c r="AM23" s="42">
        <f t="shared" si="2"/>
        <v>0.23615300709771531</v>
      </c>
      <c r="AN23" s="42">
        <f t="shared" si="2"/>
        <v>37.96512284030667</v>
      </c>
    </row>
    <row r="24" spans="1:40" ht="13">
      <c r="A24" s="30"/>
      <c r="B24" s="30"/>
      <c r="C24" s="30"/>
      <c r="D24" s="30"/>
      <c r="E24" s="30"/>
      <c r="F24" s="30"/>
      <c r="G24" s="30"/>
      <c r="H24" s="30"/>
      <c r="I24" s="30"/>
      <c r="J24" s="31"/>
      <c r="K24" s="30"/>
    </row>
  </sheetData>
  <mergeCells count="2">
    <mergeCell ref="A6:A16"/>
    <mergeCell ref="A18:A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4F99D-95DF-44E2-9D92-CB62835DD17C}">
  <sheetPr>
    <tabColor theme="6"/>
  </sheetPr>
  <dimension ref="A1:AN24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16.08984375" style="21" customWidth="1"/>
    <col min="6" max="9" width="15.90625" style="21" customWidth="1"/>
    <col min="10" max="10" width="11.54296875" style="21" bestFit="1" customWidth="1"/>
    <col min="11" max="11" width="16.54296875" style="21" customWidth="1"/>
    <col min="12" max="12" width="12" style="21" customWidth="1"/>
    <col min="13" max="13" width="14.08984375" style="21" customWidth="1"/>
    <col min="14" max="35" width="9.54296875" style="21" bestFit="1" customWidth="1"/>
    <col min="36" max="16384" width="9.08984375" style="21"/>
  </cols>
  <sheetData>
    <row r="1" spans="1:40">
      <c r="A1" s="21" t="s">
        <v>186</v>
      </c>
    </row>
    <row r="2" spans="1:40" ht="13">
      <c r="A2" s="22" t="s">
        <v>210</v>
      </c>
    </row>
    <row r="3" spans="1:40" ht="13">
      <c r="A3" s="22" t="s">
        <v>222</v>
      </c>
    </row>
    <row r="4" spans="1:40" ht="13">
      <c r="A4" s="22"/>
    </row>
    <row r="6" spans="1:40" s="27" customFormat="1" ht="42" customHeight="1">
      <c r="A6" s="97" t="s">
        <v>115</v>
      </c>
      <c r="B6" s="26" t="s">
        <v>9</v>
      </c>
      <c r="C6" s="26" t="s">
        <v>8</v>
      </c>
      <c r="D6" s="37" t="s">
        <v>10</v>
      </c>
      <c r="E6" s="29" t="s">
        <v>118</v>
      </c>
      <c r="F6" s="29" t="s">
        <v>119</v>
      </c>
      <c r="G6" s="29" t="s">
        <v>120</v>
      </c>
      <c r="H6" s="29" t="s">
        <v>121</v>
      </c>
      <c r="I6" s="29" t="s">
        <v>122</v>
      </c>
      <c r="J6" s="29" t="s">
        <v>123</v>
      </c>
      <c r="K6" s="29" t="s">
        <v>124</v>
      </c>
      <c r="L6" s="29" t="s">
        <v>125</v>
      </c>
      <c r="M6" s="29" t="s">
        <v>126</v>
      </c>
      <c r="N6" s="29" t="s">
        <v>127</v>
      </c>
      <c r="O6" s="29" t="s">
        <v>128</v>
      </c>
      <c r="P6" s="29" t="s">
        <v>129</v>
      </c>
      <c r="Q6" s="29" t="s">
        <v>130</v>
      </c>
      <c r="R6" s="29" t="s">
        <v>131</v>
      </c>
      <c r="S6" s="29" t="s">
        <v>132</v>
      </c>
      <c r="T6" s="29" t="s">
        <v>133</v>
      </c>
      <c r="U6" s="29" t="s">
        <v>134</v>
      </c>
      <c r="V6" s="29" t="s">
        <v>135</v>
      </c>
      <c r="W6" s="29" t="s">
        <v>136</v>
      </c>
      <c r="X6" s="29" t="s">
        <v>137</v>
      </c>
      <c r="Y6" s="29" t="s">
        <v>138</v>
      </c>
      <c r="Z6" s="29" t="s">
        <v>139</v>
      </c>
      <c r="AA6" s="29" t="s">
        <v>140</v>
      </c>
      <c r="AB6" s="29" t="s">
        <v>141</v>
      </c>
      <c r="AC6" s="29" t="s">
        <v>142</v>
      </c>
      <c r="AD6" s="29" t="s">
        <v>143</v>
      </c>
      <c r="AE6" s="29" t="s">
        <v>144</v>
      </c>
      <c r="AF6" s="29" t="s">
        <v>145</v>
      </c>
      <c r="AG6" s="29" t="s">
        <v>146</v>
      </c>
      <c r="AH6" s="29" t="s">
        <v>147</v>
      </c>
      <c r="AI6" s="29" t="s">
        <v>148</v>
      </c>
      <c r="AJ6" s="29" t="s">
        <v>149</v>
      </c>
      <c r="AK6" s="29" t="s">
        <v>150</v>
      </c>
      <c r="AL6" s="29" t="s">
        <v>151</v>
      </c>
      <c r="AM6" s="29" t="s">
        <v>152</v>
      </c>
      <c r="AN6" s="29" t="s">
        <v>153</v>
      </c>
    </row>
    <row r="7" spans="1:40" ht="13.5" customHeight="1">
      <c r="A7" s="98"/>
      <c r="B7" s="54" t="s">
        <v>210</v>
      </c>
      <c r="C7" s="5" t="s">
        <v>180</v>
      </c>
      <c r="D7" s="7" t="s">
        <v>114</v>
      </c>
      <c r="E7" s="7">
        <v>39246.801092750073</v>
      </c>
      <c r="F7" s="7">
        <v>88471.994530206837</v>
      </c>
      <c r="G7" s="2">
        <v>3.4368509220035113E-3</v>
      </c>
      <c r="H7" s="2">
        <v>38735.812114437256</v>
      </c>
      <c r="I7" s="2">
        <v>7.7646516419203494E-3</v>
      </c>
      <c r="J7" s="2">
        <v>87513.277113616903</v>
      </c>
      <c r="K7" s="2">
        <v>1.3431123887051328E-5</v>
      </c>
      <c r="L7" s="2">
        <v>168.72855989105756</v>
      </c>
      <c r="M7" s="2">
        <v>3.483925675193786E-4</v>
      </c>
      <c r="N7" s="2">
        <v>53.995564032473901</v>
      </c>
      <c r="O7" s="2">
        <v>3.237393229618486E-3</v>
      </c>
      <c r="P7" s="2">
        <v>501.72400230967241</v>
      </c>
      <c r="Q7" s="2">
        <v>8.2359364195649454E-4</v>
      </c>
      <c r="R7" s="2">
        <v>6.1161400034777608E-4</v>
      </c>
      <c r="S7" s="2">
        <v>6.2174262545400071E-5</v>
      </c>
      <c r="T7" s="2">
        <v>1.4980537906331918E-4</v>
      </c>
      <c r="U7" s="2">
        <v>29.867355043694925</v>
      </c>
      <c r="V7" s="2">
        <v>8.2375988353788183E-4</v>
      </c>
      <c r="W7" s="2">
        <v>41.334922105022784</v>
      </c>
      <c r="X7" s="2">
        <v>3.3332159776482632E-3</v>
      </c>
      <c r="Y7" s="2">
        <v>2.0817029688987079</v>
      </c>
      <c r="Z7" s="2">
        <v>6.0575014335694441E-2</v>
      </c>
      <c r="AA7" s="2">
        <v>2.6192801883836334</v>
      </c>
      <c r="AB7" s="2">
        <v>4.2456236358756977E-2</v>
      </c>
      <c r="AC7" s="2">
        <v>1.1603948717553076</v>
      </c>
      <c r="AD7" s="2">
        <v>1.3149859206288144E-3</v>
      </c>
      <c r="AE7" s="2">
        <v>0.74085661599518193</v>
      </c>
      <c r="AF7" s="2">
        <v>1.680512896379349</v>
      </c>
      <c r="AG7" s="2">
        <v>149.10097391654296</v>
      </c>
      <c r="AH7" s="2">
        <v>0.28366202516646377</v>
      </c>
      <c r="AI7" s="2">
        <v>56.785473011015846</v>
      </c>
      <c r="AJ7" s="2">
        <v>6.0900858648429194E-2</v>
      </c>
      <c r="AK7" s="2">
        <v>1.3828254199832149E-2</v>
      </c>
      <c r="AL7" s="2">
        <v>1.8621775360609723E-2</v>
      </c>
      <c r="AM7" s="2">
        <v>2.845082908798734E-2</v>
      </c>
      <c r="AN7" s="2">
        <v>4.5738956679294382</v>
      </c>
    </row>
    <row r="8" spans="1:40" ht="13.5" customHeight="1">
      <c r="A8" s="98"/>
      <c r="B8" s="1" t="s">
        <v>210</v>
      </c>
      <c r="C8" s="1" t="s">
        <v>117</v>
      </c>
      <c r="D8" s="2" t="s">
        <v>114</v>
      </c>
      <c r="E8" s="2">
        <v>1722051.5061718833</v>
      </c>
      <c r="F8" s="2">
        <v>3880749.8464310663</v>
      </c>
      <c r="G8" s="2">
        <v>0.15043576084691374</v>
      </c>
      <c r="H8" s="2">
        <v>1695520.5505572138</v>
      </c>
      <c r="I8" s="2">
        <v>0.34008099863206326</v>
      </c>
      <c r="J8" s="2">
        <v>3832960.4529434787</v>
      </c>
      <c r="K8" s="2">
        <v>6.6377384336923425E-4</v>
      </c>
      <c r="L8" s="2">
        <v>8338.6621720478361</v>
      </c>
      <c r="M8" s="2">
        <v>1.6350164226018642E-2</v>
      </c>
      <c r="N8" s="2">
        <v>2563.7470130532834</v>
      </c>
      <c r="O8" s="2">
        <v>0.15193165910451645</v>
      </c>
      <c r="P8" s="2">
        <v>23822.184885974377</v>
      </c>
      <c r="Q8" s="2">
        <v>3.8065294565746505E-2</v>
      </c>
      <c r="R8" s="2">
        <v>2.7251971191483614E-2</v>
      </c>
      <c r="S8" s="2">
        <v>3.1942274392565964E-3</v>
      </c>
      <c r="T8" s="2">
        <v>7.6190959350062835E-3</v>
      </c>
      <c r="U8" s="2">
        <v>1362.7950351840739</v>
      </c>
      <c r="V8" s="2">
        <v>3.7835662433802798E-2</v>
      </c>
      <c r="W8" s="2">
        <v>1902.0260789485092</v>
      </c>
      <c r="X8" s="2">
        <v>0.18389970881169612</v>
      </c>
      <c r="Y8" s="2">
        <v>114.85141448380321</v>
      </c>
      <c r="Z8" s="2">
        <v>3.3356704520568763</v>
      </c>
      <c r="AA8" s="2">
        <v>144.23530272118944</v>
      </c>
      <c r="AB8" s="2">
        <v>2.3410525029873557</v>
      </c>
      <c r="AC8" s="2">
        <v>63.984600425283666</v>
      </c>
      <c r="AD8" s="2">
        <v>7.8961544352270915E-2</v>
      </c>
      <c r="AE8" s="2">
        <v>44.486546680474689</v>
      </c>
      <c r="AF8" s="2">
        <v>95.716723316114155</v>
      </c>
      <c r="AG8" s="2">
        <v>8492.322015070893</v>
      </c>
      <c r="AH8" s="2">
        <v>16.226143990641564</v>
      </c>
      <c r="AI8" s="2">
        <v>3248.264412949567</v>
      </c>
      <c r="AJ8" s="2">
        <v>3.4030299095381529</v>
      </c>
      <c r="AK8" s="2">
        <v>0.77269784536365826</v>
      </c>
      <c r="AL8" s="2">
        <v>1.0405511528045508</v>
      </c>
      <c r="AM8" s="2">
        <v>1.5897809113699468</v>
      </c>
      <c r="AN8" s="2">
        <v>255.58102310060468</v>
      </c>
    </row>
    <row r="9" spans="1:40">
      <c r="A9" s="98"/>
      <c r="B9" s="1"/>
      <c r="C9" s="1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>
      <c r="A10" s="98"/>
      <c r="B10" s="1"/>
      <c r="C10" s="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>
      <c r="A11" s="98"/>
      <c r="B11" s="1"/>
      <c r="C11" s="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>
      <c r="A12" s="98"/>
      <c r="B12" s="1"/>
      <c r="C12" s="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>
      <c r="A13" s="98"/>
      <c r="B13" s="1"/>
      <c r="C13" s="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>
      <c r="A14" s="98"/>
      <c r="B14" s="1"/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98"/>
      <c r="B15" s="1"/>
      <c r="C15" s="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>
      <c r="A16" s="99"/>
      <c r="B16" s="3"/>
      <c r="C16" s="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spans="1:40" ht="13">
      <c r="A17" s="30"/>
      <c r="B17" s="30"/>
      <c r="C17" s="30"/>
      <c r="D17" s="30"/>
      <c r="E17" s="30"/>
      <c r="F17" s="30"/>
      <c r="G17" s="30"/>
      <c r="H17" s="30"/>
      <c r="I17" s="30"/>
      <c r="J17" s="31"/>
    </row>
    <row r="18" spans="1:40" s="27" customFormat="1" ht="91">
      <c r="A18" s="97" t="s">
        <v>116</v>
      </c>
      <c r="B18" s="26" t="s">
        <v>9</v>
      </c>
      <c r="C18" s="26" t="s">
        <v>8</v>
      </c>
      <c r="D18" s="37" t="s">
        <v>10</v>
      </c>
      <c r="E18" s="29" t="s">
        <v>118</v>
      </c>
      <c r="F18" s="29" t="s">
        <v>119</v>
      </c>
      <c r="G18" s="29" t="s">
        <v>120</v>
      </c>
      <c r="H18" s="29" t="s">
        <v>121</v>
      </c>
      <c r="I18" s="29" t="s">
        <v>122</v>
      </c>
      <c r="J18" s="29" t="s">
        <v>123</v>
      </c>
      <c r="K18" s="29" t="s">
        <v>124</v>
      </c>
      <c r="L18" s="29" t="s">
        <v>125</v>
      </c>
      <c r="M18" s="29" t="s">
        <v>126</v>
      </c>
      <c r="N18" s="29" t="s">
        <v>127</v>
      </c>
      <c r="O18" s="29" t="s">
        <v>128</v>
      </c>
      <c r="P18" s="29" t="s">
        <v>129</v>
      </c>
      <c r="Q18" s="29" t="s">
        <v>130</v>
      </c>
      <c r="R18" s="29" t="s">
        <v>131</v>
      </c>
      <c r="S18" s="29" t="s">
        <v>132</v>
      </c>
      <c r="T18" s="29" t="s">
        <v>133</v>
      </c>
      <c r="U18" s="29" t="s">
        <v>134</v>
      </c>
      <c r="V18" s="29" t="s">
        <v>135</v>
      </c>
      <c r="W18" s="29" t="s">
        <v>136</v>
      </c>
      <c r="X18" s="29" t="s">
        <v>137</v>
      </c>
      <c r="Y18" s="29" t="s">
        <v>138</v>
      </c>
      <c r="Z18" s="29" t="s">
        <v>139</v>
      </c>
      <c r="AA18" s="29" t="s">
        <v>140</v>
      </c>
      <c r="AB18" s="29" t="s">
        <v>141</v>
      </c>
      <c r="AC18" s="29" t="s">
        <v>142</v>
      </c>
      <c r="AD18" s="29" t="s">
        <v>143</v>
      </c>
      <c r="AE18" s="29" t="s">
        <v>144</v>
      </c>
      <c r="AF18" s="29" t="s">
        <v>145</v>
      </c>
      <c r="AG18" s="29" t="s">
        <v>146</v>
      </c>
      <c r="AH18" s="29" t="s">
        <v>147</v>
      </c>
      <c r="AI18" s="29" t="s">
        <v>148</v>
      </c>
      <c r="AJ18" s="29" t="s">
        <v>149</v>
      </c>
      <c r="AK18" s="29" t="s">
        <v>150</v>
      </c>
      <c r="AL18" s="29" t="s">
        <v>151</v>
      </c>
      <c r="AM18" s="29" t="s">
        <v>152</v>
      </c>
      <c r="AN18" s="29" t="s">
        <v>153</v>
      </c>
    </row>
    <row r="19" spans="1:40" ht="13.5" customHeight="1">
      <c r="A19" s="98"/>
      <c r="B19" s="5" t="s">
        <v>210</v>
      </c>
      <c r="C19" s="5" t="s">
        <v>116</v>
      </c>
      <c r="D19" s="7" t="s">
        <v>114</v>
      </c>
      <c r="E19" s="40">
        <f t="shared" ref="E19:AN19" si="0">SUM(E7:E8)</f>
        <v>1761298.3072646335</v>
      </c>
      <c r="F19" s="40">
        <f t="shared" si="0"/>
        <v>3969221.8409612733</v>
      </c>
      <c r="G19" s="40">
        <f t="shared" si="0"/>
        <v>0.15387261176891726</v>
      </c>
      <c r="H19" s="40">
        <f t="shared" si="0"/>
        <v>1734256.3626716512</v>
      </c>
      <c r="I19" s="40">
        <f t="shared" si="0"/>
        <v>0.34784565027398362</v>
      </c>
      <c r="J19" s="40">
        <f t="shared" si="0"/>
        <v>3920473.7300570956</v>
      </c>
      <c r="K19" s="40">
        <f t="shared" si="0"/>
        <v>6.7720496725628553E-4</v>
      </c>
      <c r="L19" s="40">
        <f t="shared" si="0"/>
        <v>8507.3907319388927</v>
      </c>
      <c r="M19" s="40">
        <f t="shared" si="0"/>
        <v>1.669855679353802E-2</v>
      </c>
      <c r="N19" s="40">
        <f t="shared" si="0"/>
        <v>2617.7425770857571</v>
      </c>
      <c r="O19" s="40">
        <f t="shared" si="0"/>
        <v>0.15516905233413494</v>
      </c>
      <c r="P19" s="40">
        <f t="shared" si="0"/>
        <v>24323.908888284048</v>
      </c>
      <c r="Q19" s="40">
        <f t="shared" si="0"/>
        <v>3.8888888207702997E-2</v>
      </c>
      <c r="R19" s="40">
        <f t="shared" si="0"/>
        <v>2.7863585191831391E-2</v>
      </c>
      <c r="S19" s="40">
        <f t="shared" si="0"/>
        <v>3.2564017018019966E-3</v>
      </c>
      <c r="T19" s="40">
        <f t="shared" si="0"/>
        <v>7.7689013140696027E-3</v>
      </c>
      <c r="U19" s="40">
        <f t="shared" si="0"/>
        <v>1392.6623902277688</v>
      </c>
      <c r="V19" s="40">
        <f t="shared" si="0"/>
        <v>3.865942231734068E-2</v>
      </c>
      <c r="W19" s="40">
        <f t="shared" si="0"/>
        <v>1943.3610010535319</v>
      </c>
      <c r="X19" s="40">
        <f t="shared" si="0"/>
        <v>0.18723292478934439</v>
      </c>
      <c r="Y19" s="40">
        <f t="shared" si="0"/>
        <v>116.93311745270192</v>
      </c>
      <c r="Z19" s="40">
        <f t="shared" si="0"/>
        <v>3.3962454663925707</v>
      </c>
      <c r="AA19" s="40">
        <f t="shared" si="0"/>
        <v>146.85458290957308</v>
      </c>
      <c r="AB19" s="40">
        <f t="shared" si="0"/>
        <v>2.3835087393461127</v>
      </c>
      <c r="AC19" s="40">
        <f t="shared" si="0"/>
        <v>65.144995297038975</v>
      </c>
      <c r="AD19" s="40">
        <f t="shared" si="0"/>
        <v>8.0276530272899729E-2</v>
      </c>
      <c r="AE19" s="40">
        <f t="shared" si="0"/>
        <v>45.227403296469873</v>
      </c>
      <c r="AF19" s="40">
        <f t="shared" si="0"/>
        <v>97.39723621249351</v>
      </c>
      <c r="AG19" s="40">
        <f t="shared" si="0"/>
        <v>8641.4229889874368</v>
      </c>
      <c r="AH19" s="40">
        <f t="shared" si="0"/>
        <v>16.509806015808028</v>
      </c>
      <c r="AI19" s="40">
        <f t="shared" si="0"/>
        <v>3305.0498859605827</v>
      </c>
      <c r="AJ19" s="40">
        <f t="shared" si="0"/>
        <v>3.4639307681865819</v>
      </c>
      <c r="AK19" s="40">
        <f t="shared" si="0"/>
        <v>0.7865260995634904</v>
      </c>
      <c r="AL19" s="40">
        <f t="shared" si="0"/>
        <v>1.0591729281651605</v>
      </c>
      <c r="AM19" s="40">
        <f t="shared" si="0"/>
        <v>1.6182317404579341</v>
      </c>
      <c r="AN19" s="40">
        <f t="shared" si="0"/>
        <v>260.15491876853412</v>
      </c>
    </row>
    <row r="20" spans="1:40">
      <c r="A20" s="98"/>
      <c r="B20" s="1"/>
      <c r="C20" s="1" t="s">
        <v>116</v>
      </c>
      <c r="D20" s="2" t="s">
        <v>114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</row>
    <row r="21" spans="1:40">
      <c r="A21" s="98"/>
      <c r="B21" s="1"/>
      <c r="C21" s="1"/>
      <c r="D21" s="2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</row>
    <row r="22" spans="1:40">
      <c r="A22" s="98"/>
      <c r="B22" s="1"/>
      <c r="C22" s="1"/>
      <c r="D22" s="2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</row>
    <row r="23" spans="1:40">
      <c r="A23" s="99"/>
      <c r="B23" s="3"/>
      <c r="C23" s="3"/>
      <c r="D23" s="2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ht="13">
      <c r="A24" s="30"/>
      <c r="B24" s="30"/>
      <c r="C24" s="30"/>
      <c r="D24" s="30"/>
      <c r="E24" s="30"/>
      <c r="F24" s="30"/>
      <c r="G24" s="30"/>
      <c r="H24" s="30"/>
      <c r="I24" s="30"/>
      <c r="J24" s="31"/>
      <c r="K24" s="30"/>
    </row>
  </sheetData>
  <mergeCells count="2">
    <mergeCell ref="A6:A16"/>
    <mergeCell ref="A18:A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8C028-903C-4CCC-A283-A54CF3EE0F0C}">
  <sheetPr>
    <tabColor theme="6"/>
  </sheetPr>
  <dimension ref="A1:AD24"/>
  <sheetViews>
    <sheetView workbookViewId="0"/>
  </sheetViews>
  <sheetFormatPr defaultColWidth="9.08984375" defaultRowHeight="12.5"/>
  <cols>
    <col min="1" max="1" width="9.08984375" style="91"/>
    <col min="2" max="2" width="32.08984375" style="91" customWidth="1"/>
    <col min="3" max="4" width="15.6328125" style="91" customWidth="1"/>
    <col min="5" max="30" width="9.90625" style="91" customWidth="1"/>
    <col min="31" max="16384" width="9.08984375" style="91"/>
  </cols>
  <sheetData>
    <row r="1" spans="1:30">
      <c r="A1" s="91" t="s">
        <v>186</v>
      </c>
    </row>
    <row r="2" spans="1:30" ht="13">
      <c r="B2" s="96" t="s">
        <v>249</v>
      </c>
    </row>
    <row r="3" spans="1:30" s="96" customFormat="1" ht="13">
      <c r="B3" s="64" t="s">
        <v>248</v>
      </c>
      <c r="C3" s="64" t="s">
        <v>8</v>
      </c>
      <c r="D3" s="64" t="s">
        <v>33</v>
      </c>
      <c r="E3" s="64">
        <v>2025</v>
      </c>
      <c r="F3" s="64">
        <v>2026</v>
      </c>
      <c r="G3" s="64">
        <v>2027</v>
      </c>
      <c r="H3" s="64">
        <v>2028</v>
      </c>
      <c r="I3" s="64">
        <v>2029</v>
      </c>
      <c r="J3" s="64">
        <v>2030</v>
      </c>
      <c r="K3" s="64">
        <v>2031</v>
      </c>
      <c r="L3" s="64">
        <v>2032</v>
      </c>
      <c r="M3" s="64">
        <v>2033</v>
      </c>
      <c r="N3" s="64">
        <v>2034</v>
      </c>
      <c r="O3" s="64">
        <v>2035</v>
      </c>
      <c r="P3" s="64">
        <v>2036</v>
      </c>
      <c r="Q3" s="64">
        <v>2037</v>
      </c>
      <c r="R3" s="64">
        <v>2038</v>
      </c>
      <c r="S3" s="64">
        <v>2039</v>
      </c>
      <c r="T3" s="64">
        <v>2040</v>
      </c>
      <c r="U3" s="64">
        <v>2041</v>
      </c>
      <c r="V3" s="64">
        <v>2042</v>
      </c>
      <c r="W3" s="64">
        <v>2043</v>
      </c>
      <c r="X3" s="64">
        <v>2044</v>
      </c>
      <c r="Y3" s="64">
        <v>2045</v>
      </c>
      <c r="Z3" s="64">
        <v>2046</v>
      </c>
      <c r="AA3" s="64">
        <v>2047</v>
      </c>
      <c r="AB3" s="64">
        <v>2048</v>
      </c>
      <c r="AC3" s="64">
        <v>2049</v>
      </c>
      <c r="AD3" s="64">
        <v>2050</v>
      </c>
    </row>
    <row r="4" spans="1:30">
      <c r="B4" s="21" t="s">
        <v>246</v>
      </c>
      <c r="C4" s="33" t="s">
        <v>231</v>
      </c>
      <c r="D4" s="33" t="s">
        <v>247</v>
      </c>
      <c r="E4" s="33">
        <v>0</v>
      </c>
      <c r="F4" s="33">
        <v>0</v>
      </c>
      <c r="G4" s="33">
        <f>'P0.1a Coal-NG Retirement'!L24*1000000</f>
        <v>4442629.9081106959</v>
      </c>
      <c r="H4" s="33">
        <f>'P0.1a Coal-NG Retirement'!M24*1000000</f>
        <v>3856328.2645349884</v>
      </c>
      <c r="I4" s="33">
        <f>'P0.1a Coal-NG Retirement'!N24*1000000</f>
        <v>3327323.7475274112</v>
      </c>
      <c r="J4" s="33">
        <f>'P0.1a Coal-NG Retirement'!O24*1000000</f>
        <v>2902924.6017274135</v>
      </c>
      <c r="K4" s="33">
        <f>'P0.1a Coal-NG Retirement'!P24*1000000</f>
        <v>2795038.5700740558</v>
      </c>
      <c r="L4" s="33">
        <f>'P0.1a Coal-NG Retirement'!Q24*1000000</f>
        <v>2745510.5425131144</v>
      </c>
      <c r="M4" s="33">
        <f>'P0.1a Coal-NG Retirement'!R24*1000000</f>
        <v>2807335.6236708555</v>
      </c>
      <c r="N4" s="33">
        <f>'P0.1a Coal-NG Retirement'!S24*1000000</f>
        <v>2713276.5454336694</v>
      </c>
      <c r="O4" s="33">
        <f>'P0.1a Coal-NG Retirement'!T24*1000000</f>
        <v>2735446.1854310986</v>
      </c>
      <c r="P4" s="33">
        <f>'P0.1a Coal-NG Retirement'!U24*1000000</f>
        <v>2810660.8070251062</v>
      </c>
      <c r="Q4" s="33">
        <f>'P0.1a Coal-NG Retirement'!V24*1000000</f>
        <v>2824546.1459704041</v>
      </c>
      <c r="R4" s="33">
        <f>'P0.1a Coal-NG Retirement'!W24*1000000</f>
        <v>2885943.3337908238</v>
      </c>
      <c r="S4" s="33">
        <f>'P0.1a Coal-NG Retirement'!X24*1000000</f>
        <v>2746926.7796351532</v>
      </c>
      <c r="T4" s="33">
        <f>'P0.1a Coal-NG Retirement'!Y24*1000000</f>
        <v>2830051.1188746751</v>
      </c>
      <c r="U4" s="33">
        <f>'P0.1a Coal-NG Retirement'!Z24*1000000</f>
        <v>2896151.490837784</v>
      </c>
      <c r="V4" s="33">
        <f>'P0.1a Coal-NG Retirement'!AA24*1000000</f>
        <v>2935993.1807823959</v>
      </c>
      <c r="W4" s="33">
        <f>'P0.1a Coal-NG Retirement'!AB24*1000000</f>
        <v>2886724.1030560955</v>
      </c>
      <c r="X4" s="33">
        <f>'P0.1a Coal-NG Retirement'!AC24*1000000</f>
        <v>2875470.6421489473</v>
      </c>
      <c r="Y4" s="33">
        <f>'P0.1a Coal-NG Retirement'!AD24*1000000</f>
        <v>2756035.9849525476</v>
      </c>
      <c r="Z4" s="33">
        <f>'P0.1a Coal-NG Retirement'!AE24*1000000</f>
        <v>2665597.1601928072</v>
      </c>
      <c r="AA4" s="33">
        <f>'P0.1a Coal-NG Retirement'!AF24*1000000</f>
        <v>2707737.9855378694</v>
      </c>
      <c r="AB4" s="33">
        <f>'P0.1a Coal-NG Retirement'!AG24*1000000</f>
        <v>2668454.772700802</v>
      </c>
      <c r="AC4" s="33">
        <f>'P0.1a Coal-NG Retirement'!AH24*1000000</f>
        <v>2620626.7235822994</v>
      </c>
      <c r="AD4" s="33">
        <f>'P0.1a Coal-NG Retirement'!AI24*1000000</f>
        <v>2541739.9627923439</v>
      </c>
    </row>
    <row r="5" spans="1:30">
      <c r="B5" s="21" t="s">
        <v>246</v>
      </c>
      <c r="C5" s="33" t="s">
        <v>232</v>
      </c>
      <c r="D5" s="33" t="s">
        <v>34</v>
      </c>
      <c r="E5" s="33">
        <f t="shared" ref="E5:AD5" si="0">E4*E7/1000000</f>
        <v>0</v>
      </c>
      <c r="F5" s="33">
        <f t="shared" si="0"/>
        <v>0</v>
      </c>
      <c r="G5" s="33">
        <f t="shared" si="0"/>
        <v>4611.4498446189018</v>
      </c>
      <c r="H5" s="33">
        <f t="shared" si="0"/>
        <v>4002.8687385873181</v>
      </c>
      <c r="I5" s="33">
        <f t="shared" si="0"/>
        <v>3453.7620499334525</v>
      </c>
      <c r="J5" s="33">
        <f t="shared" si="0"/>
        <v>3013.2357365930552</v>
      </c>
      <c r="K5" s="33">
        <f t="shared" si="0"/>
        <v>2901.2500357368699</v>
      </c>
      <c r="L5" s="33">
        <f t="shared" si="0"/>
        <v>2849.8399431286125</v>
      </c>
      <c r="M5" s="33">
        <f t="shared" si="0"/>
        <v>2914.014377370348</v>
      </c>
      <c r="N5" s="33">
        <f t="shared" si="0"/>
        <v>2816.3810541601488</v>
      </c>
      <c r="O5" s="33">
        <f t="shared" si="0"/>
        <v>2839.3931404774803</v>
      </c>
      <c r="P5" s="33">
        <f t="shared" si="0"/>
        <v>2917.46591769206</v>
      </c>
      <c r="Q5" s="33">
        <f t="shared" si="0"/>
        <v>2931.8788995172795</v>
      </c>
      <c r="R5" s="33">
        <f t="shared" si="0"/>
        <v>2995.6091804748748</v>
      </c>
      <c r="S5" s="33">
        <f t="shared" si="0"/>
        <v>2851.309997261289</v>
      </c>
      <c r="T5" s="33">
        <f t="shared" si="0"/>
        <v>2937.5930613919131</v>
      </c>
      <c r="U5" s="33">
        <f t="shared" si="0"/>
        <v>3006.2052474896195</v>
      </c>
      <c r="V5" s="33">
        <f t="shared" si="0"/>
        <v>3047.5609216521266</v>
      </c>
      <c r="W5" s="33">
        <f t="shared" si="0"/>
        <v>2996.419618972227</v>
      </c>
      <c r="X5" s="33">
        <f t="shared" si="0"/>
        <v>2984.7385265506073</v>
      </c>
      <c r="Y5" s="33">
        <f t="shared" si="0"/>
        <v>2860.7653523807444</v>
      </c>
      <c r="Z5" s="33">
        <f t="shared" si="0"/>
        <v>2766.8898522801337</v>
      </c>
      <c r="AA5" s="33">
        <f t="shared" si="0"/>
        <v>2810.6320289883083</v>
      </c>
      <c r="AB5" s="33">
        <f t="shared" si="0"/>
        <v>2769.8560540634321</v>
      </c>
      <c r="AC5" s="33">
        <f t="shared" si="0"/>
        <v>2720.2105390784268</v>
      </c>
      <c r="AD5" s="33">
        <f t="shared" si="0"/>
        <v>2638.3260813784527</v>
      </c>
    </row>
    <row r="6" spans="1:30">
      <c r="B6" s="21" t="s">
        <v>245</v>
      </c>
      <c r="C6" s="33" t="s">
        <v>234</v>
      </c>
      <c r="D6" s="33" t="s">
        <v>233</v>
      </c>
      <c r="E6" s="95">
        <v>5.0000000000000001E-3</v>
      </c>
      <c r="F6" s="95">
        <v>5.0000000000000001E-3</v>
      </c>
      <c r="G6" s="95">
        <v>5.0000000000000001E-3</v>
      </c>
      <c r="H6" s="95">
        <v>5.0000000000000001E-3</v>
      </c>
      <c r="I6" s="95">
        <v>5.0000000000000001E-3</v>
      </c>
      <c r="J6" s="95">
        <v>5.0000000000000001E-3</v>
      </c>
      <c r="K6" s="95">
        <v>5.0000000000000001E-3</v>
      </c>
      <c r="L6" s="95">
        <v>5.0000000000000001E-3</v>
      </c>
      <c r="M6" s="95">
        <v>5.0000000000000001E-3</v>
      </c>
      <c r="N6" s="95">
        <v>5.0000000000000001E-3</v>
      </c>
      <c r="O6" s="95">
        <v>5.0000000000000001E-3</v>
      </c>
      <c r="P6" s="95">
        <v>5.0000000000000001E-3</v>
      </c>
      <c r="Q6" s="95">
        <v>5.0000000000000001E-3</v>
      </c>
      <c r="R6" s="95">
        <v>5.0000000000000001E-3</v>
      </c>
      <c r="S6" s="95">
        <v>5.0000000000000001E-3</v>
      </c>
      <c r="T6" s="95">
        <v>5.0000000000000001E-3</v>
      </c>
      <c r="U6" s="95">
        <v>5.0000000000000001E-3</v>
      </c>
      <c r="V6" s="95">
        <v>5.0000000000000001E-3</v>
      </c>
      <c r="W6" s="95">
        <v>5.0000000000000001E-3</v>
      </c>
      <c r="X6" s="95">
        <v>5.0000000000000001E-3</v>
      </c>
      <c r="Y6" s="95">
        <v>5.0000000000000001E-3</v>
      </c>
      <c r="Z6" s="95">
        <v>5.0000000000000001E-3</v>
      </c>
      <c r="AA6" s="95">
        <v>5.0000000000000001E-3</v>
      </c>
      <c r="AB6" s="95">
        <v>5.0000000000000001E-3</v>
      </c>
      <c r="AC6" s="95">
        <v>5.0000000000000001E-3</v>
      </c>
      <c r="AD6" s="95">
        <v>5.0000000000000001E-3</v>
      </c>
    </row>
    <row r="7" spans="1:30">
      <c r="B7" s="21" t="s">
        <v>244</v>
      </c>
      <c r="C7" s="33" t="s">
        <v>243</v>
      </c>
      <c r="D7" s="33" t="s">
        <v>242</v>
      </c>
      <c r="E7" s="33">
        <v>1038</v>
      </c>
      <c r="F7" s="33">
        <v>1038</v>
      </c>
      <c r="G7" s="33">
        <v>1038</v>
      </c>
      <c r="H7" s="33">
        <v>1038</v>
      </c>
      <c r="I7" s="33">
        <v>1038</v>
      </c>
      <c r="J7" s="33">
        <v>1038</v>
      </c>
      <c r="K7" s="33">
        <v>1038</v>
      </c>
      <c r="L7" s="33">
        <v>1038</v>
      </c>
      <c r="M7" s="33">
        <v>1038</v>
      </c>
      <c r="N7" s="33">
        <v>1038</v>
      </c>
      <c r="O7" s="33">
        <v>1038</v>
      </c>
      <c r="P7" s="33">
        <v>1038</v>
      </c>
      <c r="Q7" s="33">
        <v>1038</v>
      </c>
      <c r="R7" s="33">
        <v>1038</v>
      </c>
      <c r="S7" s="33">
        <v>1038</v>
      </c>
      <c r="T7" s="33">
        <v>1038</v>
      </c>
      <c r="U7" s="33">
        <v>1038</v>
      </c>
      <c r="V7" s="33">
        <v>1038</v>
      </c>
      <c r="W7" s="33">
        <v>1038</v>
      </c>
      <c r="X7" s="33">
        <v>1038</v>
      </c>
      <c r="Y7" s="33">
        <v>1038</v>
      </c>
      <c r="Z7" s="33">
        <v>1038</v>
      </c>
      <c r="AA7" s="33">
        <v>1038</v>
      </c>
      <c r="AB7" s="33">
        <v>1038</v>
      </c>
      <c r="AC7" s="33">
        <v>1038</v>
      </c>
      <c r="AD7" s="33">
        <v>1038</v>
      </c>
    </row>
    <row r="8" spans="1:30">
      <c r="B8" s="21" t="s">
        <v>241</v>
      </c>
      <c r="C8" s="33" t="s">
        <v>240</v>
      </c>
      <c r="D8" s="33" t="s">
        <v>239</v>
      </c>
      <c r="E8" s="79">
        <v>2.83168E-2</v>
      </c>
      <c r="F8" s="79">
        <v>2.83168E-2</v>
      </c>
      <c r="G8" s="79">
        <v>2.83168E-2</v>
      </c>
      <c r="H8" s="79">
        <v>2.83168E-2</v>
      </c>
      <c r="I8" s="79">
        <v>2.83168E-2</v>
      </c>
      <c r="J8" s="79">
        <v>2.83168E-2</v>
      </c>
      <c r="K8" s="79">
        <v>2.83168E-2</v>
      </c>
      <c r="L8" s="79">
        <v>2.83168E-2</v>
      </c>
      <c r="M8" s="79">
        <v>2.83168E-2</v>
      </c>
      <c r="N8" s="79">
        <v>2.83168E-2</v>
      </c>
      <c r="O8" s="79">
        <v>2.83168E-2</v>
      </c>
      <c r="P8" s="79">
        <v>2.83168E-2</v>
      </c>
      <c r="Q8" s="79">
        <v>2.83168E-2</v>
      </c>
      <c r="R8" s="79">
        <v>2.83168E-2</v>
      </c>
      <c r="S8" s="79">
        <v>2.83168E-2</v>
      </c>
      <c r="T8" s="79">
        <v>2.83168E-2</v>
      </c>
      <c r="U8" s="79">
        <v>2.83168E-2</v>
      </c>
      <c r="V8" s="79">
        <v>2.83168E-2</v>
      </c>
      <c r="W8" s="79">
        <v>2.83168E-2</v>
      </c>
      <c r="X8" s="79">
        <v>2.83168E-2</v>
      </c>
      <c r="Y8" s="79">
        <v>2.83168E-2</v>
      </c>
      <c r="Z8" s="79">
        <v>2.83168E-2</v>
      </c>
      <c r="AA8" s="79">
        <v>2.83168E-2</v>
      </c>
      <c r="AB8" s="79">
        <v>2.83168E-2</v>
      </c>
      <c r="AC8" s="79">
        <v>2.83168E-2</v>
      </c>
      <c r="AD8" s="79">
        <v>2.83168E-2</v>
      </c>
    </row>
    <row r="9" spans="1:30">
      <c r="B9" s="21" t="s">
        <v>238</v>
      </c>
      <c r="C9" s="33" t="s">
        <v>237</v>
      </c>
      <c r="D9" s="33" t="s">
        <v>233</v>
      </c>
      <c r="E9" s="79">
        <v>0.8</v>
      </c>
      <c r="F9" s="79">
        <v>0.8</v>
      </c>
      <c r="G9" s="79">
        <v>0.8</v>
      </c>
      <c r="H9" s="79">
        <v>0.8</v>
      </c>
      <c r="I9" s="79">
        <v>0.8</v>
      </c>
      <c r="J9" s="79">
        <v>0.8</v>
      </c>
      <c r="K9" s="79">
        <v>0.8</v>
      </c>
      <c r="L9" s="79">
        <v>0.8</v>
      </c>
      <c r="M9" s="79">
        <v>0.8</v>
      </c>
      <c r="N9" s="79">
        <v>0.8</v>
      </c>
      <c r="O9" s="79">
        <v>0.8</v>
      </c>
      <c r="P9" s="79">
        <v>0.8</v>
      </c>
      <c r="Q9" s="79">
        <v>0.8</v>
      </c>
      <c r="R9" s="79">
        <v>0.8</v>
      </c>
      <c r="S9" s="79">
        <v>0.8</v>
      </c>
      <c r="T9" s="79">
        <v>0.8</v>
      </c>
      <c r="U9" s="79">
        <v>0.8</v>
      </c>
      <c r="V9" s="79">
        <v>0.8</v>
      </c>
      <c r="W9" s="79">
        <v>0.8</v>
      </c>
      <c r="X9" s="79">
        <v>0.8</v>
      </c>
      <c r="Y9" s="79">
        <v>0.8</v>
      </c>
      <c r="Z9" s="79">
        <v>0.8</v>
      </c>
      <c r="AA9" s="79">
        <v>0.8</v>
      </c>
      <c r="AB9" s="79">
        <v>0.8</v>
      </c>
      <c r="AC9" s="79">
        <v>0.8</v>
      </c>
      <c r="AD9" s="79">
        <v>0.8</v>
      </c>
    </row>
    <row r="10" spans="1:30">
      <c r="B10" s="21" t="s">
        <v>236</v>
      </c>
      <c r="C10" s="33" t="s">
        <v>234</v>
      </c>
      <c r="D10" s="33" t="s">
        <v>233</v>
      </c>
      <c r="E10" s="94">
        <v>0.93400000000000005</v>
      </c>
      <c r="F10" s="94">
        <v>0.93400000000000005</v>
      </c>
      <c r="G10" s="94">
        <v>0.93400000000000005</v>
      </c>
      <c r="H10" s="94">
        <v>0.93400000000000005</v>
      </c>
      <c r="I10" s="94">
        <v>0.93400000000000005</v>
      </c>
      <c r="J10" s="94">
        <v>0.93400000000000005</v>
      </c>
      <c r="K10" s="94">
        <v>0.93400000000000005</v>
      </c>
      <c r="L10" s="94">
        <v>0.93400000000000005</v>
      </c>
      <c r="M10" s="94">
        <v>0.93400000000000005</v>
      </c>
      <c r="N10" s="94">
        <v>0.93400000000000005</v>
      </c>
      <c r="O10" s="94">
        <v>0.93400000000000005</v>
      </c>
      <c r="P10" s="94">
        <v>0.93400000000000005</v>
      </c>
      <c r="Q10" s="94">
        <v>0.93400000000000005</v>
      </c>
      <c r="R10" s="94">
        <v>0.93400000000000005</v>
      </c>
      <c r="S10" s="94">
        <v>0.93400000000000005</v>
      </c>
      <c r="T10" s="94">
        <v>0.93400000000000005</v>
      </c>
      <c r="U10" s="94">
        <v>0.93400000000000005</v>
      </c>
      <c r="V10" s="94">
        <v>0.93400000000000005</v>
      </c>
      <c r="W10" s="94">
        <v>0.93400000000000005</v>
      </c>
      <c r="X10" s="94">
        <v>0.93400000000000005</v>
      </c>
      <c r="Y10" s="94">
        <v>0.93400000000000005</v>
      </c>
      <c r="Z10" s="94">
        <v>0.93400000000000005</v>
      </c>
      <c r="AA10" s="94">
        <v>0.93400000000000005</v>
      </c>
      <c r="AB10" s="94">
        <v>0.93400000000000005</v>
      </c>
      <c r="AC10" s="94">
        <v>0.93400000000000005</v>
      </c>
      <c r="AD10" s="94">
        <v>0.93400000000000005</v>
      </c>
    </row>
    <row r="11" spans="1:30">
      <c r="B11" s="91" t="s">
        <v>235</v>
      </c>
      <c r="C11" s="91" t="s">
        <v>234</v>
      </c>
      <c r="D11" s="91" t="s">
        <v>233</v>
      </c>
      <c r="E11" s="93">
        <v>0.01</v>
      </c>
      <c r="F11" s="93">
        <v>0.01</v>
      </c>
      <c r="G11" s="93">
        <v>0.01</v>
      </c>
      <c r="H11" s="93">
        <v>0.01</v>
      </c>
      <c r="I11" s="93">
        <v>0.01</v>
      </c>
      <c r="J11" s="93">
        <v>0.01</v>
      </c>
      <c r="K11" s="93">
        <v>0.01</v>
      </c>
      <c r="L11" s="93">
        <v>0.01</v>
      </c>
      <c r="M11" s="93">
        <v>0.01</v>
      </c>
      <c r="N11" s="93">
        <v>0.01</v>
      </c>
      <c r="O11" s="93">
        <v>0.01</v>
      </c>
      <c r="P11" s="93">
        <v>0.01</v>
      </c>
      <c r="Q11" s="93">
        <v>0.01</v>
      </c>
      <c r="R11" s="93">
        <v>0.01</v>
      </c>
      <c r="S11" s="93">
        <v>0.01</v>
      </c>
      <c r="T11" s="93">
        <v>0.01</v>
      </c>
      <c r="U11" s="93">
        <v>0.01</v>
      </c>
      <c r="V11" s="93">
        <v>0.01</v>
      </c>
      <c r="W11" s="93">
        <v>0.01</v>
      </c>
      <c r="X11" s="93">
        <v>0.01</v>
      </c>
      <c r="Y11" s="93">
        <v>0.01</v>
      </c>
      <c r="Z11" s="93">
        <v>0.01</v>
      </c>
      <c r="AA11" s="93">
        <v>0.01</v>
      </c>
      <c r="AB11" s="93">
        <v>0.01</v>
      </c>
      <c r="AC11" s="93">
        <v>0.01</v>
      </c>
      <c r="AD11" s="93">
        <v>0.01</v>
      </c>
    </row>
    <row r="12" spans="1:30">
      <c r="B12" s="21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>
      <c r="B13" s="21" t="s">
        <v>230</v>
      </c>
      <c r="C13" s="33" t="s">
        <v>232</v>
      </c>
      <c r="D13" s="33" t="s">
        <v>34</v>
      </c>
      <c r="E13" s="33">
        <f t="shared" ref="E13:AD13" si="1">E6*E5</f>
        <v>0</v>
      </c>
      <c r="F13" s="33">
        <f t="shared" si="1"/>
        <v>0</v>
      </c>
      <c r="G13" s="33">
        <f t="shared" si="1"/>
        <v>23.057249223094509</v>
      </c>
      <c r="H13" s="33">
        <f t="shared" si="1"/>
        <v>20.014343692936592</v>
      </c>
      <c r="I13" s="79">
        <f t="shared" si="1"/>
        <v>17.268810249667265</v>
      </c>
      <c r="J13" s="33">
        <f t="shared" si="1"/>
        <v>15.066178682965276</v>
      </c>
      <c r="K13" s="33">
        <f t="shared" si="1"/>
        <v>14.506250178684351</v>
      </c>
      <c r="L13" s="33">
        <f t="shared" si="1"/>
        <v>14.249199715643062</v>
      </c>
      <c r="M13" s="33">
        <f t="shared" si="1"/>
        <v>14.570071886851741</v>
      </c>
      <c r="N13" s="33">
        <f t="shared" si="1"/>
        <v>14.081905270800744</v>
      </c>
      <c r="O13" s="33">
        <f t="shared" si="1"/>
        <v>14.196965702387402</v>
      </c>
      <c r="P13" s="33">
        <f t="shared" si="1"/>
        <v>14.5873295884603</v>
      </c>
      <c r="Q13" s="33">
        <f t="shared" si="1"/>
        <v>14.659394497586398</v>
      </c>
      <c r="R13" s="33">
        <f t="shared" si="1"/>
        <v>14.978045902374374</v>
      </c>
      <c r="S13" s="33">
        <f t="shared" si="1"/>
        <v>14.256549986306446</v>
      </c>
      <c r="T13" s="33">
        <f t="shared" si="1"/>
        <v>14.687965306959565</v>
      </c>
      <c r="U13" s="33">
        <f t="shared" si="1"/>
        <v>15.031026237448097</v>
      </c>
      <c r="V13" s="33">
        <f t="shared" si="1"/>
        <v>15.237804608260634</v>
      </c>
      <c r="W13" s="33">
        <f t="shared" si="1"/>
        <v>14.982098094861135</v>
      </c>
      <c r="X13" s="33">
        <f t="shared" si="1"/>
        <v>14.923692632753037</v>
      </c>
      <c r="Y13" s="33">
        <f t="shared" si="1"/>
        <v>14.303826761903721</v>
      </c>
      <c r="Z13" s="33">
        <f t="shared" si="1"/>
        <v>13.834449261400669</v>
      </c>
      <c r="AA13" s="33">
        <f t="shared" si="1"/>
        <v>14.053160144941542</v>
      </c>
      <c r="AB13" s="33">
        <f t="shared" si="1"/>
        <v>13.849280270317161</v>
      </c>
      <c r="AC13" s="33">
        <f t="shared" si="1"/>
        <v>13.601052695392134</v>
      </c>
      <c r="AD13" s="33">
        <f t="shared" si="1"/>
        <v>13.191630406892264</v>
      </c>
    </row>
    <row r="14" spans="1:30">
      <c r="B14" s="21" t="s">
        <v>230</v>
      </c>
      <c r="C14" s="33" t="s">
        <v>231</v>
      </c>
      <c r="D14" s="33" t="s">
        <v>34</v>
      </c>
      <c r="E14" s="33">
        <f t="shared" ref="E14:AD14" si="2">E13*1000000/1028</f>
        <v>0</v>
      </c>
      <c r="F14" s="33">
        <f t="shared" si="2"/>
        <v>0</v>
      </c>
      <c r="G14" s="33">
        <f t="shared" si="2"/>
        <v>22429.230761765084</v>
      </c>
      <c r="H14" s="33">
        <f t="shared" si="2"/>
        <v>19469.205926981122</v>
      </c>
      <c r="I14" s="33">
        <f t="shared" si="2"/>
        <v>16798.453550259987</v>
      </c>
      <c r="J14" s="33">
        <f t="shared" si="2"/>
        <v>14655.815839460385</v>
      </c>
      <c r="K14" s="33">
        <f t="shared" si="2"/>
        <v>14111.138306113182</v>
      </c>
      <c r="L14" s="33">
        <f t="shared" si="2"/>
        <v>13861.089217551616</v>
      </c>
      <c r="M14" s="33">
        <f t="shared" si="2"/>
        <v>14173.221679816868</v>
      </c>
      <c r="N14" s="33">
        <f t="shared" si="2"/>
        <v>13698.351430740024</v>
      </c>
      <c r="O14" s="33">
        <f t="shared" si="2"/>
        <v>13810.277920610313</v>
      </c>
      <c r="P14" s="33">
        <f t="shared" si="2"/>
        <v>14190.009327296011</v>
      </c>
      <c r="Q14" s="33">
        <f t="shared" si="2"/>
        <v>14260.111378975094</v>
      </c>
      <c r="R14" s="33">
        <f t="shared" si="2"/>
        <v>14570.083562620986</v>
      </c>
      <c r="S14" s="33">
        <f t="shared" si="2"/>
        <v>13868.239286290316</v>
      </c>
      <c r="T14" s="33">
        <f t="shared" si="2"/>
        <v>14287.903995096854</v>
      </c>
      <c r="U14" s="33">
        <f t="shared" si="2"/>
        <v>14621.620853548733</v>
      </c>
      <c r="V14" s="33">
        <f t="shared" si="2"/>
        <v>14822.767128658204</v>
      </c>
      <c r="W14" s="33">
        <f t="shared" si="2"/>
        <v>14574.025384106162</v>
      </c>
      <c r="X14" s="33">
        <f t="shared" si="2"/>
        <v>14517.210732250036</v>
      </c>
      <c r="Y14" s="33">
        <f t="shared" si="2"/>
        <v>13914.228367610624</v>
      </c>
      <c r="Z14" s="33">
        <f t="shared" si="2"/>
        <v>13457.635468288589</v>
      </c>
      <c r="AA14" s="33">
        <f t="shared" si="2"/>
        <v>13670.389246052084</v>
      </c>
      <c r="AB14" s="33">
        <f t="shared" si="2"/>
        <v>13472.062519763776</v>
      </c>
      <c r="AC14" s="33">
        <f t="shared" si="2"/>
        <v>13230.596007190792</v>
      </c>
      <c r="AD14" s="33">
        <f t="shared" si="2"/>
        <v>12832.325298533331</v>
      </c>
    </row>
    <row r="15" spans="1:30">
      <c r="B15" s="21" t="s">
        <v>230</v>
      </c>
      <c r="C15" s="33" t="s">
        <v>229</v>
      </c>
      <c r="D15" s="33" t="s">
        <v>34</v>
      </c>
      <c r="E15" s="33">
        <f t="shared" ref="E15:AD15" si="3">E14*E8</f>
        <v>0</v>
      </c>
      <c r="F15" s="33">
        <f t="shared" si="3"/>
        <v>0</v>
      </c>
      <c r="G15" s="33">
        <f t="shared" si="3"/>
        <v>635.12404163474957</v>
      </c>
      <c r="H15" s="33">
        <f t="shared" si="3"/>
        <v>551.30561039313898</v>
      </c>
      <c r="I15" s="79">
        <f t="shared" si="3"/>
        <v>475.67844949200196</v>
      </c>
      <c r="J15" s="33">
        <f t="shared" si="3"/>
        <v>415.00580596283186</v>
      </c>
      <c r="K15" s="33">
        <f t="shared" si="3"/>
        <v>399.58228118654574</v>
      </c>
      <c r="L15" s="33">
        <f t="shared" si="3"/>
        <v>392.5016911555656</v>
      </c>
      <c r="M15" s="33">
        <f t="shared" si="3"/>
        <v>401.34028366303829</v>
      </c>
      <c r="N15" s="33">
        <f t="shared" si="3"/>
        <v>387.89347779397912</v>
      </c>
      <c r="O15" s="33">
        <f t="shared" si="3"/>
        <v>391.06287782233812</v>
      </c>
      <c r="P15" s="33">
        <f t="shared" si="3"/>
        <v>401.81565611917569</v>
      </c>
      <c r="Q15" s="33">
        <f t="shared" si="3"/>
        <v>403.80072189616197</v>
      </c>
      <c r="R15" s="33">
        <f t="shared" si="3"/>
        <v>412.57814222602593</v>
      </c>
      <c r="S15" s="33">
        <f t="shared" si="3"/>
        <v>392.70415822202563</v>
      </c>
      <c r="T15" s="33">
        <f t="shared" si="3"/>
        <v>404.58771984835863</v>
      </c>
      <c r="U15" s="33">
        <f t="shared" si="3"/>
        <v>414.03751338576876</v>
      </c>
      <c r="V15" s="33">
        <f t="shared" si="3"/>
        <v>419.73333222878864</v>
      </c>
      <c r="W15" s="33">
        <f t="shared" si="3"/>
        <v>412.68976199665735</v>
      </c>
      <c r="X15" s="33">
        <f t="shared" si="3"/>
        <v>411.08095286297782</v>
      </c>
      <c r="Y15" s="33">
        <f t="shared" si="3"/>
        <v>394.00642183995649</v>
      </c>
      <c r="Z15" s="33">
        <f t="shared" si="3"/>
        <v>381.07717202843429</v>
      </c>
      <c r="AA15" s="33">
        <f t="shared" si="3"/>
        <v>387.10167820260762</v>
      </c>
      <c r="AB15" s="33">
        <f t="shared" si="3"/>
        <v>381.48569995964692</v>
      </c>
      <c r="AC15" s="33">
        <f t="shared" si="3"/>
        <v>374.6481410164202</v>
      </c>
      <c r="AD15" s="33">
        <f t="shared" si="3"/>
        <v>363.3703890135086</v>
      </c>
    </row>
    <row r="16" spans="1:30">
      <c r="B16" s="21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</row>
    <row r="17" spans="2:30">
      <c r="B17" s="21"/>
      <c r="C17" s="33"/>
      <c r="D17" s="33"/>
      <c r="E17" s="33"/>
      <c r="F17" s="33"/>
      <c r="G17" s="33"/>
      <c r="H17" s="33"/>
      <c r="I17" s="79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2:30">
      <c r="B18" s="21" t="s">
        <v>228</v>
      </c>
      <c r="C18" s="33" t="s">
        <v>105</v>
      </c>
      <c r="D18" s="33" t="s">
        <v>34</v>
      </c>
      <c r="E18" s="33">
        <f t="shared" ref="E18:AD18" si="4">E9*E15/1000</f>
        <v>0</v>
      </c>
      <c r="F18" s="33">
        <f t="shared" si="4"/>
        <v>0</v>
      </c>
      <c r="G18" s="33">
        <f t="shared" si="4"/>
        <v>0.50809923330779971</v>
      </c>
      <c r="H18" s="33">
        <f t="shared" si="4"/>
        <v>0.44104448831451121</v>
      </c>
      <c r="I18" s="33">
        <f t="shared" si="4"/>
        <v>0.38054275959360162</v>
      </c>
      <c r="J18" s="33">
        <f t="shared" si="4"/>
        <v>0.33200464477026548</v>
      </c>
      <c r="K18" s="33">
        <f t="shared" si="4"/>
        <v>0.31966582494923662</v>
      </c>
      <c r="L18" s="33">
        <f t="shared" si="4"/>
        <v>0.31400135292445247</v>
      </c>
      <c r="M18" s="33">
        <f t="shared" si="4"/>
        <v>0.32107222693043064</v>
      </c>
      <c r="N18" s="33">
        <f t="shared" si="4"/>
        <v>0.31031478223518333</v>
      </c>
      <c r="O18" s="33">
        <f t="shared" si="4"/>
        <v>0.31285030225787053</v>
      </c>
      <c r="P18" s="33">
        <f t="shared" si="4"/>
        <v>0.32145252489534054</v>
      </c>
      <c r="Q18" s="33">
        <f t="shared" si="4"/>
        <v>0.32304057751692961</v>
      </c>
      <c r="R18" s="33">
        <f t="shared" si="4"/>
        <v>0.3300625137808208</v>
      </c>
      <c r="S18" s="33">
        <f t="shared" si="4"/>
        <v>0.31416332657762053</v>
      </c>
      <c r="T18" s="33">
        <f t="shared" si="4"/>
        <v>0.32367017587868691</v>
      </c>
      <c r="U18" s="33">
        <f t="shared" si="4"/>
        <v>0.33123001070861507</v>
      </c>
      <c r="V18" s="33">
        <f t="shared" si="4"/>
        <v>0.3357866657830309</v>
      </c>
      <c r="W18" s="33">
        <f t="shared" si="4"/>
        <v>0.33015180959732587</v>
      </c>
      <c r="X18" s="33">
        <f t="shared" si="4"/>
        <v>0.32886476229038225</v>
      </c>
      <c r="Y18" s="33">
        <f t="shared" si="4"/>
        <v>0.31520513747196521</v>
      </c>
      <c r="Z18" s="33">
        <f t="shared" si="4"/>
        <v>0.30486173762274743</v>
      </c>
      <c r="AA18" s="33">
        <f t="shared" si="4"/>
        <v>0.30968134256208613</v>
      </c>
      <c r="AB18" s="33">
        <f t="shared" si="4"/>
        <v>0.30518855996771754</v>
      </c>
      <c r="AC18" s="33">
        <f t="shared" si="4"/>
        <v>0.29971851281313616</v>
      </c>
      <c r="AD18" s="33">
        <f t="shared" si="4"/>
        <v>0.29069631121080686</v>
      </c>
    </row>
    <row r="19" spans="2:30">
      <c r="B19" s="21" t="s">
        <v>227</v>
      </c>
      <c r="C19" s="33" t="s">
        <v>105</v>
      </c>
      <c r="D19" s="33" t="s">
        <v>34</v>
      </c>
      <c r="E19" s="33">
        <f t="shared" ref="E19:AD19" si="5">E18*E10</f>
        <v>0</v>
      </c>
      <c r="F19" s="33">
        <f t="shared" si="5"/>
        <v>0</v>
      </c>
      <c r="G19" s="33">
        <f t="shared" si="5"/>
        <v>0.47456468390948497</v>
      </c>
      <c r="H19" s="33">
        <f t="shared" si="5"/>
        <v>0.4119355520857535</v>
      </c>
      <c r="I19" s="33">
        <f t="shared" si="5"/>
        <v>0.35542693746042392</v>
      </c>
      <c r="J19" s="33">
        <f t="shared" si="5"/>
        <v>0.31009233821542798</v>
      </c>
      <c r="K19" s="33">
        <f t="shared" si="5"/>
        <v>0.29856788050258704</v>
      </c>
      <c r="L19" s="33">
        <f t="shared" si="5"/>
        <v>0.29327726363143863</v>
      </c>
      <c r="M19" s="33">
        <f t="shared" si="5"/>
        <v>0.29988145995302223</v>
      </c>
      <c r="N19" s="33">
        <f t="shared" si="5"/>
        <v>0.28983400660766123</v>
      </c>
      <c r="O19" s="33">
        <f t="shared" si="5"/>
        <v>0.29220218230885109</v>
      </c>
      <c r="P19" s="33">
        <f t="shared" si="5"/>
        <v>0.3002366582522481</v>
      </c>
      <c r="Q19" s="33">
        <f t="shared" si="5"/>
        <v>0.30171989940081229</v>
      </c>
      <c r="R19" s="33">
        <f t="shared" si="5"/>
        <v>0.30827838787128664</v>
      </c>
      <c r="S19" s="33">
        <f t="shared" si="5"/>
        <v>0.29342854702349758</v>
      </c>
      <c r="T19" s="33">
        <f t="shared" si="5"/>
        <v>0.30230794427069357</v>
      </c>
      <c r="U19" s="33">
        <f t="shared" si="5"/>
        <v>0.30936883000184651</v>
      </c>
      <c r="V19" s="33">
        <f t="shared" si="5"/>
        <v>0.31362474584135086</v>
      </c>
      <c r="W19" s="33">
        <f t="shared" si="5"/>
        <v>0.30836179016390236</v>
      </c>
      <c r="X19" s="33">
        <f t="shared" si="5"/>
        <v>0.30715968797921706</v>
      </c>
      <c r="Y19" s="33">
        <f t="shared" si="5"/>
        <v>0.29440159839881552</v>
      </c>
      <c r="Z19" s="33">
        <f t="shared" si="5"/>
        <v>0.28474086293964612</v>
      </c>
      <c r="AA19" s="33">
        <f t="shared" si="5"/>
        <v>0.28924237395298846</v>
      </c>
      <c r="AB19" s="33">
        <f t="shared" si="5"/>
        <v>0.28504611500984822</v>
      </c>
      <c r="AC19" s="33">
        <f t="shared" si="5"/>
        <v>0.27993709096746922</v>
      </c>
      <c r="AD19" s="33">
        <f t="shared" si="5"/>
        <v>0.27151035467089363</v>
      </c>
    </row>
    <row r="20" spans="2:30">
      <c r="B20" s="21" t="s">
        <v>226</v>
      </c>
      <c r="C20" s="33" t="s">
        <v>105</v>
      </c>
      <c r="D20" s="33" t="s">
        <v>34</v>
      </c>
      <c r="E20" s="33">
        <f t="shared" ref="E20:AD20" si="6">E18*E11</f>
        <v>0</v>
      </c>
      <c r="F20" s="33">
        <f t="shared" si="6"/>
        <v>0</v>
      </c>
      <c r="G20" s="33">
        <f t="shared" si="6"/>
        <v>5.0809923330779969E-3</v>
      </c>
      <c r="H20" s="33">
        <f t="shared" si="6"/>
        <v>4.4104448831451121E-3</v>
      </c>
      <c r="I20" s="33">
        <f t="shared" si="6"/>
        <v>3.8054275959360164E-3</v>
      </c>
      <c r="J20" s="33">
        <f t="shared" si="6"/>
        <v>3.320046447702655E-3</v>
      </c>
      <c r="K20" s="33">
        <f t="shared" si="6"/>
        <v>3.1966582494923662E-3</v>
      </c>
      <c r="L20" s="33">
        <f t="shared" si="6"/>
        <v>3.1400135292445246E-3</v>
      </c>
      <c r="M20" s="33">
        <f t="shared" si="6"/>
        <v>3.2107222693043063E-3</v>
      </c>
      <c r="N20" s="33">
        <f t="shared" si="6"/>
        <v>3.1031478223518334E-3</v>
      </c>
      <c r="O20" s="33">
        <f t="shared" si="6"/>
        <v>3.1285030225787053E-3</v>
      </c>
      <c r="P20" s="33">
        <f t="shared" si="6"/>
        <v>3.2145252489534054E-3</v>
      </c>
      <c r="Q20" s="33">
        <f t="shared" si="6"/>
        <v>3.2304057751692959E-3</v>
      </c>
      <c r="R20" s="33">
        <f t="shared" si="6"/>
        <v>3.3006251378082082E-3</v>
      </c>
      <c r="S20" s="33">
        <f t="shared" si="6"/>
        <v>3.1416332657762053E-3</v>
      </c>
      <c r="T20" s="33">
        <f t="shared" si="6"/>
        <v>3.2367017587868691E-3</v>
      </c>
      <c r="U20" s="33">
        <f t="shared" si="6"/>
        <v>3.3123001070861509E-3</v>
      </c>
      <c r="V20" s="33">
        <f t="shared" si="6"/>
        <v>3.357866657830309E-3</v>
      </c>
      <c r="W20" s="33">
        <f t="shared" si="6"/>
        <v>3.3015180959732587E-3</v>
      </c>
      <c r="X20" s="33">
        <f t="shared" si="6"/>
        <v>3.2886476229038227E-3</v>
      </c>
      <c r="Y20" s="33">
        <f t="shared" si="6"/>
        <v>3.1520513747196523E-3</v>
      </c>
      <c r="Z20" s="33">
        <f t="shared" si="6"/>
        <v>3.0486173762274745E-3</v>
      </c>
      <c r="AA20" s="33">
        <f t="shared" si="6"/>
        <v>3.0968134256208614E-3</v>
      </c>
      <c r="AB20" s="33">
        <f t="shared" si="6"/>
        <v>3.0518855996771754E-3</v>
      </c>
      <c r="AC20" s="33">
        <f t="shared" si="6"/>
        <v>2.9971851281313617E-3</v>
      </c>
      <c r="AD20" s="33">
        <f t="shared" si="6"/>
        <v>2.9069631121080687E-3</v>
      </c>
    </row>
    <row r="21" spans="2:30">
      <c r="B21" s="21" t="s">
        <v>225</v>
      </c>
      <c r="C21" s="33" t="s">
        <v>185</v>
      </c>
      <c r="D21" s="33" t="s">
        <v>224</v>
      </c>
      <c r="E21" s="33">
        <f>'P0.1 Background Data'!$G$12</f>
        <v>28</v>
      </c>
      <c r="F21" s="33">
        <f>'P0.1 Background Data'!$G$12</f>
        <v>28</v>
      </c>
      <c r="G21" s="33">
        <f>'P0.1 Background Data'!$G$12</f>
        <v>28</v>
      </c>
      <c r="H21" s="33">
        <f>'P0.1 Background Data'!$G$12</f>
        <v>28</v>
      </c>
      <c r="I21" s="33">
        <f>'P0.1 Background Data'!$G$12</f>
        <v>28</v>
      </c>
      <c r="J21" s="33">
        <f>'P0.1 Background Data'!$G$12</f>
        <v>28</v>
      </c>
      <c r="K21" s="33">
        <f>'P0.1 Background Data'!$G$12</f>
        <v>28</v>
      </c>
      <c r="L21" s="33">
        <f>'P0.1 Background Data'!$G$12</f>
        <v>28</v>
      </c>
      <c r="M21" s="33">
        <f>'P0.1 Background Data'!$G$12</f>
        <v>28</v>
      </c>
      <c r="N21" s="33">
        <f>'P0.1 Background Data'!$G$12</f>
        <v>28</v>
      </c>
      <c r="O21" s="33">
        <f>'P0.1 Background Data'!$G$12</f>
        <v>28</v>
      </c>
      <c r="P21" s="33">
        <f>'P0.1 Background Data'!$G$12</f>
        <v>28</v>
      </c>
      <c r="Q21" s="33">
        <f>'P0.1 Background Data'!$G$12</f>
        <v>28</v>
      </c>
      <c r="R21" s="33">
        <f>'P0.1 Background Data'!$G$12</f>
        <v>28</v>
      </c>
      <c r="S21" s="33">
        <f>'P0.1 Background Data'!$G$12</f>
        <v>28</v>
      </c>
      <c r="T21" s="33">
        <f>'P0.1 Background Data'!$G$12</f>
        <v>28</v>
      </c>
      <c r="U21" s="33">
        <f>'P0.1 Background Data'!$G$12</f>
        <v>28</v>
      </c>
      <c r="V21" s="33">
        <f>'P0.1 Background Data'!$G$12</f>
        <v>28</v>
      </c>
      <c r="W21" s="33">
        <f>'P0.1 Background Data'!$G$12</f>
        <v>28</v>
      </c>
      <c r="X21" s="33">
        <f>'P0.1 Background Data'!$G$12</f>
        <v>28</v>
      </c>
      <c r="Y21" s="33">
        <f>'P0.1 Background Data'!$G$12</f>
        <v>28</v>
      </c>
      <c r="Z21" s="33">
        <f>'P0.1 Background Data'!$G$12</f>
        <v>28</v>
      </c>
      <c r="AA21" s="33">
        <f>'P0.1 Background Data'!$G$12</f>
        <v>28</v>
      </c>
      <c r="AB21" s="33">
        <f>'P0.1 Background Data'!$G$12</f>
        <v>28</v>
      </c>
      <c r="AC21" s="33">
        <f>'P0.1 Background Data'!$G$12</f>
        <v>28</v>
      </c>
      <c r="AD21" s="33">
        <f>'P0.1 Background Data'!$G$12</f>
        <v>28</v>
      </c>
    </row>
    <row r="22" spans="2:30">
      <c r="B22" s="21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</row>
    <row r="23" spans="2:30">
      <c r="B23" s="65" t="s">
        <v>223</v>
      </c>
      <c r="C23" s="92"/>
      <c r="D23" s="92"/>
      <c r="E23" s="92">
        <f t="shared" ref="E23:AD23" si="7">E19*E21+E20</f>
        <v>0</v>
      </c>
      <c r="F23" s="92">
        <f t="shared" si="7"/>
        <v>0</v>
      </c>
      <c r="G23" s="92">
        <f t="shared" si="7"/>
        <v>13.292892141798657</v>
      </c>
      <c r="H23" s="92">
        <f t="shared" si="7"/>
        <v>11.538605903284243</v>
      </c>
      <c r="I23" s="92">
        <f t="shared" si="7"/>
        <v>9.9557596764878049</v>
      </c>
      <c r="J23" s="92">
        <f t="shared" si="7"/>
        <v>8.6859055164796857</v>
      </c>
      <c r="K23" s="92">
        <f t="shared" si="7"/>
        <v>8.3630973123219299</v>
      </c>
      <c r="L23" s="92">
        <f t="shared" si="7"/>
        <v>8.2149033952095252</v>
      </c>
      <c r="M23" s="92">
        <f t="shared" si="7"/>
        <v>8.3998916009539268</v>
      </c>
      <c r="N23" s="92">
        <f t="shared" si="7"/>
        <v>8.1184553328368665</v>
      </c>
      <c r="O23" s="92">
        <f t="shared" si="7"/>
        <v>8.1847896076704085</v>
      </c>
      <c r="P23" s="92">
        <f t="shared" si="7"/>
        <v>8.4098409563118999</v>
      </c>
      <c r="Q23" s="92">
        <f t="shared" si="7"/>
        <v>8.4513875889979122</v>
      </c>
      <c r="R23" s="92">
        <f t="shared" si="7"/>
        <v>8.6350954855338333</v>
      </c>
      <c r="S23" s="92">
        <f t="shared" si="7"/>
        <v>8.2191409499237089</v>
      </c>
      <c r="T23" s="92">
        <f t="shared" si="7"/>
        <v>8.4678591413382076</v>
      </c>
      <c r="U23" s="92">
        <f t="shared" si="7"/>
        <v>8.6656395401587893</v>
      </c>
      <c r="V23" s="92">
        <f t="shared" si="7"/>
        <v>8.7848507502156554</v>
      </c>
      <c r="W23" s="92">
        <f t="shared" si="7"/>
        <v>8.6374316426852396</v>
      </c>
      <c r="X23" s="92">
        <f t="shared" si="7"/>
        <v>8.6037599110409815</v>
      </c>
      <c r="Y23" s="92">
        <f t="shared" si="7"/>
        <v>8.2463968065415543</v>
      </c>
      <c r="Z23" s="92">
        <f t="shared" si="7"/>
        <v>7.9757927796863184</v>
      </c>
      <c r="AA23" s="92">
        <f t="shared" si="7"/>
        <v>8.1018832841092987</v>
      </c>
      <c r="AB23" s="92">
        <f t="shared" si="7"/>
        <v>7.9843431058754275</v>
      </c>
      <c r="AC23" s="92">
        <f t="shared" si="7"/>
        <v>7.8412357322172692</v>
      </c>
      <c r="AD23" s="92">
        <f t="shared" si="7"/>
        <v>7.6051968938971291</v>
      </c>
    </row>
    <row r="24" spans="2:30">
      <c r="B24" s="21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F8C8-A881-4D1F-99A2-AEC3849E074B}">
  <sheetPr>
    <tabColor rgb="FFFFC000"/>
  </sheetPr>
  <dimension ref="A1:AE35"/>
  <sheetViews>
    <sheetView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9.4531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31">
      <c r="A1" s="21" t="s">
        <v>186</v>
      </c>
    </row>
    <row r="2" spans="1:31" ht="13">
      <c r="A2" s="22" t="s">
        <v>210</v>
      </c>
    </row>
    <row r="3" spans="1:31" ht="13">
      <c r="A3" s="22" t="s">
        <v>222</v>
      </c>
    </row>
    <row r="4" spans="1:31" ht="13">
      <c r="A4" s="22"/>
    </row>
    <row r="6" spans="1:31" ht="13.5" customHeight="1">
      <c r="A6" s="103" t="s">
        <v>256</v>
      </c>
      <c r="B6" s="9" t="s">
        <v>9</v>
      </c>
      <c r="C6" s="9" t="s">
        <v>8</v>
      </c>
      <c r="D6" s="9" t="s">
        <v>10</v>
      </c>
      <c r="E6" s="9" t="s">
        <v>7</v>
      </c>
      <c r="F6" s="9">
        <v>2025</v>
      </c>
      <c r="G6" s="9">
        <v>2026</v>
      </c>
      <c r="H6" s="9">
        <v>2027</v>
      </c>
      <c r="I6" s="9">
        <v>2028</v>
      </c>
      <c r="J6" s="9">
        <v>2029</v>
      </c>
      <c r="K6" s="9">
        <v>2030</v>
      </c>
      <c r="L6" s="9">
        <v>2031</v>
      </c>
      <c r="M6" s="9">
        <v>2032</v>
      </c>
      <c r="N6" s="9">
        <v>2033</v>
      </c>
      <c r="O6" s="9">
        <v>2034</v>
      </c>
      <c r="P6" s="9">
        <v>2035</v>
      </c>
      <c r="Q6" s="9">
        <v>2036</v>
      </c>
      <c r="R6" s="9">
        <v>2037</v>
      </c>
      <c r="S6" s="9">
        <v>2038</v>
      </c>
      <c r="T6" s="9">
        <v>2039</v>
      </c>
      <c r="U6" s="9">
        <v>2040</v>
      </c>
      <c r="V6" s="9">
        <v>2041</v>
      </c>
      <c r="W6" s="9">
        <v>2042</v>
      </c>
      <c r="X6" s="9">
        <v>2043</v>
      </c>
      <c r="Y6" s="9">
        <v>2044</v>
      </c>
      <c r="Z6" s="9">
        <v>2045</v>
      </c>
      <c r="AA6" s="9">
        <v>2046</v>
      </c>
      <c r="AB6" s="9">
        <v>2047</v>
      </c>
      <c r="AC6" s="9">
        <v>2048</v>
      </c>
      <c r="AD6" s="9">
        <v>2049</v>
      </c>
      <c r="AE6" s="32">
        <v>2050</v>
      </c>
    </row>
    <row r="7" spans="1:31">
      <c r="A7" s="104"/>
      <c r="B7" s="1" t="s">
        <v>47</v>
      </c>
      <c r="C7" s="1" t="s">
        <v>255</v>
      </c>
      <c r="D7" s="1" t="s">
        <v>34</v>
      </c>
      <c r="E7" s="1" t="s">
        <v>36</v>
      </c>
      <c r="F7" s="2">
        <f>'P1.1 Solar Avd Emissions'!F44</f>
        <v>0</v>
      </c>
      <c r="G7" s="2">
        <f>'P1.1 Solar Avd Emissions'!G44</f>
        <v>0</v>
      </c>
      <c r="H7" s="2">
        <f>'P1.1 Solar Avd Emissions'!H44</f>
        <v>34780.691811537465</v>
      </c>
      <c r="I7" s="2">
        <f>'P1.1 Solar Avd Emissions'!I44</f>
        <v>30190.623046958197</v>
      </c>
      <c r="J7" s="2">
        <f>'P1.1 Solar Avd Emissions'!J44</f>
        <v>26049.125003341884</v>
      </c>
      <c r="K7" s="2">
        <f>'P1.1 Solar Avd Emissions'!K44</f>
        <v>22726.566923903123</v>
      </c>
      <c r="L7" s="2">
        <f>'P1.1 Solar Avd Emissions'!L44</f>
        <v>21881.943154803037</v>
      </c>
      <c r="M7" s="2">
        <f>'P1.1 Solar Avd Emissions'!M44</f>
        <v>21494.19555973879</v>
      </c>
      <c r="N7" s="2">
        <f>'P1.1 Solar Avd Emissions'!N44</f>
        <v>21978.214966812277</v>
      </c>
      <c r="O7" s="2">
        <f>'P1.1 Solar Avd Emissions'!O44</f>
        <v>21241.840368902973</v>
      </c>
      <c r="P7" s="2">
        <f>'P1.1 Solar Avd Emissions'!P44</f>
        <v>21415.403198189208</v>
      </c>
      <c r="Q7" s="2">
        <f>'P1.1 Solar Avd Emissions'!Q44</f>
        <v>22004.247334993543</v>
      </c>
      <c r="R7" s="2">
        <f>'P1.1 Solar Avd Emissions'!R44</f>
        <v>22112.953597847772</v>
      </c>
      <c r="S7" s="2">
        <f>'P1.1 Solar Avd Emissions'!S44</f>
        <v>22593.623091333728</v>
      </c>
      <c r="T7" s="2">
        <f>'P1.1 Solar Avd Emissions'!T44</f>
        <v>21505.283070490867</v>
      </c>
      <c r="U7" s="2">
        <f>'P1.1 Solar Avd Emissions'!U44</f>
        <v>22156.05121569453</v>
      </c>
      <c r="V7" s="2">
        <f>'P1.1 Solar Avd Emissions'!V44</f>
        <v>22673.541241519022</v>
      </c>
      <c r="W7" s="2">
        <f>'P1.1 Solar Avd Emissions'!W44</f>
        <v>22985.455933464116</v>
      </c>
      <c r="X7" s="2">
        <f>'P1.1 Solar Avd Emissions'!X44</f>
        <v>22599.7356183173</v>
      </c>
      <c r="Y7" s="2">
        <f>'P1.1 Solar Avd Emissions'!Y44</f>
        <v>22511.633938969633</v>
      </c>
      <c r="Z7" s="2">
        <f>'P1.1 Solar Avd Emissions'!Z44</f>
        <v>21576.597690287108</v>
      </c>
      <c r="AA7" s="2">
        <f>'P1.1 Solar Avd Emissions'!AA44</f>
        <v>20868.565520867924</v>
      </c>
      <c r="AB7" s="2">
        <f>'P1.1 Solar Avd Emissions'!AB44</f>
        <v>21198.47980347215</v>
      </c>
      <c r="AC7" s="2">
        <f>'P1.1 Solar Avd Emissions'!AC44</f>
        <v>20890.937346118528</v>
      </c>
      <c r="AD7" s="2">
        <f>'P1.1 Solar Avd Emissions'!AD44</f>
        <v>20516.498630595375</v>
      </c>
      <c r="AE7" s="34">
        <f>'P1.1 Solar Avd Emissions'!AE44</f>
        <v>19898.905859692532</v>
      </c>
    </row>
    <row r="8" spans="1:31">
      <c r="A8" s="104"/>
      <c r="B8" s="1" t="s">
        <v>47</v>
      </c>
      <c r="C8" s="1" t="str">
        <f>'P1.2 Coal-NG Avd Emissions'!C8</f>
        <v>Painesville Retirement - Coal</v>
      </c>
      <c r="D8" s="1" t="str">
        <f>'P1.2 Coal-NG Avd Emissions'!D8</f>
        <v>Calculated</v>
      </c>
      <c r="E8" s="1" t="s">
        <v>36</v>
      </c>
      <c r="F8" s="2">
        <f>'P1.2 Coal-NG Avd Emissions'!F8</f>
        <v>0</v>
      </c>
      <c r="G8" s="2">
        <f>'P1.2 Coal-NG Avd Emissions'!G8</f>
        <v>0</v>
      </c>
      <c r="H8" s="2">
        <f>'P1.2 Coal-NG Avd Emissions'!H8</f>
        <v>301.20787947836305</v>
      </c>
      <c r="I8" s="2">
        <f>'P1.2 Coal-NG Avd Emissions'!I8</f>
        <v>261.45694850981437</v>
      </c>
      <c r="J8" s="2">
        <f>'P1.2 Coal-NG Avd Emissions'!J8</f>
        <v>225.59073140462002</v>
      </c>
      <c r="K8" s="2">
        <f>'P1.2 Coal-NG Avd Emissions'!K8</f>
        <v>196.81670129118012</v>
      </c>
      <c r="L8" s="2">
        <f>'P1.2 Coal-NG Avd Emissions'!L8</f>
        <v>189.50208731437397</v>
      </c>
      <c r="M8" s="2">
        <f>'P1.2 Coal-NG Avd Emissions'!M8</f>
        <v>186.14411411720502</v>
      </c>
      <c r="N8" s="2">
        <f>'P1.2 Coal-NG Avd Emissions'!N8</f>
        <v>190.33582082680584</v>
      </c>
      <c r="O8" s="2">
        <f>'P1.2 Coal-NG Avd Emissions'!O8</f>
        <v>183.95866673395889</v>
      </c>
      <c r="P8" s="2">
        <f>'P1.2 Coal-NG Avd Emissions'!P8</f>
        <v>185.46175620810874</v>
      </c>
      <c r="Q8" s="2">
        <f>'P1.2 Coal-NG Avd Emissions'!Q8</f>
        <v>190.5612664407162</v>
      </c>
      <c r="R8" s="2">
        <f>'P1.2 Coal-NG Avd Emissions'!R8</f>
        <v>191.50268483163725</v>
      </c>
      <c r="S8" s="2">
        <f>'P1.2 Coal-NG Avd Emissions'!S8</f>
        <v>195.66538060684942</v>
      </c>
      <c r="T8" s="2">
        <f>'P1.2 Coal-NG Avd Emissions'!T8</f>
        <v>186.24013421997992</v>
      </c>
      <c r="U8" s="2">
        <f>'P1.2 Coal-NG Avd Emissions'!U8</f>
        <v>191.8759189855906</v>
      </c>
      <c r="V8" s="2">
        <f>'P1.2 Coal-NG Avd Emissions'!V8</f>
        <v>196.35748807496947</v>
      </c>
      <c r="W8" s="2">
        <f>'P1.2 Coal-NG Avd Emissions'!W8</f>
        <v>199.05873287619457</v>
      </c>
      <c r="X8" s="2">
        <f>'P1.2 Coal-NG Avd Emissions'!X8</f>
        <v>195.71831633627519</v>
      </c>
      <c r="Y8" s="2">
        <f>'P1.2 Coal-NG Avd Emissions'!Y8</f>
        <v>194.95533783778566</v>
      </c>
      <c r="Z8" s="2">
        <f>'P1.2 Coal-NG Avd Emissions'!Z8</f>
        <v>186.85773336151013</v>
      </c>
      <c r="AA8" s="2">
        <f>'P1.2 Coal-NG Avd Emissions'!AA8</f>
        <v>180.72603047564419</v>
      </c>
      <c r="AB8" s="2">
        <f>'P1.2 Coal-NG Avd Emissions'!AB8</f>
        <v>183.5831554003382</v>
      </c>
      <c r="AC8" s="2">
        <f>'P1.2 Coal-NG Avd Emissions'!AC8</f>
        <v>180.91977504174741</v>
      </c>
      <c r="AD8" s="2">
        <f>'P1.2 Coal-NG Avd Emissions'!AD8</f>
        <v>177.67705945378663</v>
      </c>
      <c r="AE8" s="35">
        <f>'P1.2 Coal-NG Avd Emissions'!AE8</f>
        <v>172.32858019084389</v>
      </c>
    </row>
    <row r="9" spans="1:31">
      <c r="A9" s="104"/>
      <c r="B9" s="1" t="s">
        <v>47</v>
      </c>
      <c r="C9" s="1" t="str">
        <f>'P1.2 Coal-NG Avd Emissions'!C9</f>
        <v>Painesville Retirement - Natural Gas</v>
      </c>
      <c r="D9" s="1" t="str">
        <f>'P1.2 Coal-NG Avd Emissions'!D9</f>
        <v>Calculated</v>
      </c>
      <c r="E9" s="1" t="s">
        <v>36</v>
      </c>
      <c r="F9" s="2">
        <f>'P1.2 Coal-NG Avd Emissions'!F9</f>
        <v>0</v>
      </c>
      <c r="G9" s="2">
        <f>'P1.2 Coal-NG Avd Emissions'!G9</f>
        <v>0</v>
      </c>
      <c r="H9" s="2">
        <f>'P1.2 Coal-NG Avd Emissions'!H9+'P0.4 Avoided NG Leakage'!G23</f>
        <v>436.42664812510844</v>
      </c>
      <c r="I9" s="2">
        <f>'P1.2 Coal-NG Avd Emissions'!I9+'P0.4 Avoided NG Leakage'!H23</f>
        <v>378.83065962540371</v>
      </c>
      <c r="J9" s="2">
        <f>'P1.2 Coal-NG Avd Emissions'!J9+'P0.4 Avoided NG Leakage'!I23</f>
        <v>326.86331753841876</v>
      </c>
      <c r="K9" s="2">
        <f>'P1.2 Coal-NG Avd Emissions'!K9+'P0.4 Avoided NG Leakage'!J23</f>
        <v>285.17199944538868</v>
      </c>
      <c r="L9" s="2">
        <f>'P1.2 Coal-NG Avd Emissions'!L9+'P0.4 Avoided NG Leakage'!K23</f>
        <v>274.57369615480064</v>
      </c>
      <c r="M9" s="2">
        <f>'P1.2 Coal-NG Avd Emissions'!M9+'P0.4 Avoided NG Leakage'!L23</f>
        <v>269.70825575041152</v>
      </c>
      <c r="N9" s="2">
        <f>'P1.2 Coal-NG Avd Emissions'!N9+'P0.4 Avoided NG Leakage'!M23</f>
        <v>275.78171077543527</v>
      </c>
      <c r="O9" s="2">
        <f>'P1.2 Coal-NG Avd Emissions'!O9+'P0.4 Avoided NG Leakage'!N23</f>
        <v>266.54171350133197</v>
      </c>
      <c r="P9" s="2">
        <f>'P1.2 Coal-NG Avd Emissions'!P9+'P0.4 Avoided NG Leakage'!O23</f>
        <v>268.71957253400859</v>
      </c>
      <c r="Q9" s="2">
        <f>'P1.2 Coal-NG Avd Emissions'!Q9+'P0.4 Avoided NG Leakage'!P23</f>
        <v>276.10836382907979</v>
      </c>
      <c r="R9" s="2">
        <f>'P1.2 Coal-NG Avd Emissions'!R9+'P0.4 Avoided NG Leakage'!Q23</f>
        <v>277.47240541240274</v>
      </c>
      <c r="S9" s="2">
        <f>'P1.2 Coal-NG Avd Emissions'!S9+'P0.4 Avoided NG Leakage'!R23</f>
        <v>283.5038258635762</v>
      </c>
      <c r="T9" s="2">
        <f>'P1.2 Coal-NG Avd Emissions'!T9+'P0.4 Avoided NG Leakage'!S23</f>
        <v>269.84738136584775</v>
      </c>
      <c r="U9" s="2">
        <f>'P1.2 Coal-NG Avd Emissions'!U9+'P0.4 Avoided NG Leakage'!T23</f>
        <v>278.01319249625249</v>
      </c>
      <c r="V9" s="2">
        <f>'P1.2 Coal-NG Avd Emissions'!V9+'P0.4 Avoided NG Leakage'!U23</f>
        <v>284.50663542811043</v>
      </c>
      <c r="W9" s="2">
        <f>'P1.2 Coal-NG Avd Emissions'!W9+'P0.4 Avoided NG Leakage'!V23</f>
        <v>288.42052777516886</v>
      </c>
      <c r="X9" s="2">
        <f>'P1.2 Coal-NG Avd Emissions'!X9+'P0.4 Avoided NG Leakage'!W23</f>
        <v>283.58052559334209</v>
      </c>
      <c r="Y9" s="2">
        <f>'P1.2 Coal-NG Avd Emissions'!Y9+'P0.4 Avoided NG Leakage'!X23</f>
        <v>282.47502945139524</v>
      </c>
      <c r="Z9" s="2">
        <f>'P1.2 Coal-NG Avd Emissions'!Z9+'P0.4 Avoided NG Leakage'!Y23</f>
        <v>270.74223419536122</v>
      </c>
      <c r="AA9" s="2">
        <f>'P1.2 Coal-NG Avd Emissions'!AA9+'P0.4 Avoided NG Leakage'!Z23</f>
        <v>261.8578765138426</v>
      </c>
      <c r="AB9" s="2">
        <f>'P1.2 Coal-NG Avd Emissions'!AB9+'P0.4 Avoided NG Leakage'!AA23</f>
        <v>265.99762696233142</v>
      </c>
      <c r="AC9" s="2">
        <f>'P1.2 Coal-NG Avd Emissions'!AC9+'P0.4 Avoided NG Leakage'!AB23</f>
        <v>262.13859722979237</v>
      </c>
      <c r="AD9" s="2">
        <f>'P1.2 Coal-NG Avd Emissions'!AD9+'P0.4 Avoided NG Leakage'!AC23</f>
        <v>257.44015608234423</v>
      </c>
      <c r="AE9" s="35">
        <f>'P1.2 Coal-NG Avd Emissions'!AE9+'P0.4 Avoided NG Leakage'!AD23</f>
        <v>249.69062814391447</v>
      </c>
    </row>
    <row r="10" spans="1:31">
      <c r="A10" s="104"/>
      <c r="B10" s="1" t="s">
        <v>47</v>
      </c>
      <c r="C10" s="1" t="s">
        <v>254</v>
      </c>
      <c r="D10" s="1" t="s">
        <v>34</v>
      </c>
      <c r="E10" s="1" t="s">
        <v>36</v>
      </c>
      <c r="F10" s="2">
        <f>'P0.4 Avoided NG Leakage'!E23</f>
        <v>0</v>
      </c>
      <c r="G10" s="2">
        <f>'P0.4 Avoided NG Leakage'!F23</f>
        <v>0</v>
      </c>
      <c r="H10" s="2">
        <f>'P0.4 Avoided NG Leakage'!G23</f>
        <v>13.292892141798657</v>
      </c>
      <c r="I10" s="2">
        <f>'P0.4 Avoided NG Leakage'!H23</f>
        <v>11.538605903284243</v>
      </c>
      <c r="J10" s="2">
        <f>'P0.4 Avoided NG Leakage'!I23</f>
        <v>9.9557596764878049</v>
      </c>
      <c r="K10" s="2">
        <f>'P0.4 Avoided NG Leakage'!J23</f>
        <v>8.6859055164796857</v>
      </c>
      <c r="L10" s="2">
        <f>'P0.4 Avoided NG Leakage'!K23</f>
        <v>8.3630973123219299</v>
      </c>
      <c r="M10" s="2">
        <f>'P0.4 Avoided NG Leakage'!L23</f>
        <v>8.2149033952095252</v>
      </c>
      <c r="N10" s="2">
        <f>'P0.4 Avoided NG Leakage'!M23</f>
        <v>8.3998916009539268</v>
      </c>
      <c r="O10" s="2">
        <f>'P0.4 Avoided NG Leakage'!N23</f>
        <v>8.1184553328368665</v>
      </c>
      <c r="P10" s="2">
        <f>'P0.4 Avoided NG Leakage'!O23</f>
        <v>8.1847896076704085</v>
      </c>
      <c r="Q10" s="2">
        <f>'P0.4 Avoided NG Leakage'!P23</f>
        <v>8.4098409563118999</v>
      </c>
      <c r="R10" s="2">
        <f>'P0.4 Avoided NG Leakage'!Q23</f>
        <v>8.4513875889979122</v>
      </c>
      <c r="S10" s="2">
        <f>'P0.4 Avoided NG Leakage'!R23</f>
        <v>8.6350954855338333</v>
      </c>
      <c r="T10" s="2">
        <f>'P0.4 Avoided NG Leakage'!S23</f>
        <v>8.2191409499237089</v>
      </c>
      <c r="U10" s="2">
        <f>'P0.4 Avoided NG Leakage'!T23</f>
        <v>8.4678591413382076</v>
      </c>
      <c r="V10" s="2">
        <f>'P0.4 Avoided NG Leakage'!U23</f>
        <v>8.6656395401587893</v>
      </c>
      <c r="W10" s="2">
        <f>'P0.4 Avoided NG Leakage'!V23</f>
        <v>8.7848507502156554</v>
      </c>
      <c r="X10" s="2">
        <f>'P0.4 Avoided NG Leakage'!W23</f>
        <v>8.6374316426852396</v>
      </c>
      <c r="Y10" s="2">
        <f>'P0.4 Avoided NG Leakage'!X23</f>
        <v>8.6037599110409815</v>
      </c>
      <c r="Z10" s="2">
        <f>'P0.4 Avoided NG Leakage'!Y23</f>
        <v>8.2463968065415543</v>
      </c>
      <c r="AA10" s="2">
        <f>'P0.4 Avoided NG Leakage'!Z23</f>
        <v>7.9757927796863184</v>
      </c>
      <c r="AB10" s="2">
        <f>'P0.4 Avoided NG Leakage'!AA23</f>
        <v>8.1018832841092987</v>
      </c>
      <c r="AC10" s="2">
        <f>'P0.4 Avoided NG Leakage'!AB23</f>
        <v>7.9843431058754275</v>
      </c>
      <c r="AD10" s="2">
        <f>'P0.4 Avoided NG Leakage'!AC23</f>
        <v>7.8412357322172692</v>
      </c>
      <c r="AE10" s="35">
        <f>'P0.4 Avoided NG Leakage'!AD23</f>
        <v>7.6051968938971291</v>
      </c>
    </row>
    <row r="11" spans="1:31" ht="13">
      <c r="A11" s="105"/>
      <c r="B11" s="19" t="s">
        <v>253</v>
      </c>
      <c r="C11" s="19" t="s">
        <v>19</v>
      </c>
      <c r="D11" s="19" t="s">
        <v>34</v>
      </c>
      <c r="E11" s="19" t="s">
        <v>36</v>
      </c>
      <c r="F11" s="20">
        <f t="shared" ref="F11:AE11" si="0">SUM(F7:F10)</f>
        <v>0</v>
      </c>
      <c r="G11" s="20">
        <f t="shared" si="0"/>
        <v>0</v>
      </c>
      <c r="H11" s="20">
        <f t="shared" si="0"/>
        <v>35531.619231282741</v>
      </c>
      <c r="I11" s="20">
        <f t="shared" si="0"/>
        <v>30842.449260996698</v>
      </c>
      <c r="J11" s="20">
        <f t="shared" si="0"/>
        <v>26611.53481196141</v>
      </c>
      <c r="K11" s="20">
        <f t="shared" si="0"/>
        <v>23217.24153015617</v>
      </c>
      <c r="L11" s="20">
        <f t="shared" si="0"/>
        <v>22354.382035584531</v>
      </c>
      <c r="M11" s="20">
        <f t="shared" si="0"/>
        <v>21958.262833001612</v>
      </c>
      <c r="N11" s="20">
        <f t="shared" si="0"/>
        <v>22452.732390015473</v>
      </c>
      <c r="O11" s="20">
        <f t="shared" si="0"/>
        <v>21700.459204471099</v>
      </c>
      <c r="P11" s="20">
        <f t="shared" si="0"/>
        <v>21877.769316538994</v>
      </c>
      <c r="Q11" s="20">
        <f t="shared" si="0"/>
        <v>22479.326806219651</v>
      </c>
      <c r="R11" s="20">
        <f t="shared" si="0"/>
        <v>22590.380075680809</v>
      </c>
      <c r="S11" s="20">
        <f t="shared" si="0"/>
        <v>23081.427393289687</v>
      </c>
      <c r="T11" s="20">
        <f t="shared" si="0"/>
        <v>21969.589727026621</v>
      </c>
      <c r="U11" s="20">
        <f t="shared" si="0"/>
        <v>22634.408186317713</v>
      </c>
      <c r="V11" s="20">
        <f t="shared" si="0"/>
        <v>23163.071004562262</v>
      </c>
      <c r="W11" s="20">
        <f t="shared" si="0"/>
        <v>23481.720044865695</v>
      </c>
      <c r="X11" s="20">
        <f t="shared" si="0"/>
        <v>23087.6718918896</v>
      </c>
      <c r="Y11" s="20">
        <f t="shared" si="0"/>
        <v>22997.668066169856</v>
      </c>
      <c r="Z11" s="20">
        <f t="shared" si="0"/>
        <v>22042.444054650521</v>
      </c>
      <c r="AA11" s="20">
        <f t="shared" si="0"/>
        <v>21319.125220637095</v>
      </c>
      <c r="AB11" s="20">
        <f t="shared" si="0"/>
        <v>21656.162469118932</v>
      </c>
      <c r="AC11" s="20">
        <f t="shared" si="0"/>
        <v>21341.980061495946</v>
      </c>
      <c r="AD11" s="20">
        <f t="shared" si="0"/>
        <v>20959.457081863722</v>
      </c>
      <c r="AE11" s="39">
        <f t="shared" si="0"/>
        <v>20328.530264921184</v>
      </c>
    </row>
    <row r="13" spans="1:31" ht="13">
      <c r="A13" s="22"/>
    </row>
    <row r="14" spans="1:31" ht="13.5" customHeight="1">
      <c r="A14" s="100" t="s">
        <v>252</v>
      </c>
      <c r="B14" s="5" t="s">
        <v>41</v>
      </c>
      <c r="C14" s="5" t="s">
        <v>38</v>
      </c>
      <c r="D14" s="5" t="s">
        <v>34</v>
      </c>
      <c r="E14" s="5" t="s">
        <v>36</v>
      </c>
      <c r="F14" s="34">
        <f>SUM(F7:K7)</f>
        <v>113747.00678574067</v>
      </c>
    </row>
    <row r="15" spans="1:31" ht="13.5" customHeight="1">
      <c r="A15" s="101"/>
      <c r="B15" s="1" t="s">
        <v>39</v>
      </c>
      <c r="C15" s="1" t="s">
        <v>38</v>
      </c>
      <c r="D15" s="1" t="s">
        <v>34</v>
      </c>
      <c r="E15" s="1" t="s">
        <v>89</v>
      </c>
      <c r="F15" s="35">
        <f>F14/COUNT(F7:K7)</f>
        <v>18957.83446429011</v>
      </c>
    </row>
    <row r="16" spans="1:31">
      <c r="A16" s="101"/>
      <c r="B16" s="1" t="s">
        <v>41</v>
      </c>
      <c r="C16" s="1" t="s">
        <v>40</v>
      </c>
      <c r="D16" s="1" t="s">
        <v>34</v>
      </c>
      <c r="E16" s="1" t="s">
        <v>36</v>
      </c>
      <c r="F16" s="35">
        <f>SUM(F7:AE7)</f>
        <v>547851.11392785108</v>
      </c>
    </row>
    <row r="17" spans="1:6">
      <c r="A17" s="102"/>
      <c r="B17" s="3" t="s">
        <v>39</v>
      </c>
      <c r="C17" s="3" t="s">
        <v>40</v>
      </c>
      <c r="D17" s="3" t="s">
        <v>34</v>
      </c>
      <c r="E17" s="3" t="s">
        <v>65</v>
      </c>
      <c r="F17" s="36">
        <f>F16/COUNT(F7:AE7)</f>
        <v>21071.196689532735</v>
      </c>
    </row>
    <row r="18" spans="1:6" ht="13">
      <c r="A18" s="22"/>
    </row>
    <row r="20" spans="1:6" ht="13.5" customHeight="1">
      <c r="A20" s="100" t="s">
        <v>251</v>
      </c>
      <c r="B20" s="5" t="s">
        <v>41</v>
      </c>
      <c r="C20" s="5" t="s">
        <v>38</v>
      </c>
      <c r="D20" s="5" t="s">
        <v>34</v>
      </c>
      <c r="E20" s="5" t="s">
        <v>36</v>
      </c>
      <c r="F20" s="34">
        <f>SUM(F8:K8)</f>
        <v>985.07226068397756</v>
      </c>
    </row>
    <row r="21" spans="1:6">
      <c r="A21" s="101"/>
      <c r="B21" s="1" t="s">
        <v>39</v>
      </c>
      <c r="C21" s="1" t="s">
        <v>38</v>
      </c>
      <c r="D21" s="1" t="s">
        <v>34</v>
      </c>
      <c r="E21" s="1" t="s">
        <v>89</v>
      </c>
      <c r="F21" s="35">
        <f>F20/COUNT(F8:K8)</f>
        <v>164.17871011399626</v>
      </c>
    </row>
    <row r="22" spans="1:6">
      <c r="A22" s="101"/>
      <c r="B22" s="1" t="s">
        <v>41</v>
      </c>
      <c r="C22" s="1" t="s">
        <v>40</v>
      </c>
      <c r="D22" s="1" t="s">
        <v>34</v>
      </c>
      <c r="E22" s="1" t="s">
        <v>36</v>
      </c>
      <c r="F22" s="35">
        <f>SUM(F8:AE8)</f>
        <v>4744.5023000182982</v>
      </c>
    </row>
    <row r="23" spans="1:6">
      <c r="A23" s="102"/>
      <c r="B23" s="3" t="s">
        <v>39</v>
      </c>
      <c r="C23" s="3" t="s">
        <v>40</v>
      </c>
      <c r="D23" s="3" t="s">
        <v>34</v>
      </c>
      <c r="E23" s="3" t="s">
        <v>65</v>
      </c>
      <c r="F23" s="36">
        <f>F22/COUNT(F8:AE8)</f>
        <v>182.48085769301147</v>
      </c>
    </row>
    <row r="26" spans="1:6">
      <c r="A26" s="100" t="s">
        <v>250</v>
      </c>
      <c r="B26" s="5" t="s">
        <v>41</v>
      </c>
      <c r="C26" s="5" t="s">
        <v>38</v>
      </c>
      <c r="D26" s="5" t="s">
        <v>34</v>
      </c>
      <c r="E26" s="5" t="s">
        <v>36</v>
      </c>
      <c r="F26" s="34">
        <f>SUM(F9:K9)</f>
        <v>1427.2926247343198</v>
      </c>
    </row>
    <row r="27" spans="1:6">
      <c r="A27" s="101"/>
      <c r="B27" s="1" t="s">
        <v>39</v>
      </c>
      <c r="C27" s="1" t="s">
        <v>38</v>
      </c>
      <c r="D27" s="1" t="s">
        <v>34</v>
      </c>
      <c r="E27" s="1" t="s">
        <v>89</v>
      </c>
      <c r="F27" s="35">
        <f>F26/COUNT(F9:K9)</f>
        <v>237.88210412238664</v>
      </c>
    </row>
    <row r="28" spans="1:6">
      <c r="A28" s="101"/>
      <c r="B28" s="1" t="s">
        <v>41</v>
      </c>
      <c r="C28" s="1" t="s">
        <v>40</v>
      </c>
      <c r="D28" s="1" t="s">
        <v>34</v>
      </c>
      <c r="E28" s="1" t="s">
        <v>36</v>
      </c>
      <c r="F28" s="35">
        <f>SUM(F9:AE9)</f>
        <v>6874.4125797930701</v>
      </c>
    </row>
    <row r="29" spans="1:6">
      <c r="A29" s="102"/>
      <c r="B29" s="3" t="s">
        <v>39</v>
      </c>
      <c r="C29" s="3" t="s">
        <v>40</v>
      </c>
      <c r="D29" s="3" t="s">
        <v>34</v>
      </c>
      <c r="E29" s="3" t="s">
        <v>65</v>
      </c>
      <c r="F29" s="36">
        <f>F28/COUNT(F9:AE9)</f>
        <v>264.40048383819499</v>
      </c>
    </row>
    <row r="32" spans="1:6">
      <c r="A32" s="100" t="s">
        <v>64</v>
      </c>
      <c r="B32" s="5" t="s">
        <v>41</v>
      </c>
      <c r="C32" s="5" t="s">
        <v>38</v>
      </c>
      <c r="D32" s="5" t="s">
        <v>34</v>
      </c>
      <c r="E32" s="5" t="s">
        <v>36</v>
      </c>
      <c r="F32" s="34">
        <f>SUM(F11:K11)</f>
        <v>116202.84483439702</v>
      </c>
    </row>
    <row r="33" spans="1:6">
      <c r="A33" s="101"/>
      <c r="B33" s="1" t="s">
        <v>39</v>
      </c>
      <c r="C33" s="1" t="s">
        <v>38</v>
      </c>
      <c r="D33" s="1" t="s">
        <v>34</v>
      </c>
      <c r="E33" s="1" t="s">
        <v>89</v>
      </c>
      <c r="F33" s="35">
        <f>F32/COUNT(F11:K11)</f>
        <v>19367.140805732837</v>
      </c>
    </row>
    <row r="34" spans="1:6">
      <c r="A34" s="101"/>
      <c r="B34" s="1" t="s">
        <v>41</v>
      </c>
      <c r="C34" s="1" t="s">
        <v>40</v>
      </c>
      <c r="D34" s="1" t="s">
        <v>34</v>
      </c>
      <c r="E34" s="1" t="s">
        <v>36</v>
      </c>
      <c r="F34" s="35">
        <f>SUM(F11:AE11)</f>
        <v>559679.41296271794</v>
      </c>
    </row>
    <row r="35" spans="1:6">
      <c r="A35" s="102"/>
      <c r="B35" s="3" t="s">
        <v>39</v>
      </c>
      <c r="C35" s="3" t="s">
        <v>40</v>
      </c>
      <c r="D35" s="3" t="s">
        <v>34</v>
      </c>
      <c r="E35" s="3" t="s">
        <v>65</v>
      </c>
      <c r="F35" s="36">
        <f>F34/COUNT(F11:AE11)</f>
        <v>21526.131267796845</v>
      </c>
    </row>
  </sheetData>
  <mergeCells count="5">
    <mergeCell ref="A32:A35"/>
    <mergeCell ref="A6:A11"/>
    <mergeCell ref="A14:A17"/>
    <mergeCell ref="A20:A23"/>
    <mergeCell ref="A26:A2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DB726-1C90-4A83-A116-9A53E718E67E}">
  <sheetPr>
    <tabColor theme="6"/>
  </sheetPr>
  <dimension ref="A1:FI76"/>
  <sheetViews>
    <sheetView topLeftCell="E1" workbookViewId="0"/>
  </sheetViews>
  <sheetFormatPr defaultColWidth="9.08984375" defaultRowHeight="12.5"/>
  <cols>
    <col min="1" max="1" width="9.08984375" style="21"/>
    <col min="2" max="2" width="39.90625" style="21" customWidth="1"/>
    <col min="3" max="3" width="21.6328125" style="21" customWidth="1"/>
    <col min="4" max="4" width="35.36328125" style="21" customWidth="1"/>
    <col min="5" max="5" width="39.453125" style="21" customWidth="1"/>
    <col min="6" max="6" width="16.08984375" style="21" customWidth="1"/>
    <col min="7" max="10" width="15.90625" style="21" customWidth="1"/>
    <col min="11" max="11" width="11.54296875" style="21" bestFit="1" customWidth="1"/>
    <col min="12" max="12" width="16.54296875" style="21" customWidth="1"/>
    <col min="13" max="13" width="12" style="21" customWidth="1"/>
    <col min="14" max="14" width="14.08984375" style="21" customWidth="1"/>
    <col min="15" max="36" width="9.54296875" style="21" bestFit="1" customWidth="1"/>
    <col min="37" max="16384" width="9.08984375" style="21"/>
  </cols>
  <sheetData>
    <row r="1" spans="1:16">
      <c r="A1" s="21" t="s">
        <v>186</v>
      </c>
    </row>
    <row r="2" spans="1:16" ht="13">
      <c r="A2" s="22" t="s">
        <v>210</v>
      </c>
    </row>
    <row r="3" spans="1:16" ht="13">
      <c r="A3" s="22" t="s">
        <v>222</v>
      </c>
    </row>
    <row r="4" spans="1:16" ht="13">
      <c r="A4" s="22"/>
    </row>
    <row r="6" spans="1:16" s="27" customFormat="1" ht="13">
      <c r="A6" s="25"/>
      <c r="B6" s="26" t="s">
        <v>9</v>
      </c>
      <c r="C6" s="26" t="s">
        <v>8</v>
      </c>
      <c r="D6" s="37" t="s">
        <v>10</v>
      </c>
      <c r="E6" s="37" t="s">
        <v>7</v>
      </c>
      <c r="F6" s="29">
        <v>2025</v>
      </c>
      <c r="G6" s="29">
        <v>2026</v>
      </c>
      <c r="H6" s="29">
        <v>2027</v>
      </c>
      <c r="I6" s="29">
        <v>2028</v>
      </c>
      <c r="J6" s="29">
        <v>2029</v>
      </c>
      <c r="L6" s="37" t="s">
        <v>56</v>
      </c>
      <c r="M6" s="37" t="s">
        <v>62</v>
      </c>
      <c r="N6" s="37" t="s">
        <v>63</v>
      </c>
      <c r="O6" s="37" t="s">
        <v>33</v>
      </c>
      <c r="P6" s="37"/>
    </row>
    <row r="7" spans="1:16">
      <c r="A7" s="97" t="s">
        <v>42</v>
      </c>
      <c r="B7" s="5" t="s">
        <v>43</v>
      </c>
      <c r="C7" s="5" t="s">
        <v>255</v>
      </c>
      <c r="D7" s="7" t="s">
        <v>175</v>
      </c>
      <c r="E7" s="7" t="s">
        <v>44</v>
      </c>
      <c r="F7" s="7"/>
      <c r="G7" s="7"/>
      <c r="H7" s="7">
        <v>20000</v>
      </c>
      <c r="I7" s="7"/>
      <c r="J7" s="7"/>
      <c r="L7" s="21" t="s">
        <v>57</v>
      </c>
      <c r="M7" s="21" t="s">
        <v>59</v>
      </c>
      <c r="N7" s="21">
        <v>0.90718500000000002</v>
      </c>
    </row>
    <row r="8" spans="1:16">
      <c r="A8" s="98"/>
      <c r="B8" s="1" t="s">
        <v>270</v>
      </c>
      <c r="C8" s="1"/>
      <c r="D8" s="2"/>
      <c r="E8" s="2"/>
      <c r="F8" s="2"/>
      <c r="G8" s="2"/>
      <c r="H8" s="2"/>
      <c r="I8" s="2"/>
      <c r="J8" s="2"/>
      <c r="L8" s="21" t="s">
        <v>58</v>
      </c>
      <c r="M8" s="21" t="s">
        <v>60</v>
      </c>
      <c r="N8" s="21">
        <v>0.99399999999999999</v>
      </c>
      <c r="O8" s="21" t="s">
        <v>61</v>
      </c>
    </row>
    <row r="9" spans="1:16">
      <c r="A9" s="98"/>
      <c r="B9" s="1" t="s">
        <v>269</v>
      </c>
      <c r="C9" s="1"/>
      <c r="D9" s="2"/>
      <c r="E9" s="2"/>
      <c r="F9" s="2"/>
      <c r="G9" s="2"/>
      <c r="H9" s="2"/>
      <c r="I9" s="2"/>
      <c r="J9" s="2"/>
    </row>
    <row r="10" spans="1:16" ht="13">
      <c r="A10" s="98"/>
      <c r="B10" s="17" t="s">
        <v>48</v>
      </c>
      <c r="C10" s="17" t="s">
        <v>19</v>
      </c>
      <c r="D10" s="18" t="s">
        <v>34</v>
      </c>
      <c r="E10" s="18" t="s">
        <v>44</v>
      </c>
      <c r="F10" s="18">
        <f>SUM(F7:F9)</f>
        <v>0</v>
      </c>
      <c r="G10" s="18">
        <f>SUM(G7:G9)</f>
        <v>0</v>
      </c>
      <c r="H10" s="18">
        <f>SUM(H7:H9)</f>
        <v>20000</v>
      </c>
      <c r="I10" s="18">
        <f>SUM(I7:I9)</f>
        <v>0</v>
      </c>
      <c r="J10" s="18">
        <f>SUM(J7:J9)</f>
        <v>0</v>
      </c>
    </row>
    <row r="11" spans="1:16">
      <c r="A11" s="98"/>
      <c r="B11" s="1" t="s">
        <v>50</v>
      </c>
      <c r="C11" s="1" t="s">
        <v>255</v>
      </c>
      <c r="D11" s="2" t="s">
        <v>268</v>
      </c>
      <c r="E11" s="2" t="s">
        <v>45</v>
      </c>
      <c r="F11" s="2"/>
      <c r="G11" s="2"/>
      <c r="H11" s="2">
        <f>'P0.2 Solar AVERT Results'!E8*-1</f>
        <v>68310</v>
      </c>
      <c r="I11" s="2"/>
      <c r="J11" s="2"/>
    </row>
    <row r="12" spans="1:16">
      <c r="A12" s="98"/>
      <c r="B12" s="1"/>
      <c r="C12" s="1"/>
      <c r="D12" s="2"/>
      <c r="E12" s="2"/>
      <c r="F12" s="2"/>
      <c r="G12" s="2"/>
      <c r="H12" s="2"/>
      <c r="I12" s="2"/>
      <c r="J12" s="2"/>
    </row>
    <row r="13" spans="1:16">
      <c r="A13" s="98"/>
      <c r="B13" s="1"/>
      <c r="C13" s="1"/>
      <c r="D13" s="2"/>
      <c r="E13" s="2"/>
      <c r="F13" s="2"/>
      <c r="G13" s="2"/>
      <c r="H13" s="2"/>
      <c r="I13" s="2"/>
      <c r="J13" s="2"/>
    </row>
    <row r="14" spans="1:16" ht="13">
      <c r="A14" s="98"/>
      <c r="B14" s="17" t="s">
        <v>51</v>
      </c>
      <c r="C14" s="17" t="s">
        <v>19</v>
      </c>
      <c r="D14" s="18" t="s">
        <v>267</v>
      </c>
      <c r="E14" s="18" t="s">
        <v>45</v>
      </c>
      <c r="F14" s="18">
        <f>SUM(F11:F13)</f>
        <v>0</v>
      </c>
      <c r="G14" s="18">
        <f>SUM(G11:G13)</f>
        <v>0</v>
      </c>
      <c r="H14" s="18">
        <f>SUM(H11:H13)</f>
        <v>68310</v>
      </c>
      <c r="I14" s="18">
        <f>SUM(I11:I13)</f>
        <v>0</v>
      </c>
      <c r="J14" s="18">
        <f>SUM(J11:J13)</f>
        <v>0</v>
      </c>
    </row>
    <row r="15" spans="1:16">
      <c r="A15" s="98"/>
      <c r="B15" s="1" t="s">
        <v>47</v>
      </c>
      <c r="C15" s="1" t="s">
        <v>255</v>
      </c>
      <c r="D15" s="2" t="s">
        <v>268</v>
      </c>
      <c r="E15" s="2" t="s">
        <v>46</v>
      </c>
      <c r="F15" s="2"/>
      <c r="G15" s="2"/>
      <c r="H15" s="2">
        <f>'P0.2 Solar AVERT Results'!E13*-1</f>
        <v>47520</v>
      </c>
      <c r="I15" s="2"/>
      <c r="J15" s="2"/>
      <c r="M15" s="33"/>
    </row>
    <row r="16" spans="1:16">
      <c r="A16" s="98"/>
      <c r="B16" s="1"/>
      <c r="C16" s="1"/>
      <c r="D16" s="2"/>
      <c r="E16" s="2"/>
      <c r="F16" s="2"/>
      <c r="G16" s="2"/>
      <c r="H16" s="2"/>
      <c r="I16" s="2"/>
      <c r="J16" s="2"/>
    </row>
    <row r="17" spans="1:165">
      <c r="A17" s="98"/>
      <c r="B17" s="1"/>
      <c r="C17" s="1"/>
      <c r="D17" s="2"/>
      <c r="E17" s="2"/>
      <c r="F17" s="2"/>
      <c r="G17" s="2"/>
      <c r="H17" s="2"/>
      <c r="I17" s="2"/>
      <c r="J17" s="2"/>
    </row>
    <row r="18" spans="1:165" ht="13">
      <c r="A18" s="99"/>
      <c r="B18" s="19" t="s">
        <v>49</v>
      </c>
      <c r="C18" s="19" t="s">
        <v>19</v>
      </c>
      <c r="D18" s="20" t="s">
        <v>267</v>
      </c>
      <c r="E18" s="20" t="s">
        <v>46</v>
      </c>
      <c r="F18" s="20">
        <f>SUM(F15:F17)</f>
        <v>0</v>
      </c>
      <c r="G18" s="20">
        <f>SUM(G15:G17)</f>
        <v>0</v>
      </c>
      <c r="H18" s="20">
        <f>SUM(H15:H17)</f>
        <v>47520</v>
      </c>
      <c r="I18" s="20">
        <f>SUM(I15:I17)</f>
        <v>0</v>
      </c>
      <c r="J18" s="20">
        <f>SUM(J15:J17)</f>
        <v>0</v>
      </c>
    </row>
    <row r="19" spans="1:165" ht="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0"/>
    </row>
    <row r="21" spans="1:165" ht="13.5" customHeight="1">
      <c r="A21" s="103" t="s">
        <v>35</v>
      </c>
      <c r="B21" s="9" t="s">
        <v>9</v>
      </c>
      <c r="C21" s="9" t="s">
        <v>8</v>
      </c>
      <c r="D21" s="9" t="s">
        <v>10</v>
      </c>
      <c r="E21" s="9" t="s">
        <v>7</v>
      </c>
      <c r="F21" s="9">
        <v>2025</v>
      </c>
      <c r="G21" s="9">
        <v>2026</v>
      </c>
      <c r="H21" s="9">
        <v>2027</v>
      </c>
      <c r="I21" s="9">
        <v>2028</v>
      </c>
      <c r="J21" s="9">
        <v>2029</v>
      </c>
      <c r="K21" s="9">
        <v>2030</v>
      </c>
      <c r="L21" s="9">
        <v>2031</v>
      </c>
      <c r="M21" s="9">
        <v>2032</v>
      </c>
      <c r="N21" s="9">
        <v>2033</v>
      </c>
      <c r="O21" s="9">
        <v>2034</v>
      </c>
      <c r="P21" s="9">
        <v>2035</v>
      </c>
      <c r="Q21" s="9">
        <v>2036</v>
      </c>
      <c r="R21" s="9">
        <v>2037</v>
      </c>
      <c r="S21" s="9">
        <v>2038</v>
      </c>
      <c r="T21" s="9">
        <v>2039</v>
      </c>
      <c r="U21" s="9">
        <v>2040</v>
      </c>
      <c r="V21" s="9">
        <v>2041</v>
      </c>
      <c r="W21" s="9">
        <v>2042</v>
      </c>
      <c r="X21" s="9">
        <v>2043</v>
      </c>
      <c r="Y21" s="9">
        <v>2044</v>
      </c>
      <c r="Z21" s="9">
        <v>2045</v>
      </c>
      <c r="AA21" s="9">
        <v>2046</v>
      </c>
      <c r="AB21" s="9">
        <v>2047</v>
      </c>
      <c r="AC21" s="9">
        <v>2048</v>
      </c>
      <c r="AD21" s="9">
        <v>2049</v>
      </c>
      <c r="AE21" s="9">
        <v>2050</v>
      </c>
    </row>
    <row r="22" spans="1:165">
      <c r="A22" s="104"/>
      <c r="B22" s="5" t="s">
        <v>266</v>
      </c>
      <c r="C22" s="5" t="s">
        <v>255</v>
      </c>
      <c r="D22" s="5" t="s">
        <v>34</v>
      </c>
      <c r="E22" s="5" t="s">
        <v>44</v>
      </c>
      <c r="F22" s="7">
        <f>F7</f>
        <v>0</v>
      </c>
      <c r="G22" s="7">
        <f>F22+G7</f>
        <v>0</v>
      </c>
      <c r="H22" s="7">
        <f>G22+H7</f>
        <v>20000</v>
      </c>
      <c r="I22" s="7">
        <f>H22+I7</f>
        <v>20000</v>
      </c>
      <c r="J22" s="7">
        <f>I22+J7</f>
        <v>20000</v>
      </c>
      <c r="K22" s="7">
        <f t="shared" ref="K22:AE22" si="0">J22</f>
        <v>20000</v>
      </c>
      <c r="L22" s="7">
        <f t="shared" si="0"/>
        <v>20000</v>
      </c>
      <c r="M22" s="7">
        <f t="shared" si="0"/>
        <v>20000</v>
      </c>
      <c r="N22" s="7">
        <f t="shared" si="0"/>
        <v>20000</v>
      </c>
      <c r="O22" s="7">
        <f t="shared" si="0"/>
        <v>20000</v>
      </c>
      <c r="P22" s="7">
        <f t="shared" si="0"/>
        <v>20000</v>
      </c>
      <c r="Q22" s="7">
        <f t="shared" si="0"/>
        <v>20000</v>
      </c>
      <c r="R22" s="7">
        <f t="shared" si="0"/>
        <v>20000</v>
      </c>
      <c r="S22" s="7">
        <f t="shared" si="0"/>
        <v>20000</v>
      </c>
      <c r="T22" s="7">
        <f t="shared" si="0"/>
        <v>20000</v>
      </c>
      <c r="U22" s="7">
        <f t="shared" si="0"/>
        <v>20000</v>
      </c>
      <c r="V22" s="7">
        <f t="shared" si="0"/>
        <v>20000</v>
      </c>
      <c r="W22" s="7">
        <f t="shared" si="0"/>
        <v>20000</v>
      </c>
      <c r="X22" s="7">
        <f t="shared" si="0"/>
        <v>20000</v>
      </c>
      <c r="Y22" s="7">
        <f t="shared" si="0"/>
        <v>20000</v>
      </c>
      <c r="Z22" s="7">
        <f t="shared" si="0"/>
        <v>20000</v>
      </c>
      <c r="AA22" s="7">
        <f t="shared" si="0"/>
        <v>20000</v>
      </c>
      <c r="AB22" s="7">
        <f t="shared" si="0"/>
        <v>20000</v>
      </c>
      <c r="AC22" s="7">
        <f t="shared" si="0"/>
        <v>20000</v>
      </c>
      <c r="AD22" s="7">
        <f t="shared" si="0"/>
        <v>20000</v>
      </c>
      <c r="AE22" s="7">
        <f t="shared" si="0"/>
        <v>20000</v>
      </c>
    </row>
    <row r="23" spans="1:165">
      <c r="A23" s="104"/>
      <c r="B23" s="1"/>
      <c r="C23" s="1"/>
      <c r="D23" s="1"/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165">
      <c r="A24" s="104"/>
      <c r="B24" s="1"/>
      <c r="C24" s="1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165" ht="13">
      <c r="A25" s="104"/>
      <c r="B25" s="17" t="s">
        <v>265</v>
      </c>
      <c r="C25" s="17" t="s">
        <v>19</v>
      </c>
      <c r="D25" s="17" t="s">
        <v>34</v>
      </c>
      <c r="E25" s="17" t="s">
        <v>44</v>
      </c>
      <c r="F25" s="18">
        <f>SUM(F22:F24)</f>
        <v>0</v>
      </c>
      <c r="G25" s="18">
        <f>SUM(G22:G24)</f>
        <v>0</v>
      </c>
      <c r="H25" s="18">
        <f>SUM(H22:H24)</f>
        <v>20000</v>
      </c>
      <c r="I25" s="18">
        <f>SUM(I22:I24)</f>
        <v>20000</v>
      </c>
      <c r="J25" s="18">
        <f>SUM(J22:J24)</f>
        <v>20000</v>
      </c>
      <c r="K25" s="18">
        <f t="shared" ref="K25:AE25" si="1">J25</f>
        <v>20000</v>
      </c>
      <c r="L25" s="18">
        <f t="shared" si="1"/>
        <v>20000</v>
      </c>
      <c r="M25" s="18">
        <f t="shared" si="1"/>
        <v>20000</v>
      </c>
      <c r="N25" s="18">
        <f t="shared" si="1"/>
        <v>20000</v>
      </c>
      <c r="O25" s="18">
        <f t="shared" si="1"/>
        <v>20000</v>
      </c>
      <c r="P25" s="18">
        <f t="shared" si="1"/>
        <v>20000</v>
      </c>
      <c r="Q25" s="18">
        <f t="shared" si="1"/>
        <v>20000</v>
      </c>
      <c r="R25" s="18">
        <f t="shared" si="1"/>
        <v>20000</v>
      </c>
      <c r="S25" s="18">
        <f t="shared" si="1"/>
        <v>20000</v>
      </c>
      <c r="T25" s="18">
        <f t="shared" si="1"/>
        <v>20000</v>
      </c>
      <c r="U25" s="18">
        <f t="shared" si="1"/>
        <v>20000</v>
      </c>
      <c r="V25" s="18">
        <f t="shared" si="1"/>
        <v>20000</v>
      </c>
      <c r="W25" s="18">
        <f t="shared" si="1"/>
        <v>20000</v>
      </c>
      <c r="X25" s="18">
        <f t="shared" si="1"/>
        <v>20000</v>
      </c>
      <c r="Y25" s="18">
        <f t="shared" si="1"/>
        <v>20000</v>
      </c>
      <c r="Z25" s="18">
        <f t="shared" si="1"/>
        <v>20000</v>
      </c>
      <c r="AA25" s="18">
        <f t="shared" si="1"/>
        <v>20000</v>
      </c>
      <c r="AB25" s="18">
        <f t="shared" si="1"/>
        <v>20000</v>
      </c>
      <c r="AC25" s="18">
        <f t="shared" si="1"/>
        <v>20000</v>
      </c>
      <c r="AD25" s="18">
        <f t="shared" si="1"/>
        <v>20000</v>
      </c>
      <c r="AE25" s="18">
        <f t="shared" si="1"/>
        <v>20000</v>
      </c>
    </row>
    <row r="26" spans="1:165">
      <c r="A26" s="104"/>
      <c r="B26" s="1" t="s">
        <v>264</v>
      </c>
      <c r="C26" s="1" t="s">
        <v>255</v>
      </c>
      <c r="D26" s="1" t="s">
        <v>34</v>
      </c>
      <c r="E26" s="1" t="s">
        <v>45</v>
      </c>
      <c r="F26" s="2">
        <f>F11</f>
        <v>0</v>
      </c>
      <c r="G26" s="2">
        <f>F26+G11</f>
        <v>0</v>
      </c>
      <c r="H26" s="2">
        <f>G26+H11</f>
        <v>68310</v>
      </c>
      <c r="I26" s="2">
        <f>H26+I11</f>
        <v>68310</v>
      </c>
      <c r="J26" s="2">
        <f>I26+J11</f>
        <v>68310</v>
      </c>
      <c r="K26" s="2">
        <f t="shared" ref="K26:AE26" si="2">J26</f>
        <v>68310</v>
      </c>
      <c r="L26" s="2">
        <f t="shared" si="2"/>
        <v>68310</v>
      </c>
      <c r="M26" s="2">
        <f t="shared" si="2"/>
        <v>68310</v>
      </c>
      <c r="N26" s="2">
        <f t="shared" si="2"/>
        <v>68310</v>
      </c>
      <c r="O26" s="2">
        <f t="shared" si="2"/>
        <v>68310</v>
      </c>
      <c r="P26" s="2">
        <f t="shared" si="2"/>
        <v>68310</v>
      </c>
      <c r="Q26" s="2">
        <f t="shared" si="2"/>
        <v>68310</v>
      </c>
      <c r="R26" s="2">
        <f t="shared" si="2"/>
        <v>68310</v>
      </c>
      <c r="S26" s="2">
        <f t="shared" si="2"/>
        <v>68310</v>
      </c>
      <c r="T26" s="2">
        <f t="shared" si="2"/>
        <v>68310</v>
      </c>
      <c r="U26" s="2">
        <f t="shared" si="2"/>
        <v>68310</v>
      </c>
      <c r="V26" s="2">
        <f t="shared" si="2"/>
        <v>68310</v>
      </c>
      <c r="W26" s="2">
        <f t="shared" si="2"/>
        <v>68310</v>
      </c>
      <c r="X26" s="2">
        <f t="shared" si="2"/>
        <v>68310</v>
      </c>
      <c r="Y26" s="2">
        <f t="shared" si="2"/>
        <v>68310</v>
      </c>
      <c r="Z26" s="2">
        <f t="shared" si="2"/>
        <v>68310</v>
      </c>
      <c r="AA26" s="2">
        <f t="shared" si="2"/>
        <v>68310</v>
      </c>
      <c r="AB26" s="2">
        <f t="shared" si="2"/>
        <v>68310</v>
      </c>
      <c r="AC26" s="2">
        <f t="shared" si="2"/>
        <v>68310</v>
      </c>
      <c r="AD26" s="2">
        <f t="shared" si="2"/>
        <v>68310</v>
      </c>
      <c r="AE26" s="2">
        <f t="shared" si="2"/>
        <v>68310</v>
      </c>
    </row>
    <row r="27" spans="1:165">
      <c r="A27" s="104"/>
      <c r="B27" s="1"/>
      <c r="C27" s="1"/>
      <c r="D27" s="1"/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165">
      <c r="A28" s="104"/>
      <c r="B28" s="1"/>
      <c r="C28" s="1"/>
      <c r="D28" s="1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165" ht="13">
      <c r="A29" s="104"/>
      <c r="B29" s="17" t="s">
        <v>263</v>
      </c>
      <c r="C29" s="17" t="s">
        <v>19</v>
      </c>
      <c r="D29" s="17" t="s">
        <v>34</v>
      </c>
      <c r="E29" s="17" t="s">
        <v>45</v>
      </c>
      <c r="F29" s="18">
        <f>SUM(F26:F28)</f>
        <v>0</v>
      </c>
      <c r="G29" s="18">
        <f>SUM(G26:G28)</f>
        <v>0</v>
      </c>
      <c r="H29" s="18">
        <f>SUM(H26:H28)</f>
        <v>68310</v>
      </c>
      <c r="I29" s="18">
        <f>SUM(I26:I28)</f>
        <v>68310</v>
      </c>
      <c r="J29" s="18">
        <f>SUM(J26:J28)</f>
        <v>68310</v>
      </c>
      <c r="K29" s="18">
        <f t="shared" ref="K29:AE29" si="3">J29</f>
        <v>68310</v>
      </c>
      <c r="L29" s="18">
        <f t="shared" si="3"/>
        <v>68310</v>
      </c>
      <c r="M29" s="18">
        <f t="shared" si="3"/>
        <v>68310</v>
      </c>
      <c r="N29" s="18">
        <f t="shared" si="3"/>
        <v>68310</v>
      </c>
      <c r="O29" s="18">
        <f t="shared" si="3"/>
        <v>68310</v>
      </c>
      <c r="P29" s="18">
        <f t="shared" si="3"/>
        <v>68310</v>
      </c>
      <c r="Q29" s="18">
        <f t="shared" si="3"/>
        <v>68310</v>
      </c>
      <c r="R29" s="18">
        <f t="shared" si="3"/>
        <v>68310</v>
      </c>
      <c r="S29" s="18">
        <f t="shared" si="3"/>
        <v>68310</v>
      </c>
      <c r="T29" s="18">
        <f t="shared" si="3"/>
        <v>68310</v>
      </c>
      <c r="U29" s="18">
        <f t="shared" si="3"/>
        <v>68310</v>
      </c>
      <c r="V29" s="18">
        <f t="shared" si="3"/>
        <v>68310</v>
      </c>
      <c r="W29" s="18">
        <f t="shared" si="3"/>
        <v>68310</v>
      </c>
      <c r="X29" s="18">
        <f t="shared" si="3"/>
        <v>68310</v>
      </c>
      <c r="Y29" s="18">
        <f t="shared" si="3"/>
        <v>68310</v>
      </c>
      <c r="Z29" s="18">
        <f t="shared" si="3"/>
        <v>68310</v>
      </c>
      <c r="AA29" s="18">
        <f t="shared" si="3"/>
        <v>68310</v>
      </c>
      <c r="AB29" s="18">
        <f t="shared" si="3"/>
        <v>68310</v>
      </c>
      <c r="AC29" s="18">
        <f t="shared" si="3"/>
        <v>68310</v>
      </c>
      <c r="AD29" s="18">
        <f t="shared" si="3"/>
        <v>68310</v>
      </c>
      <c r="AE29" s="18">
        <f t="shared" si="3"/>
        <v>68310</v>
      </c>
    </row>
    <row r="30" spans="1:165" s="1" customFormat="1">
      <c r="A30" s="104"/>
      <c r="B30" s="1" t="s">
        <v>262</v>
      </c>
      <c r="C30" s="1" t="s">
        <v>255</v>
      </c>
      <c r="D30" s="1" t="s">
        <v>34</v>
      </c>
      <c r="E30" s="1" t="s">
        <v>46</v>
      </c>
      <c r="F30" s="2">
        <f>F15</f>
        <v>0</v>
      </c>
      <c r="G30" s="2">
        <f>F30+G15</f>
        <v>0</v>
      </c>
      <c r="H30" s="2">
        <f>G30+H15</f>
        <v>47520</v>
      </c>
      <c r="I30" s="2">
        <f>H30+I15</f>
        <v>47520</v>
      </c>
      <c r="J30" s="2">
        <f>I30+J15</f>
        <v>47520</v>
      </c>
      <c r="K30" s="2">
        <f t="shared" ref="K30:AE30" si="4">J30</f>
        <v>47520</v>
      </c>
      <c r="L30" s="2">
        <f t="shared" si="4"/>
        <v>47520</v>
      </c>
      <c r="M30" s="2">
        <f t="shared" si="4"/>
        <v>47520</v>
      </c>
      <c r="N30" s="2">
        <f t="shared" si="4"/>
        <v>47520</v>
      </c>
      <c r="O30" s="2">
        <f t="shared" si="4"/>
        <v>47520</v>
      </c>
      <c r="P30" s="2">
        <f t="shared" si="4"/>
        <v>47520</v>
      </c>
      <c r="Q30" s="2">
        <f t="shared" si="4"/>
        <v>47520</v>
      </c>
      <c r="R30" s="2">
        <f t="shared" si="4"/>
        <v>47520</v>
      </c>
      <c r="S30" s="2">
        <f t="shared" si="4"/>
        <v>47520</v>
      </c>
      <c r="T30" s="2">
        <f t="shared" si="4"/>
        <v>47520</v>
      </c>
      <c r="U30" s="2">
        <f t="shared" si="4"/>
        <v>47520</v>
      </c>
      <c r="V30" s="2">
        <f t="shared" si="4"/>
        <v>47520</v>
      </c>
      <c r="W30" s="2">
        <f t="shared" si="4"/>
        <v>47520</v>
      </c>
      <c r="X30" s="2">
        <f t="shared" si="4"/>
        <v>47520</v>
      </c>
      <c r="Y30" s="2">
        <f t="shared" si="4"/>
        <v>47520</v>
      </c>
      <c r="Z30" s="2">
        <f t="shared" si="4"/>
        <v>47520</v>
      </c>
      <c r="AA30" s="2">
        <f t="shared" si="4"/>
        <v>47520</v>
      </c>
      <c r="AB30" s="2">
        <f t="shared" si="4"/>
        <v>47520</v>
      </c>
      <c r="AC30" s="2">
        <f t="shared" si="4"/>
        <v>47520</v>
      </c>
      <c r="AD30" s="2">
        <f t="shared" si="4"/>
        <v>47520</v>
      </c>
      <c r="AE30" s="2">
        <f t="shared" si="4"/>
        <v>47520</v>
      </c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</row>
    <row r="31" spans="1:165">
      <c r="A31" s="104"/>
      <c r="B31" s="1"/>
      <c r="C31" s="1"/>
      <c r="D31" s="1"/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165">
      <c r="A32" s="104"/>
      <c r="B32" s="1"/>
      <c r="C32" s="1"/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13">
      <c r="A33" s="105"/>
      <c r="B33" s="19" t="s">
        <v>253</v>
      </c>
      <c r="C33" s="19" t="s">
        <v>19</v>
      </c>
      <c r="D33" s="20" t="s">
        <v>34</v>
      </c>
      <c r="E33" s="20" t="s">
        <v>46</v>
      </c>
      <c r="F33" s="20">
        <f t="shared" ref="F33:AE33" si="5">SUM(F30:F32)</f>
        <v>0</v>
      </c>
      <c r="G33" s="20">
        <f t="shared" si="5"/>
        <v>0</v>
      </c>
      <c r="H33" s="20">
        <f t="shared" si="5"/>
        <v>47520</v>
      </c>
      <c r="I33" s="20">
        <f t="shared" si="5"/>
        <v>47520</v>
      </c>
      <c r="J33" s="20">
        <f t="shared" si="5"/>
        <v>47520</v>
      </c>
      <c r="K33" s="20">
        <f t="shared" si="5"/>
        <v>47520</v>
      </c>
      <c r="L33" s="20">
        <f t="shared" si="5"/>
        <v>47520</v>
      </c>
      <c r="M33" s="20">
        <f t="shared" si="5"/>
        <v>47520</v>
      </c>
      <c r="N33" s="20">
        <f t="shared" si="5"/>
        <v>47520</v>
      </c>
      <c r="O33" s="20">
        <f t="shared" si="5"/>
        <v>47520</v>
      </c>
      <c r="P33" s="20">
        <f t="shared" si="5"/>
        <v>47520</v>
      </c>
      <c r="Q33" s="20">
        <f t="shared" si="5"/>
        <v>47520</v>
      </c>
      <c r="R33" s="20">
        <f t="shared" si="5"/>
        <v>47520</v>
      </c>
      <c r="S33" s="20">
        <f t="shared" si="5"/>
        <v>47520</v>
      </c>
      <c r="T33" s="20">
        <f t="shared" si="5"/>
        <v>47520</v>
      </c>
      <c r="U33" s="20">
        <f t="shared" si="5"/>
        <v>47520</v>
      </c>
      <c r="V33" s="20">
        <f t="shared" si="5"/>
        <v>47520</v>
      </c>
      <c r="W33" s="20">
        <f t="shared" si="5"/>
        <v>47520</v>
      </c>
      <c r="X33" s="20">
        <f t="shared" si="5"/>
        <v>47520</v>
      </c>
      <c r="Y33" s="20">
        <f t="shared" si="5"/>
        <v>47520</v>
      </c>
      <c r="Z33" s="20">
        <f t="shared" si="5"/>
        <v>47520</v>
      </c>
      <c r="AA33" s="20">
        <f t="shared" si="5"/>
        <v>47520</v>
      </c>
      <c r="AB33" s="20">
        <f t="shared" si="5"/>
        <v>47520</v>
      </c>
      <c r="AC33" s="20">
        <f t="shared" si="5"/>
        <v>47520</v>
      </c>
      <c r="AD33" s="20">
        <f t="shared" si="5"/>
        <v>47520</v>
      </c>
      <c r="AE33" s="20">
        <f t="shared" si="5"/>
        <v>47520</v>
      </c>
    </row>
    <row r="36" spans="1:31" ht="13.5" customHeight="1">
      <c r="A36" s="103" t="s">
        <v>54</v>
      </c>
      <c r="B36" s="9" t="s">
        <v>9</v>
      </c>
      <c r="C36" s="9" t="s">
        <v>8</v>
      </c>
      <c r="D36" s="9" t="s">
        <v>10</v>
      </c>
      <c r="E36" s="9" t="s">
        <v>7</v>
      </c>
      <c r="F36" s="9">
        <v>2025</v>
      </c>
      <c r="G36" s="9">
        <v>2026</v>
      </c>
      <c r="H36" s="9">
        <v>2027</v>
      </c>
      <c r="I36" s="9">
        <v>2028</v>
      </c>
      <c r="J36" s="9">
        <v>2029</v>
      </c>
      <c r="K36" s="9">
        <v>2030</v>
      </c>
      <c r="L36" s="9">
        <v>2031</v>
      </c>
      <c r="M36" s="9">
        <v>2032</v>
      </c>
      <c r="N36" s="9">
        <v>2033</v>
      </c>
      <c r="O36" s="9">
        <v>2034</v>
      </c>
      <c r="P36" s="9">
        <v>2035</v>
      </c>
      <c r="Q36" s="9">
        <v>2036</v>
      </c>
      <c r="R36" s="9">
        <v>2037</v>
      </c>
      <c r="S36" s="9">
        <v>2038</v>
      </c>
      <c r="T36" s="9">
        <v>2039</v>
      </c>
      <c r="U36" s="9">
        <v>2040</v>
      </c>
      <c r="V36" s="9">
        <v>2041</v>
      </c>
      <c r="W36" s="9">
        <v>2042</v>
      </c>
      <c r="X36" s="9">
        <v>2043</v>
      </c>
      <c r="Y36" s="9">
        <v>2044</v>
      </c>
      <c r="Z36" s="9">
        <v>2045</v>
      </c>
      <c r="AA36" s="9">
        <v>2046</v>
      </c>
      <c r="AB36" s="9">
        <v>2047</v>
      </c>
      <c r="AC36" s="9">
        <v>2048</v>
      </c>
      <c r="AD36" s="9">
        <v>2049</v>
      </c>
      <c r="AE36" s="32">
        <v>2050</v>
      </c>
    </row>
    <row r="37" spans="1:31">
      <c r="A37" s="104"/>
      <c r="B37" s="5" t="s">
        <v>262</v>
      </c>
      <c r="C37" s="5" t="s">
        <v>255</v>
      </c>
      <c r="D37" s="5" t="s">
        <v>55</v>
      </c>
      <c r="E37" s="5" t="s">
        <v>46</v>
      </c>
      <c r="F37" s="7">
        <f>F30+(F30*'P0.1 Background Data'!J$8)</f>
        <v>0</v>
      </c>
      <c r="G37" s="7">
        <f>G30+(G30*'P0.1 Background Data'!K$8)</f>
        <v>0</v>
      </c>
      <c r="H37" s="7">
        <f>H30+(H30*'P0.1 Background Data'!L$8)</f>
        <v>38109.10416361408</v>
      </c>
      <c r="I37" s="7">
        <f>I30+(I30*'P0.1 Background Data'!M$8)</f>
        <v>33079.778996209643</v>
      </c>
      <c r="J37" s="7">
        <f>J30+(J30*'P0.1 Background Data'!N$8)</f>
        <v>28541.951479931689</v>
      </c>
      <c r="K37" s="7">
        <f>K30+(K30*'P0.1 Background Data'!O$8)</f>
        <v>24901.434131251845</v>
      </c>
      <c r="L37" s="7">
        <f>L30+(L30*'P0.1 Background Data'!P$8)</f>
        <v>23975.982292337525</v>
      </c>
      <c r="M37" s="7">
        <f>M30+(M30*'P0.1 Background Data'!Q$8)</f>
        <v>23551.128365636949</v>
      </c>
      <c r="N37" s="7">
        <f>N30+(N30*'P0.1 Background Data'!R$8)</f>
        <v>24081.467040362666</v>
      </c>
      <c r="O37" s="7">
        <f>O30+(O30*'P0.1 Background Data'!S$8)</f>
        <v>23274.62350754207</v>
      </c>
      <c r="P37" s="7">
        <f>P30+(P30*'P0.1 Background Data'!T$8)</f>
        <v>23464.7958012975</v>
      </c>
      <c r="Q37" s="7">
        <f>Q30+(Q30*'P0.1 Background Data'!U$8)</f>
        <v>24109.990631440756</v>
      </c>
      <c r="R37" s="7">
        <f>R30+(R30*'P0.1 Background Data'!V$8)</f>
        <v>24229.099771557823</v>
      </c>
      <c r="S37" s="7">
        <f>S30+(S30*'P0.1 Background Data'!W$8)</f>
        <v>24755.767955583175</v>
      </c>
      <c r="T37" s="7">
        <f>T30+(T30*'P0.1 Background Data'!X$8)</f>
        <v>23563.276919336102</v>
      </c>
      <c r="U37" s="7">
        <f>U30+(U30*'P0.1 Background Data'!Y$8)</f>
        <v>24276.321707700594</v>
      </c>
      <c r="V37" s="7">
        <f>V30+(V30*'P0.1 Background Data'!Z$8)</f>
        <v>24843.334043298673</v>
      </c>
      <c r="W37" s="7">
        <f>W30+(W30*'P0.1 Background Data'!AA$8)</f>
        <v>25185.098075765505</v>
      </c>
      <c r="X37" s="7">
        <f>X30+(X30*'P0.1 Background Data'!AB$8)</f>
        <v>24762.4654338502</v>
      </c>
      <c r="Y37" s="7">
        <f>Y30+(Y30*'P0.1 Background Data'!AC$8)</f>
        <v>24665.932676726152</v>
      </c>
      <c r="Z37" s="7">
        <f>Z30+(Z30*'P0.1 Background Data'!AD$8)</f>
        <v>23641.416143504783</v>
      </c>
      <c r="AA37" s="7">
        <f>AA30+(AA30*'P0.1 Background Data'!AE$8)</f>
        <v>22865.627328210579</v>
      </c>
      <c r="AB37" s="7">
        <f>AB30+(AB30*'P0.1 Background Data'!AF$8)</f>
        <v>23227.113460486358</v>
      </c>
      <c r="AC37" s="7">
        <f>AC30+(AC30*'P0.1 Background Data'!AG$8)</f>
        <v>22890.140072908853</v>
      </c>
      <c r="AD37" s="7">
        <f>AD30+(AD30*'P0.1 Background Data'!AH$8)</f>
        <v>22479.868647312072</v>
      </c>
      <c r="AE37" s="34">
        <f>AE30+(AE30*'P0.1 Background Data'!AI$8)</f>
        <v>21803.174021323521</v>
      </c>
    </row>
    <row r="38" spans="1:31">
      <c r="A38" s="104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35"/>
    </row>
    <row r="39" spans="1:31">
      <c r="A39" s="104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35"/>
    </row>
    <row r="40" spans="1:31" ht="13">
      <c r="A40" s="104"/>
      <c r="B40" s="17" t="s">
        <v>253</v>
      </c>
      <c r="C40" s="17" t="s">
        <v>19</v>
      </c>
      <c r="D40" s="17" t="s">
        <v>34</v>
      </c>
      <c r="E40" s="17" t="s">
        <v>46</v>
      </c>
      <c r="F40" s="18">
        <f t="shared" ref="F40:AE40" si="6">SUM(F37:F39)</f>
        <v>0</v>
      </c>
      <c r="G40" s="18">
        <f t="shared" si="6"/>
        <v>0</v>
      </c>
      <c r="H40" s="18">
        <f t="shared" si="6"/>
        <v>38109.10416361408</v>
      </c>
      <c r="I40" s="18">
        <f t="shared" si="6"/>
        <v>33079.778996209643</v>
      </c>
      <c r="J40" s="18">
        <f t="shared" si="6"/>
        <v>28541.951479931689</v>
      </c>
      <c r="K40" s="18">
        <f t="shared" si="6"/>
        <v>24901.434131251845</v>
      </c>
      <c r="L40" s="18">
        <f t="shared" si="6"/>
        <v>23975.982292337525</v>
      </c>
      <c r="M40" s="18">
        <f t="shared" si="6"/>
        <v>23551.128365636949</v>
      </c>
      <c r="N40" s="18">
        <f t="shared" si="6"/>
        <v>24081.467040362666</v>
      </c>
      <c r="O40" s="18">
        <f t="shared" si="6"/>
        <v>23274.62350754207</v>
      </c>
      <c r="P40" s="18">
        <f t="shared" si="6"/>
        <v>23464.7958012975</v>
      </c>
      <c r="Q40" s="18">
        <f t="shared" si="6"/>
        <v>24109.990631440756</v>
      </c>
      <c r="R40" s="18">
        <f t="shared" si="6"/>
        <v>24229.099771557823</v>
      </c>
      <c r="S40" s="18">
        <f t="shared" si="6"/>
        <v>24755.767955583175</v>
      </c>
      <c r="T40" s="18">
        <f t="shared" si="6"/>
        <v>23563.276919336102</v>
      </c>
      <c r="U40" s="18">
        <f t="shared" si="6"/>
        <v>24276.321707700594</v>
      </c>
      <c r="V40" s="18">
        <f t="shared" si="6"/>
        <v>24843.334043298673</v>
      </c>
      <c r="W40" s="18">
        <f t="shared" si="6"/>
        <v>25185.098075765505</v>
      </c>
      <c r="X40" s="18">
        <f t="shared" si="6"/>
        <v>24762.4654338502</v>
      </c>
      <c r="Y40" s="18">
        <f t="shared" si="6"/>
        <v>24665.932676726152</v>
      </c>
      <c r="Z40" s="18">
        <f t="shared" si="6"/>
        <v>23641.416143504783</v>
      </c>
      <c r="AA40" s="18">
        <f t="shared" si="6"/>
        <v>22865.627328210579</v>
      </c>
      <c r="AB40" s="18">
        <f t="shared" si="6"/>
        <v>23227.113460486358</v>
      </c>
      <c r="AC40" s="18">
        <f t="shared" si="6"/>
        <v>22890.140072908853</v>
      </c>
      <c r="AD40" s="18">
        <f t="shared" si="6"/>
        <v>22479.868647312072</v>
      </c>
      <c r="AE40" s="38">
        <f t="shared" si="6"/>
        <v>21803.174021323521</v>
      </c>
    </row>
    <row r="41" spans="1:31">
      <c r="A41" s="104"/>
      <c r="B41" s="1" t="s">
        <v>262</v>
      </c>
      <c r="C41" s="1" t="s">
        <v>255</v>
      </c>
      <c r="D41" s="1" t="s">
        <v>55</v>
      </c>
      <c r="E41" s="1" t="s">
        <v>36</v>
      </c>
      <c r="F41" s="2">
        <f t="shared" ref="F41:AE41" si="7">F37/$N$8*$N$7</f>
        <v>0</v>
      </c>
      <c r="G41" s="2">
        <f t="shared" si="7"/>
        <v>0</v>
      </c>
      <c r="H41" s="2">
        <f t="shared" si="7"/>
        <v>34780.691811537465</v>
      </c>
      <c r="I41" s="2">
        <f t="shared" si="7"/>
        <v>30190.623046958197</v>
      </c>
      <c r="J41" s="2">
        <f t="shared" si="7"/>
        <v>26049.125003341884</v>
      </c>
      <c r="K41" s="2">
        <f t="shared" si="7"/>
        <v>22726.566923903123</v>
      </c>
      <c r="L41" s="2">
        <f t="shared" si="7"/>
        <v>21881.943154803037</v>
      </c>
      <c r="M41" s="2">
        <f t="shared" si="7"/>
        <v>21494.19555973879</v>
      </c>
      <c r="N41" s="2">
        <f t="shared" si="7"/>
        <v>21978.214966812277</v>
      </c>
      <c r="O41" s="2">
        <f t="shared" si="7"/>
        <v>21241.840368902973</v>
      </c>
      <c r="P41" s="2">
        <f t="shared" si="7"/>
        <v>21415.403198189208</v>
      </c>
      <c r="Q41" s="2">
        <f t="shared" si="7"/>
        <v>22004.247334993543</v>
      </c>
      <c r="R41" s="2">
        <f t="shared" si="7"/>
        <v>22112.953597847772</v>
      </c>
      <c r="S41" s="2">
        <f t="shared" si="7"/>
        <v>22593.623091333728</v>
      </c>
      <c r="T41" s="2">
        <f t="shared" si="7"/>
        <v>21505.283070490867</v>
      </c>
      <c r="U41" s="2">
        <f t="shared" si="7"/>
        <v>22156.05121569453</v>
      </c>
      <c r="V41" s="2">
        <f t="shared" si="7"/>
        <v>22673.541241519022</v>
      </c>
      <c r="W41" s="2">
        <f t="shared" si="7"/>
        <v>22985.455933464116</v>
      </c>
      <c r="X41" s="2">
        <f t="shared" si="7"/>
        <v>22599.7356183173</v>
      </c>
      <c r="Y41" s="2">
        <f t="shared" si="7"/>
        <v>22511.633938969633</v>
      </c>
      <c r="Z41" s="2">
        <f t="shared" si="7"/>
        <v>21576.597690287108</v>
      </c>
      <c r="AA41" s="2">
        <f t="shared" si="7"/>
        <v>20868.565520867924</v>
      </c>
      <c r="AB41" s="2">
        <f t="shared" si="7"/>
        <v>21198.47980347215</v>
      </c>
      <c r="AC41" s="2">
        <f t="shared" si="7"/>
        <v>20890.937346118528</v>
      </c>
      <c r="AD41" s="2">
        <f t="shared" si="7"/>
        <v>20516.498630595375</v>
      </c>
      <c r="AE41" s="35">
        <f t="shared" si="7"/>
        <v>19898.905859692532</v>
      </c>
    </row>
    <row r="42" spans="1:31">
      <c r="A42" s="104"/>
      <c r="B42" s="1"/>
      <c r="C42" s="1"/>
      <c r="D42" s="1"/>
      <c r="E42" s="1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35"/>
    </row>
    <row r="43" spans="1:31">
      <c r="A43" s="104"/>
      <c r="B43" s="1"/>
      <c r="C43" s="1"/>
      <c r="D43" s="1"/>
      <c r="E43" s="1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35"/>
    </row>
    <row r="44" spans="1:31" ht="13">
      <c r="A44" s="105"/>
      <c r="B44" s="19" t="s">
        <v>253</v>
      </c>
      <c r="C44" s="19" t="s">
        <v>19</v>
      </c>
      <c r="D44" s="19" t="s">
        <v>34</v>
      </c>
      <c r="E44" s="19" t="s">
        <v>36</v>
      </c>
      <c r="F44" s="20">
        <f t="shared" ref="F44:AE44" si="8">SUM(F41:F43)</f>
        <v>0</v>
      </c>
      <c r="G44" s="20">
        <f t="shared" si="8"/>
        <v>0</v>
      </c>
      <c r="H44" s="20">
        <f t="shared" si="8"/>
        <v>34780.691811537465</v>
      </c>
      <c r="I44" s="20">
        <f t="shared" si="8"/>
        <v>30190.623046958197</v>
      </c>
      <c r="J44" s="20">
        <f t="shared" si="8"/>
        <v>26049.125003341884</v>
      </c>
      <c r="K44" s="20">
        <f t="shared" si="8"/>
        <v>22726.566923903123</v>
      </c>
      <c r="L44" s="20">
        <f t="shared" si="8"/>
        <v>21881.943154803037</v>
      </c>
      <c r="M44" s="20">
        <f t="shared" si="8"/>
        <v>21494.19555973879</v>
      </c>
      <c r="N44" s="20">
        <f t="shared" si="8"/>
        <v>21978.214966812277</v>
      </c>
      <c r="O44" s="20">
        <f t="shared" si="8"/>
        <v>21241.840368902973</v>
      </c>
      <c r="P44" s="20">
        <f t="shared" si="8"/>
        <v>21415.403198189208</v>
      </c>
      <c r="Q44" s="20">
        <f t="shared" si="8"/>
        <v>22004.247334993543</v>
      </c>
      <c r="R44" s="20">
        <f t="shared" si="8"/>
        <v>22112.953597847772</v>
      </c>
      <c r="S44" s="20">
        <f t="shared" si="8"/>
        <v>22593.623091333728</v>
      </c>
      <c r="T44" s="20">
        <f t="shared" si="8"/>
        <v>21505.283070490867</v>
      </c>
      <c r="U44" s="20">
        <f t="shared" si="8"/>
        <v>22156.05121569453</v>
      </c>
      <c r="V44" s="20">
        <f t="shared" si="8"/>
        <v>22673.541241519022</v>
      </c>
      <c r="W44" s="20">
        <f t="shared" si="8"/>
        <v>22985.455933464116</v>
      </c>
      <c r="X44" s="20">
        <f t="shared" si="8"/>
        <v>22599.7356183173</v>
      </c>
      <c r="Y44" s="20">
        <f t="shared" si="8"/>
        <v>22511.633938969633</v>
      </c>
      <c r="Z44" s="20">
        <f t="shared" si="8"/>
        <v>21576.597690287108</v>
      </c>
      <c r="AA44" s="20">
        <f t="shared" si="8"/>
        <v>20868.565520867924</v>
      </c>
      <c r="AB44" s="20">
        <f t="shared" si="8"/>
        <v>21198.47980347215</v>
      </c>
      <c r="AC44" s="20">
        <f t="shared" si="8"/>
        <v>20890.937346118528</v>
      </c>
      <c r="AD44" s="20">
        <f t="shared" si="8"/>
        <v>20516.498630595375</v>
      </c>
      <c r="AE44" s="39">
        <f t="shared" si="8"/>
        <v>19898.905859692532</v>
      </c>
    </row>
    <row r="46" spans="1:31" ht="13">
      <c r="A46" s="22"/>
    </row>
    <row r="47" spans="1:31" ht="13.5" customHeight="1">
      <c r="A47" s="100" t="s">
        <v>261</v>
      </c>
      <c r="B47" s="5" t="s">
        <v>41</v>
      </c>
      <c r="C47" s="5" t="s">
        <v>38</v>
      </c>
      <c r="D47" s="5" t="s">
        <v>34</v>
      </c>
      <c r="E47" s="5" t="s">
        <v>36</v>
      </c>
      <c r="F47" s="34">
        <f>SUM(F41:K41)</f>
        <v>113747.00678574067</v>
      </c>
    </row>
    <row r="48" spans="1:31" ht="13.5" customHeight="1">
      <c r="A48" s="101"/>
      <c r="B48" s="1" t="s">
        <v>39</v>
      </c>
      <c r="C48" s="1" t="s">
        <v>38</v>
      </c>
      <c r="D48" s="1" t="s">
        <v>34</v>
      </c>
      <c r="E48" s="1" t="s">
        <v>89</v>
      </c>
      <c r="F48" s="35">
        <f>F47/COUNT(F41:K41)</f>
        <v>18957.83446429011</v>
      </c>
    </row>
    <row r="49" spans="1:6">
      <c r="A49" s="101"/>
      <c r="B49" s="1" t="s">
        <v>41</v>
      </c>
      <c r="C49" s="1" t="s">
        <v>258</v>
      </c>
      <c r="D49" s="1" t="s">
        <v>34</v>
      </c>
      <c r="E49" s="1" t="s">
        <v>36</v>
      </c>
      <c r="F49" s="35">
        <f>SUM(L41:AE41)</f>
        <v>434104.10714211047</v>
      </c>
    </row>
    <row r="50" spans="1:6">
      <c r="A50" s="101"/>
      <c r="B50" s="1" t="s">
        <v>39</v>
      </c>
      <c r="C50" s="1" t="s">
        <v>258</v>
      </c>
      <c r="D50" s="1" t="s">
        <v>34</v>
      </c>
      <c r="E50" s="1" t="s">
        <v>257</v>
      </c>
      <c r="F50" s="35">
        <f>F49/COUNT(L41:AE41)</f>
        <v>21705.205357105522</v>
      </c>
    </row>
    <row r="51" spans="1:6">
      <c r="A51" s="101"/>
      <c r="B51" s="1" t="s">
        <v>41</v>
      </c>
      <c r="C51" s="1" t="s">
        <v>40</v>
      </c>
      <c r="D51" s="1" t="s">
        <v>34</v>
      </c>
      <c r="E51" s="1" t="s">
        <v>36</v>
      </c>
      <c r="F51" s="35">
        <f>SUM(F41:AE41)</f>
        <v>547851.11392785108</v>
      </c>
    </row>
    <row r="52" spans="1:6">
      <c r="A52" s="102"/>
      <c r="B52" s="3" t="s">
        <v>39</v>
      </c>
      <c r="C52" s="3" t="s">
        <v>40</v>
      </c>
      <c r="D52" s="3" t="s">
        <v>34</v>
      </c>
      <c r="E52" s="3" t="s">
        <v>65</v>
      </c>
      <c r="F52" s="36">
        <f>F51/COUNT(F41:AE41)</f>
        <v>21071.196689532735</v>
      </c>
    </row>
    <row r="53" spans="1:6" ht="13">
      <c r="A53" s="22"/>
    </row>
    <row r="55" spans="1:6" ht="13.5" customHeight="1">
      <c r="A55" s="100" t="s">
        <v>260</v>
      </c>
      <c r="B55" s="5" t="s">
        <v>41</v>
      </c>
      <c r="C55" s="5" t="s">
        <v>38</v>
      </c>
      <c r="D55" s="5" t="s">
        <v>34</v>
      </c>
      <c r="E55" s="5" t="s">
        <v>36</v>
      </c>
      <c r="F55" s="34">
        <f>SUM(F42:K42)</f>
        <v>0</v>
      </c>
    </row>
    <row r="56" spans="1:6">
      <c r="A56" s="101"/>
      <c r="B56" s="1" t="s">
        <v>39</v>
      </c>
      <c r="C56" s="1" t="s">
        <v>38</v>
      </c>
      <c r="D56" s="1" t="s">
        <v>34</v>
      </c>
      <c r="E56" s="1" t="s">
        <v>89</v>
      </c>
      <c r="F56" s="35" t="e">
        <f>F55/COUNT(F42:K42)</f>
        <v>#DIV/0!</v>
      </c>
    </row>
    <row r="57" spans="1:6">
      <c r="A57" s="101"/>
      <c r="B57" s="1" t="s">
        <v>41</v>
      </c>
      <c r="C57" s="1" t="s">
        <v>258</v>
      </c>
      <c r="D57" s="1" t="s">
        <v>34</v>
      </c>
      <c r="E57" s="1" t="s">
        <v>36</v>
      </c>
      <c r="F57" s="35">
        <f>SUM(L42:AE42)</f>
        <v>0</v>
      </c>
    </row>
    <row r="58" spans="1:6">
      <c r="A58" s="101"/>
      <c r="B58" s="1" t="s">
        <v>39</v>
      </c>
      <c r="C58" s="1" t="s">
        <v>258</v>
      </c>
      <c r="D58" s="1" t="s">
        <v>34</v>
      </c>
      <c r="E58" s="1" t="s">
        <v>257</v>
      </c>
      <c r="F58" s="35" t="e">
        <f>F57/COUNT(L42:AE42)</f>
        <v>#DIV/0!</v>
      </c>
    </row>
    <row r="59" spans="1:6">
      <c r="A59" s="101"/>
      <c r="B59" s="1" t="s">
        <v>41</v>
      </c>
      <c r="C59" s="1" t="s">
        <v>40</v>
      </c>
      <c r="D59" s="1" t="s">
        <v>34</v>
      </c>
      <c r="E59" s="1" t="s">
        <v>36</v>
      </c>
      <c r="F59" s="35">
        <f>SUM(F42:AE42)</f>
        <v>0</v>
      </c>
    </row>
    <row r="60" spans="1:6">
      <c r="A60" s="102"/>
      <c r="B60" s="3" t="s">
        <v>39</v>
      </c>
      <c r="C60" s="3" t="s">
        <v>40</v>
      </c>
      <c r="D60" s="3" t="s">
        <v>34</v>
      </c>
      <c r="E60" s="3" t="s">
        <v>65</v>
      </c>
      <c r="F60" s="36" t="e">
        <f>F59/COUNT(F42:AE42)</f>
        <v>#DIV/0!</v>
      </c>
    </row>
    <row r="63" spans="1:6">
      <c r="A63" s="100" t="s">
        <v>259</v>
      </c>
      <c r="B63" s="5" t="s">
        <v>41</v>
      </c>
      <c r="C63" s="5" t="s">
        <v>38</v>
      </c>
      <c r="D63" s="5" t="s">
        <v>34</v>
      </c>
      <c r="E63" s="5" t="s">
        <v>36</v>
      </c>
      <c r="F63" s="34">
        <f>SUM(F43:K43)</f>
        <v>0</v>
      </c>
    </row>
    <row r="64" spans="1:6">
      <c r="A64" s="101"/>
      <c r="B64" s="1" t="s">
        <v>39</v>
      </c>
      <c r="C64" s="1" t="s">
        <v>38</v>
      </c>
      <c r="D64" s="1" t="s">
        <v>34</v>
      </c>
      <c r="E64" s="1" t="s">
        <v>89</v>
      </c>
      <c r="F64" s="35" t="e">
        <f>F63/COUNT(F43:K43)</f>
        <v>#DIV/0!</v>
      </c>
    </row>
    <row r="65" spans="1:6">
      <c r="A65" s="101"/>
      <c r="B65" s="1" t="s">
        <v>41</v>
      </c>
      <c r="C65" s="1" t="s">
        <v>258</v>
      </c>
      <c r="D65" s="1" t="s">
        <v>34</v>
      </c>
      <c r="E65" s="1" t="s">
        <v>36</v>
      </c>
      <c r="F65" s="35">
        <f>SUM(L43:AE43)</f>
        <v>0</v>
      </c>
    </row>
    <row r="66" spans="1:6">
      <c r="A66" s="101"/>
      <c r="B66" s="1" t="s">
        <v>39</v>
      </c>
      <c r="C66" s="1" t="s">
        <v>258</v>
      </c>
      <c r="D66" s="1" t="s">
        <v>34</v>
      </c>
      <c r="E66" s="1" t="s">
        <v>257</v>
      </c>
      <c r="F66" s="35" t="e">
        <f>F65/COUNT(L43:AE43)</f>
        <v>#DIV/0!</v>
      </c>
    </row>
    <row r="67" spans="1:6">
      <c r="A67" s="101"/>
      <c r="B67" s="1" t="s">
        <v>41</v>
      </c>
      <c r="C67" s="1" t="s">
        <v>40</v>
      </c>
      <c r="D67" s="1" t="s">
        <v>34</v>
      </c>
      <c r="E67" s="1" t="s">
        <v>36</v>
      </c>
      <c r="F67" s="35">
        <f>SUM(F43:AE43)</f>
        <v>0</v>
      </c>
    </row>
    <row r="68" spans="1:6">
      <c r="A68" s="102"/>
      <c r="B68" s="3" t="s">
        <v>39</v>
      </c>
      <c r="C68" s="3" t="s">
        <v>40</v>
      </c>
      <c r="D68" s="3" t="s">
        <v>34</v>
      </c>
      <c r="E68" s="3" t="s">
        <v>65</v>
      </c>
      <c r="F68" s="36" t="e">
        <f>F67/COUNT(F43:AE43)</f>
        <v>#DIV/0!</v>
      </c>
    </row>
    <row r="71" spans="1:6">
      <c r="A71" s="100" t="s">
        <v>64</v>
      </c>
      <c r="B71" s="5" t="s">
        <v>41</v>
      </c>
      <c r="C71" s="5" t="s">
        <v>38</v>
      </c>
      <c r="D71" s="5" t="s">
        <v>34</v>
      </c>
      <c r="E71" s="5" t="s">
        <v>36</v>
      </c>
      <c r="F71" s="34">
        <f>SUM(F44:K44)</f>
        <v>113747.00678574067</v>
      </c>
    </row>
    <row r="72" spans="1:6">
      <c r="A72" s="101"/>
      <c r="B72" s="1" t="s">
        <v>39</v>
      </c>
      <c r="C72" s="1" t="s">
        <v>38</v>
      </c>
      <c r="D72" s="1" t="s">
        <v>34</v>
      </c>
      <c r="E72" s="1" t="s">
        <v>89</v>
      </c>
      <c r="F72" s="35">
        <f>F71/COUNT(F44:K44)</f>
        <v>18957.83446429011</v>
      </c>
    </row>
    <row r="73" spans="1:6">
      <c r="A73" s="101"/>
      <c r="B73" s="1" t="s">
        <v>41</v>
      </c>
      <c r="C73" s="1" t="s">
        <v>258</v>
      </c>
      <c r="D73" s="1" t="s">
        <v>34</v>
      </c>
      <c r="E73" s="1" t="s">
        <v>36</v>
      </c>
      <c r="F73" s="35">
        <f>SUM(L44:AE44)</f>
        <v>434104.10714211047</v>
      </c>
    </row>
    <row r="74" spans="1:6">
      <c r="A74" s="101"/>
      <c r="B74" s="1" t="s">
        <v>39</v>
      </c>
      <c r="C74" s="1" t="s">
        <v>258</v>
      </c>
      <c r="D74" s="1" t="s">
        <v>34</v>
      </c>
      <c r="E74" s="1" t="s">
        <v>257</v>
      </c>
      <c r="F74" s="35">
        <f>F73/COUNT(L44:AE44)</f>
        <v>21705.205357105522</v>
      </c>
    </row>
    <row r="75" spans="1:6">
      <c r="A75" s="101"/>
      <c r="B75" s="1" t="s">
        <v>41</v>
      </c>
      <c r="C75" s="1" t="s">
        <v>40</v>
      </c>
      <c r="D75" s="1" t="s">
        <v>34</v>
      </c>
      <c r="E75" s="1" t="s">
        <v>36</v>
      </c>
      <c r="F75" s="35">
        <f>SUM(F44:AE44)</f>
        <v>547851.11392785108</v>
      </c>
    </row>
    <row r="76" spans="1:6">
      <c r="A76" s="102"/>
      <c r="B76" s="3" t="s">
        <v>39</v>
      </c>
      <c r="C76" s="3" t="s">
        <v>40</v>
      </c>
      <c r="D76" s="3" t="s">
        <v>34</v>
      </c>
      <c r="E76" s="3" t="s">
        <v>65</v>
      </c>
      <c r="F76" s="36">
        <f>F75/COUNT(F44:AE44)</f>
        <v>21071.196689532735</v>
      </c>
    </row>
  </sheetData>
  <mergeCells count="7">
    <mergeCell ref="A21:A33"/>
    <mergeCell ref="A7:A18"/>
    <mergeCell ref="A71:A76"/>
    <mergeCell ref="A36:A44"/>
    <mergeCell ref="A47:A52"/>
    <mergeCell ref="A55:A60"/>
    <mergeCell ref="A63:A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P0.1 Background Data</vt:lpstr>
      <vt:lpstr>P0.1a Coal-NG Retirement</vt:lpstr>
      <vt:lpstr>P0.2 Solar AVERT Results</vt:lpstr>
      <vt:lpstr>P0.3 COBRA Results</vt:lpstr>
      <vt:lpstr>P0.3a Coal-NG Ret COBRA Results</vt:lpstr>
      <vt:lpstr>P0.3b Solar COBRA Results</vt:lpstr>
      <vt:lpstr>P0.4 Avoided NG Leakage</vt:lpstr>
      <vt:lpstr>P1.0 Total Avd Emissions</vt:lpstr>
      <vt:lpstr>P1.1 Solar Avd Emissions</vt:lpstr>
      <vt:lpstr>P1.2 Coal-NG Avd Emissions</vt:lpstr>
      <vt:lpstr>P2.0 Total Avd Pollution</vt:lpstr>
      <vt:lpstr>P2.1 Solar Avd Pollution</vt:lpstr>
      <vt:lpstr>P2.2 Coal-NG Avd Pollution</vt:lpstr>
      <vt:lpstr>P3.0 Total Avd Health</vt:lpstr>
      <vt:lpstr>P3.1 Solar Avd Health</vt:lpstr>
      <vt:lpstr>P3.2 Coal-NG Avd Health</vt:lpstr>
      <vt:lpstr>CC0.1 Background Data</vt:lpstr>
      <vt:lpstr>CC0.2 Project Classification</vt:lpstr>
      <vt:lpstr>CC0.3 AVERT Results</vt:lpstr>
      <vt:lpstr>CC0.4 COBRA Results</vt:lpstr>
      <vt:lpstr>CC1.0 Emissions</vt:lpstr>
      <vt:lpstr>CC2.0 Pollution</vt:lpstr>
      <vt:lpstr>CC3.0 Health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Jon-Paul d'Aversa</dc:creator>
  <cp:lastModifiedBy>Elena Stachew</cp:lastModifiedBy>
  <dcterms:created xsi:type="dcterms:W3CDTF">2024-01-31T14:25:42Z</dcterms:created>
  <dcterms:modified xsi:type="dcterms:W3CDTF">2024-03-27T22:39:42Z</dcterms:modified>
</cp:coreProperties>
</file>