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akml-my.sharepoint.com/personal/onedrive_akml_org/Documents/Shared/Grants Development/Resilience and Environment/EPA CPRG/Denali Borough/Quantification/"/>
    </mc:Choice>
  </mc:AlternateContent>
  <xr:revisionPtr revIDLastSave="258" documentId="8_{E698F482-19A3-4EEB-9276-631C2185B187}" xr6:coauthVersionLast="47" xr6:coauthVersionMax="47" xr10:uidLastSave="{8C0DDD94-CC83-478F-9072-BD50931D4A53}"/>
  <bookViews>
    <workbookView xWindow="-28920" yWindow="-120" windowWidth="29040" windowHeight="15720" xr2:uid="{FA1F024B-0460-4D52-97B9-90A897624B92}"/>
  </bookViews>
  <sheets>
    <sheet name="DBSD Calculations" sheetId="6" r:id="rId1"/>
    <sheet name="Modelling Report" sheetId="7" r:id="rId2"/>
  </sheets>
  <definedNames>
    <definedName name="_xlnm._FilterDatabase" localSheetId="1" hidden="1">'Modelling Report'!$A$1:$CY$4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6" l="1"/>
  <c r="E6" i="6" s="1"/>
  <c r="C4" i="6"/>
  <c r="E4" i="6" s="1"/>
  <c r="C3" i="6"/>
  <c r="E3" i="6" s="1"/>
  <c r="C7" i="6"/>
  <c r="C5" i="6"/>
  <c r="D5" i="6" s="1"/>
  <c r="C2" i="6"/>
  <c r="D2" i="6" s="1"/>
  <c r="CZ2" i="7"/>
  <c r="E5" i="6" l="1"/>
  <c r="E2" i="6"/>
  <c r="D6" i="6"/>
  <c r="D4" i="6"/>
  <c r="D3" i="6"/>
  <c r="C8" i="6"/>
  <c r="B12" i="6" s="1"/>
  <c r="CN2" i="7" l="1"/>
  <c r="CO2" i="7"/>
  <c r="CP2" i="7"/>
  <c r="CQ2" i="7"/>
  <c r="CR2" i="7"/>
  <c r="CS2" i="7"/>
  <c r="CT2" i="7"/>
  <c r="DB2" i="7" s="1"/>
  <c r="CU2" i="7"/>
  <c r="CV2" i="7"/>
  <c r="CW2" i="7"/>
  <c r="CX2" i="7"/>
  <c r="CY2" i="7"/>
  <c r="DA2" i="7"/>
  <c r="CN3" i="7"/>
  <c r="CO3" i="7"/>
  <c r="CP3" i="7"/>
  <c r="CQ3" i="7"/>
  <c r="CR3" i="7"/>
  <c r="CS3" i="7"/>
  <c r="CT3" i="7"/>
  <c r="CU3" i="7"/>
  <c r="CV3" i="7"/>
  <c r="CW3" i="7"/>
  <c r="CX3" i="7"/>
  <c r="CY3" i="7"/>
  <c r="CZ3" i="7"/>
  <c r="DA3" i="7"/>
  <c r="DB3" i="7"/>
  <c r="CN4" i="7"/>
  <c r="CO4" i="7"/>
  <c r="CP4" i="7"/>
  <c r="CQ4" i="7"/>
  <c r="CR4" i="7"/>
  <c r="CS4" i="7"/>
  <c r="CT4" i="7"/>
  <c r="DB4" i="7" s="1"/>
  <c r="CU4" i="7"/>
  <c r="CV4" i="7"/>
  <c r="CW4" i="7"/>
  <c r="CX4" i="7"/>
  <c r="CY4" i="7"/>
  <c r="CZ4" i="7" s="1"/>
  <c r="E7" i="6" l="1"/>
  <c r="E8" i="6" s="1"/>
  <c r="D7" i="6"/>
  <c r="D8" i="6" l="1"/>
  <c r="B13" i="6" s="1"/>
</calcChain>
</file>

<file path=xl/sharedStrings.xml><?xml version="1.0" encoding="utf-8"?>
<sst xmlns="http://schemas.openxmlformats.org/spreadsheetml/2006/main" count="131" uniqueCount="127">
  <si>
    <t>Measure</t>
  </si>
  <si>
    <t>Action</t>
  </si>
  <si>
    <t>CO2e Reduction (Annual Metric Ton)</t>
  </si>
  <si>
    <t>CO2e Reduction (Through 2030, cumulative metric tons)</t>
  </si>
  <si>
    <t>CO2e Reduction (Through 2050, cumulative metric tons)</t>
  </si>
  <si>
    <t>Year online</t>
  </si>
  <si>
    <t>DBSD</t>
  </si>
  <si>
    <t>All solar</t>
  </si>
  <si>
    <t>Total</t>
  </si>
  <si>
    <t>Total Budget</t>
  </si>
  <si>
    <t>Cantwell School</t>
  </si>
  <si>
    <t>Anderson School</t>
  </si>
  <si>
    <t>N50</t>
  </si>
  <si>
    <t>Tri-Valley School</t>
  </si>
  <si>
    <t>VSD_window</t>
  </si>
  <si>
    <t>AVERAGE-AUDIT</t>
  </si>
  <si>
    <t>Realistic_Reduction</t>
  </si>
  <si>
    <t>14-AK Rooftop PVs</t>
  </si>
  <si>
    <t>13-AK GSHP</t>
  </si>
  <si>
    <t>11-AK Condensing Boiler</t>
  </si>
  <si>
    <t>12-AK Install CHP</t>
  </si>
  <si>
    <t>10-HVAC Heat Recovery</t>
  </si>
  <si>
    <t>9-Variable speed drives on pumps and fans</t>
  </si>
  <si>
    <t>7-Install LED lighting</t>
  </si>
  <si>
    <t>4-AK Install heat pumps (com)</t>
  </si>
  <si>
    <t>3-Install VRF</t>
  </si>
  <si>
    <t>2-AK Window Upgrades</t>
  </si>
  <si>
    <t>1-AK Insulation and sealing</t>
  </si>
  <si>
    <t>MTCO2e</t>
  </si>
  <si>
    <t>14-AK Rooftop PVs_coal_lbCO2e</t>
  </si>
  <si>
    <t>14-AK Rooftop PVs_oil_lbCO2e</t>
  </si>
  <si>
    <t>14-AK Rooftop PVs_gas_lbCO2e</t>
  </si>
  <si>
    <t>14-AK Rooftop PVs_electricity_lbCO2e</t>
  </si>
  <si>
    <t>13-AK GSHP_coal_lbCO2e</t>
  </si>
  <si>
    <t>13-AK GSHP_oil_lbCO2e</t>
  </si>
  <si>
    <t>13-AK GSHP_gas_lbCO2e</t>
  </si>
  <si>
    <t>13-AK GSHP_electricity_lbCO2e</t>
  </si>
  <si>
    <t>11-AK Condensing Boiler_coal_lbCO2e</t>
  </si>
  <si>
    <t>11-AK Condensing Boiler_oil_lbCO2e</t>
  </si>
  <si>
    <t>11-AK Condensing Boiler_gas_lbCO2e</t>
  </si>
  <si>
    <t>11-AK Condensing Boiler_electricity_lbCO2e</t>
  </si>
  <si>
    <t>12-AK Install CHP_coal_lbCO2e</t>
  </si>
  <si>
    <t>12-AK Install CHP_oil_lbCO2e</t>
  </si>
  <si>
    <t>12-AK Install CHP_gas_lbCO2e</t>
  </si>
  <si>
    <t>12-AK Install CHP_electricity_lbCO2e</t>
  </si>
  <si>
    <t>10-HVAC Heat Recovery_coal_lbCO2e</t>
  </si>
  <si>
    <t>10-HVAC Heat Recovery_oil_lbCO2e</t>
  </si>
  <si>
    <t>10-HVAC Heat Recovery_gas_lbCO2e</t>
  </si>
  <si>
    <t>10-HVAC Heat Recovery_electricity_lbCO2e</t>
  </si>
  <si>
    <t>9-Variable speed drives on pumps and fans_coal_lbCO2e</t>
  </si>
  <si>
    <t>9-Variable speed drives on pumps and fans_oil_lbCO2e</t>
  </si>
  <si>
    <t>9-Variable speed drives on pumps and fans_gas_lbCO2e</t>
  </si>
  <si>
    <t>9-Variable speed drives on pumps and fans_electricity_lbCO2e</t>
  </si>
  <si>
    <t>7-Install LED lighting_coal_lbCO2e</t>
  </si>
  <si>
    <t>7-Install LED lighting_oil_lbCO2e</t>
  </si>
  <si>
    <t>7-Install LED lighting_gas_lbCO2e</t>
  </si>
  <si>
    <t>7-Install LED lighting_electricity_lbCO2e</t>
  </si>
  <si>
    <t>4-AK Install heat pumps (com)_coal_lbCO2e</t>
  </si>
  <si>
    <t>4-AK Install heat pumps (com)_oil_lbCO2e</t>
  </si>
  <si>
    <t>4-AK Install heat pumps (com)_gas_lbCO2e</t>
  </si>
  <si>
    <t>4-AK Install heat pumps (com)_electricity_lbCO2e</t>
  </si>
  <si>
    <t>3-Install VRF_coal_lbCO2e</t>
  </si>
  <si>
    <t>3-Install VRF_oil_lbCO2e</t>
  </si>
  <si>
    <t>3-Install VRF_gas_lbCO2e</t>
  </si>
  <si>
    <t>3-Install VRF_electricity_lbCO2e</t>
  </si>
  <si>
    <t>2-AK Window Upgrades_coal_lbCO2e</t>
  </si>
  <si>
    <t>2-AK Window Upgrades_oil_lbCO2e</t>
  </si>
  <si>
    <t>2-AK Window Upgrades_gas_lbCO2e</t>
  </si>
  <si>
    <t>2-AK Window Upgrades_electricity_lbCO2e</t>
  </si>
  <si>
    <t>1-AK Insulation and sealing_coal_lbCO2e</t>
  </si>
  <si>
    <t>1-AK Insulation and sealing_oil_lbCO2e</t>
  </si>
  <si>
    <t>1-AK Insulation and sealing_gas_lbCO2e</t>
  </si>
  <si>
    <t>1-AK Insulation and sealing_electricity_lbCO2e</t>
  </si>
  <si>
    <t>lb_kwh</t>
  </si>
  <si>
    <t>AML_ID</t>
  </si>
  <si>
    <t>14-AK Rooftop PVs_coal_kWh</t>
  </si>
  <si>
    <t>14-AK Rooftop PVs_oil_kWh</t>
  </si>
  <si>
    <t>14-AK Rooftop PVs_gas_kWh</t>
  </si>
  <si>
    <t>14-AK Rooftop PVs_electricity_kWh</t>
  </si>
  <si>
    <t>13-AK GSHP_coal_kWh</t>
  </si>
  <si>
    <t>13-AK GSHP_oil_kWh</t>
  </si>
  <si>
    <t>13-AK GSHP_gas_kWh</t>
  </si>
  <si>
    <t>13-AK GSHP_electricity_kWh</t>
  </si>
  <si>
    <t>11-AK Condensing Boiler_coal_kWh</t>
  </si>
  <si>
    <t>11-AK Condensing Boiler_oil_kWh</t>
  </si>
  <si>
    <t>11-AK Condensing Boiler_gas_kWh</t>
  </si>
  <si>
    <t>11-AK Condensing Boiler_electricity_kWh</t>
  </si>
  <si>
    <t>12-AK Install CHP_coal_kWh</t>
  </si>
  <si>
    <t>12-AK Install CHP_oil_kWh</t>
  </si>
  <si>
    <t>12-AK Install CHP_gas_kWh</t>
  </si>
  <si>
    <t>12-AK Install CHP_electricity_kWh</t>
  </si>
  <si>
    <t>10-HVAC Heat Recovery_coal_kWh</t>
  </si>
  <si>
    <t>10-HVAC Heat Recovery_oil_kWh</t>
  </si>
  <si>
    <t>10-HVAC Heat Recovery_gas_kWh</t>
  </si>
  <si>
    <t>10-HVAC Heat Recovery_electricity_kWh</t>
  </si>
  <si>
    <t>9-Variable speed drives on pumps and fans_coal_kWh</t>
  </si>
  <si>
    <t>9-Variable speed drives on pumps and fans_oil_kWh</t>
  </si>
  <si>
    <t>9-Variable speed drives on pumps and fans_gas_kWh</t>
  </si>
  <si>
    <t>9-Variable speed drives on pumps and fans_electricity_kWh</t>
  </si>
  <si>
    <t>7-Install LED lighting_coal_kWh</t>
  </si>
  <si>
    <t>7-Install LED lighting_oil_kWh</t>
  </si>
  <si>
    <t>7-Install LED lighting_gas_kWh</t>
  </si>
  <si>
    <t>7-Install LED lighting_electricity_kWh</t>
  </si>
  <si>
    <t>4-AK Install heat pumps (com)_coal_kWh</t>
  </si>
  <si>
    <t>4-AK Install heat pumps (com)_oil_kWh</t>
  </si>
  <si>
    <t>4-AK Install heat pumps (com)_gas_kWh</t>
  </si>
  <si>
    <t>4-AK Install heat pumps (com)_electricity_kWh</t>
  </si>
  <si>
    <t>3-Install VRF_coal_kWh</t>
  </si>
  <si>
    <t>3-Install VRF_oil_kWh</t>
  </si>
  <si>
    <t>3-Install VRF_gas_kWh</t>
  </si>
  <si>
    <t>3-Install VRF_electricity_kWh</t>
  </si>
  <si>
    <t>2-AK Window Upgrades_coal_kWh</t>
  </si>
  <si>
    <t>2-AK Window Upgrades_oil_kWh</t>
  </si>
  <si>
    <t>2-AK Window Upgrades_gas_kWh</t>
  </si>
  <si>
    <t>2-AK Window Upgrades_electricity_kWh</t>
  </si>
  <si>
    <t>1-AK Insulation and sealing_coal_kWh</t>
  </si>
  <si>
    <t>1-AK Insulation and sealing_oil_kWh</t>
  </si>
  <si>
    <t>1-AK Insulation and sealing_gas_kWh</t>
  </si>
  <si>
    <t>1-AK Insulation and sealing_electricity_kWh</t>
  </si>
  <si>
    <t>buildingname</t>
  </si>
  <si>
    <t>$/MTCO2e through 2030</t>
  </si>
  <si>
    <t>Anderson audit-discovery</t>
  </si>
  <si>
    <t>Tri-Valley audit-discovery</t>
  </si>
  <si>
    <t>Tri-Valley door/window</t>
  </si>
  <si>
    <t>Cantwell audit-discovery</t>
  </si>
  <si>
    <t xml:space="preserve">Cantwell Furnace </t>
  </si>
  <si>
    <t>$/MTCO2e Annual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</si>
</sst>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1"/>
    <xf numFmtId="0" fontId="0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4" fillId="0" borderId="0" xfId="0" applyFont="1"/>
    <xf numFmtId="0" fontId="1" fillId="3" borderId="0" xfId="0" applyFont="1" applyFill="1"/>
    <xf numFmtId="0" fontId="1" fillId="2" borderId="0" xfId="0" applyFont="1" applyFill="1"/>
    <xf numFmtId="0" fontId="1" fillId="0" borderId="0" xfId="0" applyFont="1" applyAlignment="1">
      <alignment wrapText="1"/>
    </xf>
    <xf numFmtId="44" fontId="0" fillId="0" borderId="0" xfId="3" applyFont="1"/>
    <xf numFmtId="44" fontId="0" fillId="0" borderId="0" xfId="0" applyNumberFormat="1"/>
    <xf numFmtId="0" fontId="0" fillId="4" borderId="0" xfId="0" applyFill="1"/>
    <xf numFmtId="0" fontId="0" fillId="0" borderId="0" xfId="0" applyFill="1"/>
    <xf numFmtId="164" fontId="0" fillId="0" borderId="0" xfId="2" applyNumberFormat="1" applyFont="1" applyAlignment="1">
      <alignment horizontal="right"/>
    </xf>
  </cellXfs>
  <cellStyles count="4">
    <cellStyle name="Comma" xfId="2" builtinId="3"/>
    <cellStyle name="Currency" xfId="3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00093-C66E-4A19-831F-1FB13F477FE0}">
  <dimension ref="A1:H13"/>
  <sheetViews>
    <sheetView tabSelected="1" workbookViewId="0">
      <selection activeCell="D8" sqref="B1:D8"/>
    </sheetView>
  </sheetViews>
  <sheetFormatPr defaultRowHeight="15" x14ac:dyDescent="0.25"/>
  <cols>
    <col min="1" max="1" width="12.85546875" customWidth="1"/>
    <col min="2" max="2" width="40.140625" customWidth="1"/>
    <col min="3" max="3" width="24.28515625" customWidth="1"/>
    <col min="4" max="4" width="21.42578125" customWidth="1"/>
    <col min="5" max="5" width="47.7109375" customWidth="1"/>
    <col min="6" max="6" width="38.7109375" customWidth="1"/>
    <col min="7" max="7" width="40.5703125" customWidth="1"/>
    <col min="8" max="8" width="21.85546875" customWidth="1"/>
    <col min="9" max="9" width="47.7109375" customWidth="1"/>
    <col min="10" max="10" width="16.28515625" customWidth="1"/>
    <col min="11" max="11" width="9.285156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1"/>
    </row>
    <row r="2" spans="1:8" x14ac:dyDescent="0.25">
      <c r="A2" s="3" t="s">
        <v>6</v>
      </c>
      <c r="B2" s="3" t="s">
        <v>123</v>
      </c>
      <c r="C2" s="14">
        <f>'Modelling Report'!CP2</f>
        <v>54.270802584154559</v>
      </c>
      <c r="D2" s="14">
        <f>C2*(2031-F2)</f>
        <v>217.08321033661824</v>
      </c>
      <c r="E2" s="14">
        <f>C2*(2051-F2)</f>
        <v>1302.4992620197095</v>
      </c>
      <c r="F2" s="3">
        <v>2027</v>
      </c>
      <c r="H2" s="1"/>
    </row>
    <row r="3" spans="1:8" x14ac:dyDescent="0.25">
      <c r="A3" s="3"/>
      <c r="B3" s="3" t="s">
        <v>122</v>
      </c>
      <c r="C3" s="14">
        <f>AVERAGE('Modelling Report'!DA2:DB2)</f>
        <v>364.91685975506721</v>
      </c>
      <c r="D3" s="14">
        <f>C3*(2031-F3)</f>
        <v>1459.6674390202688</v>
      </c>
      <c r="E3" s="14">
        <f>C3*(2051-F3)</f>
        <v>8758.004634121613</v>
      </c>
      <c r="F3" s="3">
        <v>2027</v>
      </c>
      <c r="H3" s="1"/>
    </row>
    <row r="4" spans="1:8" x14ac:dyDescent="0.25">
      <c r="A4" s="3" t="s">
        <v>6</v>
      </c>
      <c r="B4" s="3" t="s">
        <v>121</v>
      </c>
      <c r="C4" s="14">
        <f>AVERAGE('Modelling Report'!DA4:DB4)</f>
        <v>55.395924546422052</v>
      </c>
      <c r="D4" s="14">
        <f>C4*(2031-F4)</f>
        <v>166.18777363926614</v>
      </c>
      <c r="E4" s="14">
        <f>C4*(2051-F4)</f>
        <v>1274.1062645677073</v>
      </c>
      <c r="F4" s="3">
        <v>2028</v>
      </c>
      <c r="H4" s="1"/>
    </row>
    <row r="5" spans="1:8" x14ac:dyDescent="0.25">
      <c r="A5" t="s">
        <v>6</v>
      </c>
      <c r="B5" s="3" t="s">
        <v>125</v>
      </c>
      <c r="C5" s="14">
        <f>'Modelling Report'!CZ4-'Modelling Report'!CY4</f>
        <v>87.633531065378293</v>
      </c>
      <c r="D5" s="14">
        <f>C5*(2031-F5)</f>
        <v>175.26706213075659</v>
      </c>
      <c r="E5" s="14">
        <f>C5*(2051-F5)</f>
        <v>1927.9376834383224</v>
      </c>
      <c r="F5">
        <v>2029</v>
      </c>
      <c r="H5" s="2"/>
    </row>
    <row r="6" spans="1:8" x14ac:dyDescent="0.25">
      <c r="B6" s="3" t="s">
        <v>124</v>
      </c>
      <c r="C6" s="14">
        <f>AVERAGE('Modelling Report'!DA3:DB3)</f>
        <v>96.548164123690796</v>
      </c>
      <c r="D6" s="14">
        <f>C6*(2031-F6)</f>
        <v>193.09632824738159</v>
      </c>
      <c r="E6" s="14">
        <f>C6*(2051-F6)</f>
        <v>2124.0596107211977</v>
      </c>
      <c r="F6">
        <v>2029</v>
      </c>
    </row>
    <row r="7" spans="1:8" x14ac:dyDescent="0.25">
      <c r="A7" t="s">
        <v>6</v>
      </c>
      <c r="B7" s="3" t="s">
        <v>7</v>
      </c>
      <c r="C7" s="14">
        <f>'Modelling Report'!CY2+'Modelling Report'!CY3+'Modelling Report'!CY4</f>
        <v>24.413677913516587</v>
      </c>
      <c r="D7" s="14">
        <f>(C7)*(2031-F7)</f>
        <v>122.06838956758293</v>
      </c>
      <c r="E7" s="14">
        <f>(C7)*(2051-F7)</f>
        <v>610.34194783791463</v>
      </c>
      <c r="F7">
        <v>2026</v>
      </c>
      <c r="H7" s="2"/>
    </row>
    <row r="8" spans="1:8" x14ac:dyDescent="0.25">
      <c r="A8" t="s">
        <v>6</v>
      </c>
      <c r="B8" s="1" t="s">
        <v>8</v>
      </c>
      <c r="C8" s="14">
        <f>SUM(C2:C7)</f>
        <v>683.17895998822951</v>
      </c>
      <c r="D8" s="14">
        <f>SUM(D2:D7)</f>
        <v>2333.3702029418746</v>
      </c>
      <c r="E8" s="14">
        <f>SUM(E2:E7)</f>
        <v>15996.949402706465</v>
      </c>
    </row>
    <row r="11" spans="1:8" x14ac:dyDescent="0.25">
      <c r="A11" s="1" t="s">
        <v>9</v>
      </c>
      <c r="B11" s="10">
        <v>3999702</v>
      </c>
    </row>
    <row r="12" spans="1:8" ht="30" x14ac:dyDescent="0.25">
      <c r="A12" s="9" t="s">
        <v>126</v>
      </c>
      <c r="B12" s="10">
        <f>B11/C8</f>
        <v>5854.5450522494293</v>
      </c>
    </row>
    <row r="13" spans="1:8" ht="30" x14ac:dyDescent="0.25">
      <c r="A13" s="9" t="s">
        <v>120</v>
      </c>
      <c r="B13" s="11">
        <f>B11/D8</f>
        <v>1714.1309145703676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FC18A-6A6A-4CDC-82BF-9FF9E2F7108E}">
  <dimension ref="A1:DB4"/>
  <sheetViews>
    <sheetView topLeftCell="CN1" zoomScale="80" zoomScaleNormal="80" workbookViewId="0">
      <selection activeCell="DA4" sqref="DA4"/>
    </sheetView>
  </sheetViews>
  <sheetFormatPr defaultRowHeight="15" x14ac:dyDescent="0.25"/>
  <cols>
    <col min="1" max="1" width="15.7109375" bestFit="1" customWidth="1"/>
    <col min="2" max="2" width="39.7109375" hidden="1" customWidth="1"/>
    <col min="3" max="3" width="33.85546875" hidden="1" customWidth="1"/>
    <col min="4" max="4" width="33.28515625" hidden="1" customWidth="1"/>
    <col min="5" max="5" width="34.7109375" hidden="1" customWidth="1"/>
    <col min="6" max="6" width="36.7109375" hidden="1" customWidth="1"/>
    <col min="7" max="7" width="30.7109375" hidden="1" customWidth="1"/>
    <col min="8" max="8" width="30.140625" hidden="1" customWidth="1"/>
    <col min="9" max="9" width="31.5703125" hidden="1" customWidth="1"/>
    <col min="10" max="10" width="27.85546875" hidden="1" customWidth="1"/>
    <col min="11" max="11" width="21.85546875" hidden="1" customWidth="1"/>
    <col min="12" max="12" width="21.28515625" hidden="1" customWidth="1"/>
    <col min="13" max="13" width="22.7109375" hidden="1" customWidth="1"/>
    <col min="14" max="14" width="42.7109375" hidden="1" customWidth="1"/>
    <col min="15" max="15" width="36.7109375" hidden="1" customWidth="1"/>
    <col min="16" max="16" width="36.140625" hidden="1" customWidth="1"/>
    <col min="17" max="17" width="37.5703125" hidden="1" customWidth="1"/>
    <col min="18" max="18" width="34.28515625" hidden="1" customWidth="1"/>
    <col min="19" max="19" width="28.42578125" hidden="1" customWidth="1"/>
    <col min="20" max="20" width="27.7109375" hidden="1" customWidth="1"/>
    <col min="21" max="21" width="29.28515625" hidden="1" customWidth="1"/>
    <col min="22" max="22" width="53.28515625" hidden="1" customWidth="1"/>
    <col min="23" max="23" width="47.28515625" hidden="1" customWidth="1"/>
    <col min="24" max="24" width="46.7109375" hidden="1" customWidth="1"/>
    <col min="25" max="25" width="48.28515625" hidden="1" customWidth="1"/>
    <col min="26" max="26" width="37.28515625" hidden="1" customWidth="1"/>
    <col min="27" max="27" width="31.28515625" hidden="1" customWidth="1"/>
    <col min="28" max="28" width="30.7109375" hidden="1" customWidth="1"/>
    <col min="29" max="29" width="32.28515625" hidden="1" customWidth="1"/>
    <col min="30" max="30" width="32" hidden="1" customWidth="1"/>
    <col min="31" max="31" width="26" hidden="1" customWidth="1"/>
    <col min="32" max="32" width="25.28515625" hidden="1" customWidth="1"/>
    <col min="33" max="33" width="26.7109375" hidden="1" customWidth="1"/>
    <col min="34" max="34" width="37.7109375" hidden="1" customWidth="1"/>
    <col min="35" max="35" width="31.85546875" hidden="1" customWidth="1"/>
    <col min="36" max="36" width="31.140625" hidden="1" customWidth="1"/>
    <col min="37" max="37" width="32.7109375" hidden="1" customWidth="1"/>
    <col min="38" max="38" width="27.42578125" hidden="1" customWidth="1"/>
    <col min="39" max="39" width="21.5703125" hidden="1" customWidth="1"/>
    <col min="40" max="40" width="20.85546875" hidden="1" customWidth="1"/>
    <col min="41" max="41" width="22.28515625" hidden="1" customWidth="1"/>
    <col min="42" max="42" width="32.7109375" hidden="1" customWidth="1"/>
    <col min="43" max="43" width="26.7109375" hidden="1" customWidth="1"/>
    <col min="44" max="44" width="26" hidden="1" customWidth="1"/>
    <col min="45" max="45" width="27.42578125" hidden="1" customWidth="1"/>
    <col min="46" max="46" width="9.28515625" bestFit="1" customWidth="1"/>
    <col min="47" max="47" width="12" bestFit="1" customWidth="1"/>
    <col min="48" max="48" width="42.42578125" bestFit="1" customWidth="1"/>
    <col min="49" max="49" width="36.5703125" bestFit="1" customWidth="1"/>
    <col min="50" max="50" width="35.85546875" bestFit="1" customWidth="1"/>
    <col min="51" max="51" width="37.28515625" bestFit="1" customWidth="1"/>
    <col min="52" max="52" width="39.28515625" bestFit="1" customWidth="1"/>
    <col min="53" max="53" width="33.42578125" bestFit="1" customWidth="1"/>
    <col min="54" max="54" width="32.7109375" bestFit="1" customWidth="1"/>
    <col min="55" max="55" width="34.28515625" bestFit="1" customWidth="1"/>
    <col min="56" max="56" width="30.42578125" bestFit="1" customWidth="1"/>
    <col min="57" max="57" width="24.5703125" bestFit="1" customWidth="1"/>
    <col min="58" max="58" width="23.85546875" bestFit="1" customWidth="1"/>
    <col min="59" max="59" width="25.28515625" bestFit="1" customWidth="1"/>
    <col min="60" max="60" width="45.28515625" bestFit="1" customWidth="1"/>
    <col min="61" max="61" width="39.28515625" bestFit="1" customWidth="1"/>
    <col min="62" max="62" width="38.7109375" bestFit="1" customWidth="1"/>
    <col min="63" max="63" width="40.28515625" bestFit="1" customWidth="1"/>
    <col min="64" max="64" width="37" bestFit="1" customWidth="1"/>
    <col min="65" max="65" width="31" bestFit="1" customWidth="1"/>
    <col min="66" max="66" width="30.28515625" bestFit="1" customWidth="1"/>
    <col min="67" max="67" width="31.85546875" bestFit="1" customWidth="1"/>
    <col min="68" max="68" width="55.85546875" bestFit="1" customWidth="1"/>
    <col min="69" max="69" width="50" bestFit="1" customWidth="1"/>
    <col min="70" max="70" width="49.28515625" bestFit="1" customWidth="1"/>
    <col min="71" max="71" width="50.7109375" bestFit="1" customWidth="1"/>
    <col min="72" max="72" width="40" bestFit="1" customWidth="1"/>
    <col min="73" max="73" width="34" bestFit="1" customWidth="1"/>
    <col min="74" max="74" width="33.28515625" bestFit="1" customWidth="1"/>
    <col min="75" max="75" width="34.7109375" bestFit="1" customWidth="1"/>
    <col min="76" max="76" width="34.5703125" bestFit="1" customWidth="1"/>
    <col min="77" max="77" width="28.7109375" bestFit="1" customWidth="1"/>
    <col min="78" max="78" width="28" bestFit="1" customWidth="1"/>
    <col min="79" max="79" width="29.42578125" bestFit="1" customWidth="1"/>
    <col min="80" max="80" width="40.42578125" bestFit="1" customWidth="1"/>
    <col min="81" max="81" width="34.42578125" bestFit="1" customWidth="1"/>
    <col min="82" max="82" width="33.7109375" bestFit="1" customWidth="1"/>
    <col min="83" max="83" width="35.28515625" bestFit="1" customWidth="1"/>
    <col min="84" max="84" width="30.140625" bestFit="1" customWidth="1"/>
    <col min="85" max="85" width="24.28515625" bestFit="1" customWidth="1"/>
    <col min="86" max="86" width="23.5703125" bestFit="1" customWidth="1"/>
    <col min="87" max="87" width="25" bestFit="1" customWidth="1"/>
    <col min="88" max="88" width="35.28515625" bestFit="1" customWidth="1"/>
    <col min="89" max="89" width="29.28515625" bestFit="1" customWidth="1"/>
    <col min="90" max="90" width="28.7109375" bestFit="1" customWidth="1"/>
    <col min="91" max="91" width="30.140625" bestFit="1" customWidth="1"/>
    <col min="92" max="92" width="30.140625" customWidth="1"/>
    <col min="93" max="93" width="25.7109375" bestFit="1" customWidth="1"/>
    <col min="94" max="94" width="22.5703125" bestFit="1" customWidth="1"/>
    <col min="95" max="95" width="13.7109375" bestFit="1" customWidth="1"/>
    <col min="96" max="96" width="28.5703125" bestFit="1" customWidth="1"/>
    <col min="97" max="97" width="20.28515625" bestFit="1" customWidth="1"/>
    <col min="98" max="98" width="39.140625" bestFit="1" customWidth="1"/>
    <col min="99" max="99" width="23.140625" bestFit="1" customWidth="1"/>
    <col min="100" max="100" width="17.7109375" bestFit="1" customWidth="1"/>
    <col min="101" max="101" width="23.7109375" bestFit="1" customWidth="1"/>
    <col min="102" max="102" width="13.28515625" bestFit="1" customWidth="1"/>
    <col min="103" max="103" width="18.42578125" bestFit="1" customWidth="1"/>
    <col min="105" max="105" width="15.28515625" customWidth="1"/>
    <col min="106" max="106" width="12.140625" bestFit="1" customWidth="1"/>
  </cols>
  <sheetData>
    <row r="1" spans="1:106" s="1" customFormat="1" x14ac:dyDescent="0.25">
      <c r="A1" s="1" t="s">
        <v>119</v>
      </c>
      <c r="B1" s="1" t="s">
        <v>118</v>
      </c>
      <c r="C1" s="1" t="s">
        <v>117</v>
      </c>
      <c r="D1" s="1" t="s">
        <v>116</v>
      </c>
      <c r="E1" s="1" t="s">
        <v>115</v>
      </c>
      <c r="F1" s="1" t="s">
        <v>114</v>
      </c>
      <c r="G1" s="1" t="s">
        <v>113</v>
      </c>
      <c r="H1" s="1" t="s">
        <v>112</v>
      </c>
      <c r="I1" s="1" t="s">
        <v>111</v>
      </c>
      <c r="J1" s="1" t="s">
        <v>110</v>
      </c>
      <c r="K1" s="1" t="s">
        <v>109</v>
      </c>
      <c r="L1" s="1" t="s">
        <v>108</v>
      </c>
      <c r="M1" s="1" t="s">
        <v>107</v>
      </c>
      <c r="N1" s="1" t="s">
        <v>106</v>
      </c>
      <c r="O1" s="1" t="s">
        <v>105</v>
      </c>
      <c r="P1" s="1" t="s">
        <v>104</v>
      </c>
      <c r="Q1" s="1" t="s">
        <v>103</v>
      </c>
      <c r="R1" s="1" t="s">
        <v>102</v>
      </c>
      <c r="S1" s="1" t="s">
        <v>101</v>
      </c>
      <c r="T1" s="1" t="s">
        <v>100</v>
      </c>
      <c r="U1" s="1" t="s">
        <v>99</v>
      </c>
      <c r="V1" s="1" t="s">
        <v>98</v>
      </c>
      <c r="W1" s="1" t="s">
        <v>97</v>
      </c>
      <c r="X1" s="1" t="s">
        <v>96</v>
      </c>
      <c r="Y1" s="1" t="s">
        <v>95</v>
      </c>
      <c r="Z1" s="1" t="s">
        <v>94</v>
      </c>
      <c r="AA1" s="1" t="s">
        <v>93</v>
      </c>
      <c r="AB1" s="1" t="s">
        <v>92</v>
      </c>
      <c r="AC1" s="1" t="s">
        <v>91</v>
      </c>
      <c r="AD1" s="1" t="s">
        <v>90</v>
      </c>
      <c r="AE1" s="1" t="s">
        <v>89</v>
      </c>
      <c r="AF1" s="1" t="s">
        <v>88</v>
      </c>
      <c r="AG1" s="1" t="s">
        <v>87</v>
      </c>
      <c r="AH1" s="1" t="s">
        <v>86</v>
      </c>
      <c r="AI1" s="1" t="s">
        <v>85</v>
      </c>
      <c r="AJ1" s="1" t="s">
        <v>84</v>
      </c>
      <c r="AK1" s="1" t="s">
        <v>83</v>
      </c>
      <c r="AL1" s="1" t="s">
        <v>82</v>
      </c>
      <c r="AM1" s="1" t="s">
        <v>81</v>
      </c>
      <c r="AN1" s="1" t="s">
        <v>80</v>
      </c>
      <c r="AO1" s="1" t="s">
        <v>79</v>
      </c>
      <c r="AP1" s="1" t="s">
        <v>78</v>
      </c>
      <c r="AQ1" s="1" t="s">
        <v>77</v>
      </c>
      <c r="AR1" s="1" t="s">
        <v>76</v>
      </c>
      <c r="AS1" s="1" t="s">
        <v>75</v>
      </c>
      <c r="AT1" s="1" t="s">
        <v>74</v>
      </c>
      <c r="AU1" s="1" t="s">
        <v>73</v>
      </c>
      <c r="AV1" s="8" t="s">
        <v>72</v>
      </c>
      <c r="AW1" s="8" t="s">
        <v>71</v>
      </c>
      <c r="AX1" s="8" t="s">
        <v>70</v>
      </c>
      <c r="AY1" s="8" t="s">
        <v>69</v>
      </c>
      <c r="AZ1" s="1" t="s">
        <v>68</v>
      </c>
      <c r="BA1" s="1" t="s">
        <v>67</v>
      </c>
      <c r="BB1" s="1" t="s">
        <v>66</v>
      </c>
      <c r="BC1" s="1" t="s">
        <v>65</v>
      </c>
      <c r="BD1" s="8" t="s">
        <v>64</v>
      </c>
      <c r="BE1" s="8" t="s">
        <v>63</v>
      </c>
      <c r="BF1" s="8" t="s">
        <v>62</v>
      </c>
      <c r="BG1" s="8" t="s">
        <v>61</v>
      </c>
      <c r="BH1" s="1" t="s">
        <v>60</v>
      </c>
      <c r="BI1" s="1" t="s">
        <v>59</v>
      </c>
      <c r="BJ1" s="1" t="s">
        <v>58</v>
      </c>
      <c r="BK1" s="1" t="s">
        <v>57</v>
      </c>
      <c r="BL1" s="8" t="s">
        <v>56</v>
      </c>
      <c r="BM1" s="8" t="s">
        <v>55</v>
      </c>
      <c r="BN1" s="8" t="s">
        <v>54</v>
      </c>
      <c r="BO1" s="8" t="s">
        <v>53</v>
      </c>
      <c r="BP1" s="1" t="s">
        <v>52</v>
      </c>
      <c r="BQ1" s="1" t="s">
        <v>51</v>
      </c>
      <c r="BR1" s="1" t="s">
        <v>50</v>
      </c>
      <c r="BS1" s="1" t="s">
        <v>49</v>
      </c>
      <c r="BT1" s="8" t="s">
        <v>48</v>
      </c>
      <c r="BU1" s="8" t="s">
        <v>47</v>
      </c>
      <c r="BV1" s="8" t="s">
        <v>46</v>
      </c>
      <c r="BW1" s="8" t="s">
        <v>45</v>
      </c>
      <c r="BX1" s="1" t="s">
        <v>44</v>
      </c>
      <c r="BY1" s="1" t="s">
        <v>43</v>
      </c>
      <c r="BZ1" s="1" t="s">
        <v>42</v>
      </c>
      <c r="CA1" s="1" t="s">
        <v>41</v>
      </c>
      <c r="CB1" s="8" t="s">
        <v>40</v>
      </c>
      <c r="CC1" s="8" t="s">
        <v>39</v>
      </c>
      <c r="CD1" s="8" t="s">
        <v>38</v>
      </c>
      <c r="CE1" s="8" t="s">
        <v>37</v>
      </c>
      <c r="CF1" s="1" t="s">
        <v>36</v>
      </c>
      <c r="CG1" s="1" t="s">
        <v>35</v>
      </c>
      <c r="CH1" s="1" t="s">
        <v>34</v>
      </c>
      <c r="CI1" s="1" t="s">
        <v>33</v>
      </c>
      <c r="CJ1" s="8" t="s">
        <v>32</v>
      </c>
      <c r="CK1" s="8" t="s">
        <v>31</v>
      </c>
      <c r="CL1" s="8" t="s">
        <v>30</v>
      </c>
      <c r="CM1" s="8" t="s">
        <v>29</v>
      </c>
      <c r="CN1" s="7" t="s">
        <v>28</v>
      </c>
      <c r="CO1" s="1" t="s">
        <v>27</v>
      </c>
      <c r="CP1" s="1" t="s">
        <v>26</v>
      </c>
      <c r="CQ1" s="6" t="s">
        <v>25</v>
      </c>
      <c r="CR1" s="6" t="s">
        <v>24</v>
      </c>
      <c r="CS1" s="1" t="s">
        <v>23</v>
      </c>
      <c r="CT1" s="1" t="s">
        <v>22</v>
      </c>
      <c r="CU1" s="1" t="s">
        <v>21</v>
      </c>
      <c r="CV1" s="6" t="s">
        <v>20</v>
      </c>
      <c r="CW1" s="6" t="s">
        <v>19</v>
      </c>
      <c r="CX1" s="6" t="s">
        <v>18</v>
      </c>
      <c r="CY1" s="1" t="s">
        <v>17</v>
      </c>
      <c r="CZ1" s="1" t="s">
        <v>16</v>
      </c>
      <c r="DA1" s="1" t="s">
        <v>15</v>
      </c>
      <c r="DB1" s="1" t="s">
        <v>14</v>
      </c>
    </row>
    <row r="2" spans="1:106" x14ac:dyDescent="0.25">
      <c r="A2" t="s">
        <v>13</v>
      </c>
      <c r="B2">
        <v>4852.0649030000004</v>
      </c>
      <c r="C2">
        <v>0</v>
      </c>
      <c r="D2">
        <v>79075.681089999998</v>
      </c>
      <c r="E2">
        <v>313859.84610000002</v>
      </c>
      <c r="F2">
        <v>-2528.5474060000001</v>
      </c>
      <c r="G2">
        <v>0</v>
      </c>
      <c r="H2">
        <v>33215.694069999998</v>
      </c>
      <c r="I2">
        <v>131836.64670000001</v>
      </c>
      <c r="J2">
        <v>-1136580.3189999999</v>
      </c>
      <c r="K2">
        <v>0</v>
      </c>
      <c r="L2">
        <v>448114.83490000002</v>
      </c>
      <c r="M2">
        <v>1778615.7660000001</v>
      </c>
      <c r="N2">
        <v>-664921.65260000003</v>
      </c>
      <c r="O2">
        <v>0</v>
      </c>
      <c r="P2">
        <v>448115.1838</v>
      </c>
      <c r="Q2">
        <v>1778617.1510000001</v>
      </c>
      <c r="R2">
        <v>438972.78220000002</v>
      </c>
      <c r="S2">
        <v>0</v>
      </c>
      <c r="T2">
        <v>-56738.738160000001</v>
      </c>
      <c r="U2">
        <v>-225202.12760000001</v>
      </c>
      <c r="V2">
        <v>16725.313190000001</v>
      </c>
      <c r="W2">
        <v>0</v>
      </c>
      <c r="X2">
        <v>187176.69080000001</v>
      </c>
      <c r="Y2">
        <v>742924.32979999995</v>
      </c>
      <c r="Z2">
        <v>476.42149219999999</v>
      </c>
      <c r="AA2">
        <v>0</v>
      </c>
      <c r="AB2">
        <v>7995.9183810000004</v>
      </c>
      <c r="AC2">
        <v>31736.656299999999</v>
      </c>
      <c r="AD2">
        <v>830522.99549999996</v>
      </c>
      <c r="AE2">
        <v>0</v>
      </c>
      <c r="AF2">
        <v>-53233.340909999999</v>
      </c>
      <c r="AG2">
        <v>-211288.83059999999</v>
      </c>
      <c r="AH2">
        <v>-10301.054270000001</v>
      </c>
      <c r="AI2">
        <v>0</v>
      </c>
      <c r="AJ2">
        <v>83397.215100000001</v>
      </c>
      <c r="AK2">
        <v>331012.47739999997</v>
      </c>
      <c r="AL2">
        <v>-1121864.327</v>
      </c>
      <c r="AM2">
        <v>0</v>
      </c>
      <c r="AN2">
        <v>448115.1789</v>
      </c>
      <c r="AO2">
        <v>1778617.1310000001</v>
      </c>
      <c r="AP2">
        <v>234273.3254</v>
      </c>
      <c r="AQ2">
        <v>0</v>
      </c>
      <c r="AR2">
        <v>0</v>
      </c>
      <c r="AS2">
        <v>0</v>
      </c>
      <c r="AT2" s="5" t="s">
        <v>12</v>
      </c>
      <c r="AU2">
        <v>0.47486853400000001</v>
      </c>
      <c r="AV2">
        <v>2304.092948</v>
      </c>
      <c r="AW2">
        <v>0</v>
      </c>
      <c r="AX2">
        <v>44111.577940000003</v>
      </c>
      <c r="AY2">
        <v>243586.62659999999</v>
      </c>
      <c r="AZ2">
        <v>-1200.7275999999999</v>
      </c>
      <c r="BA2">
        <v>0</v>
      </c>
      <c r="BB2">
        <v>18529.04278</v>
      </c>
      <c r="BC2">
        <v>102318.4215</v>
      </c>
      <c r="BD2">
        <v>-539726.23010000004</v>
      </c>
      <c r="BE2">
        <v>0</v>
      </c>
      <c r="BF2">
        <v>249976.37950000001</v>
      </c>
      <c r="BG2">
        <v>1380383.696</v>
      </c>
      <c r="BH2">
        <v>-315750.37050000002</v>
      </c>
      <c r="BI2">
        <v>0</v>
      </c>
      <c r="BJ2">
        <v>249976.5741</v>
      </c>
      <c r="BK2">
        <v>1380384.7709999999</v>
      </c>
      <c r="BL2">
        <v>208454.3616</v>
      </c>
      <c r="BM2">
        <v>0</v>
      </c>
      <c r="BN2">
        <v>-31651.13769</v>
      </c>
      <c r="BO2">
        <v>-174779.3713</v>
      </c>
      <c r="BP2">
        <v>7942.3249580000002</v>
      </c>
      <c r="BQ2">
        <v>0</v>
      </c>
      <c r="BR2">
        <v>104414.6452</v>
      </c>
      <c r="BS2">
        <v>576583.5723</v>
      </c>
      <c r="BT2">
        <v>226.23757560000001</v>
      </c>
      <c r="BU2">
        <v>0</v>
      </c>
      <c r="BV2">
        <v>4460.4431100000002</v>
      </c>
      <c r="BW2">
        <v>24630.818950000001</v>
      </c>
      <c r="BX2">
        <v>394389.23739999998</v>
      </c>
      <c r="BY2">
        <v>0</v>
      </c>
      <c r="BZ2">
        <v>-29695.686890000001</v>
      </c>
      <c r="CA2">
        <v>-163981.26139999999</v>
      </c>
      <c r="CB2">
        <v>-4891.6465420000004</v>
      </c>
      <c r="CC2">
        <v>0</v>
      </c>
      <c r="CD2">
        <v>46522.302470000002</v>
      </c>
      <c r="CE2">
        <v>256898.7837</v>
      </c>
      <c r="CF2">
        <v>-532738.06830000004</v>
      </c>
      <c r="CG2">
        <v>0</v>
      </c>
      <c r="CH2">
        <v>249976.57139999999</v>
      </c>
      <c r="CI2">
        <v>1380384.7560000001</v>
      </c>
      <c r="CJ2">
        <v>18438.560126879998</v>
      </c>
      <c r="CK2">
        <v>0</v>
      </c>
      <c r="CL2">
        <v>0</v>
      </c>
      <c r="CM2">
        <v>0</v>
      </c>
      <c r="CN2">
        <f>SUM(AV2:CM2)*0.000453592</f>
        <v>2336.2162052106528</v>
      </c>
      <c r="CO2" s="13">
        <f>SUM(AV2:AY2)*0.000453592</f>
        <v>131.54272212217691</v>
      </c>
      <c r="CP2" s="12">
        <f>SUM(AZ2:BC2)*0.000453592</f>
        <v>54.270802584154559</v>
      </c>
      <c r="CQ2">
        <f>SUM(BD2:BG2)*0.000453592</f>
        <v>494.7027872026768</v>
      </c>
      <c r="CR2">
        <f>SUM(BH2:BK2)*0.000453592</f>
        <v>596.29702119076319</v>
      </c>
      <c r="CS2">
        <f>SUM(BL2:BO2)*0.000453592</f>
        <v>0.91800335307512082</v>
      </c>
      <c r="CT2">
        <f>SUM(BP2:BS2)*0.000453592</f>
        <v>312.49791853460914</v>
      </c>
      <c r="CU2">
        <f>SUM(BT2:BW2)*0.000453592</f>
        <v>13.298183294711075</v>
      </c>
      <c r="CV2">
        <f>SUM(BX2:CA2)*0.000453592</f>
        <v>91.041488641983108</v>
      </c>
      <c r="CW2">
        <f>SUM(CB2:CE2)*0.000453592</f>
        <v>135.41056557974377</v>
      </c>
      <c r="CX2">
        <f>SUM(CF2:CI2)*0.000453592</f>
        <v>497.87312934168716</v>
      </c>
      <c r="CY2" s="4">
        <f>SUM(CJ2:CM2)*0.000453592</f>
        <v>8.3635833650717526</v>
      </c>
      <c r="CZ2">
        <f>CP2+CY2</f>
        <v>62.634385949226314</v>
      </c>
      <c r="DA2">
        <f>AVERAGE(CQ2, CR2, CV2, CW2, CX2)</f>
        <v>363.06499839137075</v>
      </c>
      <c r="DB2">
        <f>CP2+CT2</f>
        <v>366.76872111876372</v>
      </c>
    </row>
    <row r="3" spans="1:106" x14ac:dyDescent="0.25">
      <c r="A3" t="s">
        <v>11</v>
      </c>
      <c r="B3">
        <v>1766.05809</v>
      </c>
      <c r="C3">
        <v>0</v>
      </c>
      <c r="D3">
        <v>148985.2176</v>
      </c>
      <c r="E3">
        <v>0</v>
      </c>
      <c r="F3">
        <v>-580.99427630000002</v>
      </c>
      <c r="G3">
        <v>0</v>
      </c>
      <c r="H3">
        <v>63541.028449999998</v>
      </c>
      <c r="I3">
        <v>0</v>
      </c>
      <c r="J3">
        <v>-474147.3443</v>
      </c>
      <c r="K3">
        <v>0</v>
      </c>
      <c r="L3">
        <v>840481.66399999999</v>
      </c>
      <c r="M3">
        <v>0</v>
      </c>
      <c r="N3">
        <v>-247360.4835</v>
      </c>
      <c r="O3">
        <v>0</v>
      </c>
      <c r="P3">
        <v>840482.26879999996</v>
      </c>
      <c r="Q3">
        <v>0</v>
      </c>
      <c r="R3">
        <v>348289.33659999998</v>
      </c>
      <c r="S3">
        <v>0</v>
      </c>
      <c r="T3">
        <v>-235049.739</v>
      </c>
      <c r="U3">
        <v>0</v>
      </c>
      <c r="V3">
        <v>7787.9319150000001</v>
      </c>
      <c r="W3">
        <v>0</v>
      </c>
      <c r="X3">
        <v>368153.72220000002</v>
      </c>
      <c r="Y3">
        <v>0</v>
      </c>
      <c r="Z3">
        <v>147.32298990000001</v>
      </c>
      <c r="AA3">
        <v>0</v>
      </c>
      <c r="AB3">
        <v>12206.750110000001</v>
      </c>
      <c r="AC3">
        <v>0</v>
      </c>
      <c r="AD3">
        <v>340571.32900000003</v>
      </c>
      <c r="AE3">
        <v>0</v>
      </c>
      <c r="AF3">
        <v>-178265.54920000001</v>
      </c>
      <c r="AG3">
        <v>0</v>
      </c>
      <c r="AH3">
        <v>-4221.0957090000002</v>
      </c>
      <c r="AI3">
        <v>0</v>
      </c>
      <c r="AJ3">
        <v>167420.06520000001</v>
      </c>
      <c r="AK3">
        <v>0</v>
      </c>
      <c r="AL3">
        <v>-470242.47509999998</v>
      </c>
      <c r="AM3">
        <v>0</v>
      </c>
      <c r="AN3">
        <v>840482.26199999999</v>
      </c>
      <c r="AO3">
        <v>0</v>
      </c>
      <c r="AP3">
        <v>144895.74739999999</v>
      </c>
      <c r="AQ3">
        <v>0</v>
      </c>
      <c r="AR3">
        <v>0</v>
      </c>
      <c r="AS3">
        <v>0</v>
      </c>
      <c r="AT3" s="5">
        <v>13</v>
      </c>
      <c r="AU3">
        <v>0.58102539600000003</v>
      </c>
      <c r="AV3">
        <v>1026.124601</v>
      </c>
      <c r="AW3">
        <v>0</v>
      </c>
      <c r="AX3">
        <v>83109.913759999996</v>
      </c>
      <c r="AY3">
        <v>0</v>
      </c>
      <c r="AZ3">
        <v>-337.57242960000002</v>
      </c>
      <c r="BA3">
        <v>0</v>
      </c>
      <c r="BB3">
        <v>35445.727310000002</v>
      </c>
      <c r="BC3">
        <v>0</v>
      </c>
      <c r="BD3">
        <v>-275491.64860000001</v>
      </c>
      <c r="BE3">
        <v>0</v>
      </c>
      <c r="BF3">
        <v>468854.29139999999</v>
      </c>
      <c r="BG3">
        <v>0</v>
      </c>
      <c r="BH3">
        <v>-143722.72289999999</v>
      </c>
      <c r="BI3">
        <v>0</v>
      </c>
      <c r="BJ3">
        <v>468854.62880000001</v>
      </c>
      <c r="BK3">
        <v>0</v>
      </c>
      <c r="BL3">
        <v>202364.9498</v>
      </c>
      <c r="BM3">
        <v>0</v>
      </c>
      <c r="BN3">
        <v>-131120.1464</v>
      </c>
      <c r="BO3">
        <v>0</v>
      </c>
      <c r="BP3">
        <v>4524.9862270000003</v>
      </c>
      <c r="BQ3">
        <v>0</v>
      </c>
      <c r="BR3">
        <v>205370.87239999999</v>
      </c>
      <c r="BS3">
        <v>0</v>
      </c>
      <c r="BT3">
        <v>85.598398579999994</v>
      </c>
      <c r="BU3">
        <v>0</v>
      </c>
      <c r="BV3">
        <v>6809.4134830000003</v>
      </c>
      <c r="BW3">
        <v>0</v>
      </c>
      <c r="BX3">
        <v>197880.5913</v>
      </c>
      <c r="BY3">
        <v>0</v>
      </c>
      <c r="BZ3">
        <v>-99443.653980000003</v>
      </c>
      <c r="CA3">
        <v>0</v>
      </c>
      <c r="CB3">
        <v>-2452.563807</v>
      </c>
      <c r="CC3">
        <v>0</v>
      </c>
      <c r="CD3">
        <v>93393.609160000007</v>
      </c>
      <c r="CE3">
        <v>0</v>
      </c>
      <c r="CF3">
        <v>-273222.82040000003</v>
      </c>
      <c r="CG3">
        <v>0</v>
      </c>
      <c r="CH3">
        <v>468854.625</v>
      </c>
      <c r="CI3">
        <v>0</v>
      </c>
      <c r="CJ3">
        <v>17646.274319839998</v>
      </c>
      <c r="CK3">
        <v>0</v>
      </c>
      <c r="CL3">
        <v>0</v>
      </c>
      <c r="CM3">
        <v>0</v>
      </c>
      <c r="CN3">
        <f>SUM(AV3:CM3)*0.000453592</f>
        <v>602.56543712424354</v>
      </c>
      <c r="CO3">
        <f>SUM(AV3:AY3)*0.000453592</f>
        <v>38.163433912242709</v>
      </c>
      <c r="CP3">
        <f>SUM(AZ3:BC3)*0.000453592</f>
        <v>15.924778188510398</v>
      </c>
      <c r="CQ3">
        <f>SUM(BD3:BG3)*0.000453592</f>
        <v>87.707747872937588</v>
      </c>
      <c r="CR3">
        <f>SUM(BH3:BK3)*0.000453592</f>
        <v>147.47723146099281</v>
      </c>
      <c r="CS3">
        <f>SUM(BL3:BO3)*0.000453592</f>
        <v>32.316072863812799</v>
      </c>
      <c r="CT3">
        <f>SUM(BP3:BS3)*0.000453592</f>
        <v>95.207082306338179</v>
      </c>
      <c r="CU3">
        <f>SUM(BT3:BW3)*0.000453592</f>
        <v>3.1275222293896356</v>
      </c>
      <c r="CV3">
        <f>SUM(BX3:CA3)*0.000453592</f>
        <v>44.650207272853436</v>
      </c>
      <c r="CW3">
        <f>SUM(CB3:CE3)*0.000453592</f>
        <v>41.250130643757977</v>
      </c>
      <c r="CX3">
        <f>SUM(CF3:CI3)*0.000453592</f>
        <v>88.737021512123192</v>
      </c>
      <c r="CY3" s="4">
        <f>SUM(CJ3:CM3)*0.000453592</f>
        <v>8.0042088612848641</v>
      </c>
      <c r="CZ3">
        <f>CY3</f>
        <v>8.0042088612848641</v>
      </c>
      <c r="DA3">
        <f>AVERAGE(CQ3, CR3, CV3, CW3, CX3)</f>
        <v>81.964467752533011</v>
      </c>
      <c r="DB3">
        <f>CP3+CT3</f>
        <v>111.13186049484858</v>
      </c>
    </row>
    <row r="4" spans="1:106" x14ac:dyDescent="0.25">
      <c r="A4" t="s">
        <v>10</v>
      </c>
      <c r="B4">
        <v>880.32743330000005</v>
      </c>
      <c r="C4">
        <v>0</v>
      </c>
      <c r="D4">
        <v>74264.696330000006</v>
      </c>
      <c r="E4">
        <v>0</v>
      </c>
      <c r="F4">
        <v>-289.60837379999998</v>
      </c>
      <c r="G4">
        <v>0</v>
      </c>
      <c r="H4">
        <v>31673.311320000001</v>
      </c>
      <c r="I4">
        <v>0</v>
      </c>
      <c r="J4">
        <v>-236348.3376</v>
      </c>
      <c r="K4">
        <v>0</v>
      </c>
      <c r="L4">
        <v>418955.092</v>
      </c>
      <c r="M4">
        <v>0</v>
      </c>
      <c r="N4">
        <v>-123301.8382</v>
      </c>
      <c r="O4">
        <v>0</v>
      </c>
      <c r="P4">
        <v>418955.3934</v>
      </c>
      <c r="Q4">
        <v>0</v>
      </c>
      <c r="R4">
        <v>141593.2696</v>
      </c>
      <c r="S4">
        <v>0</v>
      </c>
      <c r="T4">
        <v>-95833.941999999995</v>
      </c>
      <c r="U4">
        <v>0</v>
      </c>
      <c r="V4">
        <v>3882.0522780000001</v>
      </c>
      <c r="W4">
        <v>0</v>
      </c>
      <c r="X4">
        <v>183513.6722</v>
      </c>
      <c r="Y4">
        <v>0</v>
      </c>
      <c r="Z4">
        <v>73.436174609999995</v>
      </c>
      <c r="AA4">
        <v>0</v>
      </c>
      <c r="AB4">
        <v>6084.7016379999995</v>
      </c>
      <c r="AC4">
        <v>0</v>
      </c>
      <c r="AD4">
        <v>169764.67019999999</v>
      </c>
      <c r="AE4">
        <v>0</v>
      </c>
      <c r="AF4">
        <v>-88860.070009999996</v>
      </c>
      <c r="AG4">
        <v>0</v>
      </c>
      <c r="AH4">
        <v>-2104.0904770000002</v>
      </c>
      <c r="AI4">
        <v>0</v>
      </c>
      <c r="AJ4">
        <v>83453.919190000001</v>
      </c>
      <c r="AK4">
        <v>0</v>
      </c>
      <c r="AL4">
        <v>-234401.87669999999</v>
      </c>
      <c r="AM4">
        <v>0</v>
      </c>
      <c r="AN4">
        <v>418955.39010000002</v>
      </c>
      <c r="AO4">
        <v>0</v>
      </c>
      <c r="AP4">
        <v>57632.661200000002</v>
      </c>
      <c r="AQ4">
        <v>0</v>
      </c>
      <c r="AR4">
        <v>0</v>
      </c>
      <c r="AS4">
        <v>0</v>
      </c>
      <c r="AT4" s="5">
        <v>29</v>
      </c>
      <c r="AU4">
        <v>0.581025397</v>
      </c>
      <c r="AV4">
        <v>511.49259610000001</v>
      </c>
      <c r="AW4">
        <v>0</v>
      </c>
      <c r="AX4">
        <v>41427.818200000002</v>
      </c>
      <c r="AY4">
        <v>0</v>
      </c>
      <c r="AZ4">
        <v>-168.26982029999999</v>
      </c>
      <c r="BA4">
        <v>0</v>
      </c>
      <c r="BB4">
        <v>17668.63999</v>
      </c>
      <c r="BC4">
        <v>0</v>
      </c>
      <c r="BD4">
        <v>-137324.3866</v>
      </c>
      <c r="BE4">
        <v>0</v>
      </c>
      <c r="BF4">
        <v>233709.90849999999</v>
      </c>
      <c r="BG4">
        <v>0</v>
      </c>
      <c r="BH4">
        <v>-71641.499429999996</v>
      </c>
      <c r="BI4">
        <v>0</v>
      </c>
      <c r="BJ4">
        <v>233710.07670000001</v>
      </c>
      <c r="BK4">
        <v>0</v>
      </c>
      <c r="BL4">
        <v>82269.285629999998</v>
      </c>
      <c r="BM4">
        <v>0</v>
      </c>
      <c r="BN4">
        <v>-53460.00621</v>
      </c>
      <c r="BO4">
        <v>0</v>
      </c>
      <c r="BP4">
        <v>2255.570964</v>
      </c>
      <c r="BQ4">
        <v>0</v>
      </c>
      <c r="BR4">
        <v>102371.2669</v>
      </c>
      <c r="BS4">
        <v>0</v>
      </c>
      <c r="BT4">
        <v>42.668282480000002</v>
      </c>
      <c r="BU4">
        <v>0</v>
      </c>
      <c r="BV4">
        <v>3394.2899619999998</v>
      </c>
      <c r="BW4">
        <v>0</v>
      </c>
      <c r="BX4">
        <v>98637.584860000003</v>
      </c>
      <c r="BY4">
        <v>0</v>
      </c>
      <c r="BZ4">
        <v>-49569.70145</v>
      </c>
      <c r="CA4">
        <v>0</v>
      </c>
      <c r="CB4">
        <v>-1222.530004</v>
      </c>
      <c r="CC4">
        <v>0</v>
      </c>
      <c r="CD4">
        <v>46553.934280000001</v>
      </c>
      <c r="CE4">
        <v>0</v>
      </c>
      <c r="CF4">
        <v>-136193.44339999999</v>
      </c>
      <c r="CG4">
        <v>0</v>
      </c>
      <c r="CH4">
        <v>233710.0748</v>
      </c>
      <c r="CI4">
        <v>0</v>
      </c>
      <c r="CJ4">
        <v>17738.156067920001</v>
      </c>
      <c r="CK4">
        <v>0</v>
      </c>
      <c r="CL4">
        <v>0</v>
      </c>
      <c r="CM4">
        <v>0</v>
      </c>
      <c r="CN4">
        <f>SUM(AV4:CM4)*0.000453592</f>
        <v>301.37601885168897</v>
      </c>
      <c r="CO4">
        <f>SUM(AV4:AY4)*0.000453592</f>
        <v>19.023335862624592</v>
      </c>
      <c r="CP4">
        <f>SUM(AZ4:BC4)*0.000453592</f>
        <v>7.938027906014562</v>
      </c>
      <c r="CQ4" s="4">
        <f>SUM(BD4:BG4)*0.000453592</f>
        <v>43.719701649664799</v>
      </c>
      <c r="CR4" s="4">
        <f>SUM(BH4:BK4)*0.000453592</f>
        <v>73.513010101053851</v>
      </c>
      <c r="CS4">
        <f>SUM(BL4:BO4)*0.000453592</f>
        <v>13.067658670676639</v>
      </c>
      <c r="CT4">
        <f>SUM(BP4:BS4)*0.000453592</f>
        <v>47.45789664040749</v>
      </c>
      <c r="CU4">
        <f>SUM(BT4:BW4)*0.000453592</f>
        <v>1.5589767640301722</v>
      </c>
      <c r="CV4" s="4">
        <f>SUM(BX4:CA4)*0.000453592</f>
        <v>22.25679937170872</v>
      </c>
      <c r="CW4" s="4">
        <f>SUM(CB4:CE4)*0.000453592</f>
        <v>20.561962328359392</v>
      </c>
      <c r="CX4" s="4">
        <f>SUM(CF4:CI4)*0.000453592</f>
        <v>44.232763869988808</v>
      </c>
      <c r="CY4" s="4">
        <f>SUM(CJ4:CM4)*0.000453592</f>
        <v>8.04588568715997</v>
      </c>
      <c r="CZ4">
        <f>CY4+AVERAGE(CV4:CX4)+AVERAGE(CQ4:CR4)</f>
        <v>95.679416752538259</v>
      </c>
      <c r="DB4">
        <f>CP4+CT4</f>
        <v>55.395924546422052</v>
      </c>
    </row>
  </sheetData>
  <autoFilter ref="A1:CY4" xr:uid="{00000000-0009-0000-0000-000000000000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der0 xmlns="8c68b288-b3ec-4b00-ac6b-468e45a11f5d" xsi:nil="true"/>
    <lcf76f155ced4ddcb4097134ff3c332f xmlns="8c68b288-b3ec-4b00-ac6b-468e45a11f5d">
      <Terms xmlns="http://schemas.microsoft.com/office/infopath/2007/PartnerControls"/>
    </lcf76f155ced4ddcb4097134ff3c332f>
    <TaxCatchAll xmlns="3e77d960-9587-461b-a95f-65fd5782fc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7286975E588A489592798636319E78" ma:contentTypeVersion="15" ma:contentTypeDescription="Create a new document." ma:contentTypeScope="" ma:versionID="36845cacb6c43362a60ea859826b18bf">
  <xsd:schema xmlns:xsd="http://www.w3.org/2001/XMLSchema" xmlns:xs="http://www.w3.org/2001/XMLSchema" xmlns:p="http://schemas.microsoft.com/office/2006/metadata/properties" xmlns:ns2="8c68b288-b3ec-4b00-ac6b-468e45a11f5d" xmlns:ns3="3e77d960-9587-461b-a95f-65fd5782fcef" targetNamespace="http://schemas.microsoft.com/office/2006/metadata/properties" ma:root="true" ma:fieldsID="9beb6b5303bbef04fb822b1caab9142d" ns2:_="" ns3:_="">
    <xsd:import namespace="8c68b288-b3ec-4b00-ac6b-468e45a11f5d"/>
    <xsd:import namespace="3e77d960-9587-461b-a95f-65fd5782fc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Order0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68b288-b3ec-4b00-ac6b-468e45a11f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rder0" ma:index="18" nillable="true" ma:displayName="Order" ma:format="Dropdown" ma:internalName="Order0" ma:percentage="FALSE">
      <xsd:simpleType>
        <xsd:restriction base="dms:Number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ec05b4d-0fc8-4ce8-a9e6-e3bed0fe03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77d960-9587-461b-a95f-65fd5782fce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c3159fa-b23b-4064-9d80-c64ea3eb87aa}" ma:internalName="TaxCatchAll" ma:showField="CatchAllData" ma:web="3e77d960-9587-461b-a95f-65fd5782fc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3E4E14-D59E-48E7-8F4D-648FAD855691}">
  <ds:schemaRefs>
    <ds:schemaRef ds:uri="http://schemas.microsoft.com/office/2006/metadata/properties"/>
    <ds:schemaRef ds:uri="http://schemas.microsoft.com/office/infopath/2007/PartnerControls"/>
    <ds:schemaRef ds:uri="8c68b288-b3ec-4b00-ac6b-468e45a11f5d"/>
    <ds:schemaRef ds:uri="3e77d960-9587-461b-a95f-65fd5782fcef"/>
  </ds:schemaRefs>
</ds:datastoreItem>
</file>

<file path=customXml/itemProps2.xml><?xml version="1.0" encoding="utf-8"?>
<ds:datastoreItem xmlns:ds="http://schemas.openxmlformats.org/officeDocument/2006/customXml" ds:itemID="{14743369-57BE-49D8-B52F-F747C5AEB3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68b288-b3ec-4b00-ac6b-468e45a11f5d"/>
    <ds:schemaRef ds:uri="3e77d960-9587-461b-a95f-65fd5782fc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46C712-E270-48F9-AA99-672A9FCD7C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DBSD Calculations</vt:lpstr>
      <vt:lpstr>Modelling 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Griffin Plush</dc:creator>
  <cp:keywords/>
  <dc:description/>
  <cp:lastModifiedBy>Griffin Plush</cp:lastModifiedBy>
  <cp:revision/>
  <dcterms:created xsi:type="dcterms:W3CDTF">2024-01-31T18:32:54Z</dcterms:created>
  <dcterms:modified xsi:type="dcterms:W3CDTF">2024-03-27T22:40:02Z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0x010100197286975E588A489592798636319E78</vt:lpwstr>
  </property>
  <property fmtid="{D5CDD505-2E9C-101B-9397-08002B2CF9AE}" pid="3" name="MediaServiceImageTags">
    <vt:lpwstr/>
  </property>
</Properties>
</file>