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filterPrivacy="1" codeName="ThisWorkbook" defaultThemeVersion="166925"/>
  <xr:revisionPtr revIDLastSave="0" documentId="8_{08F2DFD4-1BF6-4B3C-BD27-4EE1516FE21D}" xr6:coauthVersionLast="36" xr6:coauthVersionMax="36" xr10:uidLastSave="{00000000-0000-0000-0000-000000000000}"/>
  <bookViews>
    <workbookView xWindow="0" yWindow="0" windowWidth="38400" windowHeight="15705" tabRatio="979" activeTab="3" xr2:uid="{AAC398A2-E95D-4231-A920-55B8B1C73F3F}"/>
  </bookViews>
  <sheets>
    <sheet name="Budget by Year" sheetId="37" r:id="rId1"/>
    <sheet name="Consolidated Budget" sheetId="30" r:id="rId2"/>
    <sheet name="1.1 Budget - Plant" sheetId="16" r:id="rId3"/>
    <sheet name="1.2 Budget - LP Dist" sheetId="27" r:id="rId4"/>
    <sheet name="1.3 Budget - Buildings" sheetId="29" r:id="rId5"/>
    <sheet name=" 1.4 Budget - DES Connect" sheetId="28" r:id="rId6"/>
    <sheet name="2.0 Com REE Grants" sheetId="42" r:id="rId7"/>
    <sheet name="Grants-Proj Mgt &amp; EJ Outreach" sheetId="43" r:id="rId8"/>
  </sheets>
  <definedNames>
    <definedName name="_xlnm._FilterDatabase" localSheetId="5" hidden="1">' 1.4 Budget - DES Connect'!#REF!</definedName>
    <definedName name="_xlnm._FilterDatabase" localSheetId="2" hidden="1">'1.1 Budget - Plant'!#REF!</definedName>
    <definedName name="_xlnm._FilterDatabase" localSheetId="3" hidden="1">'1.2 Budget - LP Dist'!#REF!</definedName>
    <definedName name="_xlnm._FilterDatabase" localSheetId="4" hidden="1">'1.3 Budget - Buildings'!#REF!</definedName>
    <definedName name="_xlnm._FilterDatabase" localSheetId="6" hidden="1">'2.0 Com REE Grants'!#REF!</definedName>
    <definedName name="_xlnm._FilterDatabase" localSheetId="0" hidden="1">'Budget by Year'!#REF!</definedName>
    <definedName name="_xlnm._FilterDatabase" localSheetId="1" hidden="1">'Consolidated Budget'!#REF!</definedName>
    <definedName name="_xlnm._FilterDatabase" localSheetId="7" hidden="1">'Grants-Proj Mgt &amp; EJ Outreach'!#REF!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9" i="43" l="1"/>
  <c r="C39" i="30"/>
  <c r="E7" i="30"/>
  <c r="F7" i="30"/>
  <c r="G7" i="30"/>
  <c r="H7" i="30"/>
  <c r="D7" i="30"/>
  <c r="E6" i="30"/>
  <c r="F6" i="30"/>
  <c r="G6" i="30"/>
  <c r="H6" i="30"/>
  <c r="D6" i="30"/>
  <c r="E29" i="43"/>
  <c r="F29" i="43"/>
  <c r="G29" i="43"/>
  <c r="H29" i="43"/>
  <c r="D29" i="43"/>
  <c r="I24" i="43"/>
  <c r="J24" i="43"/>
  <c r="E24" i="43"/>
  <c r="F24" i="43"/>
  <c r="G24" i="43"/>
  <c r="H24" i="43"/>
  <c r="D24" i="43"/>
  <c r="F22" i="42" l="1"/>
  <c r="D22" i="42"/>
  <c r="E22" i="42"/>
  <c r="J21" i="42"/>
  <c r="G22" i="42"/>
  <c r="H22" i="42"/>
  <c r="J23" i="43"/>
  <c r="E23" i="43"/>
  <c r="F23" i="43"/>
  <c r="G23" i="43"/>
  <c r="H23" i="43"/>
  <c r="I23" i="43"/>
  <c r="D23" i="43"/>
  <c r="E8" i="43"/>
  <c r="F8" i="43" s="1"/>
  <c r="G8" i="43" s="1"/>
  <c r="H8" i="43" s="1"/>
  <c r="J22" i="42" l="1"/>
  <c r="J23" i="42" s="1"/>
  <c r="H12" i="43"/>
  <c r="G12" i="43"/>
  <c r="F12" i="43"/>
  <c r="E12" i="43"/>
  <c r="D12" i="43"/>
  <c r="J11" i="43"/>
  <c r="H9" i="43"/>
  <c r="G9" i="43"/>
  <c r="F9" i="43"/>
  <c r="E9" i="43"/>
  <c r="D9" i="43"/>
  <c r="J8" i="43"/>
  <c r="J39" i="30"/>
  <c r="G39" i="30"/>
  <c r="C38" i="30"/>
  <c r="C37" i="30"/>
  <c r="C36" i="30"/>
  <c r="C35" i="30"/>
  <c r="C34" i="30"/>
  <c r="C33" i="30"/>
  <c r="C32" i="30"/>
  <c r="E24" i="30"/>
  <c r="E23" i="30"/>
  <c r="E22" i="30"/>
  <c r="D24" i="30"/>
  <c r="J27" i="43" l="1"/>
  <c r="J14" i="43"/>
  <c r="J16" i="43"/>
  <c r="J20" i="43"/>
  <c r="J18" i="43"/>
  <c r="J12" i="43"/>
  <c r="J9" i="43"/>
  <c r="J22" i="43"/>
  <c r="J28" i="42"/>
  <c r="E23" i="42"/>
  <c r="E28" i="42" s="1"/>
  <c r="D23" i="42"/>
  <c r="H36" i="37"/>
  <c r="D36" i="37"/>
  <c r="E34" i="37"/>
  <c r="F34" i="37" s="1"/>
  <c r="G34" i="37" s="1"/>
  <c r="G36" i="37" s="1"/>
  <c r="D9" i="37"/>
  <c r="E6" i="37"/>
  <c r="F6" i="37" s="1"/>
  <c r="G6" i="37" s="1"/>
  <c r="H6" i="37" s="1"/>
  <c r="H9" i="37" s="1"/>
  <c r="G12" i="30"/>
  <c r="H12" i="30" s="1"/>
  <c r="F12" i="30"/>
  <c r="E12" i="30"/>
  <c r="D12" i="30"/>
  <c r="E26" i="28"/>
  <c r="D28" i="42" l="1"/>
  <c r="E36" i="37"/>
  <c r="F36" i="37"/>
  <c r="G9" i="37"/>
  <c r="E9" i="37"/>
  <c r="E10" i="37" s="1"/>
  <c r="F9" i="37"/>
  <c r="J12" i="30"/>
  <c r="F26" i="28"/>
  <c r="G26" i="28" s="1"/>
  <c r="H26" i="28" s="1"/>
  <c r="F23" i="42" l="1"/>
  <c r="G23" i="42"/>
  <c r="G28" i="42" s="1"/>
  <c r="J26" i="28"/>
  <c r="H29" i="37"/>
  <c r="H25" i="37"/>
  <c r="G25" i="37"/>
  <c r="F25" i="37"/>
  <c r="E25" i="37"/>
  <c r="D25" i="37"/>
  <c r="H24" i="37"/>
  <c r="G24" i="37"/>
  <c r="F24" i="37"/>
  <c r="E24" i="37"/>
  <c r="D24" i="37"/>
  <c r="H23" i="37"/>
  <c r="G23" i="37"/>
  <c r="F23" i="37"/>
  <c r="E23" i="37"/>
  <c r="D23" i="37"/>
  <c r="H22" i="37"/>
  <c r="G22" i="37"/>
  <c r="F22" i="37"/>
  <c r="E22" i="37"/>
  <c r="D22" i="37"/>
  <c r="C25" i="37"/>
  <c r="C24" i="37"/>
  <c r="C23" i="37"/>
  <c r="C22" i="37"/>
  <c r="H18" i="37"/>
  <c r="G18" i="37"/>
  <c r="E18" i="37"/>
  <c r="D18" i="37"/>
  <c r="H17" i="37"/>
  <c r="G17" i="37"/>
  <c r="F17" i="37"/>
  <c r="E17" i="37"/>
  <c r="D17" i="37"/>
  <c r="H16" i="37"/>
  <c r="G16" i="37"/>
  <c r="F16" i="37"/>
  <c r="E16" i="37"/>
  <c r="D16" i="37"/>
  <c r="H15" i="37"/>
  <c r="G15" i="37"/>
  <c r="F15" i="37"/>
  <c r="E15" i="37"/>
  <c r="D15" i="37"/>
  <c r="H14" i="37"/>
  <c r="G14" i="37"/>
  <c r="E14" i="37"/>
  <c r="D14" i="37"/>
  <c r="C18" i="37"/>
  <c r="C17" i="37"/>
  <c r="C16" i="37"/>
  <c r="C15" i="37"/>
  <c r="C14" i="37"/>
  <c r="J35" i="37"/>
  <c r="J34" i="37"/>
  <c r="H8" i="30"/>
  <c r="G8" i="30"/>
  <c r="F8" i="30"/>
  <c r="E8" i="30"/>
  <c r="D8" i="30"/>
  <c r="H10" i="37"/>
  <c r="D10" i="37"/>
  <c r="H7" i="37"/>
  <c r="D7" i="37"/>
  <c r="E7" i="37"/>
  <c r="H23" i="42" l="1"/>
  <c r="H28" i="42" s="1"/>
  <c r="F28" i="42"/>
  <c r="J8" i="30"/>
  <c r="J17" i="37"/>
  <c r="G20" i="37"/>
  <c r="G9" i="30" s="1"/>
  <c r="J36" i="37"/>
  <c r="E20" i="37"/>
  <c r="E9" i="30" s="1"/>
  <c r="J16" i="37"/>
  <c r="J24" i="37"/>
  <c r="H20" i="37"/>
  <c r="H9" i="30" s="1"/>
  <c r="J25" i="37"/>
  <c r="J23" i="37"/>
  <c r="H26" i="37"/>
  <c r="H10" i="30" s="1"/>
  <c r="D26" i="37"/>
  <c r="D10" i="30" s="1"/>
  <c r="E26" i="37"/>
  <c r="E10" i="30" s="1"/>
  <c r="F26" i="37"/>
  <c r="F10" i="30" s="1"/>
  <c r="G26" i="37"/>
  <c r="G10" i="30" s="1"/>
  <c r="F10" i="37"/>
  <c r="J22" i="37"/>
  <c r="D20" i="37"/>
  <c r="D9" i="30" s="1"/>
  <c r="J15" i="37"/>
  <c r="F7" i="37"/>
  <c r="J6" i="30" l="1"/>
  <c r="J7" i="30"/>
  <c r="J10" i="30"/>
  <c r="J26" i="37"/>
  <c r="G7" i="37"/>
  <c r="J6" i="37"/>
  <c r="J7" i="37" s="1"/>
  <c r="G10" i="37" l="1"/>
  <c r="J9" i="37"/>
  <c r="J10" i="37" s="1"/>
  <c r="I18" i="28" l="1"/>
  <c r="J25" i="28" l="1"/>
  <c r="J21" i="28"/>
  <c r="G24" i="27" l="1"/>
  <c r="J23" i="27" l="1"/>
  <c r="J24" i="27"/>
  <c r="F14" i="16" l="1"/>
  <c r="F14" i="37" s="1"/>
  <c r="F15" i="28"/>
  <c r="F24" i="16"/>
  <c r="F25" i="16"/>
  <c r="F23" i="16"/>
  <c r="F22" i="16"/>
  <c r="F21" i="16"/>
  <c r="F20" i="16"/>
  <c r="J15" i="28" l="1"/>
  <c r="F18" i="37"/>
  <c r="J18" i="37" s="1"/>
  <c r="F20" i="37"/>
  <c r="F9" i="30" s="1"/>
  <c r="J9" i="30" s="1"/>
  <c r="J14" i="37"/>
  <c r="F26" i="16"/>
  <c r="J20" i="37" l="1"/>
  <c r="D27" i="16"/>
  <c r="E27" i="16"/>
  <c r="H27" i="16"/>
  <c r="J25" i="16"/>
  <c r="G24" i="16"/>
  <c r="G23" i="16"/>
  <c r="J23" i="16" s="1"/>
  <c r="G22" i="16"/>
  <c r="J22" i="16" s="1"/>
  <c r="G21" i="16"/>
  <c r="J21" i="16" s="1"/>
  <c r="G20" i="16"/>
  <c r="F27" i="16"/>
  <c r="H28" i="37" l="1"/>
  <c r="F28" i="37"/>
  <c r="E28" i="37"/>
  <c r="D28" i="37"/>
  <c r="G26" i="16"/>
  <c r="J24" i="16"/>
  <c r="J20" i="16"/>
  <c r="G16" i="28"/>
  <c r="E16" i="28"/>
  <c r="E27" i="28"/>
  <c r="E31" i="37" s="1"/>
  <c r="G27" i="16" l="1"/>
  <c r="J26" i="16"/>
  <c r="G27" i="28"/>
  <c r="G31" i="37" s="1"/>
  <c r="G28" i="37" l="1"/>
  <c r="J28" i="37" s="1"/>
  <c r="E15" i="16"/>
  <c r="F15" i="16"/>
  <c r="G15" i="16"/>
  <c r="H15" i="16"/>
  <c r="D15" i="16"/>
  <c r="E15" i="29"/>
  <c r="H15" i="29"/>
  <c r="D15" i="29"/>
  <c r="J21" i="27"/>
  <c r="J22" i="27"/>
  <c r="G15" i="29" l="1"/>
  <c r="F15" i="29" l="1"/>
  <c r="J14" i="16" l="1"/>
  <c r="D18" i="16" l="1"/>
  <c r="D30" i="16" s="1"/>
  <c r="J30" i="16" s="1"/>
  <c r="F18" i="16"/>
  <c r="F30" i="16" s="1"/>
  <c r="G18" i="16"/>
  <c r="G30" i="16" s="1"/>
  <c r="H18" i="16"/>
  <c r="H30" i="16" s="1"/>
  <c r="E18" i="16"/>
  <c r="E30" i="16" s="1"/>
  <c r="J20" i="27" l="1"/>
  <c r="H22" i="29"/>
  <c r="H30" i="37" s="1"/>
  <c r="D22" i="29"/>
  <c r="D30" i="37" s="1"/>
  <c r="J21" i="29"/>
  <c r="H18" i="29"/>
  <c r="D18" i="29"/>
  <c r="J14" i="29"/>
  <c r="H27" i="28"/>
  <c r="H31" i="37" s="1"/>
  <c r="G19" i="28"/>
  <c r="D27" i="28"/>
  <c r="D31" i="37" s="1"/>
  <c r="J24" i="28"/>
  <c r="J23" i="28"/>
  <c r="J22" i="28"/>
  <c r="H19" i="28"/>
  <c r="D19" i="28"/>
  <c r="H16" i="28"/>
  <c r="F16" i="28"/>
  <c r="D16" i="28"/>
  <c r="J14" i="28"/>
  <c r="H33" i="27"/>
  <c r="G33" i="27"/>
  <c r="F33" i="27"/>
  <c r="E33" i="27"/>
  <c r="D33" i="27"/>
  <c r="J31" i="27"/>
  <c r="D25" i="27"/>
  <c r="H15" i="27"/>
  <c r="G15" i="27"/>
  <c r="F15" i="27"/>
  <c r="E15" i="27"/>
  <c r="D15" i="27"/>
  <c r="J14" i="27"/>
  <c r="J17" i="16"/>
  <c r="J27" i="16" l="1"/>
  <c r="H32" i="37"/>
  <c r="H37" i="37" s="1"/>
  <c r="H42" i="37" s="1"/>
  <c r="D15" i="30"/>
  <c r="J18" i="16"/>
  <c r="F27" i="28"/>
  <c r="F31" i="37" s="1"/>
  <c r="J31" i="37" s="1"/>
  <c r="F25" i="27"/>
  <c r="E29" i="37" s="1"/>
  <c r="E25" i="27"/>
  <c r="D29" i="37" s="1"/>
  <c r="G25" i="27"/>
  <c r="F29" i="37" s="1"/>
  <c r="G18" i="29"/>
  <c r="H25" i="27"/>
  <c r="G29" i="37" s="1"/>
  <c r="D32" i="30"/>
  <c r="G22" i="29"/>
  <c r="F22" i="29"/>
  <c r="F30" i="37" s="1"/>
  <c r="E22" i="29"/>
  <c r="E30" i="37" s="1"/>
  <c r="J20" i="29"/>
  <c r="J15" i="29"/>
  <c r="E35" i="30" s="1"/>
  <c r="D38" i="30"/>
  <c r="D34" i="30"/>
  <c r="J15" i="16"/>
  <c r="J15" i="27"/>
  <c r="D35" i="30" s="1"/>
  <c r="D35" i="16"/>
  <c r="D33" i="30"/>
  <c r="B33" i="30" s="1"/>
  <c r="J33" i="28"/>
  <c r="J16" i="28"/>
  <c r="F35" i="30" s="1"/>
  <c r="J12" i="28"/>
  <c r="F34" i="30" s="1"/>
  <c r="D30" i="28"/>
  <c r="D35" i="28" s="1"/>
  <c r="G30" i="28"/>
  <c r="G35" i="28" s="1"/>
  <c r="H30" i="28"/>
  <c r="H35" i="28" s="1"/>
  <c r="H39" i="30"/>
  <c r="J12" i="29"/>
  <c r="E32" i="30" s="1"/>
  <c r="H25" i="29"/>
  <c r="H30" i="29" s="1"/>
  <c r="D25" i="29"/>
  <c r="D30" i="29" s="1"/>
  <c r="J28" i="29"/>
  <c r="J24" i="29"/>
  <c r="E38" i="30" s="1"/>
  <c r="J29" i="28"/>
  <c r="F38" i="30" s="1"/>
  <c r="J33" i="27"/>
  <c r="B34" i="30" l="1"/>
  <c r="B35" i="30"/>
  <c r="B38" i="30"/>
  <c r="E32" i="37"/>
  <c r="E37" i="37" s="1"/>
  <c r="B32" i="30"/>
  <c r="H11" i="30"/>
  <c r="H13" i="30" s="1"/>
  <c r="F32" i="37"/>
  <c r="F18" i="29"/>
  <c r="F25" i="29" s="1"/>
  <c r="F30" i="29" s="1"/>
  <c r="G30" i="37"/>
  <c r="J30" i="37" s="1"/>
  <c r="D32" i="37"/>
  <c r="D37" i="37" s="1"/>
  <c r="J29" i="37"/>
  <c r="G18" i="27"/>
  <c r="J27" i="28"/>
  <c r="F37" i="30" s="1"/>
  <c r="F19" i="28"/>
  <c r="F30" i="28" s="1"/>
  <c r="F35" i="28" s="1"/>
  <c r="E19" i="28"/>
  <c r="E18" i="27"/>
  <c r="E28" i="27" s="1"/>
  <c r="E35" i="27" s="1"/>
  <c r="F18" i="27"/>
  <c r="D18" i="27"/>
  <c r="J25" i="27"/>
  <c r="D37" i="30" s="1"/>
  <c r="G25" i="29"/>
  <c r="G30" i="29" s="1"/>
  <c r="H18" i="27"/>
  <c r="E18" i="29"/>
  <c r="J22" i="29"/>
  <c r="E37" i="30" s="1"/>
  <c r="H15" i="30"/>
  <c r="G15" i="30"/>
  <c r="F15" i="30"/>
  <c r="E11" i="30" l="1"/>
  <c r="E13" i="30" s="1"/>
  <c r="B37" i="30"/>
  <c r="H17" i="30"/>
  <c r="E42" i="37"/>
  <c r="D42" i="37"/>
  <c r="D11" i="30"/>
  <c r="F37" i="37"/>
  <c r="F42" i="37" s="1"/>
  <c r="F11" i="30"/>
  <c r="J32" i="37"/>
  <c r="J37" i="37" s="1"/>
  <c r="G32" i="37"/>
  <c r="G28" i="27"/>
  <c r="G35" i="27" s="1"/>
  <c r="D28" i="27"/>
  <c r="D35" i="27" s="1"/>
  <c r="J18" i="28"/>
  <c r="F28" i="27"/>
  <c r="F35" i="27" s="1"/>
  <c r="J17" i="29"/>
  <c r="J19" i="28"/>
  <c r="F36" i="30" s="1"/>
  <c r="F39" i="30" s="1"/>
  <c r="E30" i="28"/>
  <c r="J17" i="27"/>
  <c r="J18" i="27" s="1"/>
  <c r="D36" i="30" s="1"/>
  <c r="H28" i="27"/>
  <c r="H35" i="27" s="1"/>
  <c r="E25" i="29"/>
  <c r="E30" i="29" s="1"/>
  <c r="J18" i="29"/>
  <c r="E36" i="30" s="1"/>
  <c r="E39" i="30" s="1"/>
  <c r="F35" i="16"/>
  <c r="G35" i="16"/>
  <c r="H35" i="16"/>
  <c r="E35" i="16"/>
  <c r="B36" i="30" l="1"/>
  <c r="D39" i="30"/>
  <c r="B39" i="30" s="1"/>
  <c r="E17" i="30"/>
  <c r="D17" i="30"/>
  <c r="D13" i="30"/>
  <c r="F13" i="30"/>
  <c r="F17" i="30"/>
  <c r="G37" i="37"/>
  <c r="G42" i="37" s="1"/>
  <c r="G11" i="30"/>
  <c r="J35" i="16"/>
  <c r="J25" i="29"/>
  <c r="E35" i="28"/>
  <c r="J30" i="28"/>
  <c r="J35" i="28" s="1"/>
  <c r="J28" i="27"/>
  <c r="J35" i="27" s="1"/>
  <c r="E15" i="30"/>
  <c r="G13" i="30" l="1"/>
  <c r="G17" i="30"/>
  <c r="J11" i="30"/>
  <c r="J30" i="29"/>
  <c r="J42" i="37"/>
  <c r="J15" i="30"/>
  <c r="J13" i="30" l="1"/>
  <c r="J17" i="30"/>
  <c r="E26" i="30"/>
</calcChain>
</file>

<file path=xl/sharedStrings.xml><?xml version="1.0" encoding="utf-8"?>
<sst xmlns="http://schemas.openxmlformats.org/spreadsheetml/2006/main" count="418" uniqueCount="94">
  <si>
    <t>Consolidated Budget Table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</si>
  <si>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</si>
  <si>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</si>
  <si>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</si>
  <si>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</si>
  <si>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</si>
  <si>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</si>
  <si>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</si>
  <si>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</si>
  <si>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</si>
  <si>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</si>
  <si>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</si>
  <si>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</si>
  <si>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</si>
  <si>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</si>
  <si>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</si>
  <si>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</si>
  <si>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</si>
  <si>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</si>
  <si>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</si>
  <si>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</si>
  <si>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</si>
  <si>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</si>
  <si>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</si>
  <si>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</si>
  <si>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</si>
  <si>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</si>
  <si>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</si>
  <si>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</si>
  <si>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</si>
  <si>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</si>
  <si>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</si>
  <si>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</si>
  <si>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>OTHER</t>
  </si>
  <si>
    <t>Indirect Costs</t>
  </si>
  <si>
    <t>Heat Exchangers</t>
  </si>
  <si>
    <t>Pumps</t>
  </si>
  <si>
    <t>Piping, Valves, and Fittings</t>
  </si>
  <si>
    <t>Building</t>
  </si>
  <si>
    <t>Controls and Instrumentation</t>
  </si>
  <si>
    <t>Electrical</t>
  </si>
  <si>
    <t>Contractual</t>
  </si>
  <si>
    <t>Construction</t>
  </si>
  <si>
    <t>HVAC Conversions and HW Connections for ~20 Buildings</t>
  </si>
  <si>
    <t>Service Lateral Piping and Service Entry Valves</t>
  </si>
  <si>
    <t xml:space="preserve"> Equipment</t>
  </si>
  <si>
    <t>Pipe Installation Cost</t>
  </si>
  <si>
    <t>Civil Construction Cost</t>
  </si>
  <si>
    <t>Communication Installation Cost</t>
  </si>
  <si>
    <t>Soft Construction Costs (Erosion Control, Traffic Control, Utility Potholing, Mobilization)</t>
  </si>
  <si>
    <t>Other</t>
  </si>
  <si>
    <t xml:space="preserve"> Contruction</t>
  </si>
  <si>
    <t xml:space="preserve"> TOTAL CONSTRUCTION</t>
  </si>
  <si>
    <t>Inflation Forecast</t>
  </si>
  <si>
    <t>Contractor OH&amp;P, Rentals, Permits, &amp; Other (15%)</t>
  </si>
  <si>
    <t>Sidewalk snowmelt system</t>
  </si>
  <si>
    <t>DES connection and hot water to hot water interface - consultants, engineering, project management, site supervision, and travel.</t>
  </si>
  <si>
    <t>Hot Water Piping Install - Civil Construction Cost</t>
  </si>
  <si>
    <t>Hot Water to Hot Water Energy Transfer Station at DES</t>
  </si>
  <si>
    <t>Hot Water Pipe Installation, ~7,800 TF</t>
  </si>
  <si>
    <t>Lincoln Park Hot Water Distribution System - consultants, engineering, project management, site supervision, and travel.</t>
  </si>
  <si>
    <t>System Connections and HVAC Conversion - consultants, engineering, project management, site supervision, and travel.</t>
  </si>
  <si>
    <t>Four 2 MW Heat Pumps Serving Lincoln Park</t>
  </si>
  <si>
    <t>One 2 MW Heat Pump Added for DES Connection</t>
  </si>
  <si>
    <t>Hot water to Hot Water Energy Transfer Stations for Building Connections</t>
  </si>
  <si>
    <t>Lincoln Park Hot Water Piping, ~14,000 TF</t>
  </si>
  <si>
    <t>DES Connection Hot Water Piping, ~7,800 TF</t>
  </si>
  <si>
    <t>WLSSD wastewater connection and central heat pump plant - consultants, engineering, project management, and site supervision.</t>
  </si>
  <si>
    <t>Competitively bid contract for the construction of the how water distribution system serving Lincoln Park.</t>
  </si>
  <si>
    <t xml:space="preserve">Competitively bid contracts for the construction of building connections and HVAC system conversions. </t>
  </si>
  <si>
    <t>Competitively bid contract for the construction of the interconnecting hot water piping between the Lincoln Park project limits and DES. Includes an energy transfer station at DES plant.</t>
  </si>
  <si>
    <t xml:space="preserve"> Construction</t>
  </si>
  <si>
    <t>Competitively bid contract for the construction of the WLSSD Wastewater heat recovery system, and central plant. Scope of work includes the installation of supplied heat pumps.</t>
  </si>
  <si>
    <t>Community Outreach and Jobs Training Support</t>
  </si>
  <si>
    <t>Commercial renewable and efficiency design/implementation grants</t>
  </si>
  <si>
    <t>Measure 1- Wastewater Heat Recovery</t>
  </si>
  <si>
    <t>Measure 2- Commercial REE Grant</t>
  </si>
  <si>
    <t>Staff and EJ Outreach Subaward</t>
  </si>
  <si>
    <t>Project Manager 1 FTE@ $78,853 Y1</t>
  </si>
  <si>
    <t>Full-time Employees @ 37% of salary- includes health, retirement, PTO, unemployment, workers comp, rate established through union negotiations</t>
  </si>
  <si>
    <t>1.1 Plant</t>
  </si>
  <si>
    <t>1.2 LNPK</t>
  </si>
  <si>
    <t>1.3 Buildings</t>
  </si>
  <si>
    <t>1.4 DES</t>
  </si>
  <si>
    <t>EJ Outreach Subaward with inflation escalator. Includes .75 FTE, supplies, and mileage</t>
  </si>
  <si>
    <t>Measure 2</t>
  </si>
  <si>
    <t>Staff &amp; Outreach</t>
  </si>
  <si>
    <t>Measure 1 Total</t>
  </si>
  <si>
    <t>BUDGET BY COMPONENT</t>
  </si>
  <si>
    <t xml:space="preserve"> TOTAL CONTRACTUAL</t>
  </si>
  <si>
    <t>TOTAL CONSTRUCTION</t>
  </si>
  <si>
    <t>Commercial analysis and design grants 50@$10,000</t>
  </si>
  <si>
    <t>Commercial implementation grants 50@$10,000</t>
  </si>
  <si>
    <t>Cost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</si>
</sst>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%"/>
    <numFmt numFmtId="166" formatCode="&quot;$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5" fillId="0" borderId="0" xfId="0" applyFont="1" applyFill="1" applyBorder="1" applyAlignment="1"/>
    <xf numFmtId="0" fontId="5" fillId="0" borderId="1" xfId="0" applyFont="1" applyFill="1" applyBorder="1" applyAlignment="1"/>
    <xf numFmtId="0" fontId="5" fillId="2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6" fillId="0" borderId="9" xfId="0" applyFont="1" applyFill="1" applyBorder="1" applyAlignment="1">
      <alignment wrapText="1"/>
    </xf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0" fontId="8" fillId="0" borderId="0" xfId="0" applyFont="1"/>
    <xf numFmtId="0" fontId="7" fillId="3" borderId="8" xfId="0" applyFont="1" applyFill="1" applyBorder="1" applyAlignment="1"/>
    <xf numFmtId="0" fontId="1" fillId="3" borderId="7" xfId="0" applyFont="1" applyFill="1" applyBorder="1" applyAlignment="1">
      <alignment wrapText="1"/>
    </xf>
    <xf numFmtId="0" fontId="1" fillId="3" borderId="6" xfId="0" applyFont="1" applyFill="1" applyBorder="1" applyAlignment="1">
      <alignment wrapText="1"/>
    </xf>
    <xf numFmtId="0" fontId="6" fillId="4" borderId="11" xfId="0" applyFont="1" applyFill="1" applyBorder="1" applyAlignment="1">
      <alignment wrapText="1"/>
    </xf>
    <xf numFmtId="0" fontId="6" fillId="4" borderId="12" xfId="0" applyFont="1" applyFill="1" applyBorder="1" applyAlignment="1">
      <alignment wrapText="1"/>
    </xf>
    <xf numFmtId="0" fontId="6" fillId="4" borderId="13" xfId="0" applyFont="1" applyFill="1" applyBorder="1" applyAlignment="1">
      <alignment wrapText="1"/>
    </xf>
    <xf numFmtId="0" fontId="6" fillId="4" borderId="7" xfId="0" applyFont="1" applyFill="1" applyBorder="1" applyAlignment="1">
      <alignment wrapText="1"/>
    </xf>
    <xf numFmtId="0" fontId="6" fillId="4" borderId="3" xfId="0" applyFont="1" applyFill="1" applyBorder="1" applyAlignment="1"/>
    <xf numFmtId="0" fontId="0" fillId="0" borderId="0" xfId="0" applyAlignment="1">
      <alignment vertical="top"/>
    </xf>
    <xf numFmtId="0" fontId="5" fillId="0" borderId="0" xfId="0" applyFont="1"/>
    <xf numFmtId="0" fontId="2" fillId="0" borderId="2" xfId="0" applyFont="1" applyBorder="1" applyAlignment="1">
      <alignment vertical="top"/>
    </xf>
    <xf numFmtId="0" fontId="5" fillId="5" borderId="1" xfId="0" applyFont="1" applyFill="1" applyBorder="1" applyAlignment="1">
      <alignment wrapText="1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6" fillId="0" borderId="9" xfId="0" applyFont="1" applyBorder="1" applyAlignment="1">
      <alignment wrapText="1"/>
    </xf>
    <xf numFmtId="0" fontId="9" fillId="0" borderId="0" xfId="0" applyFont="1"/>
    <xf numFmtId="0" fontId="0" fillId="0" borderId="1" xfId="0" applyBorder="1" applyAlignment="1">
      <alignment vertical="top"/>
    </xf>
    <xf numFmtId="0" fontId="2" fillId="0" borderId="2" xfId="0" applyFont="1" applyFill="1" applyBorder="1" applyAlignment="1">
      <alignment vertical="top" wrapText="1"/>
    </xf>
    <xf numFmtId="6" fontId="0" fillId="0" borderId="0" xfId="0" applyNumberFormat="1" applyFont="1" applyBorder="1"/>
    <xf numFmtId="0" fontId="1" fillId="3" borderId="7" xfId="0" applyFont="1" applyFill="1" applyBorder="1" applyAlignment="1">
      <alignment horizontal="center" wrapText="1"/>
    </xf>
    <xf numFmtId="165" fontId="0" fillId="0" borderId="0" xfId="2" applyNumberFormat="1" applyFont="1" applyBorder="1"/>
    <xf numFmtId="9" fontId="0" fillId="0" borderId="0" xfId="2" applyFont="1" applyBorder="1" applyAlignment="1">
      <alignment vertical="top"/>
    </xf>
    <xf numFmtId="10" fontId="0" fillId="0" borderId="0" xfId="0" applyNumberFormat="1" applyFont="1" applyBorder="1" applyAlignment="1">
      <alignment vertical="top"/>
    </xf>
    <xf numFmtId="9" fontId="0" fillId="0" borderId="0" xfId="0" applyNumberFormat="1" applyFont="1" applyFill="1" applyBorder="1"/>
    <xf numFmtId="6" fontId="0" fillId="0" borderId="0" xfId="0" applyNumberFormat="1" applyFont="1" applyFill="1" applyBorder="1"/>
    <xf numFmtId="8" fontId="0" fillId="0" borderId="0" xfId="0" applyNumberFormat="1" applyFont="1" applyBorder="1"/>
    <xf numFmtId="165" fontId="0" fillId="0" borderId="0" xfId="2" applyNumberFormat="1" applyFont="1" applyFill="1" applyBorder="1"/>
    <xf numFmtId="1" fontId="0" fillId="0" borderId="0" xfId="0" applyNumberFormat="1" applyAlignment="1">
      <alignment vertical="top"/>
    </xf>
    <xf numFmtId="1" fontId="0" fillId="0" borderId="0" xfId="1" applyNumberFormat="1" applyFont="1" applyBorder="1"/>
    <xf numFmtId="1" fontId="0" fillId="0" borderId="0" xfId="0" applyNumberFormat="1"/>
    <xf numFmtId="6" fontId="11" fillId="0" borderId="0" xfId="0" applyNumberFormat="1" applyFont="1"/>
    <xf numFmtId="6" fontId="11" fillId="0" borderId="0" xfId="0" applyNumberFormat="1" applyFont="1" applyFill="1" applyBorder="1"/>
    <xf numFmtId="6" fontId="9" fillId="5" borderId="1" xfId="0" applyNumberFormat="1" applyFont="1" applyFill="1" applyBorder="1" applyAlignment="1">
      <alignment wrapText="1"/>
    </xf>
    <xf numFmtId="0" fontId="10" fillId="6" borderId="0" xfId="0" applyFont="1" applyFill="1"/>
    <xf numFmtId="6" fontId="9" fillId="0" borderId="1" xfId="0" applyNumberFormat="1" applyFont="1" applyFill="1" applyBorder="1" applyAlignment="1">
      <alignment wrapText="1"/>
    </xf>
    <xf numFmtId="6" fontId="9" fillId="2" borderId="1" xfId="0" applyNumberFormat="1" applyFont="1" applyFill="1" applyBorder="1" applyAlignment="1">
      <alignment wrapText="1"/>
    </xf>
    <xf numFmtId="0" fontId="10" fillId="0" borderId="0" xfId="0" applyFont="1"/>
    <xf numFmtId="0" fontId="10" fillId="0" borderId="1" xfId="0" applyFont="1" applyBorder="1"/>
    <xf numFmtId="6" fontId="10" fillId="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6" fontId="12" fillId="0" borderId="14" xfId="0" applyNumberFormat="1" applyFont="1" applyBorder="1" applyAlignment="1">
      <alignment wrapText="1"/>
    </xf>
    <xf numFmtId="0" fontId="12" fillId="0" borderId="0" xfId="0" applyFont="1"/>
    <xf numFmtId="6" fontId="9" fillId="5" borderId="1" xfId="0" applyNumberFormat="1" applyFont="1" applyFill="1" applyBorder="1" applyAlignment="1">
      <alignment horizontal="left" vertical="top" wrapText="1"/>
    </xf>
    <xf numFmtId="6" fontId="9" fillId="5" borderId="8" xfId="0" applyNumberFormat="1" applyFont="1" applyFill="1" applyBorder="1" applyAlignment="1">
      <alignment wrapText="1"/>
    </xf>
    <xf numFmtId="0" fontId="0" fillId="0" borderId="16" xfId="0" applyBorder="1" applyAlignment="1">
      <alignment vertical="top"/>
    </xf>
    <xf numFmtId="0" fontId="10" fillId="0" borderId="16" xfId="0" applyFont="1" applyBorder="1"/>
    <xf numFmtId="0" fontId="9" fillId="0" borderId="1" xfId="0" applyFont="1" applyFill="1" applyBorder="1" applyAlignment="1">
      <alignment horizontal="left" wrapText="1" indent="2"/>
    </xf>
    <xf numFmtId="0" fontId="10" fillId="0" borderId="0" xfId="0" applyFont="1" applyFill="1" applyBorder="1" applyAlignment="1"/>
    <xf numFmtId="0" fontId="12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/>
    <xf numFmtId="6" fontId="10" fillId="0" borderId="1" xfId="0" applyNumberFormat="1" applyFont="1" applyFill="1" applyBorder="1" applyAlignment="1">
      <alignment wrapText="1"/>
    </xf>
    <xf numFmtId="6" fontId="10" fillId="0" borderId="0" xfId="0" applyNumberFormat="1" applyFont="1" applyFill="1" applyBorder="1" applyAlignment="1"/>
    <xf numFmtId="0" fontId="10" fillId="0" borderId="0" xfId="0" applyFont="1" applyFill="1" applyBorder="1"/>
    <xf numFmtId="6" fontId="9" fillId="2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2" fillId="0" borderId="1" xfId="0" applyFont="1" applyFill="1" applyBorder="1"/>
    <xf numFmtId="0" fontId="10" fillId="0" borderId="1" xfId="0" applyFont="1" applyFill="1" applyBorder="1"/>
    <xf numFmtId="0" fontId="12" fillId="0" borderId="9" xfId="0" applyFont="1" applyFill="1" applyBorder="1" applyAlignment="1">
      <alignment wrapText="1"/>
    </xf>
    <xf numFmtId="6" fontId="13" fillId="0" borderId="10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6" fontId="13" fillId="2" borderId="1" xfId="0" applyNumberFormat="1" applyFont="1" applyFill="1" applyBorder="1" applyAlignment="1">
      <alignment wrapText="1"/>
    </xf>
    <xf numFmtId="0" fontId="12" fillId="0" borderId="0" xfId="0" applyFont="1" applyFill="1" applyBorder="1" applyAlignment="1"/>
    <xf numFmtId="0" fontId="12" fillId="7" borderId="1" xfId="0" applyFont="1" applyFill="1" applyBorder="1" applyAlignment="1">
      <alignment wrapText="1"/>
    </xf>
    <xf numFmtId="6" fontId="13" fillId="7" borderId="1" xfId="0" applyNumberFormat="1" applyFont="1" applyFill="1" applyBorder="1" applyAlignment="1">
      <alignment wrapText="1"/>
    </xf>
    <xf numFmtId="6" fontId="13" fillId="2" borderId="4" xfId="0" applyNumberFormat="1" applyFont="1" applyFill="1" applyBorder="1" applyAlignment="1">
      <alignment wrapText="1"/>
    </xf>
    <xf numFmtId="6" fontId="13" fillId="8" borderId="1" xfId="0" applyNumberFormat="1" applyFont="1" applyFill="1" applyBorder="1" applyAlignment="1">
      <alignment wrapText="1"/>
    </xf>
    <xf numFmtId="0" fontId="12" fillId="8" borderId="1" xfId="0" applyFont="1" applyFill="1" applyBorder="1" applyAlignment="1">
      <alignment wrapText="1"/>
    </xf>
    <xf numFmtId="0" fontId="12" fillId="6" borderId="0" xfId="0" applyFont="1" applyFill="1" applyBorder="1" applyAlignment="1"/>
    <xf numFmtId="6" fontId="9" fillId="0" borderId="5" xfId="0" applyNumberFormat="1" applyFont="1" applyFill="1" applyBorder="1" applyAlignment="1">
      <alignment wrapText="1"/>
    </xf>
    <xf numFmtId="49" fontId="9" fillId="0" borderId="1" xfId="0" applyNumberFormat="1" applyFont="1" applyFill="1" applyBorder="1" applyAlignment="1">
      <alignment horizontal="left" wrapText="1" indent="2"/>
    </xf>
    <xf numFmtId="0" fontId="7" fillId="3" borderId="8" xfId="0" applyFont="1" applyFill="1" applyBorder="1"/>
    <xf numFmtId="0" fontId="1" fillId="3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4" borderId="15" xfId="0" applyFont="1" applyFill="1" applyBorder="1" applyAlignment="1">
      <alignment wrapText="1"/>
    </xf>
    <xf numFmtId="0" fontId="6" fillId="4" borderId="11" xfId="0" applyFont="1" applyFill="1" applyBorder="1" applyAlignment="1">
      <alignment horizontal="center" wrapText="1"/>
    </xf>
    <xf numFmtId="0" fontId="6" fillId="4" borderId="12" xfId="0" applyFont="1" applyFill="1" applyBorder="1" applyAlignment="1">
      <alignment horizontal="center" wrapText="1"/>
    </xf>
    <xf numFmtId="0" fontId="6" fillId="4" borderId="13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vertical="top"/>
    </xf>
    <xf numFmtId="166" fontId="9" fillId="0" borderId="1" xfId="0" applyNumberFormat="1" applyFont="1" applyFill="1" applyBorder="1" applyAlignment="1">
      <alignment wrapText="1"/>
    </xf>
    <xf numFmtId="166" fontId="10" fillId="0" borderId="1" xfId="0" applyNumberFormat="1" applyFont="1" applyFill="1" applyBorder="1" applyAlignment="1">
      <alignment wrapText="1"/>
    </xf>
    <xf numFmtId="166" fontId="10" fillId="0" borderId="0" xfId="0" applyNumberFormat="1" applyFont="1" applyFill="1" applyBorder="1" applyAlignment="1"/>
    <xf numFmtId="166" fontId="0" fillId="0" borderId="0" xfId="0" applyNumberFormat="1" applyFont="1" applyFill="1" applyBorder="1"/>
    <xf numFmtId="0" fontId="0" fillId="3" borderId="0" xfId="0" applyFill="1"/>
    <xf numFmtId="0" fontId="7" fillId="3" borderId="0" xfId="0" applyFont="1" applyFill="1"/>
    <xf numFmtId="166" fontId="0" fillId="0" borderId="1" xfId="0" applyNumberFormat="1" applyBorder="1"/>
    <xf numFmtId="166" fontId="3" fillId="0" borderId="1" xfId="0" applyNumberFormat="1" applyFont="1" applyFill="1" applyBorder="1"/>
    <xf numFmtId="166" fontId="5" fillId="0" borderId="1" xfId="0" applyNumberFormat="1" applyFont="1" applyBorder="1"/>
    <xf numFmtId="166" fontId="0" fillId="0" borderId="1" xfId="0" applyNumberFormat="1" applyFill="1" applyBorder="1"/>
    <xf numFmtId="0" fontId="6" fillId="4" borderId="1" xfId="0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right" wrapText="1"/>
    </xf>
    <xf numFmtId="0" fontId="6" fillId="4" borderId="1" xfId="0" applyFont="1" applyFill="1" applyBorder="1" applyAlignment="1">
      <alignment wrapText="1"/>
    </xf>
    <xf numFmtId="166" fontId="0" fillId="4" borderId="1" xfId="0" applyNumberFormat="1" applyFont="1" applyFill="1" applyBorder="1"/>
    <xf numFmtId="166" fontId="2" fillId="4" borderId="1" xfId="0" applyNumberFormat="1" applyFont="1" applyFill="1" applyBorder="1"/>
    <xf numFmtId="0" fontId="12" fillId="4" borderId="11" xfId="0" applyFont="1" applyFill="1" applyBorder="1" applyAlignment="1">
      <alignment wrapText="1"/>
    </xf>
    <xf numFmtId="0" fontId="12" fillId="4" borderId="12" xfId="0" applyFont="1" applyFill="1" applyBorder="1" applyAlignment="1">
      <alignment wrapText="1"/>
    </xf>
    <xf numFmtId="0" fontId="12" fillId="4" borderId="13" xfId="0" applyFont="1" applyFill="1" applyBorder="1" applyAlignment="1">
      <alignment wrapText="1"/>
    </xf>
    <xf numFmtId="0" fontId="12" fillId="4" borderId="7" xfId="0" applyFont="1" applyFill="1" applyBorder="1" applyAlignment="1">
      <alignment wrapText="1"/>
    </xf>
    <xf numFmtId="0" fontId="12" fillId="4" borderId="3" xfId="0" applyFont="1" applyFill="1" applyBorder="1" applyAlignment="1"/>
    <xf numFmtId="166" fontId="0" fillId="0" borderId="0" xfId="0" applyNumberFormat="1"/>
    <xf numFmtId="3" fontId="0" fillId="0" borderId="0" xfId="0" applyNumberFormat="1"/>
    <xf numFmtId="166" fontId="2" fillId="0" borderId="1" xfId="0" applyNumberFormat="1" applyFont="1" applyBorder="1"/>
    <xf numFmtId="0" fontId="2" fillId="0" borderId="3" xfId="0" applyFont="1" applyBorder="1" applyAlignment="1">
      <alignment horizontal="center"/>
    </xf>
    <xf numFmtId="0" fontId="0" fillId="0" borderId="9" xfId="0" applyFont="1" applyFill="1" applyBorder="1" applyAlignment="1">
      <alignment wrapText="1"/>
    </xf>
    <xf numFmtId="6" fontId="3" fillId="0" borderId="10" xfId="0" applyNumberFormat="1" applyFont="1" applyFill="1" applyBorder="1" applyAlignment="1">
      <alignment wrapText="1"/>
    </xf>
    <xf numFmtId="0" fontId="0" fillId="0" borderId="0" xfId="0" applyFont="1" applyFill="1" applyBorder="1" applyAlignment="1"/>
    <xf numFmtId="9" fontId="9" fillId="5" borderId="1" xfId="2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96248-2A93-4F7E-A344-1356589900B5}">
  <sheetPr>
    <tabColor theme="9" tint="0.39997558519241921"/>
    <pageSetUpPr fitToPage="1"/>
  </sheetPr>
  <dimension ref="B1:AX57"/>
  <sheetViews>
    <sheetView showGridLines="0" topLeftCell="A10" zoomScale="85" zoomScaleNormal="85" workbookViewId="0">
      <selection activeCell="C35" sqref="C35:H35"/>
    </sheetView>
  </sheetViews>
  <sheetFormatPr defaultColWidth="9.140625" defaultRowHeight="15" x14ac:dyDescent="0.25"/>
  <cols>
    <col min="1" max="1" width="3.140625" style="6" customWidth="1"/>
    <col min="2" max="2" width="10.140625" style="6" customWidth="1"/>
    <col min="3" max="3" width="58" style="6" customWidth="1"/>
    <col min="4" max="4" width="12.42578125" style="9" customWidth="1"/>
    <col min="5" max="5" width="12.5703125" style="3" customWidth="1"/>
    <col min="6" max="6" width="12.42578125" style="6" customWidth="1"/>
    <col min="7" max="7" width="13" style="6" customWidth="1"/>
    <col min="8" max="8" width="12.42578125" style="3" customWidth="1"/>
    <col min="9" max="9" width="1.7109375" style="10" customWidth="1"/>
    <col min="10" max="10" width="12.85546875" style="6" customWidth="1"/>
    <col min="11" max="11" width="10.140625" style="6" customWidth="1"/>
    <col min="12" max="12" width="9.140625" style="6"/>
    <col min="13" max="14" width="10.85546875" style="6" bestFit="1" customWidth="1"/>
    <col min="15" max="17" width="14" style="6" customWidth="1"/>
    <col min="18" max="16384" width="9.140625" style="6"/>
  </cols>
  <sheetData>
    <row r="1" spans="2:50" ht="23.25" x14ac:dyDescent="0.35">
      <c r="B1" s="22" t="s">
        <v>27</v>
      </c>
    </row>
    <row r="2" spans="2:50" x14ac:dyDescent="0.25">
      <c r="B2" s="5"/>
      <c r="D2" s="45"/>
      <c r="E2" s="43">
        <v>2.3E-2</v>
      </c>
      <c r="F2" s="43">
        <v>2.1000000000000001E-2</v>
      </c>
      <c r="G2" s="43">
        <v>0.02</v>
      </c>
      <c r="H2" s="43">
        <v>0.02</v>
      </c>
    </row>
    <row r="3" spans="2:50" ht="18.75" x14ac:dyDescent="0.3">
      <c r="B3" s="23" t="s">
        <v>1</v>
      </c>
      <c r="C3" s="24"/>
      <c r="D3" s="42">
        <v>2024</v>
      </c>
      <c r="E3" s="42">
        <v>2025</v>
      </c>
      <c r="F3" s="42">
        <v>2026</v>
      </c>
      <c r="G3" s="42">
        <v>2027</v>
      </c>
      <c r="H3" s="42">
        <v>2028</v>
      </c>
      <c r="I3" s="24"/>
      <c r="J3" s="25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</row>
    <row r="4" spans="2:50" ht="30" x14ac:dyDescent="0.25">
      <c r="B4" s="26" t="s">
        <v>2</v>
      </c>
      <c r="C4" s="26" t="s">
        <v>3</v>
      </c>
      <c r="D4" s="99" t="s">
        <v>4</v>
      </c>
      <c r="E4" s="100" t="s">
        <v>5</v>
      </c>
      <c r="F4" s="100" t="s">
        <v>6</v>
      </c>
      <c r="G4" s="100" t="s">
        <v>7</v>
      </c>
      <c r="H4" s="101" t="s">
        <v>8</v>
      </c>
      <c r="I4" s="29"/>
      <c r="J4" s="30" t="s">
        <v>9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</row>
    <row r="5" spans="2:50" s="8" customFormat="1" ht="30" x14ac:dyDescent="0.25">
      <c r="B5" s="40" t="s">
        <v>10</v>
      </c>
      <c r="C5" s="21" t="s">
        <v>28</v>
      </c>
      <c r="D5" s="13" t="s">
        <v>29</v>
      </c>
      <c r="E5" s="13" t="s">
        <v>29</v>
      </c>
      <c r="F5" s="13" t="s">
        <v>29</v>
      </c>
      <c r="G5" s="13"/>
      <c r="H5" s="13" t="s">
        <v>29</v>
      </c>
      <c r="I5" s="10"/>
      <c r="J5" s="11" t="s">
        <v>29</v>
      </c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</row>
    <row r="6" spans="2:50" s="7" customFormat="1" x14ac:dyDescent="0.25">
      <c r="B6" s="18"/>
      <c r="C6" s="69" t="s">
        <v>78</v>
      </c>
      <c r="D6" s="57">
        <v>78853</v>
      </c>
      <c r="E6" s="57">
        <f>D6*1.023</f>
        <v>80666.618999999992</v>
      </c>
      <c r="F6" s="57">
        <f>E6*1.021</f>
        <v>82360.61799899998</v>
      </c>
      <c r="G6" s="57">
        <f>F6*1.02</f>
        <v>84007.830358979976</v>
      </c>
      <c r="H6" s="57">
        <f>G6*1.02</f>
        <v>85687.986966159573</v>
      </c>
      <c r="I6" s="93"/>
      <c r="J6" s="57">
        <f>SUM(D6:H6)</f>
        <v>411576.05432413949</v>
      </c>
      <c r="L6" s="47"/>
    </row>
    <row r="7" spans="2:50" s="7" customFormat="1" x14ac:dyDescent="0.25">
      <c r="B7" s="18"/>
      <c r="C7" s="84" t="s">
        <v>11</v>
      </c>
      <c r="D7" s="85">
        <f>SUM(D6:D6)</f>
        <v>78853</v>
      </c>
      <c r="E7" s="85">
        <f>SUM(E6:E6)</f>
        <v>80666.618999999992</v>
      </c>
      <c r="F7" s="85">
        <f>SUM(F6:F6)</f>
        <v>82360.61799899998</v>
      </c>
      <c r="G7" s="85">
        <f>SUM(G6:G6)</f>
        <v>84007.830358979976</v>
      </c>
      <c r="H7" s="85">
        <f>SUM(H6:H6)</f>
        <v>85687.986966159573</v>
      </c>
      <c r="I7" s="86"/>
      <c r="J7" s="85">
        <f>SUM(J6:J6)</f>
        <v>411576.05432413949</v>
      </c>
      <c r="L7" s="47"/>
      <c r="N7" s="47"/>
    </row>
    <row r="8" spans="2:50" s="7" customFormat="1" x14ac:dyDescent="0.25">
      <c r="B8" s="18"/>
      <c r="C8" s="71" t="s">
        <v>30</v>
      </c>
      <c r="D8" s="72" t="s">
        <v>29</v>
      </c>
      <c r="E8" s="73"/>
      <c r="F8" s="73"/>
      <c r="G8" s="73"/>
      <c r="H8" s="73"/>
      <c r="I8" s="70"/>
      <c r="J8" s="74" t="s">
        <v>29</v>
      </c>
      <c r="L8" s="47"/>
      <c r="N8" s="49"/>
    </row>
    <row r="9" spans="2:50" s="7" customFormat="1" ht="45" x14ac:dyDescent="0.25">
      <c r="B9" s="18"/>
      <c r="C9" s="69" t="s">
        <v>79</v>
      </c>
      <c r="D9" s="57">
        <f>D6*0.37</f>
        <v>29175.61</v>
      </c>
      <c r="E9" s="57">
        <f>E6*0.37</f>
        <v>29846.649029999997</v>
      </c>
      <c r="F9" s="57">
        <f>F6*0.37</f>
        <v>30473.428659629993</v>
      </c>
      <c r="G9" s="57">
        <f>G6*0.37</f>
        <v>31082.89723282259</v>
      </c>
      <c r="H9" s="57">
        <f>H6*0.37</f>
        <v>31704.55517747904</v>
      </c>
      <c r="I9" s="70"/>
      <c r="J9" s="57">
        <f>SUM(D9:H9)</f>
        <v>152283.14009993162</v>
      </c>
      <c r="L9" s="47"/>
      <c r="M9" s="47"/>
    </row>
    <row r="10" spans="2:50" s="7" customFormat="1" x14ac:dyDescent="0.25">
      <c r="B10" s="18"/>
      <c r="C10" s="87" t="s">
        <v>12</v>
      </c>
      <c r="D10" s="88">
        <f>SUM(D9:D9)</f>
        <v>29175.61</v>
      </c>
      <c r="E10" s="88">
        <f>SUM(E9:E9)</f>
        <v>29846.649029999997</v>
      </c>
      <c r="F10" s="88">
        <f>SUM(F9:F9)</f>
        <v>30473.428659629993</v>
      </c>
      <c r="G10" s="88">
        <f>SUM(G9:G9)</f>
        <v>31082.89723282259</v>
      </c>
      <c r="H10" s="88">
        <f>SUM(H9:H9)</f>
        <v>31704.55517747904</v>
      </c>
      <c r="I10" s="92"/>
      <c r="J10" s="88">
        <f>SUM(J9:J9)</f>
        <v>152283.14009993162</v>
      </c>
      <c r="L10" s="47"/>
    </row>
    <row r="11" spans="2:50" s="7" customFormat="1" x14ac:dyDescent="0.25">
      <c r="B11" s="18"/>
      <c r="C11" s="71" t="s">
        <v>31</v>
      </c>
      <c r="D11" s="72" t="s">
        <v>29</v>
      </c>
      <c r="E11" s="73"/>
      <c r="F11" s="73"/>
      <c r="G11" s="73"/>
      <c r="H11" s="73"/>
      <c r="I11" s="70"/>
      <c r="J11" s="74" t="s">
        <v>29</v>
      </c>
      <c r="L11" s="47"/>
    </row>
    <row r="12" spans="2:50" s="7" customFormat="1" x14ac:dyDescent="0.25">
      <c r="B12" s="18"/>
      <c r="C12" s="84" t="s">
        <v>13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6"/>
      <c r="J12" s="85">
        <v>0</v>
      </c>
      <c r="L12" s="47"/>
    </row>
    <row r="13" spans="2:50" s="7" customFormat="1" x14ac:dyDescent="0.25">
      <c r="B13" s="18"/>
      <c r="C13" s="71" t="s">
        <v>45</v>
      </c>
      <c r="D13" s="57"/>
      <c r="E13" s="73"/>
      <c r="F13" s="73"/>
      <c r="G13" s="73"/>
      <c r="H13" s="73"/>
      <c r="I13" s="70"/>
      <c r="J13" s="57" t="s">
        <v>18</v>
      </c>
      <c r="L13" s="47"/>
    </row>
    <row r="14" spans="2:50" s="7" customFormat="1" x14ac:dyDescent="0.25">
      <c r="B14" s="18"/>
      <c r="C14" s="94" t="str">
        <f>'1.1 Budget - Plant'!C14</f>
        <v>Four 2 MW Heat Pumps Serving Lincoln Park</v>
      </c>
      <c r="D14" s="57">
        <f>'1.1 Budget - Plant'!D14</f>
        <v>0</v>
      </c>
      <c r="E14" s="57">
        <f>'1.1 Budget - Plant'!E14</f>
        <v>0</v>
      </c>
      <c r="F14" s="57">
        <f>'1.1 Budget - Plant'!F14</f>
        <v>2946456.4618895994</v>
      </c>
      <c r="G14" s="57">
        <f>'1.1 Budget - Plant'!G14</f>
        <v>0</v>
      </c>
      <c r="H14" s="57">
        <f>'1.1 Budget - Plant'!H14</f>
        <v>0</v>
      </c>
      <c r="I14" s="70"/>
      <c r="J14" s="57">
        <f t="shared" ref="J14:J18" si="0">SUM(D14:H14)</f>
        <v>2946456.4618895994</v>
      </c>
      <c r="L14" s="47"/>
    </row>
    <row r="15" spans="2:50" s="7" customFormat="1" x14ac:dyDescent="0.25">
      <c r="B15" s="18"/>
      <c r="C15" s="94" t="str">
        <f>'1.2 Budget - LP Dist'!C14</f>
        <v>Lincoln Park Hot Water Piping, ~14,000 TF</v>
      </c>
      <c r="D15" s="57">
        <f>'1.2 Budget - LP Dist'!D14</f>
        <v>0</v>
      </c>
      <c r="E15" s="57">
        <f>'1.2 Budget - LP Dist'!E14</f>
        <v>0</v>
      </c>
      <c r="F15" s="57">
        <f>'1.2 Budget - LP Dist'!F14</f>
        <v>755919.42009935877</v>
      </c>
      <c r="G15" s="57">
        <f>'1.2 Budget - LP Dist'!G14</f>
        <v>403411.02839215175</v>
      </c>
      <c r="H15" s="57">
        <f>'1.2 Budget - LP Dist'!H14</f>
        <v>262542.35002116498</v>
      </c>
      <c r="I15" s="70"/>
      <c r="J15" s="57">
        <f t="shared" si="0"/>
        <v>1421872.7985126753</v>
      </c>
      <c r="L15" s="47"/>
    </row>
    <row r="16" spans="2:50" s="7" customFormat="1" ht="30" x14ac:dyDescent="0.25">
      <c r="B16" s="18"/>
      <c r="C16" s="94" t="str">
        <f>'1.3 Budget - Buildings'!C14</f>
        <v>Hot water to Hot Water Energy Transfer Stations for Building Connections</v>
      </c>
      <c r="D16" s="57">
        <f>'1.3 Budget - Buildings'!D14</f>
        <v>0</v>
      </c>
      <c r="E16" s="57">
        <f>'1.3 Budget - Buildings'!E14</f>
        <v>575437.5</v>
      </c>
      <c r="F16" s="57">
        <f>'1.3 Budget - Buildings'!F14</f>
        <v>574465.64999999991</v>
      </c>
      <c r="G16" s="57">
        <f>'1.3 Budget - Buildings'!G14</f>
        <v>812346.65324999986</v>
      </c>
      <c r="H16" s="57">
        <f>'1.3 Budget - Buildings'!H14</f>
        <v>0</v>
      </c>
      <c r="I16" s="70"/>
      <c r="J16" s="57">
        <f t="shared" si="0"/>
        <v>1962249.8032499999</v>
      </c>
      <c r="L16" s="47"/>
    </row>
    <row r="17" spans="2:13" s="7" customFormat="1" x14ac:dyDescent="0.25">
      <c r="B17" s="18"/>
      <c r="C17" s="94" t="str">
        <f>' 1.4 Budget - DES Connect'!C14</f>
        <v>DES Connection Hot Water Piping, ~7,800 TF</v>
      </c>
      <c r="D17" s="57">
        <f>' 1.4 Budget - DES Connect'!D14</f>
        <v>0</v>
      </c>
      <c r="E17" s="57">
        <f>' 1.4 Budget - DES Connect'!E14</f>
        <v>0</v>
      </c>
      <c r="F17" s="57">
        <f>' 1.4 Budget - DES Connect'!F14</f>
        <v>441662.24775749992</v>
      </c>
      <c r="G17" s="57">
        <f>' 1.4 Budget - DES Connect'!G14</f>
        <v>450495.49271264987</v>
      </c>
      <c r="H17" s="57">
        <f>' 1.4 Budget - DES Connect'!H14</f>
        <v>0</v>
      </c>
      <c r="I17" s="70"/>
      <c r="J17" s="57">
        <f t="shared" si="0"/>
        <v>892157.74047014979</v>
      </c>
      <c r="L17" s="47"/>
    </row>
    <row r="18" spans="2:13" s="7" customFormat="1" x14ac:dyDescent="0.25">
      <c r="B18" s="18"/>
      <c r="C18" s="94" t="str">
        <f>' 1.4 Budget - DES Connect'!C15</f>
        <v>One 2 MW Heat Pump Added for DES Connection</v>
      </c>
      <c r="D18" s="57">
        <f>' 1.4 Budget - DES Connect'!D15</f>
        <v>0</v>
      </c>
      <c r="E18" s="57">
        <f>' 1.4 Budget - DES Connect'!E15</f>
        <v>0</v>
      </c>
      <c r="F18" s="57">
        <f>' 1.4 Budget - DES Connect'!F15</f>
        <v>721464.40539999993</v>
      </c>
      <c r="G18" s="57">
        <f>' 1.4 Budget - DES Connect'!G15</f>
        <v>0</v>
      </c>
      <c r="H18" s="57">
        <f>' 1.4 Budget - DES Connect'!H15</f>
        <v>0</v>
      </c>
      <c r="I18" s="70"/>
      <c r="J18" s="57">
        <f t="shared" si="0"/>
        <v>721464.40539999993</v>
      </c>
      <c r="L18" s="47"/>
    </row>
    <row r="19" spans="2:13" s="7" customFormat="1" x14ac:dyDescent="0.25">
      <c r="B19" s="18"/>
      <c r="C19" s="69"/>
      <c r="D19" s="57"/>
      <c r="E19" s="57"/>
      <c r="F19" s="57"/>
      <c r="G19" s="73"/>
      <c r="H19" s="73"/>
      <c r="I19" s="70"/>
      <c r="J19" s="57"/>
      <c r="L19" s="47"/>
    </row>
    <row r="20" spans="2:13" s="7" customFormat="1" x14ac:dyDescent="0.25">
      <c r="B20" s="18"/>
      <c r="C20" s="84" t="s">
        <v>14</v>
      </c>
      <c r="D20" s="89">
        <f>SUM(D14:D19)</f>
        <v>0</v>
      </c>
      <c r="E20" s="89">
        <f t="shared" ref="E20:H20" si="1">SUM(E14:E19)</f>
        <v>575437.5</v>
      </c>
      <c r="F20" s="89">
        <f t="shared" si="1"/>
        <v>5439968.1851464575</v>
      </c>
      <c r="G20" s="89">
        <f t="shared" si="1"/>
        <v>1666253.1743548014</v>
      </c>
      <c r="H20" s="89">
        <f t="shared" si="1"/>
        <v>262542.35002116498</v>
      </c>
      <c r="I20" s="86"/>
      <c r="J20" s="88">
        <f>SUM(J14:J19)</f>
        <v>7944201.2095224243</v>
      </c>
      <c r="L20" s="47"/>
    </row>
    <row r="21" spans="2:13" s="7" customFormat="1" x14ac:dyDescent="0.25">
      <c r="B21" s="18"/>
      <c r="C21" s="71" t="s">
        <v>41</v>
      </c>
      <c r="D21" s="72" t="s">
        <v>29</v>
      </c>
      <c r="E21" s="73"/>
      <c r="F21" s="73"/>
      <c r="G21" s="73"/>
      <c r="H21" s="73"/>
      <c r="I21" s="70"/>
      <c r="J21" s="57"/>
      <c r="L21" s="47"/>
    </row>
    <row r="22" spans="2:13" s="7" customFormat="1" ht="45" x14ac:dyDescent="0.25">
      <c r="B22" s="18"/>
      <c r="C22" s="69" t="str">
        <f>'1.1 Budget - Plant'!C17</f>
        <v>WLSSD wastewater connection and central heat pump plant - consultants, engineering, project management, and site supervision.</v>
      </c>
      <c r="D22" s="57">
        <f>'1.1 Budget - Plant'!D17</f>
        <v>0</v>
      </c>
      <c r="E22" s="57">
        <f>'1.1 Budget - Plant'!E17</f>
        <v>174609.21599999999</v>
      </c>
      <c r="F22" s="57">
        <f>'1.1 Budget - Plant'!F17</f>
        <v>740168.59909169283</v>
      </c>
      <c r="G22" s="57">
        <f>'1.1 Budget - Plant'!G17</f>
        <v>382817.90722772473</v>
      </c>
      <c r="H22" s="57">
        <f>'1.1 Budget - Plant'!H17</f>
        <v>10979.091410363997</v>
      </c>
      <c r="I22" s="76"/>
      <c r="J22" s="57">
        <f t="shared" ref="J22:J35" si="2">SUM(D22:H22)</f>
        <v>1308574.8137297817</v>
      </c>
      <c r="K22" s="46"/>
      <c r="L22" s="47"/>
    </row>
    <row r="23" spans="2:13" s="7" customFormat="1" ht="45" x14ac:dyDescent="0.25">
      <c r="B23" s="18"/>
      <c r="C23" s="69" t="str">
        <f>'1.2 Budget - LP Dist'!C17</f>
        <v>Lincoln Park Hot Water Distribution System - consultants, engineering, project management, site supervision, and travel.</v>
      </c>
      <c r="D23" s="57">
        <f>'1.2 Budget - LP Dist'!D17</f>
        <v>0</v>
      </c>
      <c r="E23" s="57">
        <f>'1.2 Budget - LP Dist'!E17</f>
        <v>175895.7408</v>
      </c>
      <c r="F23" s="57">
        <f>'1.2 Budget - LP Dist'!F17</f>
        <v>597246.74509670539</v>
      </c>
      <c r="G23" s="57">
        <f>'1.2 Budget - LP Dist'!G17</f>
        <v>592555.86124081595</v>
      </c>
      <c r="H23" s="57">
        <f>'1.2 Budget - LP Dist'!H17</f>
        <v>505434.91532071761</v>
      </c>
      <c r="I23" s="76"/>
      <c r="J23" s="57">
        <f t="shared" si="2"/>
        <v>1871133.2624582392</v>
      </c>
      <c r="K23" s="46"/>
      <c r="L23" s="47"/>
    </row>
    <row r="24" spans="2:13" s="7" customFormat="1" ht="45" x14ac:dyDescent="0.25">
      <c r="B24" s="18"/>
      <c r="C24" s="69" t="str">
        <f>'1.3 Budget - Buildings'!C17</f>
        <v>System Connections and HVAC Conversion - consultants, engineering, project management, site supervision, and travel.</v>
      </c>
      <c r="D24" s="57">
        <f>'1.3 Budget - Buildings'!D17</f>
        <v>0</v>
      </c>
      <c r="E24" s="57">
        <f>'1.3 Budget - Buildings'!E17</f>
        <v>305975.45799999998</v>
      </c>
      <c r="F24" s="57">
        <f>'1.3 Budget - Buildings'!F17</f>
        <v>386133.34127526201</v>
      </c>
      <c r="G24" s="57">
        <f>'1.3 Budget - Buildings'!G17</f>
        <v>446280.37582727679</v>
      </c>
      <c r="H24" s="57">
        <f>'1.3 Budget - Buildings'!H17</f>
        <v>131928.05721886869</v>
      </c>
      <c r="I24" s="76"/>
      <c r="J24" s="57">
        <f t="shared" si="2"/>
        <v>1270317.2323214076</v>
      </c>
      <c r="K24" s="46"/>
      <c r="L24" s="47"/>
    </row>
    <row r="25" spans="2:13" s="7" customFormat="1" ht="45" x14ac:dyDescent="0.25">
      <c r="B25" s="18"/>
      <c r="C25" s="69" t="str">
        <f>' 1.4 Budget - DES Connect'!C18</f>
        <v>DES connection and hot water to hot water interface - consultants, engineering, project management, site supervision, and travel.</v>
      </c>
      <c r="D25" s="57">
        <f>' 1.4 Budget - DES Connect'!D18</f>
        <v>0</v>
      </c>
      <c r="E25" s="57">
        <f>' 1.4 Budget - DES Connect'!E18</f>
        <v>0</v>
      </c>
      <c r="F25" s="57">
        <f>' 1.4 Budget - DES Connect'!F18</f>
        <v>254272.54882674725</v>
      </c>
      <c r="G25" s="57">
        <f>' 1.4 Budget - DES Connect'!G18</f>
        <v>352275.36768893019</v>
      </c>
      <c r="H25" s="57">
        <f>' 1.4 Budget - DES Connect'!H18</f>
        <v>0</v>
      </c>
      <c r="I25" s="76"/>
      <c r="J25" s="57">
        <f t="shared" si="2"/>
        <v>606547.91651567747</v>
      </c>
      <c r="K25" s="46"/>
      <c r="L25" s="47"/>
    </row>
    <row r="26" spans="2:13" s="7" customFormat="1" x14ac:dyDescent="0.25">
      <c r="B26" s="18"/>
      <c r="C26" s="84" t="s">
        <v>15</v>
      </c>
      <c r="D26" s="85">
        <f>SUM(D22:D25)</f>
        <v>0</v>
      </c>
      <c r="E26" s="85">
        <f>SUM(E22:E25)</f>
        <v>656480.41479999991</v>
      </c>
      <c r="F26" s="85">
        <f t="shared" ref="F26:H26" si="3">SUM(F22:F25)</f>
        <v>1977821.2342904075</v>
      </c>
      <c r="G26" s="85">
        <f t="shared" si="3"/>
        <v>1773929.5119847476</v>
      </c>
      <c r="H26" s="85">
        <f t="shared" si="3"/>
        <v>648342.06394995027</v>
      </c>
      <c r="I26" s="86"/>
      <c r="J26" s="90">
        <f>SUM(J22:J25)</f>
        <v>5056573.2250251053</v>
      </c>
      <c r="L26" s="47"/>
    </row>
    <row r="27" spans="2:13" s="7" customFormat="1" x14ac:dyDescent="0.25">
      <c r="B27" s="18"/>
      <c r="C27" s="71" t="s">
        <v>71</v>
      </c>
      <c r="D27" s="72" t="s">
        <v>29</v>
      </c>
      <c r="E27" s="73"/>
      <c r="F27" s="73"/>
      <c r="G27" s="73"/>
      <c r="H27" s="73"/>
      <c r="I27" s="70"/>
      <c r="J27" s="57"/>
      <c r="L27" s="47"/>
    </row>
    <row r="28" spans="2:13" s="7" customFormat="1" ht="45" x14ac:dyDescent="0.25">
      <c r="B28" s="18"/>
      <c r="C28" s="69" t="s">
        <v>72</v>
      </c>
      <c r="D28" s="57">
        <f>'1.1 Budget - Plant'!D27</f>
        <v>0</v>
      </c>
      <c r="E28" s="57">
        <f>'1.1 Budget - Plant'!E27</f>
        <v>0</v>
      </c>
      <c r="F28" s="57">
        <f>'1.1 Budget - Plant'!F27</f>
        <v>7016498.2300579641</v>
      </c>
      <c r="G28" s="57">
        <f>'1.1 Budget - Plant'!G27</f>
        <v>1638969.7529273801</v>
      </c>
      <c r="H28" s="57">
        <f>'1.1 Budget - Plant'!H27</f>
        <v>0</v>
      </c>
      <c r="I28" s="70"/>
      <c r="J28" s="57">
        <f t="shared" si="2"/>
        <v>8655467.9829853438</v>
      </c>
      <c r="L28" s="47"/>
    </row>
    <row r="29" spans="2:13" s="7" customFormat="1" ht="30" x14ac:dyDescent="0.25">
      <c r="B29" s="18"/>
      <c r="C29" s="69" t="s">
        <v>68</v>
      </c>
      <c r="D29" s="57">
        <f>'1.2 Budget - LP Dist'!E25</f>
        <v>0</v>
      </c>
      <c r="E29" s="57">
        <f>'1.2 Budget - LP Dist'!F25</f>
        <v>4662629.2760348534</v>
      </c>
      <c r="F29" s="57">
        <f>'1.2 Budget - LP Dist'!G25</f>
        <v>3548920.143259665</v>
      </c>
      <c r="G29" s="57">
        <f>'1.2 Budget - LP Dist'!H25</f>
        <v>2580288.2645301721</v>
      </c>
      <c r="H29" s="57">
        <f>'1.2 Budget - LP Dist'!I25</f>
        <v>0</v>
      </c>
      <c r="I29" s="70"/>
      <c r="J29" s="57">
        <f t="shared" si="2"/>
        <v>10791837.68382469</v>
      </c>
      <c r="L29" s="47"/>
    </row>
    <row r="30" spans="2:13" s="7" customFormat="1" ht="30" x14ac:dyDescent="0.25">
      <c r="B30" s="18"/>
      <c r="C30" s="69" t="s">
        <v>69</v>
      </c>
      <c r="D30" s="57">
        <f>'1.3 Budget - Buildings'!D22</f>
        <v>0</v>
      </c>
      <c r="E30" s="57">
        <f>'1.3 Budget - Buildings'!E22</f>
        <v>0</v>
      </c>
      <c r="F30" s="57">
        <f>'1.3 Budget - Buildings'!F22</f>
        <v>1393107.1992104999</v>
      </c>
      <c r="G30" s="57">
        <f>'1.3 Budget - Buildings'!G22</f>
        <v>2321863.7994562895</v>
      </c>
      <c r="H30" s="57">
        <f>'1.3 Budget - Buildings'!H22</f>
        <v>2748840.1320114704</v>
      </c>
      <c r="I30" s="70"/>
      <c r="J30" s="57">
        <f t="shared" si="2"/>
        <v>6463811.1306782598</v>
      </c>
      <c r="L30" s="47"/>
    </row>
    <row r="31" spans="2:13" s="7" customFormat="1" ht="60" x14ac:dyDescent="0.25">
      <c r="B31" s="18"/>
      <c r="C31" s="69" t="s">
        <v>70</v>
      </c>
      <c r="D31" s="57">
        <f>' 1.4 Budget - DES Connect'!D27</f>
        <v>60000</v>
      </c>
      <c r="E31" s="57">
        <f>' 1.4 Budget - DES Connect'!E27</f>
        <v>61379.999999999993</v>
      </c>
      <c r="F31" s="57">
        <f>' 1.4 Budget - DES Connect'!F27</f>
        <v>4678402.5110867545</v>
      </c>
      <c r="G31" s="57">
        <f>' 1.4 Budget - DES Connect'!G27</f>
        <v>4261970.5613084901</v>
      </c>
      <c r="H31" s="57">
        <f>' 1.4 Budget - DES Connect'!H27</f>
        <v>65136.947039999992</v>
      </c>
      <c r="I31" s="70"/>
      <c r="J31" s="57">
        <f t="shared" si="2"/>
        <v>9126890.0194352437</v>
      </c>
      <c r="L31" s="47"/>
      <c r="M31" s="47"/>
    </row>
    <row r="32" spans="2:13" s="7" customFormat="1" x14ac:dyDescent="0.25">
      <c r="B32" s="18"/>
      <c r="C32" s="84" t="s">
        <v>52</v>
      </c>
      <c r="D32" s="85">
        <f>SUM(D28:D31)</f>
        <v>60000</v>
      </c>
      <c r="E32" s="85">
        <f>SUM(E28:E31)</f>
        <v>4724009.2760348534</v>
      </c>
      <c r="F32" s="85">
        <f>SUM(F28:F31)</f>
        <v>16636928.083614884</v>
      </c>
      <c r="G32" s="85">
        <f>SUM(G28:G31)</f>
        <v>10803092.378222331</v>
      </c>
      <c r="H32" s="85">
        <f>SUM(H28:H31)</f>
        <v>2813977.0790514704</v>
      </c>
      <c r="I32" s="86"/>
      <c r="J32" s="90">
        <f>SUM(J28:J31)</f>
        <v>35038006.816923536</v>
      </c>
      <c r="L32" s="47"/>
    </row>
    <row r="33" spans="2:12" s="7" customFormat="1" x14ac:dyDescent="0.25">
      <c r="B33" s="18"/>
      <c r="C33" s="71" t="s">
        <v>50</v>
      </c>
      <c r="D33" s="72" t="s">
        <v>29</v>
      </c>
      <c r="E33" s="73"/>
      <c r="F33" s="73"/>
      <c r="G33" s="73"/>
      <c r="H33" s="73"/>
      <c r="I33" s="70"/>
      <c r="J33" s="57"/>
      <c r="L33" s="47"/>
    </row>
    <row r="34" spans="2:12" s="7" customFormat="1" x14ac:dyDescent="0.25">
      <c r="B34" s="18"/>
      <c r="C34" s="79" t="s">
        <v>73</v>
      </c>
      <c r="D34" s="57">
        <v>60000</v>
      </c>
      <c r="E34" s="57">
        <f>D34*1.023</f>
        <v>61379.999999999993</v>
      </c>
      <c r="F34" s="57">
        <f>E34*1.02</f>
        <v>62607.599999999991</v>
      </c>
      <c r="G34" s="57">
        <f>F34*1.02</f>
        <v>63859.751999999993</v>
      </c>
      <c r="H34" s="57">
        <v>65137</v>
      </c>
      <c r="I34" s="70"/>
      <c r="J34" s="57">
        <f t="shared" si="2"/>
        <v>312984.35199999996</v>
      </c>
      <c r="L34" s="47"/>
    </row>
    <row r="35" spans="2:12" s="7" customFormat="1" ht="30" x14ac:dyDescent="0.25">
      <c r="B35" s="18"/>
      <c r="C35" s="72" t="s">
        <v>74</v>
      </c>
      <c r="D35" s="57">
        <v>250000</v>
      </c>
      <c r="E35" s="57">
        <v>500000</v>
      </c>
      <c r="F35" s="57">
        <v>250000</v>
      </c>
      <c r="G35" s="57"/>
      <c r="H35" s="75"/>
      <c r="I35" s="70"/>
      <c r="J35" s="57">
        <f t="shared" si="2"/>
        <v>1000000</v>
      </c>
      <c r="L35" s="47"/>
    </row>
    <row r="36" spans="2:12" s="7" customFormat="1" x14ac:dyDescent="0.25">
      <c r="B36" s="20"/>
      <c r="C36" s="91" t="s">
        <v>16</v>
      </c>
      <c r="D36" s="90">
        <f>D34+D35</f>
        <v>310000</v>
      </c>
      <c r="E36" s="90">
        <f>E34+E35</f>
        <v>561380</v>
      </c>
      <c r="F36" s="90">
        <f>F34+F35</f>
        <v>312607.59999999998</v>
      </c>
      <c r="G36" s="90">
        <f>G34+G35</f>
        <v>63859.751999999993</v>
      </c>
      <c r="H36" s="90">
        <f>H34+H35</f>
        <v>65137</v>
      </c>
      <c r="I36" s="92"/>
      <c r="J36" s="90">
        <f>J34+J35</f>
        <v>1312984.352</v>
      </c>
      <c r="L36" s="47"/>
    </row>
    <row r="37" spans="2:12" s="7" customFormat="1" x14ac:dyDescent="0.25">
      <c r="B37" s="20"/>
      <c r="C37" s="84" t="s">
        <v>17</v>
      </c>
      <c r="D37" s="85">
        <f>D7+D10+D12+D20+D26+D32+D36</f>
        <v>478028.61</v>
      </c>
      <c r="E37" s="85">
        <f>SUM(E36,E32,E26,E20,E12,E10,E7)</f>
        <v>6627820.4588648537</v>
      </c>
      <c r="F37" s="85">
        <f>SUM(F36,F32,F26,F20,F12,F10,F7)</f>
        <v>24480159.149710376</v>
      </c>
      <c r="G37" s="85">
        <f>SUM(G36,G32,G26,G20,G12,G10,G7)</f>
        <v>14422225.544153683</v>
      </c>
      <c r="H37" s="85">
        <f>SUM(H36,H32,H26,H20,H12,H10,H7)</f>
        <v>3907391.035166224</v>
      </c>
      <c r="I37" s="70"/>
      <c r="J37" s="85">
        <f>J36+J32+J26+J20+J10+J6</f>
        <v>49915624.797895141</v>
      </c>
      <c r="L37" s="47"/>
    </row>
    <row r="38" spans="2:12" s="7" customFormat="1" x14ac:dyDescent="0.25">
      <c r="B38" s="19"/>
      <c r="C38" s="77"/>
      <c r="D38" s="77"/>
      <c r="E38" s="77"/>
      <c r="F38" s="77"/>
      <c r="G38" s="77"/>
      <c r="H38" s="77"/>
      <c r="I38" s="77"/>
      <c r="J38" s="77" t="s">
        <v>18</v>
      </c>
      <c r="L38" s="47"/>
    </row>
    <row r="39" spans="2:12" s="7" customFormat="1" ht="30" x14ac:dyDescent="0.25">
      <c r="B39" s="40" t="s">
        <v>34</v>
      </c>
      <c r="C39" s="80" t="s">
        <v>34</v>
      </c>
      <c r="D39" s="81"/>
      <c r="E39" s="81"/>
      <c r="F39" s="81"/>
      <c r="G39" s="81"/>
      <c r="H39" s="81"/>
      <c r="I39" s="77"/>
      <c r="J39" s="81" t="s">
        <v>18</v>
      </c>
      <c r="L39" s="47"/>
    </row>
    <row r="40" spans="2:12" s="7" customFormat="1" x14ac:dyDescent="0.25">
      <c r="B40" s="20"/>
      <c r="C40" s="62" t="s">
        <v>19</v>
      </c>
      <c r="D40" s="58">
        <v>0</v>
      </c>
      <c r="E40" s="58">
        <v>0</v>
      </c>
      <c r="F40" s="58">
        <v>0</v>
      </c>
      <c r="G40" s="58">
        <v>0</v>
      </c>
      <c r="H40" s="58">
        <v>0</v>
      </c>
      <c r="I40" s="70"/>
      <c r="J40" s="58">
        <v>0</v>
      </c>
      <c r="L40" s="47"/>
    </row>
    <row r="41" spans="2:12" s="7" customFormat="1" ht="15.75" thickBot="1" x14ac:dyDescent="0.3">
      <c r="B41" s="19"/>
      <c r="C41" s="77"/>
      <c r="D41" s="77"/>
      <c r="E41" s="77"/>
      <c r="F41" s="77"/>
      <c r="G41" s="77"/>
      <c r="H41" s="77"/>
      <c r="I41" s="77"/>
      <c r="J41" s="77" t="s">
        <v>18</v>
      </c>
      <c r="L41" s="47"/>
    </row>
    <row r="42" spans="2:12" s="4" customFormat="1" ht="30.75" thickBot="1" x14ac:dyDescent="0.3">
      <c r="B42" s="16" t="s">
        <v>20</v>
      </c>
      <c r="C42" s="82"/>
      <c r="D42" s="83">
        <f>SUM(D40,D37)</f>
        <v>478028.61</v>
      </c>
      <c r="E42" s="83">
        <f>SUM(E40,E37)</f>
        <v>6627820.4588648537</v>
      </c>
      <c r="F42" s="83">
        <f>SUM(F40,F37)</f>
        <v>24480159.149710376</v>
      </c>
      <c r="G42" s="83">
        <f>SUM(G40,G37)</f>
        <v>14422225.544153683</v>
      </c>
      <c r="H42" s="83">
        <f>SUM(H40,H37)</f>
        <v>3907391.035166224</v>
      </c>
      <c r="I42" s="70"/>
      <c r="J42" s="83">
        <f>SUM(J40,J37)</f>
        <v>49915624.797895141</v>
      </c>
      <c r="L42" s="47"/>
    </row>
    <row r="43" spans="2:12" x14ac:dyDescent="0.25">
      <c r="B43" s="9"/>
      <c r="J43" s="41"/>
    </row>
    <row r="44" spans="2:12" x14ac:dyDescent="0.25">
      <c r="B44" s="9"/>
      <c r="D44" s="44"/>
      <c r="E44" s="44"/>
      <c r="F44" s="44"/>
      <c r="G44" s="44"/>
      <c r="H44" s="44"/>
      <c r="I44" s="44"/>
    </row>
    <row r="45" spans="2:12" x14ac:dyDescent="0.25">
      <c r="B45" s="9"/>
      <c r="J45" s="41"/>
    </row>
    <row r="46" spans="2:12" x14ac:dyDescent="0.25">
      <c r="B46" s="9"/>
      <c r="J46" s="41"/>
    </row>
    <row r="47" spans="2:12" x14ac:dyDescent="0.25">
      <c r="B47" s="9"/>
    </row>
    <row r="48" spans="2:12" x14ac:dyDescent="0.25">
      <c r="B48" s="9"/>
    </row>
    <row r="49" spans="2:2" x14ac:dyDescent="0.25">
      <c r="B49" s="9"/>
    </row>
    <row r="50" spans="2:2" x14ac:dyDescent="0.25">
      <c r="B50" s="9"/>
    </row>
    <row r="51" spans="2:2" x14ac:dyDescent="0.25">
      <c r="B51" s="9"/>
    </row>
    <row r="52" spans="2:2" x14ac:dyDescent="0.25">
      <c r="B52" s="9"/>
    </row>
    <row r="53" spans="2:2" x14ac:dyDescent="0.25">
      <c r="B53" s="9"/>
    </row>
    <row r="54" spans="2:2" x14ac:dyDescent="0.25">
      <c r="B54" s="9"/>
    </row>
    <row r="55" spans="2:2" x14ac:dyDescent="0.25">
      <c r="B55" s="9"/>
    </row>
    <row r="56" spans="2:2" x14ac:dyDescent="0.25">
      <c r="B56" s="9"/>
    </row>
    <row r="57" spans="2:2" x14ac:dyDescent="0.25">
      <c r="B57" s="9"/>
    </row>
  </sheetData>
  <pageMargins left="0.7" right="0.7" top="0.75" bottom="0.75" header="0.3" footer="0.3"/>
  <pageSetup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47"/>
  <sheetViews>
    <sheetView showGridLines="0" zoomScale="83" zoomScaleNormal="85" workbookViewId="0">
      <selection activeCell="N38" sqref="N38"/>
    </sheetView>
  </sheetViews>
  <sheetFormatPr defaultColWidth="9.140625" defaultRowHeight="15" customHeight="1" x14ac:dyDescent="0.25"/>
  <cols>
    <col min="1" max="1" width="3.140625" customWidth="1"/>
    <col min="2" max="2" width="12.140625" customWidth="1"/>
    <col min="3" max="3" width="22.140625" customWidth="1"/>
    <col min="4" max="4" width="13.42578125" style="31" customWidth="1"/>
    <col min="5" max="5" width="13.42578125" style="3" customWidth="1"/>
    <col min="6" max="7" width="13.42578125" customWidth="1"/>
    <col min="8" max="8" width="13.42578125" style="3" customWidth="1"/>
    <col min="9" max="9" width="3.5703125" style="32" customWidth="1"/>
    <col min="10" max="10" width="13.28515625" bestFit="1" customWidth="1"/>
    <col min="11" max="11" width="22.5703125" customWidth="1"/>
    <col min="12" max="12" width="13.140625" customWidth="1"/>
    <col min="13" max="13" width="16.85546875" customWidth="1"/>
    <col min="14" max="14" width="17.42578125" customWidth="1"/>
    <col min="15" max="15" width="17.5703125" customWidth="1"/>
    <col min="16" max="16" width="16.5703125" customWidth="1"/>
    <col min="17" max="17" width="15.85546875" customWidth="1"/>
    <col min="18" max="18" width="20.7109375" customWidth="1"/>
    <col min="19" max="19" width="17.85546875" customWidth="1"/>
  </cols>
  <sheetData>
    <row r="2" spans="2:39" ht="23.25" x14ac:dyDescent="0.35">
      <c r="B2" s="22" t="s">
        <v>0</v>
      </c>
    </row>
    <row r="3" spans="2:39" ht="15" customHeight="1" x14ac:dyDescent="0.25">
      <c r="B3" s="5"/>
      <c r="D3" s="50">
        <v>2024</v>
      </c>
      <c r="E3" s="51">
        <v>2025</v>
      </c>
      <c r="F3" s="52">
        <v>2026</v>
      </c>
      <c r="G3" s="52">
        <v>2027</v>
      </c>
      <c r="H3" s="51">
        <v>2028</v>
      </c>
    </row>
    <row r="4" spans="2:39" ht="18.75" x14ac:dyDescent="0.3">
      <c r="B4" s="95" t="s">
        <v>1</v>
      </c>
      <c r="C4" s="24"/>
      <c r="D4" s="24"/>
      <c r="E4" s="24"/>
      <c r="F4" s="24"/>
      <c r="G4" s="24"/>
      <c r="H4" s="24"/>
      <c r="I4" s="24"/>
      <c r="J4" s="96"/>
    </row>
    <row r="5" spans="2:39" ht="17.100000000000001" customHeight="1" x14ac:dyDescent="0.25">
      <c r="B5" s="26" t="s">
        <v>2</v>
      </c>
      <c r="C5" s="26" t="s">
        <v>3</v>
      </c>
      <c r="D5" s="26" t="s">
        <v>4</v>
      </c>
      <c r="E5" s="27" t="s">
        <v>5</v>
      </c>
      <c r="F5" s="27" t="s">
        <v>6</v>
      </c>
      <c r="G5" s="27" t="s">
        <v>7</v>
      </c>
      <c r="H5" s="28" t="s">
        <v>8</v>
      </c>
      <c r="I5" s="29"/>
      <c r="J5" s="97" t="s">
        <v>9</v>
      </c>
    </row>
    <row r="6" spans="2:39" s="5" customFormat="1" x14ac:dyDescent="0.25">
      <c r="B6" s="33" t="s">
        <v>10</v>
      </c>
      <c r="C6" s="34" t="s">
        <v>11</v>
      </c>
      <c r="D6" s="55">
        <f>'Budget by Year'!D6</f>
        <v>78853</v>
      </c>
      <c r="E6" s="55">
        <f>'Budget by Year'!E6</f>
        <v>80666.618999999992</v>
      </c>
      <c r="F6" s="55">
        <f>'Budget by Year'!F6</f>
        <v>82360.61799899998</v>
      </c>
      <c r="G6" s="55">
        <f>'Budget by Year'!G6</f>
        <v>84007.830358979976</v>
      </c>
      <c r="H6" s="55">
        <f>'Budget by Year'!H6</f>
        <v>85687.986966159573</v>
      </c>
      <c r="I6" s="56"/>
      <c r="J6" s="57">
        <f>D6+E6+F6+G6+H6</f>
        <v>411576.05432413949</v>
      </c>
      <c r="K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2:39" ht="30" x14ac:dyDescent="0.25">
      <c r="B7" s="35"/>
      <c r="C7" s="34" t="s">
        <v>12</v>
      </c>
      <c r="D7" s="55">
        <f>'Budget by Year'!D10</f>
        <v>29175.61</v>
      </c>
      <c r="E7" s="55">
        <f>'Budget by Year'!E10</f>
        <v>29846.649029999997</v>
      </c>
      <c r="F7" s="55">
        <f>'Budget by Year'!F10</f>
        <v>30473.428659629993</v>
      </c>
      <c r="G7" s="55">
        <f>'Budget by Year'!G10</f>
        <v>31082.89723282259</v>
      </c>
      <c r="H7" s="55">
        <f>'Budget by Year'!H10</f>
        <v>31704.55517747904</v>
      </c>
      <c r="I7" s="56"/>
      <c r="J7" s="57">
        <f t="shared" ref="J7:J12" si="0">D7+E7+F7+G7+H7</f>
        <v>152283.14009993162</v>
      </c>
    </row>
    <row r="8" spans="2:39" x14ac:dyDescent="0.25">
      <c r="B8" s="35"/>
      <c r="C8" s="34" t="s">
        <v>13</v>
      </c>
      <c r="D8" s="55">
        <f>'Budget by Year'!D12</f>
        <v>0</v>
      </c>
      <c r="E8" s="55">
        <f>'Budget by Year'!E12</f>
        <v>0</v>
      </c>
      <c r="F8" s="55">
        <f>'Budget by Year'!F12</f>
        <v>0</v>
      </c>
      <c r="G8" s="55">
        <f>'Budget by Year'!G12</f>
        <v>0</v>
      </c>
      <c r="H8" s="55">
        <f>'Budget by Year'!H12</f>
        <v>0</v>
      </c>
      <c r="I8" s="56"/>
      <c r="J8" s="57">
        <f t="shared" si="0"/>
        <v>0</v>
      </c>
    </row>
    <row r="9" spans="2:39" x14ac:dyDescent="0.25">
      <c r="B9" s="35"/>
      <c r="C9" s="34" t="s">
        <v>14</v>
      </c>
      <c r="D9" s="55">
        <f>'Budget by Year'!D20</f>
        <v>0</v>
      </c>
      <c r="E9" s="55">
        <f>'Budget by Year'!E20</f>
        <v>575437.5</v>
      </c>
      <c r="F9" s="55">
        <f>'Budget by Year'!F20</f>
        <v>5439968.1851464575</v>
      </c>
      <c r="G9" s="55">
        <f>'Budget by Year'!G20</f>
        <v>1666253.1743548014</v>
      </c>
      <c r="H9" s="55">
        <f>'Budget by Year'!H20</f>
        <v>262542.35002116498</v>
      </c>
      <c r="I9" s="56"/>
      <c r="J9" s="57">
        <f t="shared" si="0"/>
        <v>7944201.2095224243</v>
      </c>
    </row>
    <row r="10" spans="2:39" x14ac:dyDescent="0.25">
      <c r="B10" s="35"/>
      <c r="C10" s="34" t="s">
        <v>15</v>
      </c>
      <c r="D10" s="55">
        <f>'Budget by Year'!D26</f>
        <v>0</v>
      </c>
      <c r="E10" s="55">
        <f>'Budget by Year'!E26</f>
        <v>656480.41479999991</v>
      </c>
      <c r="F10" s="55">
        <f>'Budget by Year'!F26</f>
        <v>1977821.2342904075</v>
      </c>
      <c r="G10" s="55">
        <f>'Budget by Year'!G26</f>
        <v>1773929.5119847476</v>
      </c>
      <c r="H10" s="55">
        <f>'Budget by Year'!H26</f>
        <v>648342.06394995027</v>
      </c>
      <c r="I10" s="56"/>
      <c r="J10" s="57">
        <f t="shared" si="0"/>
        <v>5056573.2250251053</v>
      </c>
      <c r="K10" s="53"/>
    </row>
    <row r="11" spans="2:39" x14ac:dyDescent="0.25">
      <c r="B11" s="35"/>
      <c r="C11" s="34" t="s">
        <v>52</v>
      </c>
      <c r="D11" s="55">
        <f>'Budget by Year'!D32</f>
        <v>60000</v>
      </c>
      <c r="E11" s="55">
        <f>'Budget by Year'!E32</f>
        <v>4724009.2760348534</v>
      </c>
      <c r="F11" s="55">
        <f>'Budget by Year'!F32</f>
        <v>16636928.083614884</v>
      </c>
      <c r="G11" s="55">
        <f>'Budget by Year'!G32</f>
        <v>10803092.378222331</v>
      </c>
      <c r="H11" s="55">
        <f>'Budget by Year'!H32</f>
        <v>2813977.0790514704</v>
      </c>
      <c r="I11" s="56"/>
      <c r="J11" s="57">
        <f t="shared" si="0"/>
        <v>35038006.816923536</v>
      </c>
    </row>
    <row r="12" spans="2:39" x14ac:dyDescent="0.25">
      <c r="B12" s="35"/>
      <c r="C12" s="34" t="s">
        <v>16</v>
      </c>
      <c r="D12" s="57">
        <f>60000+250000</f>
        <v>310000</v>
      </c>
      <c r="E12" s="57">
        <f>60000*1.023+500000</f>
        <v>561380</v>
      </c>
      <c r="F12" s="57">
        <f>61380*1.02+250000</f>
        <v>312607.59999999998</v>
      </c>
      <c r="G12" s="57">
        <f>62608*1.02</f>
        <v>63860.160000000003</v>
      </c>
      <c r="H12" s="57">
        <f>G12*1.02-1</f>
        <v>65136.363200000007</v>
      </c>
      <c r="I12" s="56"/>
      <c r="J12" s="57">
        <f t="shared" si="0"/>
        <v>1312984.1232</v>
      </c>
    </row>
    <row r="13" spans="2:39" x14ac:dyDescent="0.25">
      <c r="B13" s="36"/>
      <c r="C13" s="12" t="s">
        <v>17</v>
      </c>
      <c r="D13" s="58">
        <f>D12+D11+D10+D9+D8+D7+D6</f>
        <v>478028.61</v>
      </c>
      <c r="E13" s="58">
        <f t="shared" ref="E13:H13" si="1">E12+E11+E10+E9+E8+E7+E6</f>
        <v>6627820.4588648537</v>
      </c>
      <c r="F13" s="58">
        <f t="shared" si="1"/>
        <v>24480159.149710376</v>
      </c>
      <c r="G13" s="58">
        <f t="shared" si="1"/>
        <v>14422225.952153683</v>
      </c>
      <c r="H13" s="58">
        <f t="shared" si="1"/>
        <v>3907390.3983662245</v>
      </c>
      <c r="I13" s="59"/>
      <c r="J13" s="58">
        <f>SUM(J6:J12)</f>
        <v>49915624.569095135</v>
      </c>
    </row>
    <row r="14" spans="2:39" x14ac:dyDescent="0.25">
      <c r="B14" s="39"/>
      <c r="D14" s="59"/>
      <c r="E14" s="59"/>
      <c r="F14" s="59"/>
      <c r="G14" s="59"/>
      <c r="H14" s="59"/>
      <c r="I14" s="59"/>
      <c r="J14" s="60" t="s">
        <v>18</v>
      </c>
    </row>
    <row r="15" spans="2:39" ht="20.100000000000001" customHeight="1" x14ac:dyDescent="0.25">
      <c r="B15" s="39"/>
      <c r="C15" s="12" t="s">
        <v>19</v>
      </c>
      <c r="D15" s="61">
        <f>'1.1 Budget - Plant'!D33+'1.2 Budget - LP Dist'!D33+' 1.4 Budget - DES Connect'!D33+'1.3 Budget - Buildings'!D28</f>
        <v>0</v>
      </c>
      <c r="E15" s="61">
        <f>'1.1 Budget - Plant'!E33+'1.2 Budget - LP Dist'!E33+' 1.4 Budget - DES Connect'!E33+'1.3 Budget - Buildings'!E28</f>
        <v>0</v>
      </c>
      <c r="F15" s="61">
        <f>'1.1 Budget - Plant'!F33+'1.2 Budget - LP Dist'!F33+' 1.4 Budget - DES Connect'!F33+'1.3 Budget - Buildings'!F28</f>
        <v>0</v>
      </c>
      <c r="G15" s="61">
        <f>'1.1 Budget - Plant'!G33+'1.2 Budget - LP Dist'!G33+' 1.4 Budget - DES Connect'!G33+'1.3 Budget - Buildings'!G28</f>
        <v>0</v>
      </c>
      <c r="H15" s="61">
        <f>'1.1 Budget - Plant'!H33+'1.2 Budget - LP Dist'!H33+' 1.4 Budget - DES Connect'!H33+'1.3 Budget - Buildings'!H28</f>
        <v>0</v>
      </c>
      <c r="I15" s="59"/>
      <c r="J15" s="62">
        <f>SUM(D15:H15)</f>
        <v>0</v>
      </c>
    </row>
    <row r="16" spans="2:39" ht="15.75" thickBot="1" x14ac:dyDescent="0.3">
      <c r="B16" s="67"/>
      <c r="D16" s="59"/>
      <c r="E16" s="59"/>
      <c r="F16" s="59"/>
      <c r="G16" s="59"/>
      <c r="H16" s="59"/>
      <c r="I16" s="59"/>
      <c r="J16" s="68" t="s">
        <v>18</v>
      </c>
    </row>
    <row r="17" spans="2:11" ht="30.95" customHeight="1" thickBot="1" x14ac:dyDescent="0.3">
      <c r="B17" s="37" t="s">
        <v>20</v>
      </c>
      <c r="C17" s="37"/>
      <c r="D17" s="63">
        <f>SUM(D6+D7+D8+D9+D10+D11+D12)</f>
        <v>478028.61</v>
      </c>
      <c r="E17" s="63">
        <f t="shared" ref="E17:H17" si="2">SUM(E6+E7+E8+E9+E10+E11+E12)</f>
        <v>6627820.4588648528</v>
      </c>
      <c r="F17" s="63">
        <f t="shared" si="2"/>
        <v>24480159.14971038</v>
      </c>
      <c r="G17" s="63">
        <f t="shared" si="2"/>
        <v>14422225.952153683</v>
      </c>
      <c r="H17" s="63">
        <f t="shared" si="2"/>
        <v>3907390.3983662245</v>
      </c>
      <c r="I17" s="64"/>
      <c r="J17" s="63">
        <f>SUM(J6:J12)</f>
        <v>49915624.569095135</v>
      </c>
    </row>
    <row r="18" spans="2:11" s="1" customFormat="1" x14ac:dyDescent="0.25">
      <c r="B18" s="31"/>
      <c r="C18"/>
      <c r="D18" s="31"/>
      <c r="E18" s="3"/>
      <c r="F18"/>
      <c r="G18"/>
      <c r="H18" s="3"/>
      <c r="I18" s="32"/>
      <c r="J18"/>
    </row>
    <row r="19" spans="2:11" ht="15" customHeight="1" x14ac:dyDescent="0.25">
      <c r="B19" s="31"/>
    </row>
    <row r="20" spans="2:11" ht="15" customHeight="1" x14ac:dyDescent="0.3">
      <c r="B20" s="95" t="s">
        <v>21</v>
      </c>
      <c r="C20" s="24"/>
      <c r="D20" s="24"/>
      <c r="E20" s="131"/>
      <c r="F20" s="131"/>
      <c r="H20"/>
      <c r="I20"/>
    </row>
    <row r="21" spans="2:11" ht="29.1" customHeight="1" x14ac:dyDescent="0.25">
      <c r="B21" s="26" t="s">
        <v>22</v>
      </c>
      <c r="C21" s="26" t="s">
        <v>23</v>
      </c>
      <c r="D21" s="98" t="s">
        <v>24</v>
      </c>
      <c r="E21" s="132" t="s">
        <v>25</v>
      </c>
      <c r="F21" s="132"/>
      <c r="H21"/>
      <c r="I21"/>
    </row>
    <row r="22" spans="2:11" ht="15" customHeight="1" x14ac:dyDescent="0.25">
      <c r="B22" s="34">
        <v>1</v>
      </c>
      <c r="C22" s="65" t="s">
        <v>75</v>
      </c>
      <c r="D22" s="66">
        <v>48038781</v>
      </c>
      <c r="E22" s="130">
        <f>D22/49915625</f>
        <v>0.96239966944218369</v>
      </c>
      <c r="F22" s="130"/>
      <c r="H22"/>
      <c r="I22"/>
    </row>
    <row r="23" spans="2:11" ht="15" customHeight="1" x14ac:dyDescent="0.25">
      <c r="B23" s="34">
        <v>2</v>
      </c>
      <c r="C23" s="55" t="s">
        <v>76</v>
      </c>
      <c r="D23" s="66">
        <v>1000000</v>
      </c>
      <c r="E23" s="130">
        <f>1000000/49915625</f>
        <v>2.0033807049395856E-2</v>
      </c>
      <c r="F23" s="130"/>
      <c r="H23"/>
      <c r="I23"/>
    </row>
    <row r="24" spans="2:11" ht="15" customHeight="1" x14ac:dyDescent="0.25">
      <c r="B24" s="34">
        <v>3</v>
      </c>
      <c r="C24" s="55" t="s">
        <v>77</v>
      </c>
      <c r="D24" s="66">
        <f>49915625-48038781-1000000</f>
        <v>876844</v>
      </c>
      <c r="E24" s="130">
        <f>876844/49915625</f>
        <v>1.7566523508420459E-2</v>
      </c>
      <c r="F24" s="130"/>
      <c r="H24"/>
      <c r="I24"/>
    </row>
    <row r="25" spans="2:11" ht="15" customHeight="1" x14ac:dyDescent="0.25">
      <c r="B25" s="34"/>
      <c r="C25" s="55"/>
      <c r="D25" s="66"/>
      <c r="E25" s="130"/>
      <c r="F25" s="130"/>
      <c r="H25"/>
      <c r="I25"/>
    </row>
    <row r="26" spans="2:11" ht="15" customHeight="1" x14ac:dyDescent="0.25">
      <c r="B26" s="34" t="s">
        <v>26</v>
      </c>
      <c r="C26" s="55"/>
      <c r="D26" s="66"/>
      <c r="E26" s="130">
        <f>SUM(E22:E25)</f>
        <v>1</v>
      </c>
      <c r="F26" s="130"/>
      <c r="H26"/>
      <c r="I26"/>
    </row>
    <row r="27" spans="2:11" ht="15" customHeight="1" x14ac:dyDescent="0.25">
      <c r="H27"/>
      <c r="I27"/>
    </row>
    <row r="28" spans="2:11" ht="15" customHeight="1" x14ac:dyDescent="0.25">
      <c r="H28"/>
      <c r="I28"/>
    </row>
    <row r="30" spans="2:11" ht="20.25" customHeight="1" x14ac:dyDescent="0.3">
      <c r="B30" s="108" t="s">
        <v>88</v>
      </c>
      <c r="C30" s="107"/>
      <c r="D30" s="107"/>
      <c r="E30" s="107"/>
      <c r="F30" s="107"/>
      <c r="G30" s="107"/>
      <c r="H30" s="107"/>
      <c r="I30" s="107"/>
      <c r="J30" s="107"/>
      <c r="K30" s="107"/>
    </row>
    <row r="31" spans="2:11" ht="28.5" customHeight="1" x14ac:dyDescent="0.25">
      <c r="B31" s="113" t="s">
        <v>87</v>
      </c>
      <c r="C31" s="114" t="s">
        <v>80</v>
      </c>
      <c r="D31" s="114" t="s">
        <v>81</v>
      </c>
      <c r="E31" s="114" t="s">
        <v>82</v>
      </c>
      <c r="F31" s="114" t="s">
        <v>83</v>
      </c>
      <c r="G31" s="114" t="s">
        <v>85</v>
      </c>
      <c r="H31" s="114" t="s">
        <v>86</v>
      </c>
      <c r="I31" s="115"/>
      <c r="J31" s="114" t="s">
        <v>26</v>
      </c>
      <c r="K31" s="126" t="s">
        <v>93</v>
      </c>
    </row>
    <row r="32" spans="2:11" ht="15" customHeight="1" x14ac:dyDescent="0.25">
      <c r="B32" s="116">
        <f>C32+D32+E32+F32</f>
        <v>0</v>
      </c>
      <c r="C32" s="109">
        <f>'1.1 Budget - Plant'!J8</f>
        <v>0</v>
      </c>
      <c r="D32" s="109">
        <f>'1.2 Budget - LP Dist'!J8</f>
        <v>0</v>
      </c>
      <c r="E32" s="109">
        <f>'1.3 Budget - Buildings'!J12</f>
        <v>0</v>
      </c>
      <c r="F32" s="110"/>
      <c r="G32" s="117"/>
      <c r="H32" s="117">
        <v>411576</v>
      </c>
      <c r="I32" s="111"/>
      <c r="J32" s="125">
        <v>411576</v>
      </c>
      <c r="K32" s="34" t="s">
        <v>11</v>
      </c>
    </row>
    <row r="33" spans="2:11" ht="15" customHeight="1" x14ac:dyDescent="0.25">
      <c r="B33" s="116">
        <f t="shared" ref="B33:B38" si="3">C33+D33+E33+F33</f>
        <v>0</v>
      </c>
      <c r="C33" s="109">
        <f>'1.1 Budget - Plant'!J10</f>
        <v>0</v>
      </c>
      <c r="D33" s="109">
        <f>'1.2 Budget - LP Dist'!J10</f>
        <v>0</v>
      </c>
      <c r="E33" s="109">
        <v>0</v>
      </c>
      <c r="F33" s="112"/>
      <c r="G33" s="117"/>
      <c r="H33" s="117">
        <v>152283</v>
      </c>
      <c r="I33" s="111"/>
      <c r="J33" s="125">
        <v>152283</v>
      </c>
      <c r="K33" s="34" t="s">
        <v>12</v>
      </c>
    </row>
    <row r="34" spans="2:11" ht="15" customHeight="1" x14ac:dyDescent="0.25">
      <c r="B34" s="116">
        <f t="shared" si="3"/>
        <v>0</v>
      </c>
      <c r="C34" s="109">
        <f>'1.1 Budget - Plant'!J12</f>
        <v>0</v>
      </c>
      <c r="D34" s="109">
        <f>'1.2 Budget - LP Dist'!J12</f>
        <v>0</v>
      </c>
      <c r="E34" s="109">
        <v>0</v>
      </c>
      <c r="F34" s="109">
        <f>' 1.4 Budget - DES Connect'!J12</f>
        <v>0</v>
      </c>
      <c r="G34" s="117"/>
      <c r="H34" s="117"/>
      <c r="I34" s="111"/>
      <c r="J34" s="125">
        <v>0</v>
      </c>
      <c r="K34" s="34" t="s">
        <v>13</v>
      </c>
    </row>
    <row r="35" spans="2:11" ht="15" customHeight="1" x14ac:dyDescent="0.25">
      <c r="B35" s="116">
        <f t="shared" si="3"/>
        <v>7944201.2095224243</v>
      </c>
      <c r="C35" s="109">
        <f>'1.1 Budget - Plant'!J15</f>
        <v>2946456.4618895994</v>
      </c>
      <c r="D35" s="109">
        <f>'1.2 Budget - LP Dist'!J15</f>
        <v>1421872.7985126753</v>
      </c>
      <c r="E35" s="109">
        <f>'1.3 Budget - Buildings'!J15</f>
        <v>1962249.8032499999</v>
      </c>
      <c r="F35" s="109">
        <f>' 1.4 Budget - DES Connect'!J16</f>
        <v>1613622.1458701496</v>
      </c>
      <c r="G35" s="117"/>
      <c r="H35" s="117"/>
      <c r="I35" s="111"/>
      <c r="J35" s="125">
        <v>7944201</v>
      </c>
      <c r="K35" s="34" t="s">
        <v>14</v>
      </c>
    </row>
    <row r="36" spans="2:11" ht="15" customHeight="1" x14ac:dyDescent="0.25">
      <c r="B36" s="116">
        <f t="shared" si="3"/>
        <v>5056573.2250251053</v>
      </c>
      <c r="C36" s="109">
        <f>'1.1 Budget - Plant'!J18</f>
        <v>1308574.8137297817</v>
      </c>
      <c r="D36" s="109">
        <f>'1.2 Budget - LP Dist'!J18</f>
        <v>1871133.2624582392</v>
      </c>
      <c r="E36" s="109">
        <f>'1.3 Budget - Buildings'!J18</f>
        <v>1270317.2323214076</v>
      </c>
      <c r="F36" s="109">
        <f>' 1.4 Budget - DES Connect'!J19</f>
        <v>606547.91651567747</v>
      </c>
      <c r="G36" s="117"/>
      <c r="H36" s="117"/>
      <c r="I36" s="111"/>
      <c r="J36" s="125">
        <v>5056573</v>
      </c>
      <c r="K36" s="34" t="s">
        <v>15</v>
      </c>
    </row>
    <row r="37" spans="2:11" ht="15" customHeight="1" x14ac:dyDescent="0.25">
      <c r="B37" s="116">
        <f t="shared" si="3"/>
        <v>35038006.816923536</v>
      </c>
      <c r="C37" s="109">
        <f>'1.1 Budget - Plant'!J27</f>
        <v>8655467.9829853438</v>
      </c>
      <c r="D37" s="109">
        <f>'1.2 Budget - LP Dist'!J25</f>
        <v>10791837.683824692</v>
      </c>
      <c r="E37" s="109">
        <f>'1.3 Budget - Buildings'!J22</f>
        <v>6463811.1306782598</v>
      </c>
      <c r="F37" s="109">
        <f>' 1.4 Budget - DES Connect'!J27</f>
        <v>9126890.0194352437</v>
      </c>
      <c r="G37" s="117"/>
      <c r="H37" s="117"/>
      <c r="I37" s="111"/>
      <c r="J37" s="125">
        <v>35038007</v>
      </c>
      <c r="K37" s="34" t="s">
        <v>52</v>
      </c>
    </row>
    <row r="38" spans="2:11" ht="15" customHeight="1" x14ac:dyDescent="0.25">
      <c r="B38" s="116">
        <f t="shared" si="3"/>
        <v>0</v>
      </c>
      <c r="C38" s="109">
        <f>'1.1 Budget - Plant'!J29</f>
        <v>0</v>
      </c>
      <c r="D38" s="109">
        <f>'1.2 Budget - LP Dist'!J27</f>
        <v>0</v>
      </c>
      <c r="E38" s="109">
        <f>'1.3 Budget - Buildings'!J24</f>
        <v>0</v>
      </c>
      <c r="F38" s="109">
        <f>' 1.4 Budget - DES Connect'!J29</f>
        <v>0</v>
      </c>
      <c r="G38" s="117">
        <v>1000000</v>
      </c>
      <c r="H38" s="117">
        <v>312985</v>
      </c>
      <c r="I38" s="111"/>
      <c r="J38" s="125">
        <v>1312985</v>
      </c>
      <c r="K38" s="34" t="s">
        <v>16</v>
      </c>
    </row>
    <row r="39" spans="2:11" ht="15" customHeight="1" x14ac:dyDescent="0.25">
      <c r="B39" s="116">
        <f>C39+D39+E39+F39</f>
        <v>48038781.251471065</v>
      </c>
      <c r="C39" s="109">
        <f>SUM(C32:C38)</f>
        <v>12910499.258604724</v>
      </c>
      <c r="D39" s="109">
        <f t="shared" ref="D39:G39" si="4">SUM(D32:D38)</f>
        <v>14084843.744795606</v>
      </c>
      <c r="E39" s="109">
        <f>SUM(E32:E38)</f>
        <v>9696378.1662496664</v>
      </c>
      <c r="F39" s="109">
        <f t="shared" si="4"/>
        <v>11347060.081821071</v>
      </c>
      <c r="G39" s="117">
        <f t="shared" si="4"/>
        <v>1000000</v>
      </c>
      <c r="H39" s="117">
        <f>SUM(H32:H38)</f>
        <v>876844</v>
      </c>
      <c r="I39" s="111"/>
      <c r="J39" s="125">
        <f>SUM(J32:J38)</f>
        <v>49915625</v>
      </c>
      <c r="K39" s="12" t="s">
        <v>17</v>
      </c>
    </row>
    <row r="44" spans="2:11" ht="15" customHeight="1" x14ac:dyDescent="0.25">
      <c r="E44"/>
    </row>
    <row r="46" spans="2:11" ht="15" customHeight="1" x14ac:dyDescent="0.25">
      <c r="C46" s="123"/>
    </row>
    <row r="47" spans="2:11" ht="15" customHeight="1" x14ac:dyDescent="0.25">
      <c r="C47" s="123"/>
      <c r="F47" s="124"/>
    </row>
  </sheetData>
  <mergeCells count="7">
    <mergeCell ref="E25:F25"/>
    <mergeCell ref="E26:F26"/>
    <mergeCell ref="E20:F20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0" tint="-0.249977111117893"/>
    <pageSetUpPr fitToPage="1"/>
  </sheetPr>
  <dimension ref="B1:AX50"/>
  <sheetViews>
    <sheetView showGridLines="0" zoomScale="85" zoomScaleNormal="85" workbookViewId="0">
      <selection activeCell="C38" sqref="C38"/>
    </sheetView>
  </sheetViews>
  <sheetFormatPr defaultColWidth="9.140625" defaultRowHeight="15" x14ac:dyDescent="0.25"/>
  <cols>
    <col min="1" max="1" width="3.140625" style="6" customWidth="1"/>
    <col min="2" max="2" width="10.140625" style="6" customWidth="1"/>
    <col min="3" max="3" width="35.42578125" style="6" customWidth="1"/>
    <col min="4" max="4" width="12.140625" style="9" customWidth="1"/>
    <col min="5" max="5" width="12.140625" style="3" customWidth="1"/>
    <col min="6" max="7" width="12.140625" style="6" customWidth="1"/>
    <col min="8" max="8" width="12.140625" style="3" customWidth="1"/>
    <col min="9" max="9" width="1.7109375" style="10" customWidth="1"/>
    <col min="10" max="10" width="12.85546875" style="6" customWidth="1"/>
    <col min="11" max="11" width="10.140625" style="6" customWidth="1"/>
    <col min="12" max="12" width="9.140625" style="6"/>
    <col min="13" max="14" width="10.85546875" style="6" bestFit="1" customWidth="1"/>
    <col min="15" max="16384" width="9.140625" style="6"/>
  </cols>
  <sheetData>
    <row r="1" spans="2:50" x14ac:dyDescent="0.25">
      <c r="J1" s="47"/>
    </row>
    <row r="2" spans="2:50" ht="23.25" x14ac:dyDescent="0.35">
      <c r="B2" s="22" t="s">
        <v>27</v>
      </c>
    </row>
    <row r="3" spans="2:50" x14ac:dyDescent="0.25">
      <c r="B3" s="5"/>
    </row>
    <row r="4" spans="2:50" x14ac:dyDescent="0.25">
      <c r="B4" s="5"/>
      <c r="D4" s="45"/>
      <c r="E4" s="43">
        <v>2.3E-2</v>
      </c>
      <c r="F4" s="43">
        <v>2.1000000000000001E-2</v>
      </c>
      <c r="G4" s="43">
        <v>0.02</v>
      </c>
      <c r="H4" s="43">
        <v>0.02</v>
      </c>
    </row>
    <row r="5" spans="2:50" ht="18.75" x14ac:dyDescent="0.3">
      <c r="B5" s="23" t="s">
        <v>1</v>
      </c>
      <c r="C5" s="24"/>
      <c r="D5" s="42">
        <v>2024</v>
      </c>
      <c r="E5" s="42">
        <v>2025</v>
      </c>
      <c r="F5" s="42">
        <v>2026</v>
      </c>
      <c r="G5" s="42">
        <v>2027</v>
      </c>
      <c r="H5" s="42">
        <v>2028</v>
      </c>
      <c r="I5" s="24"/>
      <c r="J5" s="2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26" t="s">
        <v>2</v>
      </c>
      <c r="C6" s="26" t="s">
        <v>3</v>
      </c>
      <c r="D6" s="26" t="s">
        <v>4</v>
      </c>
      <c r="E6" s="27" t="s">
        <v>5</v>
      </c>
      <c r="F6" s="27" t="s">
        <v>6</v>
      </c>
      <c r="G6" s="27" t="s">
        <v>7</v>
      </c>
      <c r="H6" s="28" t="s">
        <v>8</v>
      </c>
      <c r="I6" s="29"/>
      <c r="J6" s="30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ht="30" x14ac:dyDescent="0.25">
      <c r="B7" s="40" t="s">
        <v>10</v>
      </c>
      <c r="C7" s="21" t="s">
        <v>28</v>
      </c>
      <c r="D7" s="13" t="s">
        <v>29</v>
      </c>
      <c r="E7" s="13" t="s">
        <v>29</v>
      </c>
      <c r="F7" s="13" t="s">
        <v>29</v>
      </c>
      <c r="G7" s="13"/>
      <c r="H7" s="13" t="s">
        <v>29</v>
      </c>
      <c r="I7" s="10"/>
      <c r="J7" s="11" t="s">
        <v>29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7" customFormat="1" x14ac:dyDescent="0.25">
      <c r="B8" s="18"/>
      <c r="C8" s="62" t="s">
        <v>11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70"/>
      <c r="J8" s="58">
        <v>0</v>
      </c>
      <c r="L8" s="49"/>
      <c r="N8" s="47"/>
    </row>
    <row r="9" spans="2:50" s="7" customFormat="1" x14ac:dyDescent="0.25">
      <c r="B9" s="18"/>
      <c r="C9" s="71" t="s">
        <v>30</v>
      </c>
      <c r="D9" s="72" t="s">
        <v>29</v>
      </c>
      <c r="E9" s="73"/>
      <c r="F9" s="73"/>
      <c r="G9" s="73"/>
      <c r="H9" s="73"/>
      <c r="I9" s="70"/>
      <c r="J9" s="74" t="s">
        <v>29</v>
      </c>
      <c r="N9" s="49"/>
    </row>
    <row r="10" spans="2:50" s="7" customFormat="1" x14ac:dyDescent="0.25">
      <c r="B10" s="18"/>
      <c r="C10" s="62" t="s">
        <v>12</v>
      </c>
      <c r="D10" s="58">
        <v>0</v>
      </c>
      <c r="E10" s="58">
        <v>0</v>
      </c>
      <c r="F10" s="58">
        <v>0</v>
      </c>
      <c r="G10" s="58">
        <v>0</v>
      </c>
      <c r="H10" s="58">
        <v>0</v>
      </c>
      <c r="I10" s="70"/>
      <c r="J10" s="58">
        <v>0</v>
      </c>
    </row>
    <row r="11" spans="2:50" s="7" customFormat="1" x14ac:dyDescent="0.25">
      <c r="B11" s="18"/>
      <c r="C11" s="71" t="s">
        <v>31</v>
      </c>
      <c r="D11" s="72"/>
      <c r="E11" s="72"/>
      <c r="F11" s="72"/>
      <c r="G11" s="72"/>
      <c r="H11" s="72"/>
      <c r="I11" s="70"/>
      <c r="J11" s="74" t="s">
        <v>29</v>
      </c>
    </row>
    <row r="12" spans="2:50" s="7" customFormat="1" x14ac:dyDescent="0.25">
      <c r="B12" s="18"/>
      <c r="C12" s="62" t="s">
        <v>13</v>
      </c>
      <c r="D12" s="58">
        <v>0</v>
      </c>
      <c r="E12" s="58">
        <v>0</v>
      </c>
      <c r="F12" s="58">
        <v>0</v>
      </c>
      <c r="G12" s="58">
        <v>0</v>
      </c>
      <c r="H12" s="58">
        <v>0</v>
      </c>
      <c r="I12" s="70"/>
      <c r="J12" s="58">
        <v>0</v>
      </c>
    </row>
    <row r="13" spans="2:50" s="7" customFormat="1" x14ac:dyDescent="0.25">
      <c r="B13" s="18"/>
      <c r="C13" s="71" t="s">
        <v>45</v>
      </c>
      <c r="D13" s="57"/>
      <c r="E13" s="73"/>
      <c r="F13" s="73"/>
      <c r="G13" s="73"/>
      <c r="H13" s="73"/>
      <c r="I13" s="70"/>
      <c r="J13" s="57" t="s">
        <v>18</v>
      </c>
    </row>
    <row r="14" spans="2:50" s="7" customFormat="1" ht="30" x14ac:dyDescent="0.25">
      <c r="B14" s="18"/>
      <c r="C14" s="69" t="s">
        <v>62</v>
      </c>
      <c r="D14" s="57"/>
      <c r="E14" s="57"/>
      <c r="F14" s="57">
        <f>2820971.2*(1+E4)*(1+F4)</f>
        <v>2946456.4618895994</v>
      </c>
      <c r="G14" s="73"/>
      <c r="H14" s="73"/>
      <c r="I14" s="70"/>
      <c r="J14" s="57">
        <f t="shared" ref="J14" si="0">SUM(D14:H14)</f>
        <v>2946456.4618895994</v>
      </c>
    </row>
    <row r="15" spans="2:50" s="7" customFormat="1" x14ac:dyDescent="0.25">
      <c r="B15" s="18"/>
      <c r="C15" s="62" t="s">
        <v>14</v>
      </c>
      <c r="D15" s="78">
        <f>SUM(D14:D14)</f>
        <v>0</v>
      </c>
      <c r="E15" s="78">
        <f>SUM(E14:E14)</f>
        <v>0</v>
      </c>
      <c r="F15" s="78">
        <f>SUM(F14:F14)</f>
        <v>2946456.4618895994</v>
      </c>
      <c r="G15" s="78">
        <f>SUM(G14:G14)</f>
        <v>0</v>
      </c>
      <c r="H15" s="78">
        <f>SUM(H14:H14)</f>
        <v>0</v>
      </c>
      <c r="I15" s="70"/>
      <c r="J15" s="58">
        <f>SUM(J14:J14)</f>
        <v>2946456.4618895994</v>
      </c>
    </row>
    <row r="16" spans="2:50" s="7" customFormat="1" x14ac:dyDescent="0.25">
      <c r="B16" s="18"/>
      <c r="C16" s="71" t="s">
        <v>41</v>
      </c>
      <c r="D16" s="72" t="s">
        <v>29</v>
      </c>
      <c r="E16" s="73"/>
      <c r="F16" s="73"/>
      <c r="G16" s="73"/>
      <c r="H16" s="73"/>
      <c r="I16" s="70"/>
      <c r="J16" s="57"/>
    </row>
    <row r="17" spans="2:13" s="7" customFormat="1" ht="60" x14ac:dyDescent="0.25">
      <c r="B17" s="18"/>
      <c r="C17" s="69" t="s">
        <v>67</v>
      </c>
      <c r="D17" s="57">
        <v>0</v>
      </c>
      <c r="E17" s="57">
        <v>174609.21599999999</v>
      </c>
      <c r="F17" s="57">
        <v>740168.59909169283</v>
      </c>
      <c r="G17" s="57">
        <v>382817.90722772473</v>
      </c>
      <c r="H17" s="57">
        <v>10979.091410363997</v>
      </c>
      <c r="I17" s="76"/>
      <c r="J17" s="57">
        <f t="shared" ref="J17:J26" si="1">SUM(D17:H17)</f>
        <v>1308574.8137297817</v>
      </c>
      <c r="K17" s="46"/>
    </row>
    <row r="18" spans="2:13" s="7" customFormat="1" x14ac:dyDescent="0.25">
      <c r="B18" s="18"/>
      <c r="C18" s="62" t="s">
        <v>15</v>
      </c>
      <c r="D18" s="58">
        <f>SUM(D17:D17)</f>
        <v>0</v>
      </c>
      <c r="E18" s="58">
        <f>SUM(E17:E17)</f>
        <v>174609.21599999999</v>
      </c>
      <c r="F18" s="58">
        <f>SUM(F17:F17)</f>
        <v>740168.59909169283</v>
      </c>
      <c r="G18" s="58">
        <f>SUM(G17:G17)</f>
        <v>382817.90722772473</v>
      </c>
      <c r="H18" s="58">
        <f>SUM(H17:H17)</f>
        <v>10979.091410363997</v>
      </c>
      <c r="I18" s="70"/>
      <c r="J18" s="58">
        <f>SUM(J17:J17)</f>
        <v>1308574.8137297817</v>
      </c>
    </row>
    <row r="19" spans="2:13" s="7" customFormat="1" x14ac:dyDescent="0.25">
      <c r="B19" s="18"/>
      <c r="C19" s="71" t="s">
        <v>51</v>
      </c>
      <c r="D19" s="72" t="s">
        <v>29</v>
      </c>
      <c r="E19" s="73"/>
      <c r="F19" s="73"/>
      <c r="G19" s="73"/>
      <c r="H19" s="73"/>
      <c r="I19" s="70"/>
      <c r="J19" s="57"/>
    </row>
    <row r="20" spans="2:13" s="7" customFormat="1" x14ac:dyDescent="0.25">
      <c r="B20" s="18"/>
      <c r="C20" s="69" t="s">
        <v>35</v>
      </c>
      <c r="D20" s="72"/>
      <c r="E20" s="73"/>
      <c r="F20" s="57">
        <f>782270/2*(1+$E$4)*(1+$F$4)</f>
        <v>408533.85820499994</v>
      </c>
      <c r="G20" s="57">
        <f>F20*(1+$G$4)</f>
        <v>416704.53536909993</v>
      </c>
      <c r="H20" s="73"/>
      <c r="I20" s="70"/>
      <c r="J20" s="57">
        <f t="shared" si="1"/>
        <v>825238.39357409987</v>
      </c>
    </row>
    <row r="21" spans="2:13" s="7" customFormat="1" x14ac:dyDescent="0.25">
      <c r="B21" s="18"/>
      <c r="C21" s="69" t="s">
        <v>36</v>
      </c>
      <c r="D21" s="72"/>
      <c r="E21" s="73"/>
      <c r="F21" s="57">
        <f>113389/2*(1+$E$4)*(1+$F$4)</f>
        <v>59216.441443499985</v>
      </c>
      <c r="G21" s="57">
        <f t="shared" ref="G21:G24" si="2">F21*(1+$G$4)</f>
        <v>60400.770272369984</v>
      </c>
      <c r="H21" s="73"/>
      <c r="I21" s="70"/>
      <c r="J21" s="57">
        <f t="shared" si="1"/>
        <v>119617.21171586997</v>
      </c>
    </row>
    <row r="22" spans="2:13" s="7" customFormat="1" x14ac:dyDescent="0.25">
      <c r="B22" s="18"/>
      <c r="C22" s="69" t="s">
        <v>37</v>
      </c>
      <c r="D22" s="72"/>
      <c r="E22" s="73"/>
      <c r="F22" s="57">
        <f>(489285+92535)/2*(1+$E$4)*(1+$F$4)</f>
        <v>303850.54952999996</v>
      </c>
      <c r="G22" s="57">
        <f t="shared" si="2"/>
        <v>309927.56052059995</v>
      </c>
      <c r="H22" s="73"/>
      <c r="I22" s="70"/>
      <c r="J22" s="57">
        <f t="shared" si="1"/>
        <v>613778.11005059991</v>
      </c>
    </row>
    <row r="23" spans="2:13" s="7" customFormat="1" x14ac:dyDescent="0.25">
      <c r="B23" s="18"/>
      <c r="C23" s="69" t="s">
        <v>39</v>
      </c>
      <c r="D23" s="72"/>
      <c r="E23" s="73"/>
      <c r="F23" s="57">
        <f>(300000+375000)/2*(1+$E$4)*(1+$F$4)</f>
        <v>352513.0124999999</v>
      </c>
      <c r="G23" s="57">
        <f t="shared" si="2"/>
        <v>359563.27274999989</v>
      </c>
      <c r="H23" s="73"/>
      <c r="I23" s="70"/>
      <c r="J23" s="57">
        <f t="shared" si="1"/>
        <v>712076.28524999972</v>
      </c>
      <c r="M23" s="47"/>
    </row>
    <row r="24" spans="2:13" s="7" customFormat="1" x14ac:dyDescent="0.25">
      <c r="B24" s="18"/>
      <c r="C24" s="69" t="s">
        <v>40</v>
      </c>
      <c r="D24" s="72"/>
      <c r="E24" s="73"/>
      <c r="F24" s="57">
        <f>523000/2*(1+$E$4)*(1+$F$4)</f>
        <v>273132.30449999997</v>
      </c>
      <c r="G24" s="57">
        <f t="shared" si="2"/>
        <v>278594.95058999996</v>
      </c>
      <c r="H24" s="73"/>
      <c r="I24" s="70"/>
      <c r="J24" s="57">
        <f t="shared" si="1"/>
        <v>551727.25508999988</v>
      </c>
    </row>
    <row r="25" spans="2:13" s="7" customFormat="1" x14ac:dyDescent="0.25">
      <c r="B25" s="18"/>
      <c r="C25" s="69" t="s">
        <v>38</v>
      </c>
      <c r="D25" s="72"/>
      <c r="E25" s="73"/>
      <c r="F25" s="57">
        <f>4135765*(1+$E$4)*(1+$F$4)</f>
        <v>4319736.2344949991</v>
      </c>
      <c r="G25" s="57">
        <v>0</v>
      </c>
      <c r="H25" s="73"/>
      <c r="I25" s="70"/>
      <c r="J25" s="57">
        <f t="shared" si="1"/>
        <v>4319736.2344949991</v>
      </c>
    </row>
    <row r="26" spans="2:13" s="7" customFormat="1" ht="30" x14ac:dyDescent="0.25">
      <c r="B26" s="18"/>
      <c r="C26" s="79" t="s">
        <v>54</v>
      </c>
      <c r="D26" s="72"/>
      <c r="E26" s="73"/>
      <c r="F26" s="75">
        <f>SUM(F20:F25,F14)*0.15</f>
        <v>1299515.829384465</v>
      </c>
      <c r="G26" s="75">
        <f>SUM(G20:G25,G14)*0.15</f>
        <v>213778.66342531043</v>
      </c>
      <c r="H26" s="73"/>
      <c r="I26" s="70"/>
      <c r="J26" s="57">
        <f t="shared" si="1"/>
        <v>1513294.4928097755</v>
      </c>
      <c r="K26" s="46"/>
    </row>
    <row r="27" spans="2:13" s="7" customFormat="1" x14ac:dyDescent="0.25">
      <c r="B27" s="18"/>
      <c r="C27" s="62" t="s">
        <v>52</v>
      </c>
      <c r="D27" s="58">
        <f>SUM(D20:D26)</f>
        <v>0</v>
      </c>
      <c r="E27" s="58">
        <f>SUM(E20:E26)</f>
        <v>0</v>
      </c>
      <c r="F27" s="58">
        <f>SUM(F20:F26)</f>
        <v>7016498.2300579641</v>
      </c>
      <c r="G27" s="58">
        <f>SUM(G20:G26)</f>
        <v>1638969.7529273801</v>
      </c>
      <c r="H27" s="58">
        <f>SUM(H20:H26)</f>
        <v>0</v>
      </c>
      <c r="I27" s="70"/>
      <c r="J27" s="58">
        <f>SUM(J20:J26)</f>
        <v>8655467.9829853438</v>
      </c>
    </row>
    <row r="28" spans="2:13" s="7" customFormat="1" x14ac:dyDescent="0.25">
      <c r="B28" s="18"/>
      <c r="C28" s="71" t="s">
        <v>50</v>
      </c>
      <c r="D28" s="72" t="s">
        <v>29</v>
      </c>
      <c r="E28" s="73"/>
      <c r="F28" s="73"/>
      <c r="G28" s="73"/>
      <c r="H28" s="73"/>
      <c r="I28" s="70"/>
      <c r="J28" s="57"/>
    </row>
    <row r="29" spans="2:13" s="7" customFormat="1" x14ac:dyDescent="0.25">
      <c r="B29" s="20"/>
      <c r="C29" s="62" t="s">
        <v>16</v>
      </c>
      <c r="D29" s="58">
        <v>0</v>
      </c>
      <c r="E29" s="58">
        <v>0</v>
      </c>
      <c r="F29" s="58">
        <v>0</v>
      </c>
      <c r="G29" s="58">
        <v>0</v>
      </c>
      <c r="H29" s="58">
        <v>0</v>
      </c>
      <c r="I29" s="70"/>
      <c r="J29" s="58">
        <v>0</v>
      </c>
    </row>
    <row r="30" spans="2:13" s="7" customFormat="1" x14ac:dyDescent="0.25">
      <c r="B30" s="20"/>
      <c r="C30" s="62" t="s">
        <v>17</v>
      </c>
      <c r="D30" s="58">
        <f>SUM(D29,D27,D18,D15,D12,D10,D8)</f>
        <v>0</v>
      </c>
      <c r="E30" s="58">
        <f t="shared" ref="E30:H30" si="3">SUM(E29,E27,E18,E15,E12,E10,E8)</f>
        <v>174609.21599999999</v>
      </c>
      <c r="F30" s="58">
        <f t="shared" si="3"/>
        <v>10703123.291039256</v>
      </c>
      <c r="G30" s="58">
        <f t="shared" si="3"/>
        <v>2021787.6601551049</v>
      </c>
      <c r="H30" s="58">
        <f t="shared" si="3"/>
        <v>10979.091410363997</v>
      </c>
      <c r="I30" s="70"/>
      <c r="J30" s="58">
        <f>SUM(D30:H30)</f>
        <v>12910499.258604724</v>
      </c>
    </row>
    <row r="31" spans="2:13" s="7" customFormat="1" x14ac:dyDescent="0.25">
      <c r="B31" s="19"/>
      <c r="J31" s="7" t="s">
        <v>18</v>
      </c>
    </row>
    <row r="32" spans="2:13" s="7" customFormat="1" ht="30" x14ac:dyDescent="0.25">
      <c r="B32" s="40" t="s">
        <v>34</v>
      </c>
      <c r="C32" s="14" t="s">
        <v>34</v>
      </c>
      <c r="D32" s="15"/>
      <c r="E32" s="15"/>
      <c r="F32" s="15"/>
      <c r="G32" s="15"/>
      <c r="H32" s="15"/>
      <c r="J32" s="15" t="s">
        <v>18</v>
      </c>
    </row>
    <row r="33" spans="2:10" s="7" customFormat="1" x14ac:dyDescent="0.25">
      <c r="B33" s="20"/>
      <c r="C33" s="12" t="s">
        <v>19</v>
      </c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70"/>
      <c r="J33" s="58">
        <v>0</v>
      </c>
    </row>
    <row r="34" spans="2:10" s="7" customFormat="1" ht="15.75" thickBot="1" x14ac:dyDescent="0.3">
      <c r="B34" s="19"/>
      <c r="D34" s="77"/>
      <c r="E34" s="77"/>
      <c r="F34" s="77"/>
      <c r="G34" s="77"/>
      <c r="H34" s="77"/>
      <c r="I34" s="77"/>
      <c r="J34" s="77" t="s">
        <v>18</v>
      </c>
    </row>
    <row r="35" spans="2:10" s="4" customFormat="1" ht="30.75" thickBot="1" x14ac:dyDescent="0.3">
      <c r="B35" s="16" t="s">
        <v>20</v>
      </c>
      <c r="C35" s="16"/>
      <c r="D35" s="83">
        <f>SUM(D33,D30)</f>
        <v>0</v>
      </c>
      <c r="E35" s="83">
        <f>SUM(E33,E30)</f>
        <v>174609.21599999999</v>
      </c>
      <c r="F35" s="83">
        <f>SUM(F33,F30)</f>
        <v>10703123.291039256</v>
      </c>
      <c r="G35" s="83">
        <f>SUM(G33,G30)</f>
        <v>2021787.6601551049</v>
      </c>
      <c r="H35" s="83">
        <f>SUM(H33,H30)</f>
        <v>10979.091410363997</v>
      </c>
      <c r="I35" s="70"/>
      <c r="J35" s="83">
        <f>SUM(J33,J30)</f>
        <v>12910499.258604724</v>
      </c>
    </row>
    <row r="36" spans="2:10" x14ac:dyDescent="0.25">
      <c r="B36" s="9"/>
      <c r="J36" s="41"/>
    </row>
    <row r="37" spans="2:10" x14ac:dyDescent="0.25">
      <c r="B37" s="9"/>
    </row>
    <row r="38" spans="2:10" x14ac:dyDescent="0.25">
      <c r="B38" s="9"/>
    </row>
    <row r="39" spans="2:10" x14ac:dyDescent="0.25">
      <c r="B39" s="9"/>
    </row>
    <row r="40" spans="2:10" x14ac:dyDescent="0.25">
      <c r="B40" s="9"/>
    </row>
    <row r="41" spans="2:10" x14ac:dyDescent="0.25">
      <c r="B41" s="9"/>
    </row>
    <row r="42" spans="2:10" x14ac:dyDescent="0.25">
      <c r="B42" s="9"/>
    </row>
    <row r="43" spans="2:10" x14ac:dyDescent="0.25">
      <c r="B43" s="9"/>
    </row>
    <row r="44" spans="2:10" x14ac:dyDescent="0.25">
      <c r="B44" s="9"/>
    </row>
    <row r="45" spans="2:10" x14ac:dyDescent="0.25">
      <c r="B45" s="9"/>
    </row>
    <row r="46" spans="2:10" x14ac:dyDescent="0.25">
      <c r="B46" s="9"/>
    </row>
    <row r="47" spans="2:10" x14ac:dyDescent="0.25">
      <c r="B47" s="9"/>
    </row>
    <row r="48" spans="2:10" x14ac:dyDescent="0.25">
      <c r="B48" s="9"/>
    </row>
    <row r="49" spans="2:2" x14ac:dyDescent="0.25">
      <c r="B49" s="9"/>
    </row>
    <row r="50" spans="2:2" x14ac:dyDescent="0.25">
      <c r="B50" s="9"/>
    </row>
  </sheetData>
  <pageMargins left="0.7" right="0.7" top="0.75" bottom="0.75" header="0.3" footer="0.3"/>
  <pageSetup scale="97" fitToHeight="0" orientation="landscape" r:id="rId1"/>
  <ignoredErrors>
    <ignoredError sqref="J1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0" tint="-0.249977111117893"/>
    <pageSetUpPr fitToPage="1"/>
  </sheetPr>
  <dimension ref="B2:AX50"/>
  <sheetViews>
    <sheetView showGridLines="0" tabSelected="1" zoomScale="85" zoomScaleNormal="85" workbookViewId="0">
      <pane xSplit="3" ySplit="6" topLeftCell="D7" activePane="bottomRight" state="frozen"/>
      <selection activeCell="O41" sqref="O41"/>
      <selection pane="topRight" activeCell="O41" sqref="O41"/>
      <selection pane="bottomLeft" activeCell="O41" sqref="O41"/>
      <selection pane="bottomRight" activeCell="A25" sqref="A25:XFD25"/>
    </sheetView>
  </sheetViews>
  <sheetFormatPr defaultColWidth="9.140625" defaultRowHeight="15" x14ac:dyDescent="0.25"/>
  <cols>
    <col min="1" max="1" width="3.140625" style="6" customWidth="1"/>
    <col min="2" max="2" width="9.7109375" style="6" customWidth="1"/>
    <col min="3" max="3" width="44.42578125" style="6" customWidth="1"/>
    <col min="4" max="4" width="12.85546875" style="9" customWidth="1"/>
    <col min="5" max="5" width="12.42578125" style="3" customWidth="1"/>
    <col min="6" max="6" width="12.7109375" style="6" customWidth="1"/>
    <col min="7" max="7" width="12.85546875" style="6" customWidth="1"/>
    <col min="8" max="8" width="13.42578125" style="3" customWidth="1"/>
    <col min="9" max="9" width="0.85546875" style="10" customWidth="1"/>
    <col min="10" max="10" width="14.42578125" style="6" customWidth="1"/>
    <col min="11" max="11" width="10.140625" style="6" customWidth="1"/>
    <col min="12" max="12" width="11" style="6" bestFit="1" customWidth="1"/>
    <col min="13" max="13" width="9.140625" style="6"/>
    <col min="14" max="14" width="11.85546875" style="6" bestFit="1" customWidth="1"/>
    <col min="15" max="16384" width="9.140625" style="6"/>
  </cols>
  <sheetData>
    <row r="2" spans="2:50" ht="23.25" x14ac:dyDescent="0.35">
      <c r="B2" s="22" t="s">
        <v>27</v>
      </c>
    </row>
    <row r="3" spans="2:50" x14ac:dyDescent="0.25">
      <c r="B3" s="5"/>
    </row>
    <row r="4" spans="2:50" x14ac:dyDescent="0.25">
      <c r="B4" s="5"/>
      <c r="D4" s="45"/>
      <c r="E4" s="43">
        <v>2.3E-2</v>
      </c>
      <c r="F4" s="43">
        <v>2.1000000000000001E-2</v>
      </c>
      <c r="G4" s="43">
        <v>0.02</v>
      </c>
      <c r="H4" s="43">
        <v>0.02</v>
      </c>
    </row>
    <row r="5" spans="2:50" ht="18.75" x14ac:dyDescent="0.3">
      <c r="B5" s="23" t="s">
        <v>1</v>
      </c>
      <c r="C5" s="24"/>
      <c r="D5" s="42">
        <v>2024</v>
      </c>
      <c r="E5" s="42">
        <v>2025</v>
      </c>
      <c r="F5" s="42">
        <v>2026</v>
      </c>
      <c r="G5" s="42">
        <v>2027</v>
      </c>
      <c r="H5" s="42">
        <v>2028</v>
      </c>
      <c r="I5" s="24"/>
      <c r="J5" s="2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26" t="s">
        <v>2</v>
      </c>
      <c r="C6" s="26" t="s">
        <v>3</v>
      </c>
      <c r="D6" s="26" t="s">
        <v>4</v>
      </c>
      <c r="E6" s="27" t="s">
        <v>5</v>
      </c>
      <c r="F6" s="27" t="s">
        <v>6</v>
      </c>
      <c r="G6" s="27" t="s">
        <v>7</v>
      </c>
      <c r="H6" s="28" t="s">
        <v>8</v>
      </c>
      <c r="I6" s="29"/>
      <c r="J6" s="30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x14ac:dyDescent="0.25">
      <c r="B7" s="17" t="s">
        <v>10</v>
      </c>
      <c r="C7" s="102" t="s">
        <v>28</v>
      </c>
      <c r="D7" s="73" t="s">
        <v>29</v>
      </c>
      <c r="E7" s="73" t="s">
        <v>29</v>
      </c>
      <c r="F7" s="73" t="s">
        <v>29</v>
      </c>
      <c r="G7" s="73"/>
      <c r="H7" s="73" t="s">
        <v>29</v>
      </c>
      <c r="I7" s="70"/>
      <c r="J7" s="74" t="s">
        <v>29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7" customFormat="1" x14ac:dyDescent="0.25">
      <c r="B8" s="18"/>
      <c r="C8" s="62" t="s">
        <v>11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70">
        <v>0</v>
      </c>
      <c r="J8" s="58">
        <v>0</v>
      </c>
      <c r="L8" s="49"/>
    </row>
    <row r="9" spans="2:50" s="7" customFormat="1" x14ac:dyDescent="0.25">
      <c r="B9" s="18"/>
      <c r="C9" s="71" t="s">
        <v>30</v>
      </c>
      <c r="D9" s="72" t="s">
        <v>29</v>
      </c>
      <c r="E9" s="73"/>
      <c r="F9" s="73"/>
      <c r="G9" s="73"/>
      <c r="H9" s="73"/>
      <c r="I9" s="70"/>
      <c r="J9" s="74" t="s">
        <v>29</v>
      </c>
      <c r="L9" s="49"/>
    </row>
    <row r="10" spans="2:50" s="7" customFormat="1" x14ac:dyDescent="0.25">
      <c r="B10" s="18"/>
      <c r="C10" s="62" t="s">
        <v>12</v>
      </c>
      <c r="D10" s="58">
        <v>0</v>
      </c>
      <c r="E10" s="58">
        <v>0</v>
      </c>
      <c r="F10" s="58">
        <v>0</v>
      </c>
      <c r="G10" s="58">
        <v>0</v>
      </c>
      <c r="H10" s="58">
        <v>0</v>
      </c>
      <c r="I10" s="70"/>
      <c r="J10" s="58">
        <v>0</v>
      </c>
    </row>
    <row r="11" spans="2:50" s="7" customFormat="1" x14ac:dyDescent="0.25">
      <c r="B11" s="18"/>
      <c r="C11" s="71" t="s">
        <v>31</v>
      </c>
      <c r="D11" s="72" t="s">
        <v>29</v>
      </c>
      <c r="E11" s="73"/>
      <c r="F11" s="73"/>
      <c r="G11" s="73"/>
      <c r="H11" s="73"/>
      <c r="I11" s="70"/>
      <c r="J11" s="74" t="s">
        <v>29</v>
      </c>
    </row>
    <row r="12" spans="2:50" s="7" customFormat="1" x14ac:dyDescent="0.25">
      <c r="B12" s="18"/>
      <c r="C12" s="62" t="s">
        <v>13</v>
      </c>
      <c r="D12" s="58">
        <v>0</v>
      </c>
      <c r="E12" s="58">
        <v>0</v>
      </c>
      <c r="F12" s="58">
        <v>0</v>
      </c>
      <c r="G12" s="58">
        <v>0</v>
      </c>
      <c r="H12" s="58">
        <v>0</v>
      </c>
      <c r="I12" s="70"/>
      <c r="J12" s="58">
        <v>0</v>
      </c>
    </row>
    <row r="13" spans="2:50" s="7" customFormat="1" x14ac:dyDescent="0.25">
      <c r="B13" s="18"/>
      <c r="C13" s="73" t="s">
        <v>32</v>
      </c>
      <c r="D13" s="57"/>
      <c r="E13" s="73"/>
      <c r="F13" s="73"/>
      <c r="G13" s="73"/>
      <c r="H13" s="73"/>
      <c r="I13" s="70"/>
      <c r="J13" s="57" t="s">
        <v>18</v>
      </c>
    </row>
    <row r="14" spans="2:50" s="7" customFormat="1" x14ac:dyDescent="0.25">
      <c r="B14" s="18"/>
      <c r="C14" s="69" t="s">
        <v>65</v>
      </c>
      <c r="D14" s="57"/>
      <c r="E14" s="57"/>
      <c r="F14" s="57">
        <v>755919.42009935877</v>
      </c>
      <c r="G14" s="57">
        <v>403411.02839215175</v>
      </c>
      <c r="H14" s="57">
        <v>262542.35002116498</v>
      </c>
      <c r="I14" s="57"/>
      <c r="J14" s="57">
        <f>SUM(D14:H14)</f>
        <v>1421872.7985126753</v>
      </c>
    </row>
    <row r="15" spans="2:50" s="7" customFormat="1" x14ac:dyDescent="0.25">
      <c r="B15" s="18"/>
      <c r="C15" s="62" t="s">
        <v>14</v>
      </c>
      <c r="D15" s="78">
        <f>SUM(D14:D14)</f>
        <v>0</v>
      </c>
      <c r="E15" s="78">
        <f>SUM(E14:E14)</f>
        <v>0</v>
      </c>
      <c r="F15" s="78">
        <f>SUM(F14:F14)</f>
        <v>755919.42009935877</v>
      </c>
      <c r="G15" s="78">
        <f>SUM(G14:G14)</f>
        <v>403411.02839215175</v>
      </c>
      <c r="H15" s="78">
        <f>SUM(H14:H14)</f>
        <v>262542.35002116498</v>
      </c>
      <c r="I15" s="70"/>
      <c r="J15" s="58">
        <f>SUM(J14:J14)</f>
        <v>1421872.7985126753</v>
      </c>
    </row>
    <row r="16" spans="2:50" s="7" customFormat="1" x14ac:dyDescent="0.25">
      <c r="B16" s="18"/>
      <c r="C16" s="73" t="s">
        <v>41</v>
      </c>
      <c r="D16" s="72" t="s">
        <v>29</v>
      </c>
      <c r="E16" s="73"/>
      <c r="F16" s="73"/>
      <c r="G16" s="73"/>
      <c r="H16" s="73"/>
      <c r="I16" s="70"/>
      <c r="J16" s="57"/>
    </row>
    <row r="17" spans="2:11" s="7" customFormat="1" ht="45" x14ac:dyDescent="0.25">
      <c r="B17" s="18"/>
      <c r="C17" s="69" t="s">
        <v>60</v>
      </c>
      <c r="D17" s="57">
        <v>0</v>
      </c>
      <c r="E17" s="57">
        <v>175895.7408</v>
      </c>
      <c r="F17" s="57">
        <v>597246.74509670539</v>
      </c>
      <c r="G17" s="57">
        <v>592555.86124081595</v>
      </c>
      <c r="H17" s="57">
        <v>505434.91532071761</v>
      </c>
      <c r="I17" s="76"/>
      <c r="J17" s="57">
        <f t="shared" ref="J17:J28" si="0">SUM(D17:H17)</f>
        <v>1871133.2624582392</v>
      </c>
      <c r="K17" s="46"/>
    </row>
    <row r="18" spans="2:11" s="7" customFormat="1" x14ac:dyDescent="0.25">
      <c r="B18" s="18"/>
      <c r="C18" s="62" t="s">
        <v>15</v>
      </c>
      <c r="D18" s="58">
        <f>SUM(D17:D17)</f>
        <v>0</v>
      </c>
      <c r="E18" s="58">
        <f>SUM(E17:E17)</f>
        <v>175895.7408</v>
      </c>
      <c r="F18" s="58">
        <f>SUM(F17:F17)</f>
        <v>597246.74509670539</v>
      </c>
      <c r="G18" s="58">
        <f>SUM(G17:G17)</f>
        <v>592555.86124081595</v>
      </c>
      <c r="H18" s="58">
        <f>SUM(H17:H17)</f>
        <v>505434.91532071761</v>
      </c>
      <c r="I18" s="70"/>
      <c r="J18" s="58">
        <f>SUM(J17:J17)</f>
        <v>1871133.2624582392</v>
      </c>
    </row>
    <row r="19" spans="2:11" s="7" customFormat="1" x14ac:dyDescent="0.25">
      <c r="B19" s="18"/>
      <c r="C19" s="73" t="s">
        <v>42</v>
      </c>
      <c r="D19" s="72" t="s">
        <v>29</v>
      </c>
      <c r="E19" s="73"/>
      <c r="F19" s="73"/>
      <c r="G19" s="73"/>
      <c r="H19" s="73"/>
      <c r="I19" s="70"/>
      <c r="J19" s="57"/>
    </row>
    <row r="20" spans="2:11" s="7" customFormat="1" x14ac:dyDescent="0.25">
      <c r="B20" s="18"/>
      <c r="C20" s="79" t="s">
        <v>46</v>
      </c>
      <c r="D20" s="57"/>
      <c r="E20" s="57"/>
      <c r="F20" s="57">
        <v>3097316.4010737455</v>
      </c>
      <c r="G20" s="57">
        <v>2451115.3213492953</v>
      </c>
      <c r="H20" s="57">
        <v>1780753.5911222538</v>
      </c>
      <c r="I20" s="76"/>
      <c r="J20" s="57">
        <f t="shared" si="0"/>
        <v>7329185.313545295</v>
      </c>
    </row>
    <row r="21" spans="2:11" s="7" customFormat="1" x14ac:dyDescent="0.25">
      <c r="B21" s="18"/>
      <c r="C21" s="79" t="s">
        <v>47</v>
      </c>
      <c r="D21" s="57"/>
      <c r="E21" s="57"/>
      <c r="F21" s="57">
        <v>587259.41155430803</v>
      </c>
      <c r="G21" s="57">
        <v>213516.74904855003</v>
      </c>
      <c r="H21" s="57">
        <v>0</v>
      </c>
      <c r="I21" s="76"/>
      <c r="J21" s="57">
        <f t="shared" si="0"/>
        <v>800776.16060285806</v>
      </c>
    </row>
    <row r="22" spans="2:11" s="7" customFormat="1" x14ac:dyDescent="0.25">
      <c r="B22" s="18"/>
      <c r="C22" s="79" t="s">
        <v>48</v>
      </c>
      <c r="D22" s="57"/>
      <c r="E22" s="57"/>
      <c r="F22" s="57">
        <v>331622.93470679969</v>
      </c>
      <c r="G22" s="57">
        <v>412008.37268381979</v>
      </c>
      <c r="H22" s="57">
        <v>459838.47002159851</v>
      </c>
      <c r="I22" s="76"/>
      <c r="J22" s="57">
        <f t="shared" si="0"/>
        <v>1203469.777412218</v>
      </c>
    </row>
    <row r="23" spans="2:11" s="7" customFormat="1" ht="30" x14ac:dyDescent="0.25">
      <c r="B23" s="18"/>
      <c r="C23" s="79" t="s">
        <v>49</v>
      </c>
      <c r="D23" s="57"/>
      <c r="E23" s="57"/>
      <c r="F23" s="57">
        <v>646430.52869999991</v>
      </c>
      <c r="G23" s="57">
        <v>472279.70017799991</v>
      </c>
      <c r="H23" s="57">
        <v>339696.20338631992</v>
      </c>
      <c r="I23" s="76"/>
      <c r="J23" s="57">
        <f t="shared" si="0"/>
        <v>1458406.4322643196</v>
      </c>
    </row>
    <row r="24" spans="2:11" s="7" customFormat="1" x14ac:dyDescent="0.25">
      <c r="B24" s="18"/>
      <c r="C24" s="79" t="s">
        <v>55</v>
      </c>
      <c r="D24" s="57"/>
      <c r="E24" s="57"/>
      <c r="F24" s="57"/>
      <c r="G24" s="57">
        <f>(30000*35*(1+E4)*(1+F4)*(1+G4))*L24</f>
        <v>0</v>
      </c>
      <c r="H24" s="57"/>
      <c r="I24" s="76"/>
      <c r="J24" s="57">
        <f t="shared" si="0"/>
        <v>0</v>
      </c>
    </row>
    <row r="25" spans="2:11" s="7" customFormat="1" x14ac:dyDescent="0.25">
      <c r="B25" s="18"/>
      <c r="C25" s="62" t="s">
        <v>52</v>
      </c>
      <c r="D25" s="58">
        <f>SUM(D20:D24)</f>
        <v>0</v>
      </c>
      <c r="E25" s="58">
        <f>SUM(E20:E24)</f>
        <v>0</v>
      </c>
      <c r="F25" s="58">
        <f>SUM(F20:F24)</f>
        <v>4662629.2760348534</v>
      </c>
      <c r="G25" s="58">
        <f>SUM(G20:G24)</f>
        <v>3548920.143259665</v>
      </c>
      <c r="H25" s="58">
        <f>SUM(H20:H24)</f>
        <v>2580288.2645301721</v>
      </c>
      <c r="I25" s="70"/>
      <c r="J25" s="58">
        <f>SUM(J20:J24)</f>
        <v>10791837.683824692</v>
      </c>
    </row>
    <row r="26" spans="2:11" s="7" customFormat="1" x14ac:dyDescent="0.25">
      <c r="B26" s="18"/>
      <c r="C26" s="73" t="s">
        <v>50</v>
      </c>
      <c r="D26" s="72" t="s">
        <v>29</v>
      </c>
      <c r="E26" s="73"/>
      <c r="F26" s="73"/>
      <c r="G26" s="73"/>
      <c r="H26" s="73"/>
      <c r="I26" s="70"/>
      <c r="J26" s="57"/>
    </row>
    <row r="27" spans="2:11" s="7" customFormat="1" x14ac:dyDescent="0.25">
      <c r="B27" s="20"/>
      <c r="C27" s="62" t="s">
        <v>16</v>
      </c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70">
        <v>0</v>
      </c>
      <c r="J27" s="58">
        <v>0</v>
      </c>
    </row>
    <row r="28" spans="2:11" s="7" customFormat="1" x14ac:dyDescent="0.25">
      <c r="B28" s="20"/>
      <c r="C28" s="62" t="s">
        <v>17</v>
      </c>
      <c r="D28" s="58">
        <f>SUM(D27,D25,D18,D15,D12,D10,D8)</f>
        <v>0</v>
      </c>
      <c r="E28" s="58">
        <f>SUM(E27,E25,E18,E15,E12,E10,E8)</f>
        <v>175895.7408</v>
      </c>
      <c r="F28" s="58">
        <f>SUM(F27,F25,F18,F15,F12,F10,F8)</f>
        <v>6015795.4412309173</v>
      </c>
      <c r="G28" s="58">
        <f>SUM(G27,G25,G18,G15,G12,G10,G8)</f>
        <v>4544887.0328926323</v>
      </c>
      <c r="H28" s="58">
        <f>SUM(H27,H25,H18,H15,H12,H10,H8)</f>
        <v>3348265.5298720547</v>
      </c>
      <c r="I28" s="70"/>
      <c r="J28" s="58">
        <f t="shared" si="0"/>
        <v>14084843.744795604</v>
      </c>
    </row>
    <row r="29" spans="2:11" s="7" customFormat="1" x14ac:dyDescent="0.25">
      <c r="B29" s="19"/>
      <c r="C29" s="77"/>
      <c r="D29" s="77"/>
      <c r="E29" s="77"/>
      <c r="F29" s="77"/>
      <c r="G29" s="77"/>
      <c r="H29" s="77"/>
      <c r="I29" s="77"/>
      <c r="J29" s="77" t="s">
        <v>18</v>
      </c>
    </row>
    <row r="30" spans="2:11" s="7" customFormat="1" x14ac:dyDescent="0.25">
      <c r="B30" s="17" t="s">
        <v>34</v>
      </c>
      <c r="C30" s="81" t="s">
        <v>34</v>
      </c>
      <c r="D30" s="81"/>
      <c r="E30" s="81"/>
      <c r="F30" s="81"/>
      <c r="G30" s="81"/>
      <c r="H30" s="81"/>
      <c r="I30" s="77"/>
      <c r="J30" s="81" t="s">
        <v>18</v>
      </c>
    </row>
    <row r="31" spans="2:11" s="7" customFormat="1" x14ac:dyDescent="0.25">
      <c r="B31" s="18"/>
      <c r="C31" s="69"/>
      <c r="D31" s="72"/>
      <c r="E31" s="73"/>
      <c r="F31" s="73"/>
      <c r="G31" s="73"/>
      <c r="H31" s="73"/>
      <c r="I31" s="70"/>
      <c r="J31" s="57">
        <f>SUM(D31:H31)</f>
        <v>0</v>
      </c>
    </row>
    <row r="32" spans="2:11" s="7" customFormat="1" x14ac:dyDescent="0.25">
      <c r="B32" s="18"/>
      <c r="C32" s="69"/>
      <c r="D32" s="72"/>
      <c r="E32" s="73"/>
      <c r="F32" s="73"/>
      <c r="G32" s="73"/>
      <c r="H32" s="73"/>
      <c r="I32" s="70"/>
      <c r="J32" s="57"/>
    </row>
    <row r="33" spans="2:10" s="7" customFormat="1" x14ac:dyDescent="0.25">
      <c r="B33" s="20"/>
      <c r="C33" s="62" t="s">
        <v>19</v>
      </c>
      <c r="D33" s="58">
        <f>SUM(D31:D32)</f>
        <v>0</v>
      </c>
      <c r="E33" s="58">
        <f>SUM(E31:E32)</f>
        <v>0</v>
      </c>
      <c r="F33" s="58">
        <f>SUM(F31:F32)</f>
        <v>0</v>
      </c>
      <c r="G33" s="58">
        <f>SUM(G31:G32)</f>
        <v>0</v>
      </c>
      <c r="H33" s="58">
        <f>SUM(H31:H32)</f>
        <v>0</v>
      </c>
      <c r="I33" s="70"/>
      <c r="J33" s="58">
        <f t="shared" ref="J33" si="1">SUM(D33:H33)</f>
        <v>0</v>
      </c>
    </row>
    <row r="34" spans="2:10" s="7" customFormat="1" ht="15.75" thickBot="1" x14ac:dyDescent="0.3">
      <c r="B34" s="19"/>
      <c r="C34" s="77"/>
      <c r="D34" s="77"/>
      <c r="E34" s="77"/>
      <c r="F34" s="77"/>
      <c r="G34" s="77"/>
      <c r="H34" s="77"/>
      <c r="I34" s="77"/>
      <c r="J34" s="77" t="s">
        <v>18</v>
      </c>
    </row>
    <row r="35" spans="2:10" s="4" customFormat="1" ht="30.75" thickBot="1" x14ac:dyDescent="0.3">
      <c r="B35" s="16" t="s">
        <v>20</v>
      </c>
      <c r="C35" s="82"/>
      <c r="D35" s="83">
        <f t="shared" ref="D35:J35" si="2">SUM(D33,D28)</f>
        <v>0</v>
      </c>
      <c r="E35" s="83">
        <f t="shared" si="2"/>
        <v>175895.7408</v>
      </c>
      <c r="F35" s="83">
        <f t="shared" si="2"/>
        <v>6015795.4412309173</v>
      </c>
      <c r="G35" s="83">
        <f t="shared" si="2"/>
        <v>4544887.0328926323</v>
      </c>
      <c r="H35" s="83">
        <f t="shared" si="2"/>
        <v>3348265.5298720547</v>
      </c>
      <c r="I35" s="86"/>
      <c r="J35" s="83">
        <f t="shared" si="2"/>
        <v>14084843.744795604</v>
      </c>
    </row>
    <row r="36" spans="2:10" x14ac:dyDescent="0.25">
      <c r="B36" s="9"/>
    </row>
    <row r="37" spans="2:10" x14ac:dyDescent="0.25">
      <c r="B37" s="9"/>
    </row>
    <row r="38" spans="2:10" x14ac:dyDescent="0.25">
      <c r="B38" s="9"/>
    </row>
    <row r="39" spans="2:10" x14ac:dyDescent="0.25">
      <c r="B39" s="9"/>
    </row>
    <row r="40" spans="2:10" x14ac:dyDescent="0.25">
      <c r="B40" s="9"/>
    </row>
    <row r="41" spans="2:10" x14ac:dyDescent="0.25">
      <c r="B41" s="9"/>
    </row>
    <row r="42" spans="2:10" x14ac:dyDescent="0.25">
      <c r="B42" s="9"/>
    </row>
    <row r="43" spans="2:10" x14ac:dyDescent="0.25">
      <c r="B43" s="9"/>
    </row>
    <row r="44" spans="2:10" x14ac:dyDescent="0.25">
      <c r="B44" s="9"/>
    </row>
    <row r="45" spans="2:10" x14ac:dyDescent="0.25">
      <c r="B45" s="9"/>
    </row>
    <row r="46" spans="2:10" x14ac:dyDescent="0.25">
      <c r="B46" s="9"/>
    </row>
    <row r="47" spans="2:10" x14ac:dyDescent="0.25">
      <c r="B47" s="9"/>
    </row>
    <row r="48" spans="2:10" x14ac:dyDescent="0.25">
      <c r="B48" s="9"/>
    </row>
    <row r="49" spans="2:2" x14ac:dyDescent="0.25">
      <c r="B49" s="9"/>
    </row>
    <row r="50" spans="2:2" x14ac:dyDescent="0.25">
      <c r="B50" s="9"/>
    </row>
  </sheetData>
  <pageMargins left="0.7" right="0.7" top="0.75" bottom="0.75" header="0.3" footer="0.3"/>
  <pageSetup scale="89" fitToHeight="0" orientation="landscape" r:id="rId1"/>
  <ignoredErrors>
    <ignoredError sqref="J1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0" tint="-0.249977111117893"/>
    <pageSetUpPr fitToPage="1"/>
  </sheetPr>
  <dimension ref="B2:AX45"/>
  <sheetViews>
    <sheetView showGridLines="0" zoomScale="85" zoomScaleNormal="85" workbookViewId="0">
      <pane xSplit="3" ySplit="6" topLeftCell="D7" activePane="bottomRight" state="frozen"/>
      <selection activeCell="O41" sqref="O41"/>
      <selection pane="topRight" activeCell="O41" sqref="O41"/>
      <selection pane="bottomLeft" activeCell="O41" sqref="O41"/>
      <selection pane="bottomRight" activeCell="C30" sqref="C30:J30"/>
    </sheetView>
  </sheetViews>
  <sheetFormatPr defaultColWidth="9.140625" defaultRowHeight="15" x14ac:dyDescent="0.25"/>
  <cols>
    <col min="1" max="1" width="3.140625" style="6" customWidth="1"/>
    <col min="2" max="2" width="10" style="6" customWidth="1"/>
    <col min="3" max="3" width="46.85546875" style="6" customWidth="1"/>
    <col min="4" max="4" width="12.7109375" style="9" customWidth="1"/>
    <col min="5" max="5" width="12.42578125" style="3" customWidth="1"/>
    <col min="6" max="6" width="12.85546875" style="6" customWidth="1"/>
    <col min="7" max="7" width="12.42578125" style="6" customWidth="1"/>
    <col min="8" max="8" width="12.7109375" style="3" customWidth="1"/>
    <col min="9" max="9" width="0.85546875" style="10" customWidth="1"/>
    <col min="10" max="10" width="12.7109375" style="6" bestFit="1" customWidth="1"/>
    <col min="11" max="11" width="10.140625" style="6" customWidth="1"/>
    <col min="12" max="12" width="9.140625" style="6"/>
    <col min="13" max="13" width="10.85546875" style="6" bestFit="1" customWidth="1"/>
    <col min="14" max="16384" width="9.140625" style="6"/>
  </cols>
  <sheetData>
    <row r="2" spans="2:50" ht="23.25" x14ac:dyDescent="0.35">
      <c r="B2" s="22" t="s">
        <v>27</v>
      </c>
    </row>
    <row r="3" spans="2:50" x14ac:dyDescent="0.25">
      <c r="B3" s="38"/>
    </row>
    <row r="4" spans="2:50" x14ac:dyDescent="0.25">
      <c r="B4" s="5"/>
      <c r="C4" s="6" t="s">
        <v>53</v>
      </c>
      <c r="D4" s="44">
        <v>0</v>
      </c>
      <c r="E4" s="43">
        <v>2.3E-2</v>
      </c>
      <c r="F4" s="43">
        <v>2.1000000000000001E-2</v>
      </c>
      <c r="G4" s="43">
        <v>0.02</v>
      </c>
      <c r="H4" s="43">
        <v>0.02</v>
      </c>
    </row>
    <row r="5" spans="2:50" ht="18.75" x14ac:dyDescent="0.3">
      <c r="B5" s="23" t="s">
        <v>1</v>
      </c>
      <c r="C5" s="24"/>
      <c r="D5" s="42">
        <v>2024</v>
      </c>
      <c r="E5" s="42">
        <v>2025</v>
      </c>
      <c r="F5" s="42">
        <v>2026</v>
      </c>
      <c r="G5" s="42">
        <v>2027</v>
      </c>
      <c r="H5" s="42">
        <v>2028</v>
      </c>
      <c r="I5" s="24"/>
      <c r="J5" s="2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30" x14ac:dyDescent="0.25">
      <c r="B6" s="26" t="s">
        <v>2</v>
      </c>
      <c r="C6" s="118" t="s">
        <v>3</v>
      </c>
      <c r="D6" s="118" t="s">
        <v>4</v>
      </c>
      <c r="E6" s="119" t="s">
        <v>5</v>
      </c>
      <c r="F6" s="119" t="s">
        <v>6</v>
      </c>
      <c r="G6" s="119" t="s">
        <v>7</v>
      </c>
      <c r="H6" s="120" t="s">
        <v>8</v>
      </c>
      <c r="I6" s="121"/>
      <c r="J6" s="122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x14ac:dyDescent="0.25">
      <c r="B7" s="17" t="s">
        <v>10</v>
      </c>
      <c r="C7" s="102" t="s">
        <v>28</v>
      </c>
      <c r="D7" s="73" t="s">
        <v>29</v>
      </c>
      <c r="E7" s="73" t="s">
        <v>29</v>
      </c>
      <c r="F7" s="73" t="s">
        <v>29</v>
      </c>
      <c r="G7" s="73"/>
      <c r="H7" s="73" t="s">
        <v>29</v>
      </c>
      <c r="I7" s="70"/>
      <c r="J7" s="74" t="s">
        <v>29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7" customFormat="1" x14ac:dyDescent="0.25">
      <c r="B8" s="18"/>
      <c r="C8" s="62" t="s">
        <v>11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70"/>
      <c r="J8" s="58">
        <v>0</v>
      </c>
      <c r="L8" s="49"/>
    </row>
    <row r="9" spans="2:50" s="7" customFormat="1" x14ac:dyDescent="0.25">
      <c r="B9" s="18"/>
      <c r="C9" s="71" t="s">
        <v>30</v>
      </c>
      <c r="D9" s="72" t="s">
        <v>29</v>
      </c>
      <c r="E9" s="73"/>
      <c r="F9" s="73"/>
      <c r="G9" s="73"/>
      <c r="H9" s="73"/>
      <c r="I9" s="70"/>
      <c r="J9" s="74" t="s">
        <v>29</v>
      </c>
    </row>
    <row r="10" spans="2:50" s="7" customFormat="1" x14ac:dyDescent="0.25">
      <c r="B10" s="18"/>
      <c r="C10" s="62" t="s">
        <v>12</v>
      </c>
      <c r="D10" s="58">
        <v>0</v>
      </c>
      <c r="E10" s="58">
        <v>0</v>
      </c>
      <c r="F10" s="58">
        <v>0</v>
      </c>
      <c r="G10" s="58">
        <v>0</v>
      </c>
      <c r="H10" s="58">
        <v>0</v>
      </c>
      <c r="I10" s="70"/>
      <c r="J10" s="58">
        <v>0</v>
      </c>
    </row>
    <row r="11" spans="2:50" s="7" customFormat="1" x14ac:dyDescent="0.25">
      <c r="B11" s="18"/>
      <c r="C11" s="71" t="s">
        <v>31</v>
      </c>
      <c r="D11" s="72" t="s">
        <v>29</v>
      </c>
      <c r="E11" s="73"/>
      <c r="F11" s="73"/>
      <c r="G11" s="73"/>
      <c r="H11" s="73"/>
      <c r="I11" s="70"/>
      <c r="J11" s="74" t="s">
        <v>29</v>
      </c>
    </row>
    <row r="12" spans="2:50" s="7" customFormat="1" x14ac:dyDescent="0.25">
      <c r="B12" s="18"/>
      <c r="C12" s="62" t="s">
        <v>13</v>
      </c>
      <c r="D12" s="58">
        <v>0</v>
      </c>
      <c r="E12" s="58">
        <v>0</v>
      </c>
      <c r="F12" s="58">
        <v>0</v>
      </c>
      <c r="G12" s="58">
        <v>0</v>
      </c>
      <c r="H12" s="58">
        <v>0</v>
      </c>
      <c r="I12" s="70"/>
      <c r="J12" s="58">
        <f>SUM(D12:H12)</f>
        <v>0</v>
      </c>
    </row>
    <row r="13" spans="2:50" s="7" customFormat="1" x14ac:dyDescent="0.25">
      <c r="B13" s="18"/>
      <c r="C13" s="71" t="s">
        <v>32</v>
      </c>
      <c r="D13" s="57"/>
      <c r="E13" s="73"/>
      <c r="F13" s="73"/>
      <c r="G13" s="73"/>
      <c r="H13" s="73"/>
      <c r="I13" s="70"/>
      <c r="J13" s="57" t="s">
        <v>18</v>
      </c>
    </row>
    <row r="14" spans="2:50" s="7" customFormat="1" ht="30" x14ac:dyDescent="0.25">
      <c r="B14" s="18"/>
      <c r="C14" s="69" t="s">
        <v>64</v>
      </c>
      <c r="D14" s="57"/>
      <c r="E14" s="57">
        <v>575437.5</v>
      </c>
      <c r="F14" s="57">
        <v>574465.64999999991</v>
      </c>
      <c r="G14" s="57">
        <v>812346.65324999986</v>
      </c>
      <c r="H14" s="57"/>
      <c r="I14" s="57"/>
      <c r="J14" s="57">
        <f>SUM(D14:H14)</f>
        <v>1962249.8032499999</v>
      </c>
    </row>
    <row r="15" spans="2:50" s="7" customFormat="1" x14ac:dyDescent="0.25">
      <c r="B15" s="18"/>
      <c r="C15" s="62" t="s">
        <v>14</v>
      </c>
      <c r="D15" s="78">
        <f>SUM(D14:D14)</f>
        <v>0</v>
      </c>
      <c r="E15" s="78">
        <f>SUM(E14:E14)</f>
        <v>575437.5</v>
      </c>
      <c r="F15" s="78">
        <f>SUM(F14:F14)</f>
        <v>574465.64999999991</v>
      </c>
      <c r="G15" s="78">
        <f>SUM(G14:G14)</f>
        <v>812346.65324999986</v>
      </c>
      <c r="H15" s="78">
        <f>SUM(H14:H14)</f>
        <v>0</v>
      </c>
      <c r="I15" s="70"/>
      <c r="J15" s="58">
        <f t="shared" ref="J15:J25" si="0">SUM(D15:H15)</f>
        <v>1962249.8032499999</v>
      </c>
    </row>
    <row r="16" spans="2:50" s="7" customFormat="1" x14ac:dyDescent="0.25">
      <c r="B16" s="18"/>
      <c r="C16" s="71" t="s">
        <v>41</v>
      </c>
      <c r="D16" s="72" t="s">
        <v>29</v>
      </c>
      <c r="E16" s="73"/>
      <c r="F16" s="73"/>
      <c r="G16" s="73"/>
      <c r="H16" s="73"/>
      <c r="I16" s="70"/>
      <c r="J16" s="57"/>
    </row>
    <row r="17" spans="2:13" s="7" customFormat="1" ht="45" x14ac:dyDescent="0.25">
      <c r="B17" s="18"/>
      <c r="C17" s="69" t="s">
        <v>61</v>
      </c>
      <c r="D17" s="57">
        <v>0</v>
      </c>
      <c r="E17" s="57">
        <v>305975.45799999998</v>
      </c>
      <c r="F17" s="57">
        <v>386133.34127526201</v>
      </c>
      <c r="G17" s="57">
        <v>446280.37582727679</v>
      </c>
      <c r="H17" s="57">
        <v>131928.05721886869</v>
      </c>
      <c r="I17" s="76"/>
      <c r="J17" s="57">
        <f t="shared" si="0"/>
        <v>1270317.2323214076</v>
      </c>
      <c r="K17" s="46"/>
    </row>
    <row r="18" spans="2:13" s="7" customFormat="1" x14ac:dyDescent="0.25">
      <c r="B18" s="18"/>
      <c r="C18" s="62" t="s">
        <v>89</v>
      </c>
      <c r="D18" s="58">
        <f>SUM(D17:D17)</f>
        <v>0</v>
      </c>
      <c r="E18" s="58">
        <f>SUM(E17:E17)</f>
        <v>305975.45799999998</v>
      </c>
      <c r="F18" s="58">
        <f>SUM(F17:F17)</f>
        <v>386133.34127526201</v>
      </c>
      <c r="G18" s="58">
        <f>SUM(G17:G17)</f>
        <v>446280.37582727679</v>
      </c>
      <c r="H18" s="58">
        <f>SUM(H17:H17)</f>
        <v>131928.05721886869</v>
      </c>
      <c r="I18" s="70"/>
      <c r="J18" s="58">
        <f t="shared" si="0"/>
        <v>1270317.2323214076</v>
      </c>
    </row>
    <row r="19" spans="2:13" s="7" customFormat="1" x14ac:dyDescent="0.25">
      <c r="B19" s="18"/>
      <c r="C19" s="71" t="s">
        <v>51</v>
      </c>
      <c r="D19" s="72" t="s">
        <v>29</v>
      </c>
      <c r="E19" s="73"/>
      <c r="F19" s="73"/>
      <c r="G19" s="73"/>
      <c r="H19" s="73"/>
      <c r="I19" s="70"/>
      <c r="J19" s="57"/>
    </row>
    <row r="20" spans="2:13" s="7" customFormat="1" ht="30" x14ac:dyDescent="0.25">
      <c r="B20" s="18"/>
      <c r="C20" s="69" t="s">
        <v>43</v>
      </c>
      <c r="D20" s="57"/>
      <c r="E20" s="57"/>
      <c r="F20" s="57">
        <v>895779.47447999986</v>
      </c>
      <c r="G20" s="57">
        <v>1741648.1206040396</v>
      </c>
      <c r="H20" s="57">
        <v>2168624.4531592205</v>
      </c>
      <c r="I20" s="76"/>
      <c r="J20" s="57">
        <f t="shared" si="0"/>
        <v>4806052.04824326</v>
      </c>
    </row>
    <row r="21" spans="2:13" s="7" customFormat="1" x14ac:dyDescent="0.25">
      <c r="B21" s="18"/>
      <c r="C21" s="69" t="s">
        <v>44</v>
      </c>
      <c r="D21" s="57"/>
      <c r="E21" s="57"/>
      <c r="F21" s="57">
        <v>497327.72473049996</v>
      </c>
      <c r="G21" s="57">
        <v>580215.67885224998</v>
      </c>
      <c r="H21" s="57">
        <v>580215.67885224998</v>
      </c>
      <c r="I21" s="57"/>
      <c r="J21" s="57">
        <f t="shared" si="0"/>
        <v>1657759.0824349998</v>
      </c>
    </row>
    <row r="22" spans="2:13" s="7" customFormat="1" x14ac:dyDescent="0.25">
      <c r="B22" s="18"/>
      <c r="C22" s="62" t="s">
        <v>90</v>
      </c>
      <c r="D22" s="58">
        <f>SUM(D20:D21)</f>
        <v>0</v>
      </c>
      <c r="E22" s="58">
        <f>SUM(E20:E21)</f>
        <v>0</v>
      </c>
      <c r="F22" s="58">
        <f>SUM(F20:F21)</f>
        <v>1393107.1992104999</v>
      </c>
      <c r="G22" s="58">
        <f>SUM(G20:G21)</f>
        <v>2321863.7994562895</v>
      </c>
      <c r="H22" s="58">
        <f>SUM(H20:H21)</f>
        <v>2748840.1320114704</v>
      </c>
      <c r="I22" s="70"/>
      <c r="J22" s="58">
        <f t="shared" si="0"/>
        <v>6463811.1306782598</v>
      </c>
      <c r="M22" s="47"/>
    </row>
    <row r="23" spans="2:13" s="7" customFormat="1" x14ac:dyDescent="0.25">
      <c r="B23" s="18"/>
      <c r="C23" s="71" t="s">
        <v>50</v>
      </c>
      <c r="D23" s="72" t="s">
        <v>29</v>
      </c>
      <c r="E23" s="73"/>
      <c r="F23" s="73"/>
      <c r="G23" s="73"/>
      <c r="H23" s="73"/>
      <c r="I23" s="70"/>
      <c r="J23" s="57"/>
    </row>
    <row r="24" spans="2:13" s="7" customFormat="1" x14ac:dyDescent="0.25">
      <c r="B24" s="20"/>
      <c r="C24" s="62" t="s">
        <v>16</v>
      </c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70"/>
      <c r="J24" s="58">
        <f t="shared" si="0"/>
        <v>0</v>
      </c>
    </row>
    <row r="25" spans="2:13" s="7" customFormat="1" x14ac:dyDescent="0.25">
      <c r="B25" s="20"/>
      <c r="C25" s="62" t="s">
        <v>17</v>
      </c>
      <c r="D25" s="58">
        <f>SUM(D24,D22,D18,D15,D12,D10,D8)</f>
        <v>0</v>
      </c>
      <c r="E25" s="58">
        <f>SUM(E24,E22,E18,E15,E12,E10,E8)</f>
        <v>881412.95799999998</v>
      </c>
      <c r="F25" s="58">
        <f>SUM(F24,F22,F18,F15,F12,F10,F8)</f>
        <v>2353706.1904857615</v>
      </c>
      <c r="G25" s="58">
        <f>SUM(G24,G22,G18,G15,G12,G10,G8)</f>
        <v>3580490.8285335661</v>
      </c>
      <c r="H25" s="58">
        <f>SUM(H24,H22,H18,H15,H12,H10,H8)</f>
        <v>2880768.1892303391</v>
      </c>
      <c r="I25" s="70"/>
      <c r="J25" s="58">
        <f t="shared" si="0"/>
        <v>9696378.1662496664</v>
      </c>
      <c r="K25" s="54"/>
    </row>
    <row r="26" spans="2:13" s="7" customFormat="1" x14ac:dyDescent="0.25">
      <c r="B26" s="19"/>
      <c r="C26" s="77"/>
      <c r="D26" s="77"/>
      <c r="E26" s="77"/>
      <c r="F26" s="77"/>
      <c r="G26" s="77"/>
      <c r="H26" s="77"/>
      <c r="I26" s="77"/>
      <c r="J26" s="77" t="s">
        <v>18</v>
      </c>
    </row>
    <row r="27" spans="2:13" s="7" customFormat="1" ht="30" x14ac:dyDescent="0.25">
      <c r="B27" s="40" t="s">
        <v>34</v>
      </c>
      <c r="C27" s="80" t="s">
        <v>34</v>
      </c>
      <c r="D27" s="81"/>
      <c r="E27" s="81"/>
      <c r="F27" s="81"/>
      <c r="G27" s="81"/>
      <c r="H27" s="81"/>
      <c r="I27" s="77"/>
      <c r="J27" s="81" t="s">
        <v>18</v>
      </c>
    </row>
    <row r="28" spans="2:13" s="7" customFormat="1" x14ac:dyDescent="0.25">
      <c r="B28" s="20"/>
      <c r="C28" s="62" t="s">
        <v>19</v>
      </c>
      <c r="D28" s="58">
        <v>0</v>
      </c>
      <c r="E28" s="58">
        <v>0</v>
      </c>
      <c r="F28" s="58">
        <v>0</v>
      </c>
      <c r="G28" s="58">
        <v>0</v>
      </c>
      <c r="H28" s="58">
        <v>0</v>
      </c>
      <c r="I28" s="70"/>
      <c r="J28" s="58">
        <f t="shared" ref="J28" si="1">SUM(D28:H28)</f>
        <v>0</v>
      </c>
    </row>
    <row r="29" spans="2:13" s="7" customFormat="1" ht="15.75" thickBot="1" x14ac:dyDescent="0.3">
      <c r="B29" s="19"/>
      <c r="J29" s="7" t="s">
        <v>18</v>
      </c>
    </row>
    <row r="30" spans="2:13" s="4" customFormat="1" ht="30.75" thickBot="1" x14ac:dyDescent="0.3">
      <c r="B30" s="16" t="s">
        <v>20</v>
      </c>
      <c r="C30" s="127"/>
      <c r="D30" s="128">
        <f>SUM(D28,D25)</f>
        <v>0</v>
      </c>
      <c r="E30" s="128">
        <f>SUM(E28,E25)</f>
        <v>881412.95799999998</v>
      </c>
      <c r="F30" s="128">
        <f>SUM(F28,F25)</f>
        <v>2353706.1904857615</v>
      </c>
      <c r="G30" s="128">
        <f>SUM(G28,G25)</f>
        <v>3580490.8285335661</v>
      </c>
      <c r="H30" s="128">
        <f>SUM(H28,H25)</f>
        <v>2880768.1892303391</v>
      </c>
      <c r="I30" s="129"/>
      <c r="J30" s="128">
        <f>SUM(J28,J25)</f>
        <v>9696378.1662496664</v>
      </c>
    </row>
    <row r="31" spans="2:13" x14ac:dyDescent="0.25">
      <c r="B31" s="9"/>
    </row>
    <row r="32" spans="2:13" x14ac:dyDescent="0.25">
      <c r="B32" s="9"/>
    </row>
    <row r="33" spans="2:10" x14ac:dyDescent="0.25">
      <c r="B33" s="9"/>
      <c r="J33" s="48"/>
    </row>
    <row r="34" spans="2:10" x14ac:dyDescent="0.25">
      <c r="B34" s="9"/>
    </row>
    <row r="35" spans="2:10" x14ac:dyDescent="0.25">
      <c r="B35" s="9"/>
    </row>
    <row r="36" spans="2:10" x14ac:dyDescent="0.25">
      <c r="B36" s="9"/>
    </row>
    <row r="37" spans="2:10" x14ac:dyDescent="0.25">
      <c r="B37" s="9"/>
    </row>
    <row r="38" spans="2:10" x14ac:dyDescent="0.25">
      <c r="B38" s="9"/>
    </row>
    <row r="39" spans="2:10" x14ac:dyDescent="0.25">
      <c r="B39" s="9"/>
    </row>
    <row r="40" spans="2:10" x14ac:dyDescent="0.25">
      <c r="B40" s="9"/>
    </row>
    <row r="41" spans="2:10" x14ac:dyDescent="0.25">
      <c r="B41" s="9"/>
    </row>
    <row r="42" spans="2:10" x14ac:dyDescent="0.25">
      <c r="B42" s="9"/>
    </row>
    <row r="43" spans="2:10" x14ac:dyDescent="0.25">
      <c r="B43" s="9"/>
    </row>
    <row r="44" spans="2:10" x14ac:dyDescent="0.25">
      <c r="B44" s="9"/>
    </row>
    <row r="45" spans="2:10" x14ac:dyDescent="0.25">
      <c r="B45" s="9"/>
    </row>
  </sheetData>
  <pageMargins left="0.7" right="0.7" top="0.75" bottom="0.75" header="0.3" footer="0.3"/>
  <pageSetup scale="89" fitToHeight="0" orientation="landscape" r:id="rId1"/>
  <ignoredErrors>
    <ignoredError sqref="J17 J20:J2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0" tint="-0.249977111117893"/>
    <pageSetUpPr fitToPage="1"/>
  </sheetPr>
  <dimension ref="B2:AX50"/>
  <sheetViews>
    <sheetView showGridLines="0" zoomScale="130" zoomScaleNormal="130" workbookViewId="0">
      <pane xSplit="3" ySplit="6" topLeftCell="D10" activePane="bottomRight" state="frozen"/>
      <selection activeCell="C23" sqref="C23"/>
      <selection pane="topRight" activeCell="C23" sqref="C23"/>
      <selection pane="bottomLeft" activeCell="C23" sqref="C23"/>
      <selection pane="bottomRight" activeCell="I33" sqref="I33"/>
    </sheetView>
  </sheetViews>
  <sheetFormatPr defaultColWidth="9.140625" defaultRowHeight="15" x14ac:dyDescent="0.25"/>
  <cols>
    <col min="1" max="1" width="3.140625" style="6" customWidth="1"/>
    <col min="2" max="2" width="10.7109375" style="6" customWidth="1"/>
    <col min="3" max="3" width="45.5703125" style="6" customWidth="1"/>
    <col min="4" max="4" width="12.7109375" style="9" customWidth="1"/>
    <col min="5" max="5" width="12.5703125" style="3" customWidth="1"/>
    <col min="6" max="7" width="12.42578125" style="6" customWidth="1"/>
    <col min="8" max="8" width="12.5703125" style="3" customWidth="1"/>
    <col min="9" max="9" width="0.85546875" style="10" customWidth="1"/>
    <col min="10" max="10" width="13.5703125" style="6" customWidth="1"/>
    <col min="11" max="11" width="10.140625" style="6" customWidth="1"/>
    <col min="12" max="16384" width="9.140625" style="6"/>
  </cols>
  <sheetData>
    <row r="2" spans="2:50" ht="23.25" x14ac:dyDescent="0.35">
      <c r="B2" s="22" t="s">
        <v>27</v>
      </c>
    </row>
    <row r="3" spans="2:50" x14ac:dyDescent="0.25">
      <c r="B3" s="38"/>
    </row>
    <row r="4" spans="2:50" x14ac:dyDescent="0.25">
      <c r="B4" s="5"/>
      <c r="C4" s="6" t="s">
        <v>53</v>
      </c>
      <c r="D4" s="44">
        <v>0</v>
      </c>
      <c r="E4" s="43">
        <v>2.3E-2</v>
      </c>
      <c r="F4" s="43">
        <v>2.1000000000000001E-2</v>
      </c>
      <c r="G4" s="43">
        <v>0.02</v>
      </c>
      <c r="H4" s="43">
        <v>0.02</v>
      </c>
    </row>
    <row r="5" spans="2:50" ht="18.75" x14ac:dyDescent="0.3">
      <c r="B5" s="23" t="s">
        <v>1</v>
      </c>
      <c r="C5" s="24"/>
      <c r="D5" s="42">
        <v>2024</v>
      </c>
      <c r="E5" s="42">
        <v>2025</v>
      </c>
      <c r="F5" s="42">
        <v>2026</v>
      </c>
      <c r="G5" s="42">
        <v>2027</v>
      </c>
      <c r="H5" s="42">
        <v>2028</v>
      </c>
      <c r="I5" s="24"/>
      <c r="J5" s="2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26" t="s">
        <v>2</v>
      </c>
      <c r="C6" s="26" t="s">
        <v>3</v>
      </c>
      <c r="D6" s="26" t="s">
        <v>4</v>
      </c>
      <c r="E6" s="27" t="s">
        <v>5</v>
      </c>
      <c r="F6" s="27" t="s">
        <v>6</v>
      </c>
      <c r="G6" s="27" t="s">
        <v>7</v>
      </c>
      <c r="H6" s="28" t="s">
        <v>8</v>
      </c>
      <c r="I6" s="29"/>
      <c r="J6" s="30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x14ac:dyDescent="0.25">
      <c r="B7" s="17" t="s">
        <v>10</v>
      </c>
      <c r="C7" s="21" t="s">
        <v>28</v>
      </c>
      <c r="D7" s="13" t="s">
        <v>29</v>
      </c>
      <c r="E7" s="13" t="s">
        <v>29</v>
      </c>
      <c r="F7" s="13" t="s">
        <v>29</v>
      </c>
      <c r="G7" s="13"/>
      <c r="H7" s="13" t="s">
        <v>29</v>
      </c>
      <c r="I7" s="10"/>
      <c r="J7" s="11" t="s">
        <v>29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7" customFormat="1" x14ac:dyDescent="0.25">
      <c r="B8" s="18"/>
      <c r="C8" s="62" t="s">
        <v>11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70"/>
      <c r="J8" s="58">
        <v>0</v>
      </c>
    </row>
    <row r="9" spans="2:50" s="7" customFormat="1" x14ac:dyDescent="0.25">
      <c r="B9" s="18"/>
      <c r="C9" s="71" t="s">
        <v>30</v>
      </c>
      <c r="D9" s="72" t="s">
        <v>29</v>
      </c>
      <c r="E9" s="73"/>
      <c r="F9" s="73"/>
      <c r="G9" s="73"/>
      <c r="H9" s="73"/>
      <c r="I9" s="70"/>
      <c r="J9" s="74" t="s">
        <v>29</v>
      </c>
    </row>
    <row r="10" spans="2:50" s="7" customFormat="1" x14ac:dyDescent="0.25">
      <c r="B10" s="18"/>
      <c r="C10" s="62" t="s">
        <v>12</v>
      </c>
      <c r="D10" s="58">
        <v>0</v>
      </c>
      <c r="E10" s="58">
        <v>0</v>
      </c>
      <c r="F10" s="58">
        <v>0</v>
      </c>
      <c r="G10" s="58">
        <v>0</v>
      </c>
      <c r="H10" s="58">
        <v>0</v>
      </c>
      <c r="I10" s="70"/>
      <c r="J10" s="58">
        <v>0</v>
      </c>
    </row>
    <row r="11" spans="2:50" s="7" customFormat="1" x14ac:dyDescent="0.25">
      <c r="B11" s="18"/>
      <c r="C11" s="71" t="s">
        <v>31</v>
      </c>
      <c r="D11" s="72" t="s">
        <v>29</v>
      </c>
      <c r="E11" s="73"/>
      <c r="F11" s="73"/>
      <c r="G11" s="73"/>
      <c r="H11" s="73"/>
      <c r="I11" s="70"/>
      <c r="J11" s="74" t="s">
        <v>29</v>
      </c>
    </row>
    <row r="12" spans="2:50" s="7" customFormat="1" x14ac:dyDescent="0.25">
      <c r="B12" s="18"/>
      <c r="C12" s="62" t="s">
        <v>13</v>
      </c>
      <c r="D12" s="58">
        <v>0</v>
      </c>
      <c r="E12" s="58">
        <v>0</v>
      </c>
      <c r="F12" s="58">
        <v>0</v>
      </c>
      <c r="G12" s="58">
        <v>0</v>
      </c>
      <c r="H12" s="58">
        <v>0</v>
      </c>
      <c r="I12" s="70"/>
      <c r="J12" s="58">
        <f>SUM(D12:H12)</f>
        <v>0</v>
      </c>
    </row>
    <row r="13" spans="2:50" s="7" customFormat="1" x14ac:dyDescent="0.25">
      <c r="B13" s="18"/>
      <c r="C13" s="71" t="s">
        <v>32</v>
      </c>
      <c r="D13" s="57"/>
      <c r="E13" s="73"/>
      <c r="F13" s="73"/>
      <c r="G13" s="73"/>
      <c r="H13" s="73"/>
      <c r="I13" s="70"/>
      <c r="J13" s="57" t="s">
        <v>18</v>
      </c>
    </row>
    <row r="14" spans="2:50" s="7" customFormat="1" x14ac:dyDescent="0.25">
      <c r="B14" s="18"/>
      <c r="C14" s="69" t="s">
        <v>66</v>
      </c>
      <c r="D14" s="57"/>
      <c r="E14" s="57"/>
      <c r="F14" s="57">
        <v>441662.24775749992</v>
      </c>
      <c r="G14" s="57">
        <v>450495.49271264987</v>
      </c>
      <c r="H14" s="73"/>
      <c r="I14" s="70"/>
      <c r="J14" s="57">
        <f>SUM(D14:H14)</f>
        <v>892157.74047014979</v>
      </c>
    </row>
    <row r="15" spans="2:50" s="7" customFormat="1" ht="30" x14ac:dyDescent="0.25">
      <c r="B15" s="18"/>
      <c r="C15" s="69" t="s">
        <v>63</v>
      </c>
      <c r="D15" s="57"/>
      <c r="E15" s="57"/>
      <c r="F15" s="57">
        <f>705242.8*(1+E4)+(1+F4)</f>
        <v>721464.40539999993</v>
      </c>
      <c r="G15" s="57"/>
      <c r="H15" s="73"/>
      <c r="I15" s="70"/>
      <c r="J15" s="57">
        <f>SUM(D15:H15)</f>
        <v>721464.40539999993</v>
      </c>
    </row>
    <row r="16" spans="2:50" s="7" customFormat="1" x14ac:dyDescent="0.25">
      <c r="B16" s="18"/>
      <c r="C16" s="62" t="s">
        <v>14</v>
      </c>
      <c r="D16" s="78">
        <f>SUM(D14:D15)</f>
        <v>0</v>
      </c>
      <c r="E16" s="78">
        <f>SUM(E14:E15)</f>
        <v>0</v>
      </c>
      <c r="F16" s="78">
        <f>SUM(F14:F15)</f>
        <v>1163126.6531574999</v>
      </c>
      <c r="G16" s="78">
        <f>SUM(G14:G15)</f>
        <v>450495.49271264987</v>
      </c>
      <c r="H16" s="78">
        <f>SUM(H14:H15)</f>
        <v>0</v>
      </c>
      <c r="I16" s="70"/>
      <c r="J16" s="58">
        <f t="shared" ref="J16:J30" si="0">SUM(D16:H16)</f>
        <v>1613622.1458701496</v>
      </c>
    </row>
    <row r="17" spans="2:11" s="7" customFormat="1" x14ac:dyDescent="0.25">
      <c r="B17" s="18"/>
      <c r="C17" s="71" t="s">
        <v>41</v>
      </c>
      <c r="D17" s="72" t="s">
        <v>29</v>
      </c>
      <c r="E17" s="73"/>
      <c r="F17" s="73"/>
      <c r="G17" s="73"/>
      <c r="H17" s="73"/>
      <c r="I17" s="70"/>
      <c r="J17" s="57"/>
    </row>
    <row r="18" spans="2:11" s="7" customFormat="1" ht="45" x14ac:dyDescent="0.25">
      <c r="B18" s="18"/>
      <c r="C18" s="69" t="s">
        <v>56</v>
      </c>
      <c r="D18" s="57">
        <v>0</v>
      </c>
      <c r="E18" s="57">
        <v>0</v>
      </c>
      <c r="F18" s="57">
        <v>254272.54882674725</v>
      </c>
      <c r="G18" s="57">
        <v>352275.36768893019</v>
      </c>
      <c r="H18" s="57">
        <v>0</v>
      </c>
      <c r="I18" s="57">
        <f>(I27+I16)*$K$18</f>
        <v>0</v>
      </c>
      <c r="J18" s="57">
        <f t="shared" si="0"/>
        <v>606547.91651567747</v>
      </c>
      <c r="K18" s="46"/>
    </row>
    <row r="19" spans="2:11" s="7" customFormat="1" x14ac:dyDescent="0.25">
      <c r="B19" s="18"/>
      <c r="C19" s="62" t="s">
        <v>15</v>
      </c>
      <c r="D19" s="58">
        <f>SUM(D18:D18)</f>
        <v>0</v>
      </c>
      <c r="E19" s="58">
        <f>SUM(E18:E18)</f>
        <v>0</v>
      </c>
      <c r="F19" s="58">
        <f>SUM(F18:F18)</f>
        <v>254272.54882674725</v>
      </c>
      <c r="G19" s="58">
        <f>SUM(G18:G18)</f>
        <v>352275.36768893019</v>
      </c>
      <c r="H19" s="58">
        <f>SUM(H18:H18)</f>
        <v>0</v>
      </c>
      <c r="I19" s="70"/>
      <c r="J19" s="58">
        <f t="shared" si="0"/>
        <v>606547.91651567747</v>
      </c>
    </row>
    <row r="20" spans="2:11" s="7" customFormat="1" x14ac:dyDescent="0.25">
      <c r="B20" s="18"/>
      <c r="C20" s="71" t="s">
        <v>42</v>
      </c>
      <c r="D20" s="72" t="s">
        <v>29</v>
      </c>
      <c r="E20" s="73"/>
      <c r="F20" s="73"/>
      <c r="G20" s="73"/>
      <c r="H20" s="73"/>
      <c r="I20" s="70"/>
      <c r="J20" s="57"/>
    </row>
    <row r="21" spans="2:11" s="7" customFormat="1" x14ac:dyDescent="0.25">
      <c r="B21" s="18"/>
      <c r="C21" s="79" t="s">
        <v>59</v>
      </c>
      <c r="D21" s="57" t="s">
        <v>29</v>
      </c>
      <c r="E21" s="57"/>
      <c r="F21" s="57">
        <v>2304123.2572140745</v>
      </c>
      <c r="G21" s="57">
        <v>2350205.7223583558</v>
      </c>
      <c r="H21" s="57"/>
      <c r="I21" s="70"/>
      <c r="J21" s="57">
        <f t="shared" si="0"/>
        <v>4654328.9795724303</v>
      </c>
    </row>
    <row r="22" spans="2:11" s="7" customFormat="1" x14ac:dyDescent="0.25">
      <c r="B22" s="18"/>
      <c r="C22" s="79" t="s">
        <v>57</v>
      </c>
      <c r="D22" s="57"/>
      <c r="E22" s="57"/>
      <c r="F22" s="57">
        <v>949324.45700939978</v>
      </c>
      <c r="G22" s="57">
        <v>968310.94614958775</v>
      </c>
      <c r="H22" s="57"/>
      <c r="I22" s="76"/>
      <c r="J22" s="57">
        <f t="shared" si="0"/>
        <v>1917635.4031589874</v>
      </c>
    </row>
    <row r="23" spans="2:11" s="7" customFormat="1" x14ac:dyDescent="0.25">
      <c r="B23" s="18"/>
      <c r="C23" s="79" t="s">
        <v>48</v>
      </c>
      <c r="D23" s="57"/>
      <c r="E23" s="57"/>
      <c r="F23" s="57">
        <v>302399.86056328123</v>
      </c>
      <c r="G23" s="57">
        <v>308447.85777454678</v>
      </c>
      <c r="H23" s="57"/>
      <c r="I23" s="76"/>
      <c r="J23" s="57">
        <f t="shared" si="0"/>
        <v>610847.71833782806</v>
      </c>
    </row>
    <row r="24" spans="2:11" s="7" customFormat="1" ht="30" x14ac:dyDescent="0.25">
      <c r="B24" s="18"/>
      <c r="C24" s="79" t="s">
        <v>49</v>
      </c>
      <c r="D24" s="57"/>
      <c r="E24" s="57"/>
      <c r="F24" s="57">
        <v>559947.33629999985</v>
      </c>
      <c r="G24" s="57">
        <v>571146.2830259999</v>
      </c>
      <c r="H24" s="57"/>
      <c r="I24" s="76"/>
      <c r="J24" s="57">
        <f t="shared" si="0"/>
        <v>1131093.6193259996</v>
      </c>
    </row>
    <row r="25" spans="2:11" s="7" customFormat="1" ht="30" x14ac:dyDescent="0.25">
      <c r="B25" s="18"/>
      <c r="C25" s="79" t="s">
        <v>58</v>
      </c>
      <c r="D25" s="57"/>
      <c r="E25" s="57"/>
      <c r="F25" s="57">
        <v>500000</v>
      </c>
      <c r="G25" s="57"/>
      <c r="H25" s="57"/>
      <c r="I25" s="76"/>
      <c r="J25" s="57">
        <f t="shared" si="0"/>
        <v>500000</v>
      </c>
    </row>
    <row r="26" spans="2:11" s="7" customFormat="1" x14ac:dyDescent="0.25">
      <c r="B26" s="18"/>
      <c r="C26" s="79" t="s">
        <v>73</v>
      </c>
      <c r="D26" s="57">
        <v>60000</v>
      </c>
      <c r="E26" s="57">
        <f>D26*1.023</f>
        <v>61379.999999999993</v>
      </c>
      <c r="F26" s="57">
        <f>E26*1.02</f>
        <v>62607.599999999991</v>
      </c>
      <c r="G26" s="57">
        <f>F26*1.02</f>
        <v>63859.751999999993</v>
      </c>
      <c r="H26" s="57">
        <f>G26*1.02</f>
        <v>65136.947039999992</v>
      </c>
      <c r="I26" s="76"/>
      <c r="J26" s="57">
        <f>SUM(D26:H26)</f>
        <v>312984.29903999995</v>
      </c>
      <c r="K26" s="46"/>
    </row>
    <row r="27" spans="2:11" s="7" customFormat="1" x14ac:dyDescent="0.25">
      <c r="B27" s="18"/>
      <c r="C27" s="62" t="s">
        <v>52</v>
      </c>
      <c r="D27" s="58">
        <f>SUM(D22:D26)</f>
        <v>60000</v>
      </c>
      <c r="E27" s="58">
        <f>SUM(E21:E26)</f>
        <v>61379.999999999993</v>
      </c>
      <c r="F27" s="58">
        <f>SUM(F21:F26)</f>
        <v>4678402.5110867545</v>
      </c>
      <c r="G27" s="58">
        <f>SUM(G21:G26)</f>
        <v>4261970.5613084901</v>
      </c>
      <c r="H27" s="58">
        <f>SUM(H22:H26)</f>
        <v>65136.947039999992</v>
      </c>
      <c r="I27" s="70"/>
      <c r="J27" s="58">
        <f t="shared" si="0"/>
        <v>9126890.0194352437</v>
      </c>
    </row>
    <row r="28" spans="2:11" s="7" customFormat="1" x14ac:dyDescent="0.25">
      <c r="B28" s="18"/>
      <c r="C28" s="71" t="s">
        <v>33</v>
      </c>
      <c r="D28" s="72" t="s">
        <v>29</v>
      </c>
      <c r="E28" s="73"/>
      <c r="F28" s="73"/>
      <c r="G28" s="73"/>
      <c r="H28" s="73"/>
      <c r="I28" s="70"/>
      <c r="J28" s="57"/>
    </row>
    <row r="29" spans="2:11" s="7" customFormat="1" x14ac:dyDescent="0.25">
      <c r="B29" s="20"/>
      <c r="C29" s="62" t="s">
        <v>16</v>
      </c>
      <c r="D29" s="58">
        <v>0</v>
      </c>
      <c r="E29" s="58">
        <v>0</v>
      </c>
      <c r="F29" s="58">
        <v>0</v>
      </c>
      <c r="G29" s="58">
        <v>0</v>
      </c>
      <c r="H29" s="58">
        <v>0</v>
      </c>
      <c r="I29" s="70"/>
      <c r="J29" s="58">
        <f t="shared" si="0"/>
        <v>0</v>
      </c>
    </row>
    <row r="30" spans="2:11" s="7" customFormat="1" x14ac:dyDescent="0.25">
      <c r="B30" s="20"/>
      <c r="C30" s="62" t="s">
        <v>17</v>
      </c>
      <c r="D30" s="58">
        <f>SUM(D29,D27,D19,D16,D12,D10,D8)</f>
        <v>60000</v>
      </c>
      <c r="E30" s="58">
        <f>SUM(E29,E27,E19,E16,E12,E10,E8)</f>
        <v>61379.999999999993</v>
      </c>
      <c r="F30" s="58">
        <f>SUM(F29,F27,F19,F16,F12,F10,F8)</f>
        <v>6095801.7130710017</v>
      </c>
      <c r="G30" s="58">
        <f>SUM(G29,G27,G19,G16,G12,G10,G8)</f>
        <v>5064741.4217100702</v>
      </c>
      <c r="H30" s="58">
        <f>SUM(H29,H27,H19,H16,H12,H10,H8)</f>
        <v>65136.947039999992</v>
      </c>
      <c r="I30" s="70"/>
      <c r="J30" s="58">
        <f t="shared" si="0"/>
        <v>11347060.081821071</v>
      </c>
    </row>
    <row r="31" spans="2:11" s="7" customFormat="1" x14ac:dyDescent="0.25">
      <c r="B31" s="19"/>
      <c r="C31" s="77"/>
      <c r="D31" s="77"/>
      <c r="E31" s="77"/>
      <c r="F31" s="77"/>
      <c r="G31" s="77"/>
      <c r="H31" s="77"/>
      <c r="I31" s="77"/>
      <c r="J31" s="77" t="s">
        <v>18</v>
      </c>
    </row>
    <row r="32" spans="2:11" s="7" customFormat="1" ht="30" x14ac:dyDescent="0.25">
      <c r="B32" s="40" t="s">
        <v>34</v>
      </c>
      <c r="C32" s="80" t="s">
        <v>34</v>
      </c>
      <c r="D32" s="81"/>
      <c r="E32" s="81"/>
      <c r="F32" s="81"/>
      <c r="G32" s="81"/>
      <c r="H32" s="81"/>
      <c r="I32" s="77"/>
      <c r="J32" s="81" t="s">
        <v>18</v>
      </c>
    </row>
    <row r="33" spans="2:10" s="7" customFormat="1" x14ac:dyDescent="0.25">
      <c r="B33" s="20"/>
      <c r="C33" s="62" t="s">
        <v>19</v>
      </c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70"/>
      <c r="J33" s="58">
        <f t="shared" ref="J33" si="1">SUM(D33:H33)</f>
        <v>0</v>
      </c>
    </row>
    <row r="34" spans="2:10" s="7" customFormat="1" ht="15.75" thickBot="1" x14ac:dyDescent="0.3">
      <c r="B34" s="19"/>
      <c r="C34" s="77"/>
      <c r="D34" s="77"/>
      <c r="E34" s="77"/>
      <c r="F34" s="77"/>
      <c r="G34" s="77"/>
      <c r="H34" s="77"/>
      <c r="I34" s="77"/>
      <c r="J34" s="77" t="s">
        <v>18</v>
      </c>
    </row>
    <row r="35" spans="2:10" s="4" customFormat="1" ht="30.75" thickBot="1" x14ac:dyDescent="0.3">
      <c r="B35" s="16" t="s">
        <v>20</v>
      </c>
      <c r="C35" s="82"/>
      <c r="D35" s="83">
        <f>SUM(D33,D30)</f>
        <v>60000</v>
      </c>
      <c r="E35" s="83">
        <f>SUM(E33,E30)</f>
        <v>61379.999999999993</v>
      </c>
      <c r="F35" s="83">
        <f>SUM(F33,F30)</f>
        <v>6095801.7130710017</v>
      </c>
      <c r="G35" s="83">
        <f>SUM(G33,G30)</f>
        <v>5064741.4217100702</v>
      </c>
      <c r="H35" s="83">
        <f>SUM(H33,H30)</f>
        <v>65136.947039999992</v>
      </c>
      <c r="I35" s="70"/>
      <c r="J35" s="83">
        <f>SUM(J33,J30)</f>
        <v>11347060.081821071</v>
      </c>
    </row>
    <row r="36" spans="2:10" x14ac:dyDescent="0.25">
      <c r="B36" s="9"/>
    </row>
    <row r="37" spans="2:10" x14ac:dyDescent="0.25">
      <c r="B37" s="9"/>
    </row>
    <row r="38" spans="2:10" x14ac:dyDescent="0.25">
      <c r="B38" s="9"/>
    </row>
    <row r="39" spans="2:10" x14ac:dyDescent="0.25">
      <c r="B39" s="9"/>
    </row>
    <row r="40" spans="2:10" x14ac:dyDescent="0.25">
      <c r="B40" s="9"/>
    </row>
    <row r="41" spans="2:10" x14ac:dyDescent="0.25">
      <c r="B41" s="9"/>
    </row>
    <row r="42" spans="2:10" x14ac:dyDescent="0.25">
      <c r="B42" s="9"/>
    </row>
    <row r="43" spans="2:10" x14ac:dyDescent="0.25">
      <c r="B43" s="9"/>
    </row>
    <row r="44" spans="2:10" x14ac:dyDescent="0.25">
      <c r="B44" s="9"/>
    </row>
    <row r="45" spans="2:10" x14ac:dyDescent="0.25">
      <c r="B45" s="9"/>
    </row>
    <row r="46" spans="2:10" x14ac:dyDescent="0.25">
      <c r="B46" s="9"/>
    </row>
    <row r="47" spans="2:10" x14ac:dyDescent="0.25">
      <c r="B47" s="9"/>
    </row>
    <row r="48" spans="2:10" x14ac:dyDescent="0.25">
      <c r="B48" s="9"/>
    </row>
    <row r="49" spans="2:2" x14ac:dyDescent="0.25">
      <c r="B49" s="9"/>
    </row>
    <row r="50" spans="2:2" x14ac:dyDescent="0.25">
      <c r="B50" s="9"/>
    </row>
  </sheetData>
  <pageMargins left="0.7" right="0.7" top="0.75" bottom="0.75" header="0.3" footer="0.3"/>
  <pageSetup scale="89" fitToHeight="0" orientation="landscape" r:id="rId1"/>
  <ignoredErrors>
    <ignoredError sqref="J23:J24 J1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5698D-2652-4DF5-9AC6-83D5BE0C1941}">
  <sheetPr>
    <tabColor theme="0" tint="-0.249977111117893"/>
    <pageSetUpPr fitToPage="1"/>
  </sheetPr>
  <dimension ref="B2:AX43"/>
  <sheetViews>
    <sheetView showGridLines="0" zoomScale="115" zoomScaleNormal="115" workbookViewId="0">
      <pane xSplit="3" ySplit="6" topLeftCell="D7" activePane="bottomRight" state="frozen"/>
      <selection activeCell="C23" sqref="C23"/>
      <selection pane="topRight" activeCell="C23" sqref="C23"/>
      <selection pane="bottomLeft" activeCell="C23" sqref="C23"/>
      <selection pane="bottomRight" activeCell="F31" sqref="F31"/>
    </sheetView>
  </sheetViews>
  <sheetFormatPr defaultColWidth="9.140625" defaultRowHeight="15" x14ac:dyDescent="0.25"/>
  <cols>
    <col min="1" max="1" width="3.140625" style="6" customWidth="1"/>
    <col min="2" max="2" width="10.7109375" style="6" customWidth="1"/>
    <col min="3" max="3" width="45.5703125" style="6" customWidth="1"/>
    <col min="4" max="4" width="12.7109375" style="9" customWidth="1"/>
    <col min="5" max="5" width="12.5703125" style="3" customWidth="1"/>
    <col min="6" max="7" width="12.42578125" style="6" customWidth="1"/>
    <col min="8" max="8" width="12.5703125" style="3" customWidth="1"/>
    <col min="9" max="9" width="0.85546875" style="10" customWidth="1"/>
    <col min="10" max="10" width="13.5703125" style="6" customWidth="1"/>
    <col min="11" max="11" width="10.140625" style="6" customWidth="1"/>
    <col min="12" max="16384" width="9.140625" style="6"/>
  </cols>
  <sheetData>
    <row r="2" spans="2:50" ht="23.25" x14ac:dyDescent="0.35">
      <c r="B2" s="22" t="s">
        <v>27</v>
      </c>
    </row>
    <row r="3" spans="2:50" x14ac:dyDescent="0.25">
      <c r="B3" s="38"/>
    </row>
    <row r="4" spans="2:50" x14ac:dyDescent="0.25">
      <c r="B4" s="5"/>
      <c r="C4" s="6" t="s">
        <v>53</v>
      </c>
      <c r="D4" s="44">
        <v>0</v>
      </c>
      <c r="E4" s="43">
        <v>2.3E-2</v>
      </c>
      <c r="F4" s="43">
        <v>2.1000000000000001E-2</v>
      </c>
      <c r="G4" s="43">
        <v>0.02</v>
      </c>
      <c r="H4" s="43">
        <v>0.02</v>
      </c>
    </row>
    <row r="5" spans="2:50" ht="18.75" x14ac:dyDescent="0.3">
      <c r="B5" s="23" t="s">
        <v>1</v>
      </c>
      <c r="C5" s="24"/>
      <c r="D5" s="42">
        <v>2024</v>
      </c>
      <c r="E5" s="42">
        <v>2025</v>
      </c>
      <c r="F5" s="42">
        <v>2026</v>
      </c>
      <c r="G5" s="42">
        <v>2027</v>
      </c>
      <c r="H5" s="42">
        <v>2028</v>
      </c>
      <c r="I5" s="24"/>
      <c r="J5" s="2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26" t="s">
        <v>2</v>
      </c>
      <c r="C6" s="26" t="s">
        <v>3</v>
      </c>
      <c r="D6" s="26" t="s">
        <v>4</v>
      </c>
      <c r="E6" s="27" t="s">
        <v>5</v>
      </c>
      <c r="F6" s="27" t="s">
        <v>6</v>
      </c>
      <c r="G6" s="27" t="s">
        <v>7</v>
      </c>
      <c r="H6" s="28" t="s">
        <v>8</v>
      </c>
      <c r="I6" s="29"/>
      <c r="J6" s="30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x14ac:dyDescent="0.25">
      <c r="B7" s="17" t="s">
        <v>10</v>
      </c>
      <c r="C7" s="102" t="s">
        <v>28</v>
      </c>
      <c r="D7" s="73" t="s">
        <v>29</v>
      </c>
      <c r="E7" s="73" t="s">
        <v>29</v>
      </c>
      <c r="F7" s="73" t="s">
        <v>29</v>
      </c>
      <c r="G7" s="73"/>
      <c r="H7" s="73" t="s">
        <v>29</v>
      </c>
      <c r="I7" s="70"/>
      <c r="J7" s="74" t="s">
        <v>29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7" customFormat="1" x14ac:dyDescent="0.25">
      <c r="B8" s="18"/>
      <c r="C8" s="62" t="s">
        <v>11</v>
      </c>
      <c r="D8" s="58">
        <v>0</v>
      </c>
      <c r="E8" s="58">
        <v>0</v>
      </c>
      <c r="F8" s="58">
        <v>0</v>
      </c>
      <c r="G8" s="58">
        <v>0</v>
      </c>
      <c r="H8" s="58">
        <v>0</v>
      </c>
      <c r="I8" s="70"/>
      <c r="J8" s="58">
        <v>0</v>
      </c>
    </row>
    <row r="9" spans="2:50" s="7" customFormat="1" x14ac:dyDescent="0.25">
      <c r="B9" s="18"/>
      <c r="C9" s="71" t="s">
        <v>30</v>
      </c>
      <c r="D9" s="72" t="s">
        <v>29</v>
      </c>
      <c r="E9" s="73"/>
      <c r="F9" s="73"/>
      <c r="G9" s="73"/>
      <c r="H9" s="73"/>
      <c r="I9" s="70"/>
      <c r="J9" s="74" t="s">
        <v>29</v>
      </c>
    </row>
    <row r="10" spans="2:50" s="7" customFormat="1" x14ac:dyDescent="0.25">
      <c r="B10" s="18"/>
      <c r="C10" s="62" t="s">
        <v>12</v>
      </c>
      <c r="D10" s="58">
        <v>0</v>
      </c>
      <c r="E10" s="58">
        <v>0</v>
      </c>
      <c r="F10" s="58">
        <v>0</v>
      </c>
      <c r="G10" s="58">
        <v>0</v>
      </c>
      <c r="H10" s="58">
        <v>0</v>
      </c>
      <c r="I10" s="70"/>
      <c r="J10" s="58">
        <v>0</v>
      </c>
    </row>
    <row r="11" spans="2:50" s="7" customFormat="1" x14ac:dyDescent="0.25">
      <c r="B11" s="18"/>
      <c r="C11" s="71" t="s">
        <v>31</v>
      </c>
      <c r="D11" s="72" t="s">
        <v>29</v>
      </c>
      <c r="E11" s="73"/>
      <c r="F11" s="73"/>
      <c r="G11" s="73"/>
      <c r="H11" s="73"/>
      <c r="I11" s="70"/>
      <c r="J11" s="74" t="s">
        <v>29</v>
      </c>
    </row>
    <row r="12" spans="2:50" s="7" customFormat="1" x14ac:dyDescent="0.25">
      <c r="B12" s="18"/>
      <c r="C12" s="62" t="s">
        <v>13</v>
      </c>
      <c r="D12" s="58">
        <v>0</v>
      </c>
      <c r="E12" s="58">
        <v>0</v>
      </c>
      <c r="F12" s="58">
        <v>0</v>
      </c>
      <c r="G12" s="58">
        <v>0</v>
      </c>
      <c r="H12" s="58">
        <v>0</v>
      </c>
      <c r="I12" s="70"/>
      <c r="J12" s="58">
        <v>0</v>
      </c>
    </row>
    <row r="13" spans="2:50" s="7" customFormat="1" x14ac:dyDescent="0.25">
      <c r="B13" s="18"/>
      <c r="C13" s="71" t="s">
        <v>32</v>
      </c>
      <c r="D13" s="57"/>
      <c r="E13" s="73"/>
      <c r="F13" s="73"/>
      <c r="G13" s="73"/>
      <c r="H13" s="73"/>
      <c r="I13" s="70"/>
      <c r="J13" s="57" t="s">
        <v>18</v>
      </c>
    </row>
    <row r="14" spans="2:50" s="7" customFormat="1" x14ac:dyDescent="0.25">
      <c r="B14" s="18"/>
      <c r="C14" s="62" t="s">
        <v>14</v>
      </c>
      <c r="D14" s="58">
        <v>0</v>
      </c>
      <c r="E14" s="58">
        <v>0</v>
      </c>
      <c r="F14" s="58">
        <v>0</v>
      </c>
      <c r="G14" s="58">
        <v>0</v>
      </c>
      <c r="H14" s="58">
        <v>0</v>
      </c>
      <c r="I14" s="70"/>
      <c r="J14" s="58">
        <v>0</v>
      </c>
    </row>
    <row r="15" spans="2:50" s="7" customFormat="1" x14ac:dyDescent="0.25">
      <c r="B15" s="18"/>
      <c r="C15" s="71" t="s">
        <v>41</v>
      </c>
      <c r="D15" s="72" t="s">
        <v>29</v>
      </c>
      <c r="E15" s="73"/>
      <c r="F15" s="73"/>
      <c r="G15" s="73"/>
      <c r="H15" s="73"/>
      <c r="I15" s="70"/>
      <c r="J15" s="57"/>
    </row>
    <row r="16" spans="2:50" s="7" customFormat="1" x14ac:dyDescent="0.25">
      <c r="B16" s="18"/>
      <c r="C16" s="62" t="s">
        <v>15</v>
      </c>
      <c r="D16" s="58">
        <v>0</v>
      </c>
      <c r="E16" s="58">
        <v>0</v>
      </c>
      <c r="F16" s="58">
        <v>0</v>
      </c>
      <c r="G16" s="58">
        <v>0</v>
      </c>
      <c r="H16" s="58">
        <v>0</v>
      </c>
      <c r="I16" s="70"/>
      <c r="J16" s="58">
        <v>0</v>
      </c>
    </row>
    <row r="17" spans="2:10" s="7" customFormat="1" x14ac:dyDescent="0.25">
      <c r="B17" s="18"/>
      <c r="C17" s="71" t="s">
        <v>42</v>
      </c>
      <c r="D17" s="72" t="s">
        <v>29</v>
      </c>
      <c r="E17" s="73"/>
      <c r="F17" s="73"/>
      <c r="G17" s="73"/>
      <c r="H17" s="73"/>
      <c r="I17" s="70"/>
      <c r="J17" s="57"/>
    </row>
    <row r="18" spans="2:10" s="7" customFormat="1" x14ac:dyDescent="0.25">
      <c r="B18" s="18"/>
      <c r="C18" s="62" t="s">
        <v>52</v>
      </c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70"/>
      <c r="J18" s="58">
        <v>0</v>
      </c>
    </row>
    <row r="19" spans="2:10" s="7" customFormat="1" x14ac:dyDescent="0.25">
      <c r="B19" s="18"/>
      <c r="C19" s="71" t="s">
        <v>33</v>
      </c>
      <c r="D19" s="72" t="s">
        <v>29</v>
      </c>
      <c r="E19" s="73"/>
      <c r="F19" s="73"/>
      <c r="G19" s="73"/>
      <c r="H19" s="73"/>
      <c r="I19" s="70"/>
      <c r="J19" s="57"/>
    </row>
    <row r="20" spans="2:10" s="7" customFormat="1" ht="30" x14ac:dyDescent="0.25">
      <c r="B20" s="18"/>
      <c r="C20" s="72" t="s">
        <v>91</v>
      </c>
      <c r="D20" s="57">
        <v>250000</v>
      </c>
      <c r="E20" s="57">
        <v>250000</v>
      </c>
      <c r="F20" s="73"/>
      <c r="G20" s="73"/>
      <c r="H20" s="73"/>
      <c r="I20" s="70"/>
      <c r="J20" s="57"/>
    </row>
    <row r="21" spans="2:10" s="7" customFormat="1" x14ac:dyDescent="0.25">
      <c r="B21" s="18"/>
      <c r="C21" s="72" t="s">
        <v>92</v>
      </c>
      <c r="D21" s="57"/>
      <c r="E21" s="57">
        <v>250000</v>
      </c>
      <c r="F21" s="57">
        <v>250000</v>
      </c>
      <c r="G21" s="57"/>
      <c r="H21" s="75"/>
      <c r="I21" s="70"/>
      <c r="J21" s="57">
        <f>D21+E21+F21+G21+H21</f>
        <v>500000</v>
      </c>
    </row>
    <row r="22" spans="2:10" s="7" customFormat="1" x14ac:dyDescent="0.25">
      <c r="B22" s="20"/>
      <c r="C22" s="62" t="s">
        <v>16</v>
      </c>
      <c r="D22" s="58">
        <f>D20+D21</f>
        <v>250000</v>
      </c>
      <c r="E22" s="58">
        <f>E20+E21</f>
        <v>500000</v>
      </c>
      <c r="F22" s="58">
        <f>F20+F21</f>
        <v>250000</v>
      </c>
      <c r="G22" s="58">
        <f t="shared" ref="G22:H22" si="0">G21</f>
        <v>0</v>
      </c>
      <c r="H22" s="58">
        <f t="shared" si="0"/>
        <v>0</v>
      </c>
      <c r="I22" s="70"/>
      <c r="J22" s="57">
        <f>D22+E22+F22+G22+H22</f>
        <v>1000000</v>
      </c>
    </row>
    <row r="23" spans="2:10" s="7" customFormat="1" x14ac:dyDescent="0.25">
      <c r="B23" s="20"/>
      <c r="C23" s="62" t="s">
        <v>17</v>
      </c>
      <c r="D23" s="58">
        <f>SUM(D22,D18,D16,D14,D12,D10,D8)</f>
        <v>250000</v>
      </c>
      <c r="E23" s="58">
        <f>SUM(E22,E18,E16,E14,E12,E10,E8)</f>
        <v>500000</v>
      </c>
      <c r="F23" s="58">
        <f>SUM(F22,F18,F16,F14,F12,F10,F8)</f>
        <v>250000</v>
      </c>
      <c r="G23" s="58">
        <f>SUM(G22,G18,G16,G14,G12,G10,G8)</f>
        <v>0</v>
      </c>
      <c r="H23" s="58">
        <f>SUM(H22,H18,H16,H14,H12,H10,H8)</f>
        <v>0</v>
      </c>
      <c r="I23" s="70"/>
      <c r="J23" s="58">
        <f>J21+J22</f>
        <v>1500000</v>
      </c>
    </row>
    <row r="24" spans="2:10" s="7" customFormat="1" x14ac:dyDescent="0.25">
      <c r="B24" s="19"/>
      <c r="C24" s="77"/>
      <c r="D24" s="77"/>
      <c r="E24" s="77"/>
      <c r="F24" s="77"/>
      <c r="G24" s="77"/>
      <c r="H24" s="77"/>
      <c r="I24" s="77"/>
      <c r="J24" s="77" t="s">
        <v>18</v>
      </c>
    </row>
    <row r="25" spans="2:10" s="7" customFormat="1" ht="30" x14ac:dyDescent="0.25">
      <c r="B25" s="40" t="s">
        <v>34</v>
      </c>
      <c r="C25" s="80" t="s">
        <v>34</v>
      </c>
      <c r="D25" s="81"/>
      <c r="E25" s="81"/>
      <c r="F25" s="81"/>
      <c r="G25" s="81"/>
      <c r="H25" s="81"/>
      <c r="I25" s="77"/>
      <c r="J25" s="81" t="s">
        <v>18</v>
      </c>
    </row>
    <row r="26" spans="2:10" s="7" customFormat="1" x14ac:dyDescent="0.25">
      <c r="B26" s="20"/>
      <c r="C26" s="62" t="s">
        <v>19</v>
      </c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70"/>
      <c r="J26" s="58">
        <v>0</v>
      </c>
    </row>
    <row r="27" spans="2:10" s="7" customFormat="1" ht="15.75" thickBot="1" x14ac:dyDescent="0.3">
      <c r="B27" s="19"/>
      <c r="C27" s="77"/>
      <c r="D27" s="77"/>
      <c r="E27" s="77"/>
      <c r="F27" s="77"/>
      <c r="G27" s="77"/>
      <c r="H27" s="77"/>
      <c r="I27" s="77"/>
      <c r="J27" s="77" t="s">
        <v>18</v>
      </c>
    </row>
    <row r="28" spans="2:10" s="4" customFormat="1" ht="30.75" thickBot="1" x14ac:dyDescent="0.3">
      <c r="B28" s="16" t="s">
        <v>20</v>
      </c>
      <c r="C28" s="82"/>
      <c r="D28" s="83">
        <f>SUM(D26,D23)</f>
        <v>250000</v>
      </c>
      <c r="E28" s="83">
        <f>SUM(E26,E23)</f>
        <v>500000</v>
      </c>
      <c r="F28" s="83">
        <f>SUM(F26,F23)</f>
        <v>250000</v>
      </c>
      <c r="G28" s="83">
        <f>SUM(G26,G23)</f>
        <v>0</v>
      </c>
      <c r="H28" s="83">
        <f>SUM(H26,H23)</f>
        <v>0</v>
      </c>
      <c r="I28" s="70"/>
      <c r="J28" s="83">
        <f>J22</f>
        <v>1000000</v>
      </c>
    </row>
    <row r="29" spans="2:10" x14ac:dyDescent="0.25">
      <c r="B29" s="9"/>
    </row>
    <row r="30" spans="2:10" x14ac:dyDescent="0.25">
      <c r="B30" s="9"/>
    </row>
    <row r="31" spans="2:10" x14ac:dyDescent="0.25">
      <c r="B31" s="9"/>
    </row>
    <row r="32" spans="2:10" x14ac:dyDescent="0.25">
      <c r="B32" s="9"/>
    </row>
    <row r="33" spans="2:2" x14ac:dyDescent="0.25">
      <c r="B33" s="9"/>
    </row>
    <row r="34" spans="2:2" x14ac:dyDescent="0.25">
      <c r="B34" s="9"/>
    </row>
    <row r="35" spans="2:2" x14ac:dyDescent="0.25">
      <c r="B35" s="9"/>
    </row>
    <row r="36" spans="2:2" x14ac:dyDescent="0.25">
      <c r="B36" s="9"/>
    </row>
    <row r="37" spans="2:2" x14ac:dyDescent="0.25">
      <c r="B37" s="9"/>
    </row>
    <row r="38" spans="2:2" x14ac:dyDescent="0.25">
      <c r="B38" s="9"/>
    </row>
    <row r="39" spans="2:2" x14ac:dyDescent="0.25">
      <c r="B39" s="9"/>
    </row>
    <row r="40" spans="2:2" x14ac:dyDescent="0.25">
      <c r="B40" s="9"/>
    </row>
    <row r="41" spans="2:2" x14ac:dyDescent="0.25">
      <c r="B41" s="9"/>
    </row>
    <row r="42" spans="2:2" x14ac:dyDescent="0.25">
      <c r="B42" s="9"/>
    </row>
    <row r="43" spans="2:2" x14ac:dyDescent="0.25">
      <c r="B43" s="9"/>
    </row>
  </sheetData>
  <pageMargins left="0.7" right="0.7" top="0.75" bottom="0.75" header="0.3" footer="0.3"/>
  <pageSetup scale="8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704CD-0153-43A0-B651-B2F570B27631}">
  <sheetPr>
    <tabColor theme="0" tint="-0.249977111117893"/>
    <pageSetUpPr fitToPage="1"/>
  </sheetPr>
  <dimension ref="B2:AX44"/>
  <sheetViews>
    <sheetView showGridLines="0" zoomScale="160" zoomScaleNormal="160" workbookViewId="0">
      <pane xSplit="3" ySplit="6" topLeftCell="D7" activePane="bottomRight" state="frozen"/>
      <selection activeCell="C23" sqref="C23"/>
      <selection pane="topRight" activeCell="C23" sqref="C23"/>
      <selection pane="bottomLeft" activeCell="C23" sqref="C23"/>
      <selection pane="bottomRight" activeCell="F35" sqref="F35"/>
    </sheetView>
  </sheetViews>
  <sheetFormatPr defaultColWidth="9.140625" defaultRowHeight="15" x14ac:dyDescent="0.25"/>
  <cols>
    <col min="1" max="1" width="3.140625" style="6" customWidth="1"/>
    <col min="2" max="2" width="10.7109375" style="6" customWidth="1"/>
    <col min="3" max="3" width="45.5703125" style="6" customWidth="1"/>
    <col min="4" max="4" width="12.7109375" style="9" customWidth="1"/>
    <col min="5" max="5" width="12.5703125" style="3" customWidth="1"/>
    <col min="6" max="7" width="12.42578125" style="6" customWidth="1"/>
    <col min="8" max="8" width="12.5703125" style="3" customWidth="1"/>
    <col min="9" max="9" width="0.85546875" style="10" customWidth="1"/>
    <col min="10" max="10" width="13.5703125" style="6" customWidth="1"/>
    <col min="11" max="11" width="10.140625" style="6" customWidth="1"/>
    <col min="12" max="16384" width="9.140625" style="6"/>
  </cols>
  <sheetData>
    <row r="2" spans="2:50" ht="23.25" x14ac:dyDescent="0.35">
      <c r="B2" s="22" t="s">
        <v>27</v>
      </c>
    </row>
    <row r="3" spans="2:50" x14ac:dyDescent="0.25">
      <c r="B3" s="38"/>
    </row>
    <row r="4" spans="2:50" x14ac:dyDescent="0.25">
      <c r="B4" s="5"/>
      <c r="C4" s="6" t="s">
        <v>53</v>
      </c>
      <c r="D4" s="44">
        <v>0</v>
      </c>
      <c r="E4" s="43">
        <v>2.3E-2</v>
      </c>
      <c r="F4" s="43">
        <v>2.1000000000000001E-2</v>
      </c>
      <c r="G4" s="43">
        <v>0.02</v>
      </c>
      <c r="H4" s="43">
        <v>0.02</v>
      </c>
    </row>
    <row r="5" spans="2:50" ht="18.75" x14ac:dyDescent="0.3">
      <c r="B5" s="23" t="s">
        <v>1</v>
      </c>
      <c r="C5" s="24"/>
      <c r="D5" s="42">
        <v>2024</v>
      </c>
      <c r="E5" s="42">
        <v>2025</v>
      </c>
      <c r="F5" s="42">
        <v>2026</v>
      </c>
      <c r="G5" s="42">
        <v>2027</v>
      </c>
      <c r="H5" s="42">
        <v>2028</v>
      </c>
      <c r="I5" s="24"/>
      <c r="J5" s="25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25">
      <c r="B6" s="26" t="s">
        <v>2</v>
      </c>
      <c r="C6" s="26" t="s">
        <v>3</v>
      </c>
      <c r="D6" s="26" t="s">
        <v>4</v>
      </c>
      <c r="E6" s="27" t="s">
        <v>5</v>
      </c>
      <c r="F6" s="27" t="s">
        <v>6</v>
      </c>
      <c r="G6" s="27" t="s">
        <v>7</v>
      </c>
      <c r="H6" s="28" t="s">
        <v>8</v>
      </c>
      <c r="I6" s="29"/>
      <c r="J6" s="30" t="s">
        <v>9</v>
      </c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8" customFormat="1" x14ac:dyDescent="0.25">
      <c r="B7" s="17" t="s">
        <v>10</v>
      </c>
      <c r="C7" s="102" t="s">
        <v>28</v>
      </c>
      <c r="D7" s="73" t="s">
        <v>29</v>
      </c>
      <c r="E7" s="73" t="s">
        <v>29</v>
      </c>
      <c r="F7" s="73" t="s">
        <v>29</v>
      </c>
      <c r="G7" s="73"/>
      <c r="H7" s="73" t="s">
        <v>29</v>
      </c>
      <c r="I7" s="70"/>
      <c r="J7" s="74" t="s">
        <v>29</v>
      </c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</row>
    <row r="8" spans="2:50" s="7" customFormat="1" x14ac:dyDescent="0.25">
      <c r="B8" s="18"/>
      <c r="C8" s="69" t="s">
        <v>78</v>
      </c>
      <c r="D8" s="57">
        <v>78853</v>
      </c>
      <c r="E8" s="57">
        <f>D8*1.023</f>
        <v>80666.618999999992</v>
      </c>
      <c r="F8" s="57">
        <f>E8*1.021</f>
        <v>82360.61799899998</v>
      </c>
      <c r="G8" s="57">
        <f>F8*1.02</f>
        <v>84007.830358979976</v>
      </c>
      <c r="H8" s="57">
        <f>G8*1.02</f>
        <v>85687.986966159573</v>
      </c>
      <c r="I8" s="70"/>
      <c r="J8" s="57">
        <f>SUM(D8:H8)</f>
        <v>411576.05432413949</v>
      </c>
    </row>
    <row r="9" spans="2:50" s="7" customFormat="1" x14ac:dyDescent="0.25">
      <c r="B9" s="18"/>
      <c r="C9" s="62" t="s">
        <v>11</v>
      </c>
      <c r="D9" s="58">
        <f>SUM(D8:D8)</f>
        <v>78853</v>
      </c>
      <c r="E9" s="58">
        <f>SUM(E8:E8)</f>
        <v>80666.618999999992</v>
      </c>
      <c r="F9" s="58">
        <f>SUM(F8:F8)</f>
        <v>82360.61799899998</v>
      </c>
      <c r="G9" s="58">
        <f>SUM(G8:G8)</f>
        <v>84007.830358979976</v>
      </c>
      <c r="H9" s="58">
        <f>SUM(H8:H8)</f>
        <v>85687.986966159573</v>
      </c>
      <c r="I9" s="70"/>
      <c r="J9" s="58">
        <f>SUM(J8:J8)</f>
        <v>411576.05432413949</v>
      </c>
    </row>
    <row r="10" spans="2:50" s="7" customFormat="1" x14ac:dyDescent="0.25">
      <c r="B10" s="18"/>
      <c r="C10" s="71" t="s">
        <v>30</v>
      </c>
      <c r="D10" s="72" t="s">
        <v>29</v>
      </c>
      <c r="E10" s="73"/>
      <c r="F10" s="73"/>
      <c r="G10" s="73"/>
      <c r="H10" s="73"/>
      <c r="I10" s="70"/>
      <c r="J10" s="74" t="s">
        <v>29</v>
      </c>
    </row>
    <row r="11" spans="2:50" s="7" customFormat="1" ht="60" x14ac:dyDescent="0.25">
      <c r="B11" s="18"/>
      <c r="C11" s="69" t="s">
        <v>79</v>
      </c>
      <c r="D11" s="57">
        <v>29175.61</v>
      </c>
      <c r="E11" s="57">
        <v>29846.649029999997</v>
      </c>
      <c r="F11" s="57">
        <v>30473.428659629993</v>
      </c>
      <c r="G11" s="57">
        <v>31082.89723282259</v>
      </c>
      <c r="H11" s="57">
        <v>31704.55517747904</v>
      </c>
      <c r="I11" s="70"/>
      <c r="J11" s="57">
        <f>SUM(D11:H11)</f>
        <v>152283.14009993162</v>
      </c>
    </row>
    <row r="12" spans="2:50" s="7" customFormat="1" x14ac:dyDescent="0.25">
      <c r="B12" s="18"/>
      <c r="C12" s="62" t="s">
        <v>12</v>
      </c>
      <c r="D12" s="58">
        <f>SUM(D11:D11)</f>
        <v>29175.61</v>
      </c>
      <c r="E12" s="58">
        <f>SUM(E11:E11)</f>
        <v>29846.649029999997</v>
      </c>
      <c r="F12" s="58">
        <f>SUM(F11:F11)</f>
        <v>30473.428659629993</v>
      </c>
      <c r="G12" s="58">
        <f>SUM(G11:G11)</f>
        <v>31082.89723282259</v>
      </c>
      <c r="H12" s="58">
        <f>SUM(H11:H11)</f>
        <v>31704.55517747904</v>
      </c>
      <c r="I12" s="70"/>
      <c r="J12" s="58">
        <f>SUM(J11:J11)</f>
        <v>152283.14009993162</v>
      </c>
    </row>
    <row r="13" spans="2:50" s="7" customFormat="1" x14ac:dyDescent="0.25">
      <c r="B13" s="18"/>
      <c r="C13" s="71" t="s">
        <v>31</v>
      </c>
      <c r="D13" s="72" t="s">
        <v>29</v>
      </c>
      <c r="E13" s="73"/>
      <c r="F13" s="73"/>
      <c r="G13" s="73"/>
      <c r="H13" s="73"/>
      <c r="I13" s="70"/>
      <c r="J13" s="74" t="s">
        <v>29</v>
      </c>
    </row>
    <row r="14" spans="2:50" s="7" customFormat="1" x14ac:dyDescent="0.25">
      <c r="B14" s="18"/>
      <c r="C14" s="62" t="s">
        <v>13</v>
      </c>
      <c r="D14" s="58">
        <v>0</v>
      </c>
      <c r="E14" s="58">
        <v>0</v>
      </c>
      <c r="F14" s="58">
        <v>0</v>
      </c>
      <c r="G14" s="58">
        <v>0</v>
      </c>
      <c r="H14" s="58">
        <v>0</v>
      </c>
      <c r="I14" s="70"/>
      <c r="J14" s="58">
        <f>SUM(D14:H14)</f>
        <v>0</v>
      </c>
    </row>
    <row r="15" spans="2:50" s="7" customFormat="1" x14ac:dyDescent="0.25">
      <c r="B15" s="18"/>
      <c r="C15" s="71" t="s">
        <v>32</v>
      </c>
      <c r="D15" s="57"/>
      <c r="E15" s="73"/>
      <c r="F15" s="73"/>
      <c r="G15" s="73"/>
      <c r="H15" s="73"/>
      <c r="I15" s="70"/>
      <c r="J15" s="57" t="s">
        <v>18</v>
      </c>
    </row>
    <row r="16" spans="2:50" s="7" customFormat="1" x14ac:dyDescent="0.25">
      <c r="B16" s="18"/>
      <c r="C16" s="62" t="s">
        <v>14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0"/>
      <c r="J16" s="58">
        <f t="shared" ref="J16:J20" si="0">SUM(D16:H16)</f>
        <v>0</v>
      </c>
    </row>
    <row r="17" spans="2:12" s="7" customFormat="1" x14ac:dyDescent="0.25">
      <c r="B17" s="18"/>
      <c r="C17" s="71" t="s">
        <v>41</v>
      </c>
      <c r="D17" s="72" t="s">
        <v>29</v>
      </c>
      <c r="E17" s="73"/>
      <c r="F17" s="73"/>
      <c r="G17" s="73"/>
      <c r="H17" s="73"/>
      <c r="I17" s="70"/>
      <c r="J17" s="57"/>
    </row>
    <row r="18" spans="2:12" s="7" customFormat="1" x14ac:dyDescent="0.25">
      <c r="B18" s="18"/>
      <c r="C18" s="62" t="s">
        <v>15</v>
      </c>
      <c r="D18" s="58">
        <v>0</v>
      </c>
      <c r="E18" s="58">
        <v>0</v>
      </c>
      <c r="F18" s="58">
        <v>0</v>
      </c>
      <c r="G18" s="58">
        <v>0</v>
      </c>
      <c r="H18" s="58">
        <v>0</v>
      </c>
      <c r="I18" s="70"/>
      <c r="J18" s="58">
        <f t="shared" si="0"/>
        <v>0</v>
      </c>
    </row>
    <row r="19" spans="2:12" s="7" customFormat="1" x14ac:dyDescent="0.25">
      <c r="B19" s="18"/>
      <c r="C19" s="71" t="s">
        <v>42</v>
      </c>
      <c r="D19" s="72" t="s">
        <v>29</v>
      </c>
      <c r="E19" s="73"/>
      <c r="F19" s="73"/>
      <c r="G19" s="73"/>
      <c r="H19" s="73"/>
      <c r="I19" s="70"/>
      <c r="J19" s="57"/>
    </row>
    <row r="20" spans="2:12" s="7" customFormat="1" x14ac:dyDescent="0.25">
      <c r="B20" s="18"/>
      <c r="C20" s="62" t="s">
        <v>52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70"/>
      <c r="J20" s="58">
        <f t="shared" si="0"/>
        <v>0</v>
      </c>
    </row>
    <row r="21" spans="2:12" s="7" customFormat="1" x14ac:dyDescent="0.25">
      <c r="B21" s="18"/>
      <c r="C21" s="71" t="s">
        <v>33</v>
      </c>
      <c r="D21" s="72" t="s">
        <v>29</v>
      </c>
      <c r="E21" s="73"/>
      <c r="F21" s="73"/>
      <c r="G21" s="73"/>
      <c r="H21" s="73"/>
      <c r="I21" s="70"/>
      <c r="J21" s="57"/>
    </row>
    <row r="22" spans="2:12" s="7" customFormat="1" ht="30" x14ac:dyDescent="0.25">
      <c r="B22" s="18"/>
      <c r="C22" s="73" t="s">
        <v>84</v>
      </c>
      <c r="D22" s="103">
        <v>60000</v>
      </c>
      <c r="E22" s="104">
        <v>61350</v>
      </c>
      <c r="F22" s="104">
        <v>62650</v>
      </c>
      <c r="G22" s="104">
        <v>63890</v>
      </c>
      <c r="H22" s="104">
        <v>65095</v>
      </c>
      <c r="I22" s="105"/>
      <c r="J22" s="103">
        <f>SUM(D22:I22)</f>
        <v>312985</v>
      </c>
      <c r="L22" s="106"/>
    </row>
    <row r="23" spans="2:12" s="7" customFormat="1" x14ac:dyDescent="0.25">
      <c r="B23" s="20"/>
      <c r="C23" s="62" t="s">
        <v>16</v>
      </c>
      <c r="D23" s="58">
        <f>D22</f>
        <v>60000</v>
      </c>
      <c r="E23" s="58">
        <f t="shared" ref="E23:I23" si="1">E22</f>
        <v>61350</v>
      </c>
      <c r="F23" s="58">
        <f t="shared" si="1"/>
        <v>62650</v>
      </c>
      <c r="G23" s="58">
        <f t="shared" si="1"/>
        <v>63890</v>
      </c>
      <c r="H23" s="58">
        <f t="shared" si="1"/>
        <v>65095</v>
      </c>
      <c r="I23" s="58">
        <f t="shared" si="1"/>
        <v>0</v>
      </c>
      <c r="J23" s="58">
        <f>J22</f>
        <v>312985</v>
      </c>
      <c r="L23" s="106"/>
    </row>
    <row r="24" spans="2:12" s="7" customFormat="1" x14ac:dyDescent="0.25">
      <c r="B24" s="20"/>
      <c r="C24" s="62" t="s">
        <v>17</v>
      </c>
      <c r="D24" s="58">
        <f>D23+D9+D12</f>
        <v>168028.61</v>
      </c>
      <c r="E24" s="58">
        <f t="shared" ref="E24:H24" si="2">E23+E9+E12</f>
        <v>171863.26803000001</v>
      </c>
      <c r="F24" s="58">
        <f t="shared" si="2"/>
        <v>175484.04665862996</v>
      </c>
      <c r="G24" s="58">
        <f t="shared" si="2"/>
        <v>178980.72759180257</v>
      </c>
      <c r="H24" s="58">
        <f t="shared" si="2"/>
        <v>182487.54214363862</v>
      </c>
      <c r="I24" s="58">
        <f>I23+I9+I12</f>
        <v>0</v>
      </c>
      <c r="J24" s="58">
        <f t="shared" ref="J24" si="3">J23+J9+J12</f>
        <v>876844.19442407112</v>
      </c>
    </row>
    <row r="25" spans="2:12" s="7" customFormat="1" x14ac:dyDescent="0.25">
      <c r="B25" s="19"/>
      <c r="C25" s="77"/>
      <c r="D25" s="77"/>
      <c r="E25" s="77"/>
      <c r="F25" s="77"/>
      <c r="G25" s="77"/>
      <c r="H25" s="77"/>
      <c r="I25" s="77"/>
      <c r="J25" s="77" t="s">
        <v>18</v>
      </c>
    </row>
    <row r="26" spans="2:12" s="7" customFormat="1" ht="30" x14ac:dyDescent="0.25">
      <c r="B26" s="40" t="s">
        <v>34</v>
      </c>
      <c r="C26" s="80" t="s">
        <v>34</v>
      </c>
      <c r="D26" s="81"/>
      <c r="E26" s="81"/>
      <c r="F26" s="81"/>
      <c r="G26" s="81"/>
      <c r="H26" s="81"/>
      <c r="I26" s="77"/>
      <c r="J26" s="81" t="s">
        <v>18</v>
      </c>
    </row>
    <row r="27" spans="2:12" s="7" customFormat="1" x14ac:dyDescent="0.25">
      <c r="B27" s="20"/>
      <c r="C27" s="62" t="s">
        <v>19</v>
      </c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70"/>
      <c r="J27" s="58">
        <f t="shared" ref="J27" si="4">SUM(D27:H27)</f>
        <v>0</v>
      </c>
    </row>
    <row r="28" spans="2:12" s="7" customFormat="1" ht="15.75" thickBot="1" x14ac:dyDescent="0.3">
      <c r="B28" s="19"/>
      <c r="C28" s="77"/>
      <c r="D28" s="77"/>
      <c r="E28" s="77"/>
      <c r="F28" s="77"/>
      <c r="G28" s="77"/>
      <c r="H28" s="77"/>
      <c r="I28" s="77"/>
      <c r="J28" s="77" t="s">
        <v>18</v>
      </c>
    </row>
    <row r="29" spans="2:12" s="4" customFormat="1" ht="30.75" thickBot="1" x14ac:dyDescent="0.3">
      <c r="B29" s="16" t="s">
        <v>20</v>
      </c>
      <c r="C29" s="82"/>
      <c r="D29" s="83">
        <f>D24</f>
        <v>168028.61</v>
      </c>
      <c r="E29" s="83">
        <f t="shared" ref="E29:H29" si="5">E24</f>
        <v>171863.26803000001</v>
      </c>
      <c r="F29" s="83">
        <f t="shared" si="5"/>
        <v>175484.04665862996</v>
      </c>
      <c r="G29" s="83">
        <f t="shared" si="5"/>
        <v>178980.72759180257</v>
      </c>
      <c r="H29" s="83">
        <f t="shared" si="5"/>
        <v>182487.54214363862</v>
      </c>
      <c r="I29" s="70"/>
      <c r="J29" s="83">
        <f>J24</f>
        <v>876844.19442407112</v>
      </c>
    </row>
    <row r="30" spans="2:12" x14ac:dyDescent="0.25">
      <c r="B30" s="9"/>
    </row>
    <row r="31" spans="2:12" x14ac:dyDescent="0.25">
      <c r="B31" s="9"/>
    </row>
    <row r="32" spans="2:12" x14ac:dyDescent="0.25">
      <c r="B32" s="9"/>
    </row>
    <row r="33" spans="2:2" x14ac:dyDescent="0.25">
      <c r="B33" s="9"/>
    </row>
    <row r="34" spans="2:2" x14ac:dyDescent="0.25">
      <c r="B34" s="9"/>
    </row>
    <row r="35" spans="2:2" x14ac:dyDescent="0.25">
      <c r="B35" s="9"/>
    </row>
    <row r="36" spans="2:2" x14ac:dyDescent="0.25">
      <c r="B36" s="9"/>
    </row>
    <row r="37" spans="2:2" x14ac:dyDescent="0.25">
      <c r="B37" s="9"/>
    </row>
    <row r="38" spans="2:2" x14ac:dyDescent="0.25">
      <c r="B38" s="9"/>
    </row>
    <row r="39" spans="2:2" x14ac:dyDescent="0.25">
      <c r="B39" s="9"/>
    </row>
    <row r="40" spans="2:2" x14ac:dyDescent="0.25">
      <c r="B40" s="9"/>
    </row>
    <row r="41" spans="2:2" x14ac:dyDescent="0.25">
      <c r="B41" s="9"/>
    </row>
    <row r="42" spans="2:2" x14ac:dyDescent="0.25">
      <c r="B42" s="9"/>
    </row>
    <row r="43" spans="2:2" x14ac:dyDescent="0.25">
      <c r="B43" s="9"/>
    </row>
    <row r="44" spans="2:2" x14ac:dyDescent="0.25">
      <c r="B44" s="9"/>
    </row>
  </sheetData>
  <pageMargins left="0.7" right="0.7" top="0.75" bottom="0.75" header="0.3" footer="0.3"/>
  <pageSetup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4ffa91fb-a0ff-4ac5-b2db-65c790d184a4"/>
    <ds:schemaRef ds:uri="2755580c-7c5f-43cf-bd85-5c868b718937"/>
    <ds:schemaRef ds:uri="http://schemas.microsoft.com/sharepoint/v3/fields"/>
    <ds:schemaRef ds:uri="http://www.w3.org/XML/1998/namespace"/>
    <ds:schemaRef ds:uri="http://purl.org/dc/elements/1.1/"/>
    <ds:schemaRef ds:uri="http://schemas.microsoft.com/sharepoint/v3"/>
    <ds:schemaRef ds:uri="3d00cabe-74f9-499f-ba26-1e0076cbc6cc"/>
    <ds:schemaRef ds:uri="http://schemas.microsoft.com/sharepoint.v3"/>
    <ds:schemaRef ds:uri="http://purl.org/dc/dcmitype/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Budget by Year</vt:lpstr>
      <vt:lpstr>Consolidated Budget</vt:lpstr>
      <vt:lpstr>1.1 Budget - Plant</vt:lpstr>
      <vt:lpstr>1.2 Budget - LP Dist</vt:lpstr>
      <vt:lpstr>1.3 Budget - Buildings</vt:lpstr>
      <vt:lpstr> 1.4 Budget - DES Connect</vt:lpstr>
      <vt:lpstr>2.0 Com REE Grants</vt:lpstr>
      <vt:lpstr>Grants-Proj Mgt &amp; EJ Outreach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2024-04-02T00:23:01Z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