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Shared drives\Grants\EPA\Climate Pollution Reduction\City of Duluth\Working Documents\Submitted\VERIFIED SUBMITTED- FINAL\Project Narrative Files\"/>
    </mc:Choice>
  </mc:AlternateContent>
  <xr:revisionPtr revIDLastSave="0" documentId="13_ncr:1_{C6B9C094-6A60-4F18-80E4-EEB60CA891D8}" xr6:coauthVersionLast="36" xr6:coauthVersionMax="36" xr10:uidLastSave="{00000000-0000-0000-0000-000000000000}"/>
  <bookViews>
    <workbookView xWindow="0" yWindow="0" windowWidth="38400" windowHeight="15705" firstSheet="1" activeTab="5" xr2:uid="{E1C6FD02-A099-4A47-86D0-68EAD9BF3D08}"/>
  </bookViews>
  <sheets>
    <sheet name="GHG (LP FULL)" sheetId="1" state="hidden" r:id="rId1"/>
    <sheet name="GHG (LP BASE)" sheetId="6" r:id="rId2"/>
    <sheet name="GHG (DES FULL)" sheetId="3" state="hidden" r:id="rId3"/>
    <sheet name="GHG (DES BASE)" sheetId="4" r:id="rId4"/>
    <sheet name="Make Up Water Preheat" sheetId="10" r:id="rId5"/>
    <sheet name="Summary" sheetId="9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4" i="10" l="1"/>
  <c r="V30" i="10"/>
  <c r="S30" i="10"/>
  <c r="W30" i="10" s="1"/>
  <c r="L30" i="10"/>
  <c r="N30" i="10" s="1"/>
  <c r="O30" i="10" s="1"/>
  <c r="P30" i="10" s="1"/>
  <c r="Q30" i="10" s="1"/>
  <c r="I30" i="10"/>
  <c r="C30" i="10"/>
  <c r="D30" i="10" s="1"/>
  <c r="V29" i="10"/>
  <c r="L29" i="10"/>
  <c r="N29" i="10" s="1"/>
  <c r="O29" i="10" s="1"/>
  <c r="P29" i="10" s="1"/>
  <c r="Q29" i="10" s="1"/>
  <c r="I29" i="10"/>
  <c r="C29" i="10"/>
  <c r="D29" i="10" s="1"/>
  <c r="V28" i="10"/>
  <c r="S28" i="10"/>
  <c r="W28" i="10" s="1"/>
  <c r="L28" i="10"/>
  <c r="N28" i="10" s="1"/>
  <c r="O28" i="10" s="1"/>
  <c r="P28" i="10" s="1"/>
  <c r="Q28" i="10" s="1"/>
  <c r="I28" i="10"/>
  <c r="C28" i="10"/>
  <c r="D28" i="10" s="1"/>
  <c r="V27" i="10"/>
  <c r="S27" i="10"/>
  <c r="W27" i="10" s="1"/>
  <c r="O27" i="10"/>
  <c r="P27" i="10" s="1"/>
  <c r="Q27" i="10" s="1"/>
  <c r="N27" i="10"/>
  <c r="L27" i="10"/>
  <c r="I27" i="10"/>
  <c r="C27" i="10"/>
  <c r="D27" i="10" s="1"/>
  <c r="V26" i="10"/>
  <c r="L26" i="10"/>
  <c r="S26" i="10" s="1"/>
  <c r="I26" i="10"/>
  <c r="D26" i="10"/>
  <c r="C26" i="10"/>
  <c r="V25" i="10"/>
  <c r="S25" i="10"/>
  <c r="T25" i="10" s="1"/>
  <c r="X25" i="10" s="1"/>
  <c r="N25" i="10"/>
  <c r="O25" i="10" s="1"/>
  <c r="P25" i="10" s="1"/>
  <c r="Q25" i="10" s="1"/>
  <c r="L25" i="10"/>
  <c r="I25" i="10"/>
  <c r="C25" i="10"/>
  <c r="D25" i="10" s="1"/>
  <c r="V24" i="10"/>
  <c r="N24" i="10"/>
  <c r="O24" i="10" s="1"/>
  <c r="P24" i="10" s="1"/>
  <c r="Q24" i="10" s="1"/>
  <c r="L24" i="10"/>
  <c r="S24" i="10" s="1"/>
  <c r="I24" i="10"/>
  <c r="D24" i="10"/>
  <c r="C24" i="10"/>
  <c r="V23" i="10"/>
  <c r="L23" i="10"/>
  <c r="S23" i="10" s="1"/>
  <c r="I23" i="10"/>
  <c r="D23" i="10"/>
  <c r="C23" i="10"/>
  <c r="V22" i="10"/>
  <c r="S22" i="10"/>
  <c r="W22" i="10" s="1"/>
  <c r="N22" i="10"/>
  <c r="O22" i="10" s="1"/>
  <c r="P22" i="10" s="1"/>
  <c r="Q22" i="10" s="1"/>
  <c r="L22" i="10"/>
  <c r="I22" i="10"/>
  <c r="C22" i="10"/>
  <c r="D22" i="10" s="1"/>
  <c r="V21" i="10"/>
  <c r="L21" i="10"/>
  <c r="S21" i="10" s="1"/>
  <c r="I21" i="10"/>
  <c r="D21" i="10"/>
  <c r="C21" i="10"/>
  <c r="V20" i="10"/>
  <c r="S20" i="10"/>
  <c r="T20" i="10" s="1"/>
  <c r="X20" i="10" s="1"/>
  <c r="L20" i="10"/>
  <c r="N20" i="10" s="1"/>
  <c r="O20" i="10" s="1"/>
  <c r="P20" i="10" s="1"/>
  <c r="Q20" i="10" s="1"/>
  <c r="I20" i="10"/>
  <c r="C20" i="10"/>
  <c r="D20" i="10" s="1"/>
  <c r="V19" i="10"/>
  <c r="S19" i="10"/>
  <c r="W19" i="10" s="1"/>
  <c r="L19" i="10"/>
  <c r="N19" i="10" s="1"/>
  <c r="O19" i="10" s="1"/>
  <c r="P19" i="10" s="1"/>
  <c r="I19" i="10"/>
  <c r="C19" i="10"/>
  <c r="D19" i="10" s="1"/>
  <c r="V14" i="10"/>
  <c r="S14" i="10"/>
  <c r="T14" i="10" s="1"/>
  <c r="X14" i="10" s="1"/>
  <c r="L14" i="10"/>
  <c r="N14" i="10" s="1"/>
  <c r="O14" i="10" s="1"/>
  <c r="P14" i="10" s="1"/>
  <c r="Q14" i="10" s="1"/>
  <c r="I14" i="10"/>
  <c r="C14" i="10"/>
  <c r="D14" i="10" s="1"/>
  <c r="V13" i="10"/>
  <c r="S13" i="10"/>
  <c r="W13" i="10" s="1"/>
  <c r="L13" i="10"/>
  <c r="N13" i="10" s="1"/>
  <c r="O13" i="10" s="1"/>
  <c r="P13" i="10" s="1"/>
  <c r="Q13" i="10" s="1"/>
  <c r="I13" i="10"/>
  <c r="C13" i="10"/>
  <c r="D13" i="10" s="1"/>
  <c r="V12" i="10"/>
  <c r="L12" i="10"/>
  <c r="S12" i="10" s="1"/>
  <c r="I12" i="10"/>
  <c r="C12" i="10"/>
  <c r="D12" i="10" s="1"/>
  <c r="V11" i="10"/>
  <c r="S11" i="10"/>
  <c r="W11" i="10" s="1"/>
  <c r="O11" i="10"/>
  <c r="P11" i="10" s="1"/>
  <c r="Q11" i="10" s="1"/>
  <c r="N11" i="10"/>
  <c r="L11" i="10"/>
  <c r="I11" i="10"/>
  <c r="C11" i="10"/>
  <c r="D11" i="10" s="1"/>
  <c r="V10" i="10"/>
  <c r="N10" i="10"/>
  <c r="O10" i="10" s="1"/>
  <c r="P10" i="10" s="1"/>
  <c r="Q10" i="10" s="1"/>
  <c r="L10" i="10"/>
  <c r="S10" i="10" s="1"/>
  <c r="I10" i="10"/>
  <c r="D10" i="10"/>
  <c r="C10" i="10"/>
  <c r="V9" i="10"/>
  <c r="L9" i="10"/>
  <c r="S9" i="10" s="1"/>
  <c r="I9" i="10"/>
  <c r="D9" i="10"/>
  <c r="C9" i="10"/>
  <c r="V8" i="10"/>
  <c r="S8" i="10"/>
  <c r="W8" i="10" s="1"/>
  <c r="N8" i="10"/>
  <c r="O8" i="10" s="1"/>
  <c r="P8" i="10" s="1"/>
  <c r="Q8" i="10" s="1"/>
  <c r="L8" i="10"/>
  <c r="I8" i="10"/>
  <c r="C8" i="10"/>
  <c r="D8" i="10" s="1"/>
  <c r="V7" i="10"/>
  <c r="L7" i="10"/>
  <c r="N7" i="10" s="1"/>
  <c r="O7" i="10" s="1"/>
  <c r="P7" i="10" s="1"/>
  <c r="Q7" i="10" s="1"/>
  <c r="I7" i="10"/>
  <c r="D7" i="10"/>
  <c r="C7" i="10"/>
  <c r="V6" i="10"/>
  <c r="S6" i="10"/>
  <c r="T6" i="10" s="1"/>
  <c r="X6" i="10" s="1"/>
  <c r="L6" i="10"/>
  <c r="N6" i="10" s="1"/>
  <c r="O6" i="10" s="1"/>
  <c r="P6" i="10" s="1"/>
  <c r="Q6" i="10" s="1"/>
  <c r="I6" i="10"/>
  <c r="C6" i="10"/>
  <c r="D6" i="10" s="1"/>
  <c r="V5" i="10"/>
  <c r="S5" i="10"/>
  <c r="W5" i="10" s="1"/>
  <c r="L5" i="10"/>
  <c r="N5" i="10" s="1"/>
  <c r="O5" i="10" s="1"/>
  <c r="P5" i="10" s="1"/>
  <c r="Q5" i="10" s="1"/>
  <c r="I5" i="10"/>
  <c r="C5" i="10"/>
  <c r="D5" i="10" s="1"/>
  <c r="V4" i="10"/>
  <c r="L4" i="10"/>
  <c r="S4" i="10" s="1"/>
  <c r="I4" i="10"/>
  <c r="C4" i="10"/>
  <c r="D4" i="10" s="1"/>
  <c r="V3" i="10"/>
  <c r="S3" i="10"/>
  <c r="O3" i="10"/>
  <c r="P3" i="10" s="1"/>
  <c r="N3" i="10"/>
  <c r="L3" i="10"/>
  <c r="I3" i="10"/>
  <c r="C3" i="10"/>
  <c r="D3" i="10" s="1"/>
  <c r="Q19" i="10" l="1"/>
  <c r="T4" i="10"/>
  <c r="X4" i="10" s="1"/>
  <c r="W4" i="10"/>
  <c r="T26" i="10"/>
  <c r="X26" i="10" s="1"/>
  <c r="W26" i="10"/>
  <c r="T9" i="10"/>
  <c r="X9" i="10" s="1"/>
  <c r="W9" i="10"/>
  <c r="Q3" i="10"/>
  <c r="T12" i="10"/>
  <c r="X12" i="10" s="1"/>
  <c r="W12" i="10"/>
  <c r="W24" i="10"/>
  <c r="T24" i="10"/>
  <c r="X24" i="10" s="1"/>
  <c r="T21" i="10"/>
  <c r="X21" i="10" s="1"/>
  <c r="W21" i="10"/>
  <c r="W10" i="10"/>
  <c r="T10" i="10"/>
  <c r="X10" i="10" s="1"/>
  <c r="T23" i="10"/>
  <c r="X23" i="10" s="1"/>
  <c r="W23" i="10"/>
  <c r="S31" i="10"/>
  <c r="T28" i="10"/>
  <c r="X28" i="10" s="1"/>
  <c r="T3" i="10"/>
  <c r="T11" i="10"/>
  <c r="X11" i="10" s="1"/>
  <c r="N12" i="10"/>
  <c r="O12" i="10" s="1"/>
  <c r="P12" i="10" s="1"/>
  <c r="Q12" i="10" s="1"/>
  <c r="N26" i="10"/>
  <c r="O26" i="10" s="1"/>
  <c r="P26" i="10" s="1"/>
  <c r="Q26" i="10" s="1"/>
  <c r="T8" i="10"/>
  <c r="X8" i="10" s="1"/>
  <c r="W14" i="10"/>
  <c r="W20" i="10"/>
  <c r="T22" i="10"/>
  <c r="X22" i="10" s="1"/>
  <c r="T30" i="10"/>
  <c r="X30" i="10" s="1"/>
  <c r="W3" i="10"/>
  <c r="T5" i="10"/>
  <c r="X5" i="10" s="1"/>
  <c r="T13" i="10"/>
  <c r="X13" i="10" s="1"/>
  <c r="T19" i="10"/>
  <c r="W25" i="10"/>
  <c r="T27" i="10"/>
  <c r="X27" i="10" s="1"/>
  <c r="N21" i="10"/>
  <c r="O21" i="10" s="1"/>
  <c r="P21" i="10" s="1"/>
  <c r="Q21" i="10" s="1"/>
  <c r="N4" i="10"/>
  <c r="O4" i="10" s="1"/>
  <c r="P4" i="10" s="1"/>
  <c r="Q4" i="10" s="1"/>
  <c r="W6" i="10"/>
  <c r="N9" i="10"/>
  <c r="O9" i="10" s="1"/>
  <c r="P9" i="10" s="1"/>
  <c r="Q9" i="10" s="1"/>
  <c r="N23" i="10"/>
  <c r="O23" i="10" s="1"/>
  <c r="P23" i="10" s="1"/>
  <c r="Q23" i="10" s="1"/>
  <c r="S7" i="10"/>
  <c r="S29" i="10"/>
  <c r="W29" i="10" l="1"/>
  <c r="W31" i="10" s="1"/>
  <c r="T29" i="10"/>
  <c r="X29" i="10" s="1"/>
  <c r="T7" i="10"/>
  <c r="X7" i="10" s="1"/>
  <c r="W7" i="10"/>
  <c r="W15" i="10" s="1"/>
  <c r="X19" i="10"/>
  <c r="X31" i="10" s="1"/>
  <c r="T31" i="10"/>
  <c r="P15" i="10"/>
  <c r="S15" i="10"/>
  <c r="Q15" i="10"/>
  <c r="Q31" i="10"/>
  <c r="T15" i="10"/>
  <c r="X3" i="10"/>
  <c r="X15" i="10" s="1"/>
  <c r="P31" i="10"/>
  <c r="G27" i="9" l="1"/>
  <c r="F27" i="9"/>
  <c r="B27" i="9"/>
  <c r="E8" i="4" l="1"/>
  <c r="F8" i="4"/>
  <c r="G8" i="4"/>
  <c r="H8" i="4"/>
  <c r="I8" i="4"/>
  <c r="J8" i="4"/>
  <c r="K8" i="4"/>
  <c r="L8" i="4"/>
  <c r="M8" i="4"/>
  <c r="N8" i="4"/>
  <c r="O8" i="4"/>
  <c r="P8" i="4"/>
  <c r="Q8" i="4"/>
  <c r="R8" i="4"/>
  <c r="S8" i="4"/>
  <c r="T8" i="4"/>
  <c r="U8" i="4"/>
  <c r="V8" i="4"/>
  <c r="W8" i="4"/>
  <c r="X8" i="4"/>
  <c r="Y8" i="4"/>
  <c r="Z8" i="4"/>
  <c r="AA8" i="4"/>
  <c r="AB8" i="4"/>
  <c r="AC8" i="4"/>
  <c r="AD8" i="4"/>
  <c r="AE8" i="4"/>
  <c r="AF8" i="4"/>
  <c r="AG8" i="4"/>
  <c r="E7" i="4"/>
  <c r="E10" i="4" l="1"/>
  <c r="E9" i="4"/>
  <c r="F6" i="4"/>
  <c r="F10" i="4" s="1"/>
  <c r="F9" i="4" l="1"/>
  <c r="G6" i="4"/>
  <c r="F7" i="4"/>
  <c r="G33" i="9"/>
  <c r="F33" i="9"/>
  <c r="E33" i="9"/>
  <c r="C33" i="9"/>
  <c r="D33" i="9"/>
  <c r="B33" i="9"/>
  <c r="B37" i="9"/>
  <c r="H6" i="4" l="1"/>
  <c r="G10" i="4"/>
  <c r="G7" i="4"/>
  <c r="G9" i="4"/>
  <c r="B21" i="4"/>
  <c r="B20" i="3"/>
  <c r="B20" i="6"/>
  <c r="H9" i="4" l="1"/>
  <c r="H10" i="4"/>
  <c r="H7" i="4"/>
  <c r="I6" i="4"/>
  <c r="X2" i="1"/>
  <c r="Y2" i="1" s="1"/>
  <c r="Z2" i="1" s="1"/>
  <c r="AA2" i="1" s="1"/>
  <c r="AB2" i="1" s="1"/>
  <c r="AC2" i="1" s="1"/>
  <c r="AD2" i="1" s="1"/>
  <c r="AE2" i="1" s="1"/>
  <c r="AF2" i="1" s="1"/>
  <c r="N2" i="1"/>
  <c r="O2" i="1" s="1"/>
  <c r="P2" i="1" s="1"/>
  <c r="Q2" i="1" s="1"/>
  <c r="R2" i="1" s="1"/>
  <c r="S2" i="1" s="1"/>
  <c r="T2" i="1" s="1"/>
  <c r="U2" i="1" s="1"/>
  <c r="V2" i="1" s="1"/>
  <c r="X2" i="6"/>
  <c r="Y2" i="6" s="1"/>
  <c r="Z2" i="6" s="1"/>
  <c r="AA2" i="6" s="1"/>
  <c r="AB2" i="6" s="1"/>
  <c r="AC2" i="6" s="1"/>
  <c r="AD2" i="6" s="1"/>
  <c r="AE2" i="6" s="1"/>
  <c r="AF2" i="6" s="1"/>
  <c r="N2" i="6"/>
  <c r="O2" i="6" s="1"/>
  <c r="P2" i="6" s="1"/>
  <c r="Q2" i="6" s="1"/>
  <c r="R2" i="6" s="1"/>
  <c r="S2" i="6" s="1"/>
  <c r="T2" i="6" s="1"/>
  <c r="U2" i="6" s="1"/>
  <c r="V2" i="6" s="1"/>
  <c r="X2" i="3"/>
  <c r="Y2" i="3" s="1"/>
  <c r="Z2" i="3" s="1"/>
  <c r="AA2" i="3" s="1"/>
  <c r="AB2" i="3" s="1"/>
  <c r="AC2" i="3" s="1"/>
  <c r="AD2" i="3" s="1"/>
  <c r="AE2" i="3" s="1"/>
  <c r="AF2" i="3" s="1"/>
  <c r="N2" i="3"/>
  <c r="O2" i="3" s="1"/>
  <c r="P2" i="3" s="1"/>
  <c r="Q2" i="3" s="1"/>
  <c r="R2" i="3" s="1"/>
  <c r="S2" i="3" s="1"/>
  <c r="T2" i="3" s="1"/>
  <c r="U2" i="3" s="1"/>
  <c r="V2" i="3" s="1"/>
  <c r="Y2" i="4"/>
  <c r="Z2" i="4" s="1"/>
  <c r="AA2" i="4" s="1"/>
  <c r="AB2" i="4" s="1"/>
  <c r="AC2" i="4" s="1"/>
  <c r="AD2" i="4" s="1"/>
  <c r="AE2" i="4" s="1"/>
  <c r="AF2" i="4" s="1"/>
  <c r="X2" i="4"/>
  <c r="V2" i="4"/>
  <c r="R2" i="4"/>
  <c r="S2" i="4"/>
  <c r="T2" i="4"/>
  <c r="U2" i="4"/>
  <c r="P2" i="4"/>
  <c r="Q2" i="4" s="1"/>
  <c r="O2" i="4"/>
  <c r="N2" i="4"/>
  <c r="AG4" i="4"/>
  <c r="I9" i="4" l="1"/>
  <c r="I10" i="4"/>
  <c r="J6" i="4"/>
  <c r="I7" i="4"/>
  <c r="K8" i="1"/>
  <c r="K6" i="4" l="1"/>
  <c r="J9" i="4"/>
  <c r="J10" i="4"/>
  <c r="J7" i="4"/>
  <c r="D9" i="9"/>
  <c r="D8" i="9"/>
  <c r="L6" i="4" l="1"/>
  <c r="K9" i="4"/>
  <c r="K10" i="4"/>
  <c r="K7" i="4"/>
  <c r="D7" i="9"/>
  <c r="D6" i="9"/>
  <c r="M6" i="4" l="1"/>
  <c r="L9" i="4"/>
  <c r="L10" i="4"/>
  <c r="L7" i="4"/>
  <c r="G35" i="9"/>
  <c r="E35" i="9"/>
  <c r="F35" i="9"/>
  <c r="D35" i="9"/>
  <c r="C35" i="9"/>
  <c r="B35" i="9"/>
  <c r="G34" i="9"/>
  <c r="G37" i="9" s="1"/>
  <c r="F34" i="9"/>
  <c r="F37" i="9" s="1"/>
  <c r="E34" i="9"/>
  <c r="E37" i="9" s="1"/>
  <c r="D34" i="9"/>
  <c r="D37" i="9" s="1"/>
  <c r="C34" i="9"/>
  <c r="C37" i="9" s="1"/>
  <c r="B34" i="9"/>
  <c r="F28" i="9"/>
  <c r="G28" i="9"/>
  <c r="E28" i="9"/>
  <c r="D28" i="9"/>
  <c r="C28" i="9"/>
  <c r="B28" i="9"/>
  <c r="M7" i="4" l="1"/>
  <c r="N6" i="4"/>
  <c r="M9" i="4"/>
  <c r="M10" i="4"/>
  <c r="B36" i="9"/>
  <c r="E36" i="9"/>
  <c r="G36" i="9"/>
  <c r="C36" i="9"/>
  <c r="D36" i="9"/>
  <c r="F36" i="9"/>
  <c r="E7" i="3"/>
  <c r="M10" i="3"/>
  <c r="N10" i="3" s="1"/>
  <c r="O10" i="3" s="1"/>
  <c r="P10" i="3" s="1"/>
  <c r="Q10" i="3" s="1"/>
  <c r="R10" i="3" s="1"/>
  <c r="S10" i="3" s="1"/>
  <c r="T10" i="3" s="1"/>
  <c r="U10" i="3" s="1"/>
  <c r="V10" i="3" s="1"/>
  <c r="W10" i="3" s="1"/>
  <c r="X10" i="3" s="1"/>
  <c r="Y10" i="3" s="1"/>
  <c r="Z10" i="3" s="1"/>
  <c r="AA10" i="3" s="1"/>
  <c r="AB10" i="3" s="1"/>
  <c r="AC10" i="3" s="1"/>
  <c r="AD10" i="3" s="1"/>
  <c r="AE10" i="3" s="1"/>
  <c r="AF10" i="3" s="1"/>
  <c r="AG10" i="3" s="1"/>
  <c r="M11" i="4"/>
  <c r="N11" i="4" s="1"/>
  <c r="O11" i="4" s="1"/>
  <c r="P11" i="4" s="1"/>
  <c r="Q11" i="4" s="1"/>
  <c r="R11" i="4" s="1"/>
  <c r="S11" i="4" s="1"/>
  <c r="T11" i="4" s="1"/>
  <c r="U11" i="4" s="1"/>
  <c r="V11" i="4" s="1"/>
  <c r="W11" i="4" s="1"/>
  <c r="X11" i="4" s="1"/>
  <c r="Y11" i="4" s="1"/>
  <c r="Z11" i="4" s="1"/>
  <c r="AA11" i="4" s="1"/>
  <c r="AB11" i="4" s="1"/>
  <c r="AC11" i="4" s="1"/>
  <c r="AD11" i="4" s="1"/>
  <c r="AE11" i="4" s="1"/>
  <c r="AF11" i="4" s="1"/>
  <c r="AG11" i="4" s="1"/>
  <c r="M9" i="6"/>
  <c r="N9" i="6" s="1"/>
  <c r="O9" i="6" s="1"/>
  <c r="P9" i="6" s="1"/>
  <c r="Q9" i="6" s="1"/>
  <c r="R9" i="6" s="1"/>
  <c r="S9" i="6" s="1"/>
  <c r="T9" i="6" s="1"/>
  <c r="U9" i="6" s="1"/>
  <c r="V9" i="6" s="1"/>
  <c r="W9" i="6" s="1"/>
  <c r="X9" i="6" s="1"/>
  <c r="Y9" i="6" s="1"/>
  <c r="Z9" i="6" s="1"/>
  <c r="AA9" i="6" s="1"/>
  <c r="AB9" i="6" s="1"/>
  <c r="AC9" i="6" s="1"/>
  <c r="AD9" i="6" s="1"/>
  <c r="AE9" i="6" s="1"/>
  <c r="AF9" i="6" s="1"/>
  <c r="AG9" i="6" s="1"/>
  <c r="O6" i="4" l="1"/>
  <c r="N9" i="4"/>
  <c r="N10" i="4"/>
  <c r="N7" i="4"/>
  <c r="M9" i="1"/>
  <c r="H32" i="4"/>
  <c r="H26" i="4"/>
  <c r="P6" i="4" l="1"/>
  <c r="O7" i="4"/>
  <c r="O10" i="4"/>
  <c r="O9" i="4"/>
  <c r="N9" i="1"/>
  <c r="E13" i="4"/>
  <c r="E15" i="4" s="1"/>
  <c r="E6" i="6"/>
  <c r="E7" i="6" s="1"/>
  <c r="Q6" i="4" l="1"/>
  <c r="P9" i="4"/>
  <c r="P10" i="4"/>
  <c r="P7" i="4"/>
  <c r="E8" i="6"/>
  <c r="E13" i="6"/>
  <c r="O9" i="1"/>
  <c r="E14" i="4"/>
  <c r="E11" i="6"/>
  <c r="F5" i="6"/>
  <c r="G5" i="6" s="1"/>
  <c r="AG4" i="6"/>
  <c r="M4" i="6"/>
  <c r="N4" i="6"/>
  <c r="G2" i="6"/>
  <c r="F2" i="6"/>
  <c r="E2" i="6"/>
  <c r="D2" i="6"/>
  <c r="F5" i="4"/>
  <c r="G5" i="4" s="1"/>
  <c r="H5" i="4" s="1"/>
  <c r="I5" i="4" s="1"/>
  <c r="J5" i="4" s="1"/>
  <c r="K5" i="4" s="1"/>
  <c r="L5" i="4" s="1"/>
  <c r="Q9" i="4" l="1"/>
  <c r="Q7" i="4"/>
  <c r="R6" i="4"/>
  <c r="Q10" i="4"/>
  <c r="M5" i="4"/>
  <c r="N5" i="4" s="1"/>
  <c r="E12" i="6"/>
  <c r="P9" i="1"/>
  <c r="F6" i="6"/>
  <c r="F11" i="6" s="1"/>
  <c r="G6" i="6"/>
  <c r="H5" i="6"/>
  <c r="H2" i="6"/>
  <c r="H4" i="6" s="1"/>
  <c r="M4" i="4"/>
  <c r="N4" i="4"/>
  <c r="G2" i="4"/>
  <c r="F2" i="4"/>
  <c r="E2" i="4"/>
  <c r="D2" i="4"/>
  <c r="X6" i="3"/>
  <c r="X7" i="3" s="1"/>
  <c r="W6" i="3"/>
  <c r="W7" i="3" s="1"/>
  <c r="V6" i="3"/>
  <c r="V7" i="3" s="1"/>
  <c r="U6" i="3"/>
  <c r="U7" i="3" s="1"/>
  <c r="T6" i="3"/>
  <c r="T7" i="3" s="1"/>
  <c r="S6" i="3"/>
  <c r="S7" i="3" s="1"/>
  <c r="R6" i="3"/>
  <c r="R7" i="3" s="1"/>
  <c r="F6" i="3"/>
  <c r="F7" i="3" s="1"/>
  <c r="E6" i="3"/>
  <c r="AG5" i="3"/>
  <c r="AG9" i="3" s="1"/>
  <c r="AF5" i="3"/>
  <c r="AF9" i="3" s="1"/>
  <c r="AE5" i="3"/>
  <c r="AE9" i="3" s="1"/>
  <c r="AD5" i="3"/>
  <c r="AC5" i="3"/>
  <c r="AB5" i="3"/>
  <c r="AA5" i="3"/>
  <c r="Z5" i="3"/>
  <c r="Z9" i="3" s="1"/>
  <c r="Y5" i="3"/>
  <c r="Y9" i="3" s="1"/>
  <c r="X5" i="3"/>
  <c r="X9" i="3" s="1"/>
  <c r="W5" i="3"/>
  <c r="W9" i="3" s="1"/>
  <c r="V5" i="3"/>
  <c r="V9" i="3" s="1"/>
  <c r="U5" i="3"/>
  <c r="U9" i="3" s="1"/>
  <c r="T5" i="3"/>
  <c r="T9" i="3" s="1"/>
  <c r="S5" i="3"/>
  <c r="S8" i="3" s="1"/>
  <c r="R5" i="3"/>
  <c r="R9" i="3" s="1"/>
  <c r="Q5" i="3"/>
  <c r="Q6" i="3" s="1"/>
  <c r="Q7" i="3" s="1"/>
  <c r="P5" i="3"/>
  <c r="P6" i="3" s="1"/>
  <c r="P7" i="3" s="1"/>
  <c r="O5" i="3"/>
  <c r="O6" i="3" s="1"/>
  <c r="O7" i="3" s="1"/>
  <c r="N5" i="3"/>
  <c r="M5" i="3"/>
  <c r="L5" i="3"/>
  <c r="L9" i="3" s="1"/>
  <c r="K5" i="3"/>
  <c r="K9" i="3" s="1"/>
  <c r="J5" i="3"/>
  <c r="I5" i="3"/>
  <c r="H5" i="3"/>
  <c r="G5" i="3"/>
  <c r="G8" i="3" s="1"/>
  <c r="G12" i="3" s="1"/>
  <c r="F5" i="3"/>
  <c r="F9" i="3" s="1"/>
  <c r="E5" i="3"/>
  <c r="E8" i="3" s="1"/>
  <c r="E12" i="3" s="1"/>
  <c r="E13" i="3" s="1"/>
  <c r="AG4" i="3"/>
  <c r="M4" i="3"/>
  <c r="N4" i="3"/>
  <c r="G2" i="3"/>
  <c r="H2" i="3" s="1"/>
  <c r="I2" i="3" s="1"/>
  <c r="F2" i="3"/>
  <c r="E2" i="3"/>
  <c r="D2" i="3"/>
  <c r="R10" i="4" l="1"/>
  <c r="R9" i="4"/>
  <c r="S6" i="4"/>
  <c r="R7" i="4"/>
  <c r="O5" i="4"/>
  <c r="Q9" i="1"/>
  <c r="E14" i="3"/>
  <c r="E15" i="6"/>
  <c r="F7" i="6"/>
  <c r="E14" i="6"/>
  <c r="I2" i="6"/>
  <c r="O4" i="6"/>
  <c r="H6" i="6"/>
  <c r="I5" i="6"/>
  <c r="G7" i="6"/>
  <c r="G13" i="6" s="1"/>
  <c r="G11" i="6"/>
  <c r="I2" i="4"/>
  <c r="I4" i="4" s="1"/>
  <c r="J2" i="4"/>
  <c r="J4" i="4" s="1"/>
  <c r="H2" i="4"/>
  <c r="H4" i="4" s="1"/>
  <c r="Y6" i="3"/>
  <c r="Y7" i="3" s="1"/>
  <c r="Z6" i="3"/>
  <c r="Z7" i="3" s="1"/>
  <c r="W8" i="3"/>
  <c r="X8" i="3"/>
  <c r="Y8" i="3"/>
  <c r="R8" i="3"/>
  <c r="U8" i="3"/>
  <c r="Z8" i="3"/>
  <c r="T8" i="3"/>
  <c r="V8" i="3"/>
  <c r="E9" i="3"/>
  <c r="Q9" i="3"/>
  <c r="F8" i="3"/>
  <c r="O9" i="3"/>
  <c r="P8" i="3"/>
  <c r="P9" i="3"/>
  <c r="H4" i="3"/>
  <c r="S9" i="3"/>
  <c r="Q8" i="3"/>
  <c r="J2" i="3"/>
  <c r="I4" i="3"/>
  <c r="I9" i="3"/>
  <c r="I6" i="3"/>
  <c r="I7" i="3" s="1"/>
  <c r="I8" i="3"/>
  <c r="I12" i="3" s="1"/>
  <c r="AD9" i="3"/>
  <c r="AD8" i="3"/>
  <c r="AD6" i="3"/>
  <c r="AD7" i="3" s="1"/>
  <c r="M6" i="3"/>
  <c r="M7" i="3" s="1"/>
  <c r="M8" i="3"/>
  <c r="M12" i="3" s="1"/>
  <c r="AG6" i="3"/>
  <c r="AG7" i="3" s="1"/>
  <c r="AG8" i="3"/>
  <c r="G9" i="3"/>
  <c r="G13" i="3" s="1"/>
  <c r="G6" i="3"/>
  <c r="G7" i="3" s="1"/>
  <c r="AA9" i="3"/>
  <c r="AA6" i="3"/>
  <c r="AA7" i="3" s="1"/>
  <c r="AC9" i="3"/>
  <c r="AC8" i="3"/>
  <c r="AC6" i="3"/>
  <c r="AC7" i="3" s="1"/>
  <c r="K6" i="3"/>
  <c r="K7" i="3" s="1"/>
  <c r="K8" i="3"/>
  <c r="AA8" i="3"/>
  <c r="AF6" i="3"/>
  <c r="AF7" i="3" s="1"/>
  <c r="AF8" i="3"/>
  <c r="N6" i="3"/>
  <c r="N7" i="3" s="1"/>
  <c r="N8" i="3"/>
  <c r="N12" i="3" s="1"/>
  <c r="AB9" i="3"/>
  <c r="AB6" i="3"/>
  <c r="AB7" i="3" s="1"/>
  <c r="AB8" i="3"/>
  <c r="M9" i="3"/>
  <c r="H9" i="3"/>
  <c r="H6" i="3"/>
  <c r="H7" i="3" s="1"/>
  <c r="H8" i="3"/>
  <c r="J9" i="3"/>
  <c r="J6" i="3"/>
  <c r="J7" i="3" s="1"/>
  <c r="J8" i="3"/>
  <c r="AE6" i="3"/>
  <c r="AE7" i="3" s="1"/>
  <c r="AE8" i="3"/>
  <c r="L6" i="3"/>
  <c r="L7" i="3" s="1"/>
  <c r="L8" i="3"/>
  <c r="N9" i="3"/>
  <c r="O8" i="3"/>
  <c r="S7" i="4" l="1"/>
  <c r="S9" i="4"/>
  <c r="T6" i="4"/>
  <c r="S10" i="4"/>
  <c r="F13" i="4"/>
  <c r="F15" i="4" s="1"/>
  <c r="P5" i="4"/>
  <c r="I13" i="4"/>
  <c r="I14" i="4" s="1"/>
  <c r="H12" i="3"/>
  <c r="O12" i="3"/>
  <c r="F12" i="3"/>
  <c r="F14" i="3" s="1"/>
  <c r="AG12" i="3"/>
  <c r="AG14" i="3" s="1"/>
  <c r="F8" i="6"/>
  <c r="F12" i="6" s="1"/>
  <c r="F15" i="6" s="1"/>
  <c r="F13" i="6"/>
  <c r="R9" i="1"/>
  <c r="N13" i="4"/>
  <c r="N14" i="4" s="1"/>
  <c r="M13" i="4"/>
  <c r="M14" i="4" s="1"/>
  <c r="H13" i="4"/>
  <c r="H14" i="4" s="1"/>
  <c r="G13" i="4"/>
  <c r="G15" i="4" s="1"/>
  <c r="K13" i="4"/>
  <c r="J13" i="4"/>
  <c r="G14" i="3"/>
  <c r="M14" i="3"/>
  <c r="K2" i="4"/>
  <c r="K4" i="4" s="1"/>
  <c r="J5" i="6"/>
  <c r="I6" i="6"/>
  <c r="P4" i="6"/>
  <c r="G8" i="6"/>
  <c r="G12" i="6" s="1"/>
  <c r="I4" i="6"/>
  <c r="J2" i="6"/>
  <c r="H11" i="6"/>
  <c r="H7" i="6"/>
  <c r="H13" i="6" s="1"/>
  <c r="B26" i="4"/>
  <c r="O4" i="4"/>
  <c r="O13" i="4" s="1"/>
  <c r="B25" i="3"/>
  <c r="B31" i="3"/>
  <c r="H13" i="3"/>
  <c r="N13" i="3"/>
  <c r="I13" i="3"/>
  <c r="K2" i="3"/>
  <c r="J4" i="3"/>
  <c r="O4" i="3"/>
  <c r="M13" i="3"/>
  <c r="T7" i="4" l="1"/>
  <c r="T9" i="4"/>
  <c r="U6" i="4"/>
  <c r="T10" i="4"/>
  <c r="F14" i="4"/>
  <c r="Q5" i="4"/>
  <c r="M15" i="4"/>
  <c r="J12" i="3"/>
  <c r="J14" i="3" s="1"/>
  <c r="AG13" i="3"/>
  <c r="F13" i="3"/>
  <c r="S9" i="1"/>
  <c r="N15" i="4"/>
  <c r="G14" i="4"/>
  <c r="L2" i="4"/>
  <c r="L4" i="4" s="1"/>
  <c r="I14" i="3"/>
  <c r="N14" i="3"/>
  <c r="H14" i="3"/>
  <c r="O13" i="3"/>
  <c r="O14" i="3"/>
  <c r="J14" i="4"/>
  <c r="J15" i="4"/>
  <c r="O14" i="4"/>
  <c r="O15" i="4"/>
  <c r="K14" i="4"/>
  <c r="K15" i="4"/>
  <c r="H15" i="4"/>
  <c r="I15" i="4"/>
  <c r="F14" i="6"/>
  <c r="G14" i="6"/>
  <c r="G15" i="6"/>
  <c r="H8" i="6"/>
  <c r="H12" i="6" s="1"/>
  <c r="J4" i="6"/>
  <c r="K2" i="6"/>
  <c r="I11" i="6"/>
  <c r="I7" i="6"/>
  <c r="I13" i="6" s="1"/>
  <c r="Q4" i="6"/>
  <c r="J6" i="6"/>
  <c r="K5" i="6"/>
  <c r="P4" i="4"/>
  <c r="P13" i="4" s="1"/>
  <c r="P4" i="3"/>
  <c r="P12" i="3" s="1"/>
  <c r="L2" i="3"/>
  <c r="L4" i="3" s="1"/>
  <c r="L12" i="3" s="1"/>
  <c r="K4" i="3"/>
  <c r="K12" i="3" s="1"/>
  <c r="V6" i="4" l="1"/>
  <c r="U10" i="4"/>
  <c r="U7" i="4"/>
  <c r="U9" i="4"/>
  <c r="R5" i="4"/>
  <c r="J13" i="3"/>
  <c r="T9" i="1"/>
  <c r="L13" i="4"/>
  <c r="B27" i="4" s="1"/>
  <c r="B28" i="4" s="1"/>
  <c r="K13" i="3"/>
  <c r="K14" i="3"/>
  <c r="L13" i="3"/>
  <c r="L14" i="3"/>
  <c r="P13" i="3"/>
  <c r="P14" i="3"/>
  <c r="P14" i="4"/>
  <c r="P15" i="4"/>
  <c r="H15" i="6"/>
  <c r="L5" i="6"/>
  <c r="K6" i="6"/>
  <c r="J11" i="6"/>
  <c r="J7" i="6"/>
  <c r="J13" i="6" s="1"/>
  <c r="I8" i="6"/>
  <c r="I12" i="6" s="1"/>
  <c r="H14" i="6"/>
  <c r="R4" i="6"/>
  <c r="K4" i="6"/>
  <c r="L2" i="6"/>
  <c r="L4" i="6" s="1"/>
  <c r="Q4" i="4"/>
  <c r="B26" i="3"/>
  <c r="B27" i="3" s="1"/>
  <c r="Q4" i="3"/>
  <c r="Q12" i="3" s="1"/>
  <c r="F5" i="1"/>
  <c r="F6" i="1" s="1"/>
  <c r="F7" i="1" s="1"/>
  <c r="F13" i="1" s="1"/>
  <c r="E6" i="1"/>
  <c r="E11" i="1" s="1"/>
  <c r="D2" i="1"/>
  <c r="E2" i="1"/>
  <c r="F2" i="1"/>
  <c r="G2" i="1"/>
  <c r="M4" i="1"/>
  <c r="AG4" i="1"/>
  <c r="N4" i="1"/>
  <c r="V7" i="4" l="1"/>
  <c r="W6" i="4"/>
  <c r="V9" i="4"/>
  <c r="V10" i="4"/>
  <c r="Q13" i="4"/>
  <c r="Q15" i="4" s="1"/>
  <c r="S5" i="4"/>
  <c r="L14" i="4"/>
  <c r="L15" i="4"/>
  <c r="U9" i="1"/>
  <c r="H27" i="4"/>
  <c r="H28" i="4" s="1"/>
  <c r="H29" i="4" s="1"/>
  <c r="B29" i="4"/>
  <c r="B6" i="9"/>
  <c r="E6" i="9" s="1"/>
  <c r="E7" i="1"/>
  <c r="E13" i="1" s="1"/>
  <c r="Q13" i="3"/>
  <c r="Q14" i="3"/>
  <c r="B28" i="3"/>
  <c r="B7" i="9"/>
  <c r="E7" i="9" s="1"/>
  <c r="I15" i="6"/>
  <c r="I14" i="6"/>
  <c r="J8" i="6"/>
  <c r="J12" i="6" s="1"/>
  <c r="S4" i="6"/>
  <c r="K7" i="6"/>
  <c r="K13" i="6" s="1"/>
  <c r="K11" i="6"/>
  <c r="M5" i="6"/>
  <c r="L6" i="6"/>
  <c r="R4" i="4"/>
  <c r="R13" i="4" s="1"/>
  <c r="R4" i="3"/>
  <c r="R12" i="3" s="1"/>
  <c r="G5" i="1"/>
  <c r="F8" i="1"/>
  <c r="H2" i="1"/>
  <c r="H4" i="1" s="1"/>
  <c r="F11" i="1"/>
  <c r="X6" i="4" l="1"/>
  <c r="W7" i="4"/>
  <c r="W9" i="4"/>
  <c r="W10" i="4"/>
  <c r="Q14" i="4"/>
  <c r="T5" i="4"/>
  <c r="F12" i="1"/>
  <c r="V9" i="1"/>
  <c r="E8" i="1"/>
  <c r="E12" i="1" s="1"/>
  <c r="E14" i="1" s="1"/>
  <c r="R13" i="3"/>
  <c r="R14" i="3"/>
  <c r="R14" i="4"/>
  <c r="R15" i="4"/>
  <c r="F15" i="1"/>
  <c r="J15" i="6"/>
  <c r="L11" i="6"/>
  <c r="L7" i="6"/>
  <c r="L13" i="6" s="1"/>
  <c r="K8" i="6"/>
  <c r="K12" i="6" s="1"/>
  <c r="M6" i="6"/>
  <c r="N5" i="6"/>
  <c r="T4" i="6"/>
  <c r="J14" i="6"/>
  <c r="F14" i="1"/>
  <c r="S4" i="4"/>
  <c r="S4" i="3"/>
  <c r="S12" i="3" s="1"/>
  <c r="H5" i="1"/>
  <c r="G6" i="1"/>
  <c r="I2" i="1"/>
  <c r="J2" i="1" s="1"/>
  <c r="K2" i="1" s="1"/>
  <c r="L2" i="1" s="1"/>
  <c r="O4" i="1"/>
  <c r="X7" i="4" l="1"/>
  <c r="X9" i="4"/>
  <c r="Y6" i="4"/>
  <c r="X10" i="4"/>
  <c r="S13" i="4"/>
  <c r="S14" i="4" s="1"/>
  <c r="U5" i="4"/>
  <c r="E15" i="1"/>
  <c r="W9" i="1"/>
  <c r="S13" i="3"/>
  <c r="S14" i="3"/>
  <c r="S15" i="4"/>
  <c r="K14" i="6"/>
  <c r="K15" i="6"/>
  <c r="U4" i="6"/>
  <c r="M7" i="6"/>
  <c r="M13" i="6" s="1"/>
  <c r="M11" i="6"/>
  <c r="B27" i="6" s="1"/>
  <c r="N6" i="6"/>
  <c r="O5" i="6"/>
  <c r="L8" i="6"/>
  <c r="L12" i="6" s="1"/>
  <c r="T4" i="4"/>
  <c r="T4" i="3"/>
  <c r="T12" i="3" s="1"/>
  <c r="I4" i="1"/>
  <c r="G7" i="1"/>
  <c r="G13" i="1" s="1"/>
  <c r="G11" i="1"/>
  <c r="H6" i="1"/>
  <c r="I5" i="1"/>
  <c r="P4" i="1"/>
  <c r="J4" i="1"/>
  <c r="Z6" i="4" l="1"/>
  <c r="Y7" i="4"/>
  <c r="Y9" i="4"/>
  <c r="Y10" i="4"/>
  <c r="T13" i="4"/>
  <c r="V5" i="4"/>
  <c r="X9" i="1"/>
  <c r="T13" i="3"/>
  <c r="T14" i="3"/>
  <c r="T14" i="4"/>
  <c r="T15" i="4"/>
  <c r="L15" i="6"/>
  <c r="L14" i="6"/>
  <c r="P5" i="6"/>
  <c r="O6" i="6"/>
  <c r="N7" i="6"/>
  <c r="N13" i="6" s="1"/>
  <c r="N11" i="6"/>
  <c r="M8" i="6"/>
  <c r="V4" i="6"/>
  <c r="U4" i="4"/>
  <c r="U4" i="3"/>
  <c r="U12" i="3" s="1"/>
  <c r="J5" i="1"/>
  <c r="I6" i="1"/>
  <c r="G8" i="1"/>
  <c r="G12" i="1" s="1"/>
  <c r="H7" i="1"/>
  <c r="H13" i="1" s="1"/>
  <c r="H11" i="1"/>
  <c r="Q4" i="1"/>
  <c r="L4" i="1"/>
  <c r="K4" i="1"/>
  <c r="K12" i="1" s="1"/>
  <c r="U13" i="4" l="1"/>
  <c r="AA6" i="4"/>
  <c r="Z10" i="4"/>
  <c r="Z7" i="4"/>
  <c r="Z9" i="4"/>
  <c r="W5" i="4"/>
  <c r="M12" i="6"/>
  <c r="B28" i="6" s="1"/>
  <c r="B29" i="6" s="1"/>
  <c r="B4" i="9" s="1"/>
  <c r="E4" i="9" s="1"/>
  <c r="Y9" i="1"/>
  <c r="U13" i="3"/>
  <c r="U14" i="3"/>
  <c r="U14" i="4"/>
  <c r="U15" i="4"/>
  <c r="G14" i="1"/>
  <c r="G15" i="1"/>
  <c r="W4" i="6"/>
  <c r="N8" i="6"/>
  <c r="N12" i="6" s="1"/>
  <c r="O7" i="6"/>
  <c r="O13" i="6" s="1"/>
  <c r="O11" i="6"/>
  <c r="Q5" i="6"/>
  <c r="P6" i="6"/>
  <c r="V4" i="4"/>
  <c r="V4" i="3"/>
  <c r="V12" i="3" s="1"/>
  <c r="H8" i="1"/>
  <c r="H12" i="1" s="1"/>
  <c r="I7" i="1"/>
  <c r="I13" i="1" s="1"/>
  <c r="I11" i="1"/>
  <c r="K5" i="1"/>
  <c r="J6" i="1"/>
  <c r="R4" i="1"/>
  <c r="V13" i="4" l="1"/>
  <c r="AB6" i="4"/>
  <c r="AA10" i="4"/>
  <c r="AA7" i="4"/>
  <c r="AA9" i="4"/>
  <c r="X5" i="4"/>
  <c r="M14" i="6"/>
  <c r="M15" i="6"/>
  <c r="Z9" i="1"/>
  <c r="B30" i="6"/>
  <c r="V13" i="3"/>
  <c r="V14" i="3"/>
  <c r="V14" i="4"/>
  <c r="V15" i="4"/>
  <c r="H15" i="1"/>
  <c r="N14" i="6"/>
  <c r="N15" i="6"/>
  <c r="O8" i="6"/>
  <c r="O12" i="6" s="1"/>
  <c r="P7" i="6"/>
  <c r="P13" i="6" s="1"/>
  <c r="P11" i="6"/>
  <c r="R5" i="6"/>
  <c r="Q6" i="6"/>
  <c r="X4" i="6"/>
  <c r="H14" i="1"/>
  <c r="W4" i="4"/>
  <c r="W4" i="3"/>
  <c r="W12" i="3" s="1"/>
  <c r="L5" i="1"/>
  <c r="K6" i="1"/>
  <c r="J7" i="1"/>
  <c r="J13" i="1" s="1"/>
  <c r="J11" i="1"/>
  <c r="I8" i="1"/>
  <c r="I12" i="1" s="1"/>
  <c r="S4" i="1"/>
  <c r="AC6" i="4" l="1"/>
  <c r="AB10" i="4"/>
  <c r="AB7" i="4"/>
  <c r="AB9" i="4"/>
  <c r="W13" i="4"/>
  <c r="Y5" i="4"/>
  <c r="B15" i="9"/>
  <c r="AA9" i="1"/>
  <c r="B8" i="9"/>
  <c r="B16" i="9" s="1"/>
  <c r="W13" i="3"/>
  <c r="W14" i="3"/>
  <c r="W14" i="4"/>
  <c r="W15" i="4"/>
  <c r="I15" i="1"/>
  <c r="O15" i="6"/>
  <c r="Y4" i="6"/>
  <c r="Q7" i="6"/>
  <c r="Q13" i="6" s="1"/>
  <c r="Q11" i="6"/>
  <c r="S5" i="6"/>
  <c r="R6" i="6"/>
  <c r="P8" i="6"/>
  <c r="P12" i="6" s="1"/>
  <c r="O14" i="6"/>
  <c r="I14" i="1"/>
  <c r="X4" i="4"/>
  <c r="X4" i="3"/>
  <c r="X12" i="3" s="1"/>
  <c r="J8" i="1"/>
  <c r="J12" i="1" s="1"/>
  <c r="K7" i="1"/>
  <c r="K13" i="1" s="1"/>
  <c r="K11" i="1"/>
  <c r="L6" i="1"/>
  <c r="M5" i="1"/>
  <c r="T4" i="1"/>
  <c r="AD6" i="4" l="1"/>
  <c r="AC9" i="4"/>
  <c r="AC10" i="4"/>
  <c r="AC7" i="4"/>
  <c r="Z5" i="4"/>
  <c r="X13" i="4"/>
  <c r="E8" i="9"/>
  <c r="AB9" i="1"/>
  <c r="X13" i="3"/>
  <c r="X14" i="3"/>
  <c r="X14" i="4"/>
  <c r="X15" i="4"/>
  <c r="P15" i="6"/>
  <c r="P14" i="6"/>
  <c r="R11" i="6"/>
  <c r="R7" i="6"/>
  <c r="R13" i="6" s="1"/>
  <c r="S6" i="6"/>
  <c r="T5" i="6"/>
  <c r="Q8" i="6"/>
  <c r="Q12" i="6" s="1"/>
  <c r="Z4" i="6"/>
  <c r="Y4" i="4"/>
  <c r="Y4" i="3"/>
  <c r="Y12" i="3" s="1"/>
  <c r="L7" i="1"/>
  <c r="L13" i="1" s="1"/>
  <c r="L11" i="1"/>
  <c r="M6" i="1"/>
  <c r="N5" i="1"/>
  <c r="J15" i="1"/>
  <c r="U4" i="1"/>
  <c r="Y13" i="4" l="1"/>
  <c r="AE6" i="4"/>
  <c r="AD7" i="4"/>
  <c r="AD9" i="4"/>
  <c r="AD10" i="4"/>
  <c r="AA5" i="4"/>
  <c r="AC9" i="1"/>
  <c r="Y13" i="3"/>
  <c r="Y14" i="3"/>
  <c r="Y14" i="4"/>
  <c r="Y15" i="4"/>
  <c r="K15" i="1"/>
  <c r="Q15" i="6"/>
  <c r="AA4" i="6"/>
  <c r="R8" i="6"/>
  <c r="R12" i="6" s="1"/>
  <c r="Q14" i="6"/>
  <c r="U5" i="6"/>
  <c r="T6" i="6"/>
  <c r="S11" i="6"/>
  <c r="S7" i="6"/>
  <c r="S13" i="6" s="1"/>
  <c r="J14" i="1"/>
  <c r="K14" i="1"/>
  <c r="Z4" i="4"/>
  <c r="Z4" i="3"/>
  <c r="Z12" i="3" s="1"/>
  <c r="N6" i="1"/>
  <c r="O5" i="1"/>
  <c r="M7" i="1"/>
  <c r="M13" i="1" s="1"/>
  <c r="M11" i="1"/>
  <c r="B27" i="1" s="1"/>
  <c r="L8" i="1"/>
  <c r="L12" i="1" s="1"/>
  <c r="V4" i="1"/>
  <c r="AF6" i="4" l="1"/>
  <c r="AE10" i="4"/>
  <c r="AE7" i="4"/>
  <c r="AE9" i="4"/>
  <c r="Z13" i="4"/>
  <c r="AB5" i="4"/>
  <c r="AD9" i="1"/>
  <c r="Z13" i="3"/>
  <c r="Z14" i="3"/>
  <c r="Z14" i="4"/>
  <c r="Z15" i="4"/>
  <c r="R15" i="6"/>
  <c r="T11" i="6"/>
  <c r="T7" i="6"/>
  <c r="T13" i="6" s="1"/>
  <c r="S8" i="6"/>
  <c r="U6" i="6"/>
  <c r="V5" i="6"/>
  <c r="R14" i="6"/>
  <c r="AB4" i="6"/>
  <c r="AA4" i="4"/>
  <c r="AA4" i="3"/>
  <c r="AA12" i="3" s="1"/>
  <c r="L15" i="1"/>
  <c r="M8" i="1"/>
  <c r="M12" i="1" s="1"/>
  <c r="O6" i="1"/>
  <c r="P5" i="1"/>
  <c r="N7" i="1"/>
  <c r="N13" i="1" s="1"/>
  <c r="N11" i="1"/>
  <c r="W4" i="1"/>
  <c r="AA13" i="4" l="1"/>
  <c r="AG6" i="4"/>
  <c r="AF10" i="4"/>
  <c r="AF7" i="4"/>
  <c r="AF9" i="4"/>
  <c r="AC5" i="4"/>
  <c r="S12" i="6"/>
  <c r="S15" i="6" s="1"/>
  <c r="AE9" i="1"/>
  <c r="AA13" i="3"/>
  <c r="AA14" i="3"/>
  <c r="AA14" i="4"/>
  <c r="AA15" i="4"/>
  <c r="M14" i="1"/>
  <c r="M15" i="1"/>
  <c r="AC4" i="6"/>
  <c r="V6" i="6"/>
  <c r="W5" i="6"/>
  <c r="U11" i="6"/>
  <c r="U7" i="6"/>
  <c r="U13" i="6" s="1"/>
  <c r="T8" i="6"/>
  <c r="T12" i="6" s="1"/>
  <c r="L14" i="1"/>
  <c r="B28" i="1"/>
  <c r="AB4" i="4"/>
  <c r="AB4" i="3"/>
  <c r="AB12" i="3" s="1"/>
  <c r="P6" i="1"/>
  <c r="Q5" i="1"/>
  <c r="N8" i="1"/>
  <c r="N12" i="1" s="1"/>
  <c r="O7" i="1"/>
  <c r="O13" i="1" s="1"/>
  <c r="O11" i="1"/>
  <c r="X4" i="1"/>
  <c r="AG9" i="4" l="1"/>
  <c r="AG10" i="4"/>
  <c r="AG7" i="4"/>
  <c r="AB13" i="4"/>
  <c r="AD5" i="4"/>
  <c r="S14" i="6"/>
  <c r="AF9" i="1"/>
  <c r="AB13" i="3"/>
  <c r="AB14" i="3"/>
  <c r="AB14" i="4"/>
  <c r="AB15" i="4"/>
  <c r="T15" i="6"/>
  <c r="N14" i="1"/>
  <c r="N15" i="1"/>
  <c r="T14" i="6"/>
  <c r="V7" i="6"/>
  <c r="V13" i="6" s="1"/>
  <c r="V11" i="6"/>
  <c r="W6" i="6"/>
  <c r="X5" i="6"/>
  <c r="U8" i="6"/>
  <c r="U12" i="6" s="1"/>
  <c r="AD4" i="6"/>
  <c r="AC4" i="4"/>
  <c r="AC4" i="3"/>
  <c r="AC12" i="3" s="1"/>
  <c r="O8" i="1"/>
  <c r="O12" i="1" s="1"/>
  <c r="Q6" i="1"/>
  <c r="R5" i="1"/>
  <c r="P7" i="1"/>
  <c r="P13" i="1" s="1"/>
  <c r="P11" i="1"/>
  <c r="Y4" i="1"/>
  <c r="AE5" i="4" l="1"/>
  <c r="AC13" i="4"/>
  <c r="AG9" i="1"/>
  <c r="O15" i="1"/>
  <c r="AC13" i="3"/>
  <c r="AC14" i="3"/>
  <c r="AC14" i="4"/>
  <c r="AC15" i="4"/>
  <c r="U15" i="6"/>
  <c r="AE4" i="6"/>
  <c r="AF4" i="6"/>
  <c r="U14" i="6"/>
  <c r="X6" i="6"/>
  <c r="Y5" i="6"/>
  <c r="W11" i="6"/>
  <c r="W7" i="6"/>
  <c r="W13" i="6" s="1"/>
  <c r="V8" i="6"/>
  <c r="V12" i="6" s="1"/>
  <c r="O14" i="1"/>
  <c r="AD4" i="4"/>
  <c r="AD4" i="3"/>
  <c r="AD12" i="3" s="1"/>
  <c r="P8" i="1"/>
  <c r="P12" i="1" s="1"/>
  <c r="R6" i="1"/>
  <c r="S5" i="1"/>
  <c r="Q7" i="1"/>
  <c r="Q13" i="1" s="1"/>
  <c r="Q11" i="1"/>
  <c r="Z4" i="1"/>
  <c r="AD13" i="4" l="1"/>
  <c r="AD14" i="4" s="1"/>
  <c r="AF5" i="4"/>
  <c r="V14" i="6"/>
  <c r="AD13" i="3"/>
  <c r="AD14" i="3"/>
  <c r="AD15" i="4"/>
  <c r="V15" i="6"/>
  <c r="W8" i="6"/>
  <c r="W12" i="6" s="1"/>
  <c r="Z5" i="6"/>
  <c r="Y6" i="6"/>
  <c r="X7" i="6"/>
  <c r="X13" i="6" s="1"/>
  <c r="X11" i="6"/>
  <c r="AE4" i="4"/>
  <c r="AE13" i="4" s="1"/>
  <c r="AF4" i="4"/>
  <c r="AE4" i="3"/>
  <c r="AE12" i="3" s="1"/>
  <c r="AF4" i="3"/>
  <c r="AF12" i="3" s="1"/>
  <c r="Q8" i="1"/>
  <c r="Q12" i="1" s="1"/>
  <c r="S6" i="1"/>
  <c r="T5" i="1"/>
  <c r="R11" i="1"/>
  <c r="R7" i="1"/>
  <c r="R13" i="1" s="1"/>
  <c r="AA4" i="1"/>
  <c r="AG5" i="4" l="1"/>
  <c r="B32" i="3"/>
  <c r="B33" i="3" s="1"/>
  <c r="AF13" i="3"/>
  <c r="AF14" i="3"/>
  <c r="AE13" i="3"/>
  <c r="AE14" i="3"/>
  <c r="AE14" i="4"/>
  <c r="AE15" i="4"/>
  <c r="Q15" i="1"/>
  <c r="W15" i="6"/>
  <c r="P14" i="1"/>
  <c r="P15" i="1"/>
  <c r="X8" i="6"/>
  <c r="X12" i="6" s="1"/>
  <c r="Y11" i="6"/>
  <c r="Y7" i="6"/>
  <c r="Y13" i="6" s="1"/>
  <c r="AA5" i="6"/>
  <c r="Z6" i="6"/>
  <c r="W14" i="6"/>
  <c r="Q14" i="1"/>
  <c r="R8" i="1"/>
  <c r="T6" i="1"/>
  <c r="U5" i="1"/>
  <c r="S11" i="1"/>
  <c r="S7" i="1"/>
  <c r="S13" i="1" s="1"/>
  <c r="AB4" i="1"/>
  <c r="AF13" i="4" l="1"/>
  <c r="AF15" i="4"/>
  <c r="AF14" i="4"/>
  <c r="AG13" i="4"/>
  <c r="R12" i="1"/>
  <c r="R15" i="1" s="1"/>
  <c r="B34" i="3"/>
  <c r="C7" i="9"/>
  <c r="X15" i="6"/>
  <c r="Z11" i="6"/>
  <c r="Z7" i="6"/>
  <c r="Z13" i="6" s="1"/>
  <c r="AB5" i="6"/>
  <c r="AA6" i="6"/>
  <c r="Y8" i="6"/>
  <c r="Y12" i="6" s="1"/>
  <c r="X14" i="6"/>
  <c r="S8" i="1"/>
  <c r="S12" i="1" s="1"/>
  <c r="U6" i="1"/>
  <c r="V5" i="1"/>
  <c r="T11" i="1"/>
  <c r="T7" i="1"/>
  <c r="T13" i="1" s="1"/>
  <c r="AC4" i="1"/>
  <c r="AG14" i="4" l="1"/>
  <c r="B33" i="4"/>
  <c r="AG15" i="4"/>
  <c r="B32" i="4"/>
  <c r="R14" i="1"/>
  <c r="Y15" i="6"/>
  <c r="AB6" i="6"/>
  <c r="AC5" i="6"/>
  <c r="AA11" i="6"/>
  <c r="AA7" i="6"/>
  <c r="AA13" i="6" s="1"/>
  <c r="Z8" i="6"/>
  <c r="Z12" i="6" s="1"/>
  <c r="Y14" i="6"/>
  <c r="V6" i="1"/>
  <c r="W5" i="1"/>
  <c r="U7" i="1"/>
  <c r="U13" i="1" s="1"/>
  <c r="U11" i="1"/>
  <c r="T8" i="1"/>
  <c r="T12" i="1" s="1"/>
  <c r="AD4" i="1"/>
  <c r="B34" i="4" l="1"/>
  <c r="Z15" i="6"/>
  <c r="S14" i="1"/>
  <c r="S15" i="1"/>
  <c r="T14" i="1"/>
  <c r="T15" i="1"/>
  <c r="Z14" i="6"/>
  <c r="AA8" i="6"/>
  <c r="AA12" i="6" s="1"/>
  <c r="AD5" i="6"/>
  <c r="AC6" i="6"/>
  <c r="AB11" i="6"/>
  <c r="AB7" i="6"/>
  <c r="AB13" i="6" s="1"/>
  <c r="W6" i="1"/>
  <c r="X5" i="1"/>
  <c r="U8" i="1"/>
  <c r="U12" i="1" s="1"/>
  <c r="V7" i="1"/>
  <c r="V13" i="1" s="1"/>
  <c r="V11" i="1"/>
  <c r="AF4" i="1"/>
  <c r="AE4" i="1"/>
  <c r="B35" i="4" l="1"/>
  <c r="H33" i="4"/>
  <c r="H34" i="4" s="1"/>
  <c r="H35" i="4" s="1"/>
  <c r="C6" i="9"/>
  <c r="AA15" i="6"/>
  <c r="U14" i="1"/>
  <c r="U15" i="1"/>
  <c r="AB8" i="6"/>
  <c r="AB12" i="6" s="1"/>
  <c r="AC11" i="6"/>
  <c r="AC7" i="6"/>
  <c r="AC13" i="6" s="1"/>
  <c r="AE5" i="6"/>
  <c r="AD6" i="6"/>
  <c r="AA14" i="6"/>
  <c r="V8" i="1"/>
  <c r="V12" i="1" s="1"/>
  <c r="X6" i="1"/>
  <c r="Y5" i="1"/>
  <c r="W7" i="1"/>
  <c r="W13" i="1" s="1"/>
  <c r="W11" i="1"/>
  <c r="V15" i="1" l="1"/>
  <c r="AB15" i="6"/>
  <c r="AD7" i="6"/>
  <c r="AD13" i="6" s="1"/>
  <c r="AD11" i="6"/>
  <c r="AF5" i="6"/>
  <c r="AE6" i="6"/>
  <c r="AC8" i="6"/>
  <c r="AC12" i="6" s="1"/>
  <c r="AB14" i="6"/>
  <c r="V14" i="1"/>
  <c r="Y6" i="1"/>
  <c r="Z5" i="1"/>
  <c r="X7" i="1"/>
  <c r="X13" i="1" s="1"/>
  <c r="X11" i="1"/>
  <c r="W8" i="1"/>
  <c r="W12" i="1" s="1"/>
  <c r="AC14" i="6" l="1"/>
  <c r="AC15" i="6"/>
  <c r="AE7" i="6"/>
  <c r="AE13" i="6" s="1"/>
  <c r="AE11" i="6"/>
  <c r="AG5" i="6"/>
  <c r="AG6" i="6" s="1"/>
  <c r="AF6" i="6"/>
  <c r="AD8" i="6"/>
  <c r="AD12" i="6" s="1"/>
  <c r="X8" i="1"/>
  <c r="X12" i="1" s="1"/>
  <c r="AA5" i="1"/>
  <c r="Z6" i="1"/>
  <c r="Y11" i="1"/>
  <c r="Y7" i="1"/>
  <c r="Y13" i="1" s="1"/>
  <c r="AD14" i="6" l="1"/>
  <c r="AD15" i="6"/>
  <c r="W14" i="1"/>
  <c r="W15" i="1"/>
  <c r="X14" i="1"/>
  <c r="X15" i="1"/>
  <c r="AF7" i="6"/>
  <c r="AF13" i="6" s="1"/>
  <c r="AF11" i="6"/>
  <c r="AG7" i="6"/>
  <c r="AG13" i="6" s="1"/>
  <c r="AG11" i="6"/>
  <c r="AE8" i="6"/>
  <c r="AE12" i="6" s="1"/>
  <c r="Z7" i="1"/>
  <c r="Z13" i="1" s="1"/>
  <c r="Z11" i="1"/>
  <c r="Y8" i="1"/>
  <c r="Y12" i="1" s="1"/>
  <c r="AB5" i="1"/>
  <c r="AA6" i="1"/>
  <c r="AE15" i="6" l="1"/>
  <c r="B33" i="6"/>
  <c r="AE14" i="6"/>
  <c r="AG8" i="6"/>
  <c r="AG12" i="6" s="1"/>
  <c r="AF8" i="6"/>
  <c r="AF12" i="6" s="1"/>
  <c r="AB6" i="1"/>
  <c r="AC5" i="1"/>
  <c r="AA7" i="1"/>
  <c r="AA13" i="1" s="1"/>
  <c r="AA11" i="1"/>
  <c r="Z8" i="1"/>
  <c r="Z12" i="1" s="1"/>
  <c r="Z15" i="1" l="1"/>
  <c r="AG15" i="6"/>
  <c r="AF15" i="6"/>
  <c r="Y14" i="1"/>
  <c r="Y15" i="1"/>
  <c r="AF14" i="6"/>
  <c r="AG14" i="6"/>
  <c r="B34" i="6"/>
  <c r="B35" i="6" s="1"/>
  <c r="Z14" i="1"/>
  <c r="AA8" i="1"/>
  <c r="AA12" i="1" s="1"/>
  <c r="AD5" i="1"/>
  <c r="AC6" i="1"/>
  <c r="AB11" i="1"/>
  <c r="AB7" i="1"/>
  <c r="AB13" i="1" s="1"/>
  <c r="B36" i="6" l="1"/>
  <c r="C4" i="9"/>
  <c r="C15" i="9" s="1"/>
  <c r="AA15" i="1"/>
  <c r="AA14" i="1"/>
  <c r="AC7" i="1"/>
  <c r="AC13" i="1" s="1"/>
  <c r="AC11" i="1"/>
  <c r="AB8" i="1"/>
  <c r="AE5" i="1"/>
  <c r="AD6" i="1"/>
  <c r="AB12" i="1" l="1"/>
  <c r="AB15" i="1" s="1"/>
  <c r="C8" i="9"/>
  <c r="C16" i="9" s="1"/>
  <c r="AB14" i="1"/>
  <c r="AF5" i="1"/>
  <c r="AE6" i="1"/>
  <c r="AD11" i="1"/>
  <c r="AD7" i="1"/>
  <c r="AD13" i="1" s="1"/>
  <c r="AC8" i="1"/>
  <c r="AC12" i="1" s="1"/>
  <c r="AE11" i="1" l="1"/>
  <c r="AE7" i="1"/>
  <c r="AE13" i="1" s="1"/>
  <c r="AD8" i="1"/>
  <c r="AD12" i="1" s="1"/>
  <c r="AF6" i="1"/>
  <c r="AG5" i="1"/>
  <c r="AG6" i="1" s="1"/>
  <c r="AC14" i="1" l="1"/>
  <c r="AC15" i="1"/>
  <c r="AE8" i="1"/>
  <c r="AE12" i="1" s="1"/>
  <c r="AF11" i="1"/>
  <c r="AF7" i="1"/>
  <c r="AF13" i="1" s="1"/>
  <c r="AG11" i="1"/>
  <c r="B33" i="1" s="1"/>
  <c r="AG7" i="1"/>
  <c r="AG13" i="1" s="1"/>
  <c r="AD14" i="1" l="1"/>
  <c r="AD15" i="1"/>
  <c r="AE14" i="1"/>
  <c r="AE15" i="1"/>
  <c r="AG8" i="1"/>
  <c r="AF8" i="1"/>
  <c r="AG12" i="1" l="1"/>
  <c r="AG15" i="1" s="1"/>
  <c r="AF12" i="1"/>
  <c r="AF15" i="1" s="1"/>
  <c r="AG14" i="1"/>
  <c r="B34" i="1"/>
  <c r="B35" i="1" s="1"/>
  <c r="AF14" i="1"/>
  <c r="B29" i="1"/>
  <c r="B30" i="1" l="1"/>
  <c r="B5" i="9"/>
  <c r="E5" i="9" s="1"/>
  <c r="B36" i="1"/>
  <c r="C5" i="9"/>
  <c r="C9" i="9" s="1"/>
  <c r="B9" i="9" l="1"/>
  <c r="E9" i="9" s="1"/>
</calcChain>
</file>

<file path=xl/sharedStrings.xml><?xml version="1.0" encoding="utf-8"?>
<sst xmlns="http://schemas.openxmlformats.org/spreadsheetml/2006/main" count="288" uniqueCount="107">
  <si>
    <t>https://allete.blob.core.windows.net/allete/Documents/Sustainability/ALE-Sustainability-Report.pdf</t>
  </si>
  <si>
    <t>MWh</t>
  </si>
  <si>
    <t>Connected Load (NG offset)</t>
  </si>
  <si>
    <t>MMBtu</t>
  </si>
  <si>
    <t>Furnace/Boiler Eff</t>
  </si>
  <si>
    <t>HP Electricity</t>
  </si>
  <si>
    <t>Building Energy</t>
  </si>
  <si>
    <t>Natural Gas lbs CO2/MMBtu</t>
  </si>
  <si>
    <t>Baseline LP Energy</t>
  </si>
  <si>
    <t>Assumed Connected Enegy</t>
  </si>
  <si>
    <t>Natural Gas Metric Tons CO2</t>
  </si>
  <si>
    <t>District System w/ Heat Pumps</t>
  </si>
  <si>
    <t>District System HP Metric Tons CO2</t>
  </si>
  <si>
    <t>District System Pumping</t>
  </si>
  <si>
    <t>Lnkn Prk Natural Gas Consumption</t>
  </si>
  <si>
    <t>Percent Reduction</t>
  </si>
  <si>
    <t>Heat Pump COP</t>
  </si>
  <si>
    <t>Emissions Avoided</t>
  </si>
  <si>
    <t>DES HW Customer Metering</t>
  </si>
  <si>
    <t>DES Boiler/HW Efficiency</t>
  </si>
  <si>
    <t>CO2 Emissions</t>
  </si>
  <si>
    <t>Metric Tons</t>
  </si>
  <si>
    <t>DES HP COP</t>
  </si>
  <si>
    <t>DES HP</t>
  </si>
  <si>
    <t>DES Pumping</t>
  </si>
  <si>
    <t>DES Natural Gas Consumption</t>
  </si>
  <si>
    <t>DES w/ Heat Pumps</t>
  </si>
  <si>
    <t>DES Cumulative CO2 Emissions from 2025 to 2030 (Metric Tons)</t>
  </si>
  <si>
    <t>DES Cumulative CO2 Emissions from 2025 to 2050 (Metric Tons)</t>
  </si>
  <si>
    <t>Year</t>
  </si>
  <si>
    <t>Notes:</t>
  </si>
  <si>
    <t>DES HP CO2 Emissions</t>
  </si>
  <si>
    <t>DES Cumulative CO2 Emissions Avoided from 2025 to 2030 (Metric Tons)</t>
  </si>
  <si>
    <t>DES Cumulative CO2 Emissions Avoided from 2025 to 2050 (Metric Tons)</t>
  </si>
  <si>
    <t>Cumulative CO2 Emissions from 2025 to 2030 (Metric Tons)</t>
  </si>
  <si>
    <t>Cumulative CO2 Emissions from 2025 to 2050 (Metric Tons)</t>
  </si>
  <si>
    <t>DES HW Generation Nat Gas Input</t>
  </si>
  <si>
    <t>Lincoln Park - Every Building Connects</t>
  </si>
  <si>
    <t>Lincoln Park - Probable Connections</t>
  </si>
  <si>
    <t>DES - Full Downtown HW Load</t>
  </si>
  <si>
    <t>DES - Base Downtown HW Load</t>
  </si>
  <si>
    <t>Annual CO2 Percent Reduction</t>
  </si>
  <si>
    <t>%</t>
  </si>
  <si>
    <t>Annual CO2 Reduction</t>
  </si>
  <si>
    <t>Metric Tons CO2</t>
  </si>
  <si>
    <t>MNPower Renewable Reduction %</t>
  </si>
  <si>
    <t>MNPower Metric Tons per MWh</t>
  </si>
  <si>
    <t>2025-2030</t>
  </si>
  <si>
    <t>2025-2050</t>
  </si>
  <si>
    <t>Lincoln Park Full + DES Full</t>
  </si>
  <si>
    <t>Lincoln Park Connectable + DES Baseload</t>
  </si>
  <si>
    <t>Lincoln Park Connectable Load</t>
  </si>
  <si>
    <t>Metric Tons of CO2 Avoided</t>
  </si>
  <si>
    <t>CPRG Time Period</t>
  </si>
  <si>
    <t>DES HW Baseload</t>
  </si>
  <si>
    <t>DES HW Full</t>
  </si>
  <si>
    <t>District System Operational</t>
  </si>
  <si>
    <t>Operational 2027</t>
  </si>
  <si>
    <t>Operational 2028</t>
  </si>
  <si>
    <t>Operational 2029</t>
  </si>
  <si>
    <t>2030-2050</t>
  </si>
  <si>
    <t>Tons Carbon Avoided per kSF</t>
  </si>
  <si>
    <t>GSF</t>
  </si>
  <si>
    <t>Impact of Schedule Shift on Metric Tons of CO2 Avoided</t>
  </si>
  <si>
    <t>Lincoln Park - Full Load</t>
  </si>
  <si>
    <t>Lincoln Park - Connectable Load</t>
  </si>
  <si>
    <t xml:space="preserve">https://mn.gov/commerce/news/?id=17-563384#:~:text=The%20bill%20establishes%20a%20standard,for%20all%20electric%20utilities%20by </t>
  </si>
  <si>
    <t>Hydronic Pumps kWh/MMBtu</t>
  </si>
  <si>
    <t>lower number because system does not come online until 2028</t>
  </si>
  <si>
    <t>DuluthWWHR- Lincoln Park Connectable + DES Baseload</t>
  </si>
  <si>
    <t>DES Steam Water Makeup</t>
  </si>
  <si>
    <t>Sewer Lbs</t>
  </si>
  <si>
    <t>Cust ccf</t>
  </si>
  <si>
    <t>Cust Usage</t>
  </si>
  <si>
    <t>Sewer Cust</t>
  </si>
  <si>
    <t>Sewer Costs</t>
  </si>
  <si>
    <t>Water Bill</t>
  </si>
  <si>
    <t>Water Usage (ccf)</t>
  </si>
  <si>
    <t>Coverage</t>
  </si>
  <si>
    <t>gallons</t>
  </si>
  <si>
    <t>Hours</t>
  </si>
  <si>
    <t>Average GPM</t>
  </si>
  <si>
    <t>Average MMBtu/hr</t>
  </si>
  <si>
    <t>HDD</t>
  </si>
  <si>
    <t>HDD Adj.</t>
  </si>
  <si>
    <t>HDD Adj. MMBtu</t>
  </si>
  <si>
    <t>HDD Adj. Metric Tons CO2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</si>
  <si>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</si>
  <si>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</si>
  <si>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</si>
  <si>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</si>
  <si>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</si>
  <si>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</si>
  <si>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</si>
  <si>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</si>
  <si>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</si>
  <si>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</si>
  <si>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</si>
  <si>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</si>
  <si>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Total</t>
  </si>
  <si>
    <t>Steam Makeup (HW Removed)</t>
  </si>
  <si>
    <t xml:space="preserve">Raise makeup water temperature by </t>
  </si>
  <si>
    <t>°F</t>
  </si>
  <si>
    <t>Boiler Eff</t>
  </si>
  <si>
    <t>Lbs CO2 per MMBtu</t>
  </si>
  <si>
    <t>* Basis of DuluthWWHR Application</t>
  </si>
  <si>
    <t>*includes preheat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</si>
</sst>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(* #,##0.00_);_(* \(#,##0.00\);_(* &quot;-&quot;??_);_(@_)"/>
    <numFmt numFmtId="164" formatCode="0.0%"/>
    <numFmt numFmtId="165" formatCode="0.000"/>
    <numFmt numFmtId="166" formatCode="#,##0.0"/>
    <numFmt numFmtId="167" formatCode="&quot;$&quot;#,##0.00"/>
    <numFmt numFmtId="168" formatCode="_(* #,##0_);_(* \(#,##0\);_(* &quot;-&quot;??_);_(@_)"/>
    <numFmt numFmtId="169" formatCode="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u/>
      <sz val="8"/>
      <color theme="10"/>
      <name val="Calibri"/>
      <family val="2"/>
      <scheme val="minor"/>
    </font>
    <font>
      <sz val="8"/>
      <color theme="1"/>
      <name val="Calibri"/>
      <family val="2"/>
      <scheme val="minor"/>
    </font>
    <font>
      <i/>
      <u/>
      <sz val="8"/>
      <color theme="10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rgb="FF538135"/>
      <name val="Calibri"/>
      <family val="2"/>
      <scheme val="minor"/>
    </font>
    <font>
      <sz val="11"/>
      <color rgb="FF000000"/>
      <name val="Calibri"/>
      <family val="2"/>
      <scheme val="minor"/>
    </font>
    <font>
      <sz val="14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CEEE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rgb="FF70B744"/>
      </bottom>
      <diagonal/>
    </border>
    <border>
      <left/>
      <right/>
      <top/>
      <bottom style="thin">
        <color rgb="FFB8BABC"/>
      </bottom>
      <diagonal/>
    </border>
    <border>
      <left/>
      <right/>
      <top style="thin">
        <color rgb="FFB8BABC"/>
      </top>
      <bottom style="thin">
        <color rgb="FFB8BABC"/>
      </bottom>
      <diagonal/>
    </border>
    <border>
      <left style="thin">
        <color rgb="FF000000"/>
      </left>
      <right/>
      <top/>
      <bottom/>
      <diagonal/>
    </border>
    <border>
      <left/>
      <right style="thick">
        <color rgb="FF70B744"/>
      </right>
      <top/>
      <bottom style="thin">
        <color rgb="FFB8BABC"/>
      </bottom>
      <diagonal/>
    </border>
    <border>
      <left/>
      <right style="thick">
        <color rgb="FF70B744"/>
      </right>
      <top/>
      <bottom/>
      <diagonal/>
    </border>
    <border>
      <left/>
      <right style="thick">
        <color rgb="FF70B744"/>
      </right>
      <top/>
      <bottom style="thick">
        <color rgb="FF70B744"/>
      </bottom>
      <diagonal/>
    </border>
    <border>
      <left/>
      <right style="thick">
        <color rgb="FF70B744"/>
      </right>
      <top style="thin">
        <color rgb="FFB8BABC"/>
      </top>
      <bottom style="thin">
        <color rgb="FFB8BABC"/>
      </bottom>
      <diagonal/>
    </border>
    <border>
      <left style="thick">
        <color rgb="FF70B744"/>
      </left>
      <right/>
      <top/>
      <bottom/>
      <diagonal/>
    </border>
    <border>
      <left style="thick">
        <color rgb="FF70B744"/>
      </left>
      <right/>
      <top/>
      <bottom style="thick">
        <color rgb="FF70B744"/>
      </bottom>
      <diagonal/>
    </border>
    <border>
      <left style="thick">
        <color rgb="FF70B744"/>
      </left>
      <right/>
      <top/>
      <bottom style="thin">
        <color rgb="FFB8BABC"/>
      </bottom>
      <diagonal/>
    </border>
    <border>
      <left style="thick">
        <color rgb="FF70B744"/>
      </left>
      <right/>
      <top style="thin">
        <color rgb="FFB8BABC"/>
      </top>
      <bottom style="thin">
        <color rgb="FFB8BAB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91">
    <xf numFmtId="0" fontId="0" fillId="0" borderId="0" xfId="0"/>
    <xf numFmtId="9" fontId="0" fillId="0" borderId="0" xfId="0" applyNumberFormat="1"/>
    <xf numFmtId="164" fontId="0" fillId="0" borderId="0" xfId="0" applyNumberFormat="1"/>
    <xf numFmtId="165" fontId="0" fillId="0" borderId="0" xfId="0" applyNumberFormat="1"/>
    <xf numFmtId="9" fontId="0" fillId="0" borderId="0" xfId="1" applyFont="1"/>
    <xf numFmtId="0" fontId="2" fillId="0" borderId="0" xfId="0" applyFont="1"/>
    <xf numFmtId="9" fontId="2" fillId="0" borderId="0" xfId="0" applyNumberFormat="1" applyFont="1"/>
    <xf numFmtId="1" fontId="0" fillId="0" borderId="0" xfId="0" applyNumberFormat="1"/>
    <xf numFmtId="3" fontId="0" fillId="0" borderId="0" xfId="0" applyNumberFormat="1"/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3" fontId="0" fillId="0" borderId="1" xfId="0" applyNumberFormat="1" applyBorder="1"/>
    <xf numFmtId="0" fontId="0" fillId="0" borderId="0" xfId="0" applyBorder="1" applyAlignment="1">
      <alignment horizontal="left"/>
    </xf>
    <xf numFmtId="0" fontId="0" fillId="0" borderId="0" xfId="0" applyBorder="1"/>
    <xf numFmtId="3" fontId="0" fillId="0" borderId="0" xfId="0" applyNumberFormat="1" applyBorder="1"/>
    <xf numFmtId="0" fontId="2" fillId="2" borderId="0" xfId="0" applyFont="1" applyFill="1"/>
    <xf numFmtId="165" fontId="2" fillId="2" borderId="0" xfId="0" applyNumberFormat="1" applyFont="1" applyFill="1"/>
    <xf numFmtId="0" fontId="4" fillId="0" borderId="0" xfId="0" applyFont="1" applyAlignment="1">
      <alignment horizontal="left"/>
    </xf>
    <xf numFmtId="0" fontId="5" fillId="0" borderId="0" xfId="0" applyFont="1"/>
    <xf numFmtId="9" fontId="5" fillId="0" borderId="0" xfId="0" applyNumberFormat="1" applyFont="1"/>
    <xf numFmtId="0" fontId="6" fillId="0" borderId="0" xfId="2" applyFont="1"/>
    <xf numFmtId="0" fontId="7" fillId="0" borderId="0" xfId="0" applyFont="1"/>
    <xf numFmtId="0" fontId="8" fillId="0" borderId="0" xfId="2" applyFont="1"/>
    <xf numFmtId="0" fontId="4" fillId="0" borderId="0" xfId="0" applyFont="1"/>
    <xf numFmtId="0" fontId="9" fillId="0" borderId="0" xfId="0" applyFont="1"/>
    <xf numFmtId="0" fontId="10" fillId="3" borderId="0" xfId="0" applyFont="1" applyFill="1" applyBorder="1" applyAlignment="1">
      <alignment wrapText="1"/>
    </xf>
    <xf numFmtId="0" fontId="11" fillId="3" borderId="2" xfId="0" applyFont="1" applyFill="1" applyBorder="1" applyAlignment="1">
      <alignment horizontal="right" wrapText="1"/>
    </xf>
    <xf numFmtId="0" fontId="11" fillId="3" borderId="3" xfId="0" applyFont="1" applyFill="1" applyBorder="1" applyAlignment="1">
      <alignment vertical="center" wrapText="1"/>
    </xf>
    <xf numFmtId="0" fontId="11" fillId="3" borderId="4" xfId="0" applyFont="1" applyFill="1" applyBorder="1" applyAlignment="1">
      <alignment vertical="center" wrapText="1"/>
    </xf>
    <xf numFmtId="3" fontId="11" fillId="3" borderId="3" xfId="0" applyNumberFormat="1" applyFont="1" applyFill="1" applyBorder="1" applyAlignment="1">
      <alignment horizontal="right" vertical="center" wrapText="1"/>
    </xf>
    <xf numFmtId="3" fontId="11" fillId="3" borderId="4" xfId="0" applyNumberFormat="1" applyFont="1" applyFill="1" applyBorder="1" applyAlignment="1">
      <alignment horizontal="right" vertical="center" wrapText="1"/>
    </xf>
    <xf numFmtId="3" fontId="1" fillId="3" borderId="4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11" fillId="3" borderId="8" xfId="0" applyFont="1" applyFill="1" applyBorder="1" applyAlignment="1">
      <alignment horizontal="right" wrapText="1"/>
    </xf>
    <xf numFmtId="3" fontId="11" fillId="3" borderId="6" xfId="0" applyNumberFormat="1" applyFont="1" applyFill="1" applyBorder="1" applyAlignment="1">
      <alignment horizontal="right" vertical="center" wrapText="1"/>
    </xf>
    <xf numFmtId="0" fontId="11" fillId="3" borderId="11" xfId="0" applyFont="1" applyFill="1" applyBorder="1" applyAlignment="1">
      <alignment horizontal="right" wrapText="1"/>
    </xf>
    <xf numFmtId="3" fontId="11" fillId="3" borderId="12" xfId="0" applyNumberFormat="1" applyFont="1" applyFill="1" applyBorder="1" applyAlignment="1">
      <alignment horizontal="right" vertical="center" wrapText="1"/>
    </xf>
    <xf numFmtId="0" fontId="0" fillId="3" borderId="0" xfId="0" applyFill="1"/>
    <xf numFmtId="0" fontId="11" fillId="3" borderId="0" xfId="0" applyFont="1" applyFill="1" applyBorder="1" applyAlignment="1">
      <alignment vertical="center" wrapText="1"/>
    </xf>
    <xf numFmtId="0" fontId="11" fillId="3" borderId="0" xfId="0" applyFont="1" applyFill="1" applyBorder="1" applyAlignment="1">
      <alignment horizontal="right" wrapText="1"/>
    </xf>
    <xf numFmtId="3" fontId="11" fillId="3" borderId="0" xfId="0" applyNumberFormat="1" applyFont="1" applyFill="1" applyBorder="1" applyAlignment="1">
      <alignment horizontal="right" vertical="center" wrapText="1"/>
    </xf>
    <xf numFmtId="3" fontId="1" fillId="3" borderId="0" xfId="0" applyNumberFormat="1" applyFont="1" applyFill="1" applyBorder="1" applyAlignment="1">
      <alignment horizontal="right" vertical="center" wrapText="1"/>
    </xf>
    <xf numFmtId="9" fontId="0" fillId="0" borderId="0" xfId="1" applyFont="1" applyBorder="1"/>
    <xf numFmtId="0" fontId="11" fillId="3" borderId="2" xfId="0" applyFont="1" applyFill="1" applyBorder="1" applyAlignment="1">
      <alignment horizontal="center" wrapText="1"/>
    </xf>
    <xf numFmtId="166" fontId="11" fillId="3" borderId="3" xfId="0" applyNumberFormat="1" applyFont="1" applyFill="1" applyBorder="1" applyAlignment="1">
      <alignment horizontal="center" vertical="center" wrapText="1"/>
    </xf>
    <xf numFmtId="166" fontId="1" fillId="3" borderId="4" xfId="0" applyNumberFormat="1" applyFont="1" applyFill="1" applyBorder="1" applyAlignment="1">
      <alignment horizontal="center" vertical="center" wrapText="1"/>
    </xf>
    <xf numFmtId="9" fontId="2" fillId="0" borderId="0" xfId="1" applyFont="1"/>
    <xf numFmtId="0" fontId="0" fillId="5" borderId="0" xfId="0" applyFill="1"/>
    <xf numFmtId="165" fontId="0" fillId="5" borderId="0" xfId="0" applyNumberFormat="1" applyFill="1"/>
    <xf numFmtId="10" fontId="0" fillId="0" borderId="0" xfId="0" applyNumberFormat="1"/>
    <xf numFmtId="164" fontId="0" fillId="5" borderId="0" xfId="0" applyNumberFormat="1" applyFill="1"/>
    <xf numFmtId="9" fontId="2" fillId="5" borderId="0" xfId="0" applyNumberFormat="1" applyFont="1" applyFill="1"/>
    <xf numFmtId="0" fontId="0" fillId="6" borderId="0" xfId="0" applyFill="1"/>
    <xf numFmtId="9" fontId="0" fillId="6" borderId="0" xfId="1" applyFont="1" applyFill="1"/>
    <xf numFmtId="0" fontId="11" fillId="6" borderId="4" xfId="0" applyFont="1" applyFill="1" applyBorder="1" applyAlignment="1">
      <alignment vertical="center" wrapText="1"/>
    </xf>
    <xf numFmtId="3" fontId="11" fillId="6" borderId="4" xfId="0" applyNumberFormat="1" applyFont="1" applyFill="1" applyBorder="1" applyAlignment="1">
      <alignment horizontal="right" vertical="center" wrapText="1"/>
    </xf>
    <xf numFmtId="3" fontId="1" fillId="6" borderId="4" xfId="0" applyNumberFormat="1" applyFont="1" applyFill="1" applyBorder="1" applyAlignment="1">
      <alignment horizontal="right" vertical="center" wrapText="1"/>
    </xf>
    <xf numFmtId="166" fontId="1" fillId="6" borderId="4" xfId="0" applyNumberFormat="1" applyFont="1" applyFill="1" applyBorder="1" applyAlignment="1">
      <alignment horizontal="center" vertical="center" wrapText="1"/>
    </xf>
    <xf numFmtId="3" fontId="1" fillId="6" borderId="9" xfId="0" applyNumberFormat="1" applyFont="1" applyFill="1" applyBorder="1" applyAlignment="1">
      <alignment horizontal="right" vertical="center" wrapText="1"/>
    </xf>
    <xf numFmtId="3" fontId="11" fillId="6" borderId="13" xfId="0" applyNumberFormat="1" applyFont="1" applyFill="1" applyBorder="1" applyAlignment="1">
      <alignment horizontal="right" vertical="center" wrapText="1"/>
    </xf>
    <xf numFmtId="0" fontId="13" fillId="6" borderId="4" xfId="0" applyFont="1" applyFill="1" applyBorder="1" applyAlignment="1">
      <alignment vertical="center" wrapText="1"/>
    </xf>
    <xf numFmtId="0" fontId="14" fillId="0" borderId="0" xfId="0" applyFont="1"/>
    <xf numFmtId="0" fontId="14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0" fillId="0" borderId="14" xfId="0" applyBorder="1"/>
    <xf numFmtId="3" fontId="0" fillId="0" borderId="14" xfId="0" applyNumberFormat="1" applyBorder="1"/>
    <xf numFmtId="9" fontId="0" fillId="0" borderId="14" xfId="0" applyNumberFormat="1" applyBorder="1"/>
    <xf numFmtId="167" fontId="0" fillId="0" borderId="14" xfId="0" applyNumberFormat="1" applyBorder="1"/>
    <xf numFmtId="168" fontId="0" fillId="0" borderId="0" xfId="3" applyNumberFormat="1" applyFont="1"/>
    <xf numFmtId="169" fontId="0" fillId="0" borderId="0" xfId="0" applyNumberFormat="1"/>
    <xf numFmtId="168" fontId="0" fillId="0" borderId="0" xfId="0" applyNumberFormat="1"/>
    <xf numFmtId="3" fontId="0" fillId="0" borderId="0" xfId="0" applyNumberFormat="1" applyBorder="1" applyAlignment="1">
      <alignment horizontal="center"/>
    </xf>
    <xf numFmtId="167" fontId="0" fillId="0" borderId="0" xfId="0" applyNumberFormat="1"/>
    <xf numFmtId="168" fontId="14" fillId="0" borderId="0" xfId="3" applyNumberFormat="1" applyFont="1"/>
    <xf numFmtId="168" fontId="2" fillId="0" borderId="0" xfId="0" applyNumberFormat="1" applyFont="1"/>
    <xf numFmtId="0" fontId="5" fillId="0" borderId="0" xfId="0" applyFont="1" applyAlignment="1">
      <alignment horizontal="left"/>
    </xf>
    <xf numFmtId="43" fontId="0" fillId="0" borderId="0" xfId="0" applyNumberFormat="1"/>
    <xf numFmtId="0" fontId="15" fillId="0" borderId="0" xfId="0" applyFont="1" applyFill="1" applyAlignment="1">
      <alignment horizontal="left"/>
    </xf>
    <xf numFmtId="0" fontId="15" fillId="0" borderId="0" xfId="0" applyFont="1" applyFill="1"/>
    <xf numFmtId="3" fontId="15" fillId="0" borderId="0" xfId="0" applyNumberFormat="1" applyFont="1" applyFill="1"/>
    <xf numFmtId="0" fontId="0" fillId="0" borderId="0" xfId="0" applyFill="1"/>
    <xf numFmtId="0" fontId="12" fillId="3" borderId="5" xfId="0" applyFont="1" applyFill="1" applyBorder="1" applyAlignment="1">
      <alignment horizontal="center" vertical="center" wrapText="1"/>
    </xf>
    <xf numFmtId="0" fontId="12" fillId="3" borderId="0" xfId="0" applyFont="1" applyFill="1" applyBorder="1" applyAlignment="1">
      <alignment horizontal="center" vertical="center" wrapText="1"/>
    </xf>
    <xf numFmtId="0" fontId="11" fillId="4" borderId="0" xfId="0" applyFont="1" applyFill="1" applyBorder="1" applyAlignment="1" applyProtection="1">
      <alignment horizontal="center" vertical="center" wrapText="1"/>
      <protection locked="0"/>
    </xf>
    <xf numFmtId="0" fontId="11" fillId="3" borderId="0" xfId="0" applyFont="1" applyFill="1" applyBorder="1" applyAlignment="1" applyProtection="1">
      <alignment horizontal="center" vertical="center" wrapText="1"/>
      <protection locked="0"/>
    </xf>
    <xf numFmtId="0" fontId="11" fillId="3" borderId="10" xfId="0" applyFont="1" applyFill="1" applyBorder="1" applyAlignment="1" applyProtection="1">
      <alignment horizontal="center" vertical="center" wrapText="1"/>
      <protection locked="0"/>
    </xf>
    <xf numFmtId="0" fontId="11" fillId="3" borderId="7" xfId="0" applyFont="1" applyFill="1" applyBorder="1" applyAlignment="1" applyProtection="1">
      <alignment horizontal="center" vertical="center" wrapText="1"/>
      <protection locked="0"/>
    </xf>
    <xf numFmtId="0" fontId="0" fillId="3" borderId="10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0" xfId="0" applyFill="1" applyAlignment="1">
      <alignment horizontal="center"/>
    </xf>
  </cellXfs>
  <cellStyles count="4">
    <cellStyle name="Comma" xfId="3" builtinId="3"/>
    <cellStyle name="Hyperlink" xfId="2" builtinId="8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0070A2"/>
      <color rgb="FF70B74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Measure 1 - CO2</a:t>
            </a:r>
            <a:r>
              <a:rPr lang="en-US" baseline="0"/>
              <a:t> Emission Avoided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Summary!$B$3</c:f>
              <c:strCache>
                <c:ptCount val="1"/>
                <c:pt idx="0">
                  <c:v>2025-2030</c:v>
                </c:pt>
              </c:strCache>
            </c:strRef>
          </c:tx>
          <c:spPr>
            <a:solidFill>
              <a:srgbClr val="70B74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Summary!$A$4:$A$9</c:f>
              <c:strCache>
                <c:ptCount val="6"/>
                <c:pt idx="0">
                  <c:v>Lincoln Park - Connectable Load</c:v>
                </c:pt>
                <c:pt idx="1">
                  <c:v>Lincoln Park - Full Load</c:v>
                </c:pt>
                <c:pt idx="2">
                  <c:v>DES HW Baseload</c:v>
                </c:pt>
                <c:pt idx="3">
                  <c:v>DES HW Full</c:v>
                </c:pt>
                <c:pt idx="4">
                  <c:v>DuluthWWHR- Lincoln Park Connectable + DES Baseload</c:v>
                </c:pt>
                <c:pt idx="5">
                  <c:v>Lincoln Park Full + DES Full</c:v>
                </c:pt>
              </c:strCache>
            </c:strRef>
          </c:cat>
          <c:val>
            <c:numRef>
              <c:f>Summary!$B$4:$B$9</c:f>
              <c:numCache>
                <c:formatCode>#,##0</c:formatCode>
                <c:ptCount val="6"/>
                <c:pt idx="0">
                  <c:v>6442.8802579882231</c:v>
                </c:pt>
                <c:pt idx="1">
                  <c:v>12885.760515976446</c:v>
                </c:pt>
                <c:pt idx="2">
                  <c:v>10417.721707472887</c:v>
                </c:pt>
                <c:pt idx="3">
                  <c:v>12729.94273573938</c:v>
                </c:pt>
                <c:pt idx="4">
                  <c:v>16860.601965461108</c:v>
                </c:pt>
                <c:pt idx="5">
                  <c:v>25615.703251715826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6C-46CA-A78A-37B5887584DB}"/>
            </c:ext>
          </c:extLst>
        </c:ser>
        <c:ser>
          <c:idx val="1"/>
          <c:order val="1"/>
          <c:tx>
            <c:strRef>
              <c:f>Summary!$C$3</c:f>
              <c:strCache>
                <c:ptCount val="1"/>
                <c:pt idx="0">
                  <c:v>2025-2050</c:v>
                </c:pt>
              </c:strCache>
            </c:strRef>
          </c:tx>
          <c:spPr>
            <a:solidFill>
              <a:srgbClr val="0070A2"/>
            </a:solidFill>
            <a:ln>
              <a:noFill/>
            </a:ln>
            <a:effectLst/>
          </c:spPr>
          <c:invertIfNegative val="0"/>
          <c:dPt>
            <c:idx val="4"/>
            <c:invertIfNegative val="0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0-46CF-4982-9C12-69A62266201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Summary!$A$4:$A$9</c:f>
              <c:strCache>
                <c:ptCount val="6"/>
                <c:pt idx="0">
                  <c:v>Lincoln Park - Connectable Load</c:v>
                </c:pt>
                <c:pt idx="1">
                  <c:v>Lincoln Park - Full Load</c:v>
                </c:pt>
                <c:pt idx="2">
                  <c:v>DES HW Baseload</c:v>
                </c:pt>
                <c:pt idx="3">
                  <c:v>DES HW Full</c:v>
                </c:pt>
                <c:pt idx="4">
                  <c:v>DuluthWWHR- Lincoln Park Connectable + DES Baseload</c:v>
                </c:pt>
                <c:pt idx="5">
                  <c:v>Lincoln Park Full + DES Full</c:v>
                </c:pt>
              </c:strCache>
            </c:strRef>
          </c:cat>
          <c:val>
            <c:numRef>
              <c:f>Summary!$C$4:$C$9</c:f>
              <c:numCache>
                <c:formatCode>#,##0</c:formatCode>
                <c:ptCount val="6"/>
                <c:pt idx="0">
                  <c:v>67451.548024051241</c:v>
                </c:pt>
                <c:pt idx="1">
                  <c:v>134903.09604810248</c:v>
                </c:pt>
                <c:pt idx="2">
                  <c:v>109064.80144211506</c:v>
                </c:pt>
                <c:pt idx="3">
                  <c:v>128539.19700737606</c:v>
                </c:pt>
                <c:pt idx="4">
                  <c:v>176516.34946616628</c:v>
                </c:pt>
                <c:pt idx="5">
                  <c:v>263442.29305547854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86C-46CA-A78A-37B5887584DB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917189344"/>
        <c:axId val="917191312"/>
      </c:barChart>
      <c:catAx>
        <c:axId val="917189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7191312"/>
        <c:crosses val="autoZero"/>
        <c:auto val="1"/>
        <c:lblAlgn val="ctr"/>
        <c:lblOffset val="100"/>
        <c:noMultiLvlLbl val="0"/>
      </c:catAx>
      <c:valAx>
        <c:axId val="917191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Metric Tons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7189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Impact of District</a:t>
            </a:r>
            <a:r>
              <a:rPr lang="en-US" baseline="0"/>
              <a:t> System Startup on </a:t>
            </a:r>
            <a:r>
              <a:rPr lang="en-US"/>
              <a:t>CO2 Emissions</a:t>
            </a:r>
            <a:r>
              <a:rPr lang="en-US" baseline="0"/>
              <a:t> Avoided</a:t>
            </a:r>
            <a:endParaRPr lang="en-US"/>
          </a:p>
        </c:rich>
      </c:tx>
      <c:layout>
        <c:manualLayout>
          <c:xMode val="edge"/>
          <c:yMode val="edge"/>
          <c:x val="0.33778797438103431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Summary!$A$33</c:f>
              <c:strCache>
                <c:ptCount val="1"/>
                <c:pt idx="0">
                  <c:v>2025-2030</c:v>
                </c:pt>
              </c:strCache>
            </c:strRef>
          </c:tx>
          <c:spPr>
            <a:solidFill>
              <a:srgbClr val="70B744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multiLvlStrRef>
              <c:f>Summary!$B$31:$G$32</c:f>
              <c:multiLvlStrCache>
                <c:ptCount val="6"/>
                <c:lvl>
                  <c:pt idx="0">
                    <c:v>Lincoln Park Connectable Load</c:v>
                  </c:pt>
                  <c:pt idx="1">
                    <c:v>Lincoln Park Connectable + DES Baseload</c:v>
                  </c:pt>
                  <c:pt idx="2">
                    <c:v>Lincoln Park Connectable Load</c:v>
                  </c:pt>
                  <c:pt idx="3">
                    <c:v>Lincoln Park Connectable + DES Baseload</c:v>
                  </c:pt>
                  <c:pt idx="4">
                    <c:v>Lincoln Park Connectable Load</c:v>
                  </c:pt>
                  <c:pt idx="5">
                    <c:v>Lincoln Park Connectable + DES Baseload</c:v>
                  </c:pt>
                </c:lvl>
                <c:lvl>
                  <c:pt idx="0">
                    <c:v>Operational 2027</c:v>
                  </c:pt>
                  <c:pt idx="2">
                    <c:v>Operational 2028</c:v>
                  </c:pt>
                  <c:pt idx="4">
                    <c:v>Operational 2029</c:v>
                  </c:pt>
                </c:lvl>
              </c:multiLvlStrCache>
            </c:multiLvlStrRef>
          </c:cat>
          <c:val>
            <c:numRef>
              <c:f>Summary!$B$33:$G$33</c:f>
              <c:numCache>
                <c:formatCode>#,##0</c:formatCode>
                <c:ptCount val="6"/>
                <c:pt idx="0">
                  <c:v>8400</c:v>
                </c:pt>
                <c:pt idx="1">
                  <c:v>22200</c:v>
                </c:pt>
                <c:pt idx="2">
                  <c:v>6400</c:v>
                </c:pt>
                <c:pt idx="3">
                  <c:v>16900</c:v>
                </c:pt>
                <c:pt idx="4">
                  <c:v>4400</c:v>
                </c:pt>
                <c:pt idx="5">
                  <c:v>11600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57-4AAA-9F28-DF30C8E3D9A5}"/>
            </c:ext>
          </c:extLst>
        </c:ser>
        <c:ser>
          <c:idx val="1"/>
          <c:order val="1"/>
          <c:tx>
            <c:strRef>
              <c:f>Summary!$A$34</c:f>
              <c:strCache>
                <c:ptCount val="1"/>
                <c:pt idx="0">
                  <c:v>2030-2050</c:v>
                </c:pt>
              </c:strCache>
            </c:strRef>
          </c:tx>
          <c:spPr>
            <a:solidFill>
              <a:srgbClr val="0070A2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0"/>
                  <c:y val="-0.14287018201834789"/>
                </c:manualLayout>
              </c:layout>
              <c:tx>
                <c:rich>
                  <a:bodyPr/>
                  <a:lstStyle/>
                  <a:p>
                    <a:fld id="{01B26EC7-7155-4D05-9FD5-CEB0697AAD0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88D2-4010-898D-C3D2E37DFE5E}"/>
                </c:ext>
              </c:extLst>
            </c:dLbl>
            <c:dLbl>
              <c:idx val="1"/>
              <c:layout>
                <c:manualLayout>
                  <c:x val="-2.2988505747126436E-3"/>
                  <c:y val="-0.29026903157500861"/>
                </c:manualLayout>
              </c:layout>
              <c:tx>
                <c:rich>
                  <a:bodyPr/>
                  <a:lstStyle/>
                  <a:p>
                    <a:fld id="{DF1FF684-A6A1-412A-82FA-E4094BA6085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88D2-4010-898D-C3D2E37DFE5E}"/>
                </c:ext>
              </c:extLst>
            </c:dLbl>
            <c:dLbl>
              <c:idx val="2"/>
              <c:layout>
                <c:manualLayout>
                  <c:x val="0"/>
                  <c:y val="-0.14561705744754716"/>
                </c:manualLayout>
              </c:layout>
              <c:tx>
                <c:rich>
                  <a:bodyPr/>
                  <a:lstStyle/>
                  <a:p>
                    <a:fld id="{77C9ABB8-436F-43C6-882C-74D45068DF0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88D2-4010-898D-C3D2E37DFE5E}"/>
                </c:ext>
              </c:extLst>
            </c:dLbl>
            <c:dLbl>
              <c:idx val="3"/>
              <c:layout>
                <c:manualLayout>
                  <c:x val="7.0100837577856003E-17"/>
                  <c:y val="-0.300968449940127"/>
                </c:manualLayout>
              </c:layout>
              <c:tx>
                <c:rich>
                  <a:bodyPr/>
                  <a:lstStyle/>
                  <a:p>
                    <a:fld id="{D9F0921A-2639-4FF6-8107-17BCF5F2652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88D2-4010-898D-C3D2E37DFE5E}"/>
                </c:ext>
              </c:extLst>
            </c:dLbl>
            <c:dLbl>
              <c:idx val="4"/>
              <c:layout>
                <c:manualLayout>
                  <c:x val="-1.6858042802343716E-16"/>
                  <c:y val="-0.14287018201834784"/>
                </c:manualLayout>
              </c:layout>
              <c:tx>
                <c:rich>
                  <a:bodyPr/>
                  <a:lstStyle/>
                  <a:p>
                    <a:fld id="{F2AFCE8A-6D2E-4921-9FD6-F50CEAE5CC7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88D2-4010-898D-C3D2E37DFE5E}"/>
                </c:ext>
              </c:extLst>
            </c:dLbl>
            <c:dLbl>
              <c:idx val="5"/>
              <c:layout>
                <c:manualLayout>
                  <c:x val="0"/>
                  <c:y val="-0.29301590700420793"/>
                </c:manualLayout>
              </c:layout>
              <c:tx>
                <c:rich>
                  <a:bodyPr/>
                  <a:lstStyle/>
                  <a:p>
                    <a:fld id="{6F3C658E-71D1-4F6B-8781-A3D95175A40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88D2-4010-898D-C3D2E37DFE5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multiLvlStrRef>
              <c:f>Summary!$B$31:$G$32</c:f>
              <c:multiLvlStrCache>
                <c:ptCount val="6"/>
                <c:lvl>
                  <c:pt idx="0">
                    <c:v>Lincoln Park Connectable Load</c:v>
                  </c:pt>
                  <c:pt idx="1">
                    <c:v>Lincoln Park Connectable + DES Baseload</c:v>
                  </c:pt>
                  <c:pt idx="2">
                    <c:v>Lincoln Park Connectable Load</c:v>
                  </c:pt>
                  <c:pt idx="3">
                    <c:v>Lincoln Park Connectable + DES Baseload</c:v>
                  </c:pt>
                  <c:pt idx="4">
                    <c:v>Lincoln Park Connectable Load</c:v>
                  </c:pt>
                  <c:pt idx="5">
                    <c:v>Lincoln Park Connectable + DES Baseload</c:v>
                  </c:pt>
                </c:lvl>
                <c:lvl>
                  <c:pt idx="0">
                    <c:v>Operational 2027</c:v>
                  </c:pt>
                  <c:pt idx="2">
                    <c:v>Operational 2028</c:v>
                  </c:pt>
                  <c:pt idx="4">
                    <c:v>Operational 2029</c:v>
                  </c:pt>
                </c:lvl>
              </c:multiLvlStrCache>
            </c:multiLvlStrRef>
          </c:cat>
          <c:val>
            <c:numRef>
              <c:f>Summary!$B$34:$G$34</c:f>
              <c:numCache>
                <c:formatCode>#,##0</c:formatCode>
                <c:ptCount val="6"/>
                <c:pt idx="0">
                  <c:v>60600</c:v>
                </c:pt>
                <c:pt idx="1">
                  <c:v>133800</c:v>
                </c:pt>
                <c:pt idx="2">
                  <c:v>60600</c:v>
                </c:pt>
                <c:pt idx="3">
                  <c:v>160100</c:v>
                </c:pt>
                <c:pt idx="4">
                  <c:v>60600</c:v>
                </c:pt>
                <c:pt idx="5">
                  <c:v>160100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Summary!$B$37:$G$37</c15:f>
                <c15:dlblRangeCache>
                  <c:ptCount val="6"/>
                  <c:pt idx="0">
                    <c:v>69,000</c:v>
                  </c:pt>
                  <c:pt idx="1">
                    <c:v>156,000</c:v>
                  </c:pt>
                  <c:pt idx="2">
                    <c:v>67,000</c:v>
                  </c:pt>
                  <c:pt idx="3">
                    <c:v>177,000</c:v>
                  </c:pt>
                  <c:pt idx="4">
                    <c:v>65,000</c:v>
                  </c:pt>
                  <c:pt idx="5">
                    <c:v>172,000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1-F657-4AAA-9F28-DF30C8E3D9A5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1197948856"/>
        <c:axId val="1197951152"/>
      </c:barChart>
      <c:catAx>
        <c:axId val="1197948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7951152"/>
        <c:crosses val="autoZero"/>
        <c:auto val="1"/>
        <c:lblAlgn val="ctr"/>
        <c:lblOffset val="100"/>
        <c:noMultiLvlLbl val="0"/>
      </c:catAx>
      <c:valAx>
        <c:axId val="1197951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Metric</a:t>
                </a:r>
                <a:r>
                  <a:rPr lang="en-US" baseline="0"/>
                  <a:t> Tons of CO2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7948856"/>
        <c:crosses val="autoZero"/>
        <c:crossBetween val="between"/>
        <c:majorUnit val="100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81915</xdr:colOff>
      <xdr:row>0</xdr:row>
      <xdr:rowOff>62866</xdr:rowOff>
    </xdr:from>
    <xdr:to>
      <xdr:col>19</xdr:col>
      <xdr:colOff>129540</xdr:colOff>
      <xdr:row>19</xdr:row>
      <xdr:rowOff>123826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34F8685-478B-4181-99A5-B5D56F4B498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657224</xdr:colOff>
      <xdr:row>29</xdr:row>
      <xdr:rowOff>7620</xdr:rowOff>
    </xdr:from>
    <xdr:to>
      <xdr:col>7</xdr:col>
      <xdr:colOff>51434</xdr:colOff>
      <xdr:row>50</xdr:row>
      <xdr:rowOff>158115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0F62050-CA0B-4FDF-ADE6-E78F56EB74D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mn.gov/commerce/news/?id=17-563384" TargetMode="External"/><Relationship Id="rId1" Type="http://schemas.openxmlformats.org/officeDocument/2006/relationships/hyperlink" Target="https://allete.blob.core.windows.net/allete/Documents/Sustainability/ALE-Sustainability-Report.pdf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mn.gov/commerce/news/?id=17-563384" TargetMode="External"/><Relationship Id="rId1" Type="http://schemas.openxmlformats.org/officeDocument/2006/relationships/hyperlink" Target="https://allete.blob.core.windows.net/allete/Documents/Sustainability/ALE-Sustainability-Report.pdf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mn.gov/commerce/news/?id=17-563384" TargetMode="External"/><Relationship Id="rId1" Type="http://schemas.openxmlformats.org/officeDocument/2006/relationships/hyperlink" Target="https://allete.blob.core.windows.net/allete/Documents/Sustainability/ALE-Sustainability-Report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s://mn.gov/commerce/news/?id=17-563384" TargetMode="External"/><Relationship Id="rId1" Type="http://schemas.openxmlformats.org/officeDocument/2006/relationships/hyperlink" Target="https://allete.blob.core.windows.net/allete/Documents/Sustainability/ALE-Sustainability-Report.pdf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8D81A1-DC37-45F6-8F7E-D0BBE8566670}">
  <dimension ref="A1:AG36"/>
  <sheetViews>
    <sheetView workbookViewId="0">
      <selection activeCell="K47" sqref="K47"/>
    </sheetView>
  </sheetViews>
  <sheetFormatPr defaultRowHeight="15" x14ac:dyDescent="0.25"/>
  <cols>
    <col min="1" max="1" width="32.140625" customWidth="1"/>
    <col min="3" max="23" width="9.28515625" customWidth="1"/>
  </cols>
  <sheetData>
    <row r="1" spans="1:33" ht="18.75" x14ac:dyDescent="0.3">
      <c r="A1" s="24" t="s">
        <v>37</v>
      </c>
    </row>
    <row r="2" spans="1:33" x14ac:dyDescent="0.25">
      <c r="A2" t="s">
        <v>45</v>
      </c>
      <c r="C2" s="1">
        <v>0.05</v>
      </c>
      <c r="D2" s="1">
        <f>1-D4/$C$4</f>
        <v>0.52494802494802495</v>
      </c>
      <c r="E2" s="1">
        <f>1-E4/$C$4</f>
        <v>0.60498960498960497</v>
      </c>
      <c r="F2" s="1">
        <f>1-F4/$C$4</f>
        <v>0.57588357588357586</v>
      </c>
      <c r="G2" s="1">
        <f>1-G4/$C$4</f>
        <v>0.57692307692307687</v>
      </c>
      <c r="H2" s="4">
        <f>($M$2-$G$2)/($M$3-$G$3)+G2</f>
        <v>0.59743589743589742</v>
      </c>
      <c r="I2" s="4">
        <f t="shared" ref="I2:L2" si="0">($M$2-$G$2)/($M$3-$G$3)+H2</f>
        <v>0.61794871794871797</v>
      </c>
      <c r="J2" s="4">
        <f t="shared" si="0"/>
        <v>0.63846153846153852</v>
      </c>
      <c r="K2" s="4">
        <f t="shared" si="0"/>
        <v>0.65897435897435908</v>
      </c>
      <c r="L2" s="4">
        <f t="shared" si="0"/>
        <v>0.67948717948717963</v>
      </c>
      <c r="M2" s="6">
        <v>0.7</v>
      </c>
      <c r="N2" s="2">
        <f>($W$2-$M$2)/($W$3-$M$3)+M2</f>
        <v>0.73</v>
      </c>
      <c r="O2" s="49">
        <f>($W$2-$M$2)/($W$3-$M$3)+N2</f>
        <v>0.76</v>
      </c>
      <c r="P2" s="49">
        <f t="shared" ref="P2:U2" si="1">($W$2-$M$2)/($W$3-$M$3)+O2</f>
        <v>0.79</v>
      </c>
      <c r="Q2" s="49">
        <f t="shared" si="1"/>
        <v>0.82000000000000006</v>
      </c>
      <c r="R2" s="49">
        <f t="shared" si="1"/>
        <v>0.85000000000000009</v>
      </c>
      <c r="S2" s="49">
        <f t="shared" si="1"/>
        <v>0.88000000000000012</v>
      </c>
      <c r="T2" s="49">
        <f t="shared" si="1"/>
        <v>0.91000000000000014</v>
      </c>
      <c r="U2" s="49">
        <f t="shared" si="1"/>
        <v>0.94000000000000017</v>
      </c>
      <c r="V2" s="49">
        <f>($W$2-$M$2)/($W$3-$M$3)+U2</f>
        <v>0.9700000000000002</v>
      </c>
      <c r="W2" s="50">
        <v>1</v>
      </c>
      <c r="X2" s="50">
        <f>W2</f>
        <v>1</v>
      </c>
      <c r="Y2" s="50">
        <f t="shared" ref="Y2:AF2" si="2">X2</f>
        <v>1</v>
      </c>
      <c r="Z2" s="50">
        <f t="shared" si="2"/>
        <v>1</v>
      </c>
      <c r="AA2" s="50">
        <f t="shared" si="2"/>
        <v>1</v>
      </c>
      <c r="AB2" s="50">
        <f t="shared" si="2"/>
        <v>1</v>
      </c>
      <c r="AC2" s="50">
        <f t="shared" si="2"/>
        <v>1</v>
      </c>
      <c r="AD2" s="50">
        <f t="shared" si="2"/>
        <v>1</v>
      </c>
      <c r="AE2" s="50">
        <f t="shared" si="2"/>
        <v>1</v>
      </c>
      <c r="AF2" s="50">
        <f t="shared" si="2"/>
        <v>1</v>
      </c>
      <c r="AG2" s="51">
        <v>1</v>
      </c>
    </row>
    <row r="3" spans="1:33" x14ac:dyDescent="0.25">
      <c r="A3" t="s">
        <v>29</v>
      </c>
      <c r="C3" s="15">
        <v>2005</v>
      </c>
      <c r="D3" s="15">
        <v>2021</v>
      </c>
      <c r="E3" s="15">
        <v>2022</v>
      </c>
      <c r="F3" s="15">
        <v>2023</v>
      </c>
      <c r="G3" s="15">
        <v>2024</v>
      </c>
      <c r="H3">
        <v>2025</v>
      </c>
      <c r="I3">
        <v>2026</v>
      </c>
      <c r="J3">
        <v>2027</v>
      </c>
      <c r="K3">
        <v>2028</v>
      </c>
      <c r="L3">
        <v>2029</v>
      </c>
      <c r="M3">
        <v>2030</v>
      </c>
      <c r="N3">
        <v>2031</v>
      </c>
      <c r="O3">
        <v>2032</v>
      </c>
      <c r="P3">
        <v>2033</v>
      </c>
      <c r="Q3">
        <v>2034</v>
      </c>
      <c r="R3">
        <v>2035</v>
      </c>
      <c r="S3">
        <v>2036</v>
      </c>
      <c r="T3">
        <v>2037</v>
      </c>
      <c r="U3">
        <v>2038</v>
      </c>
      <c r="V3">
        <v>2039</v>
      </c>
      <c r="W3" s="47">
        <v>2040</v>
      </c>
      <c r="X3" s="47">
        <v>2041</v>
      </c>
      <c r="Y3" s="47">
        <v>2042</v>
      </c>
      <c r="Z3" s="47">
        <v>2043</v>
      </c>
      <c r="AA3" s="47">
        <v>2044</v>
      </c>
      <c r="AB3" s="47">
        <v>2045</v>
      </c>
      <c r="AC3" s="47">
        <v>2046</v>
      </c>
      <c r="AD3" s="47">
        <v>2047</v>
      </c>
      <c r="AE3" s="47">
        <v>2048</v>
      </c>
      <c r="AF3" s="47">
        <v>2049</v>
      </c>
      <c r="AG3" s="47">
        <v>2050</v>
      </c>
    </row>
    <row r="4" spans="1:33" x14ac:dyDescent="0.25">
      <c r="A4" t="s">
        <v>46</v>
      </c>
      <c r="C4" s="15">
        <v>0.96199999999999997</v>
      </c>
      <c r="D4" s="15">
        <v>0.45700000000000002</v>
      </c>
      <c r="E4" s="16">
        <v>0.38</v>
      </c>
      <c r="F4" s="16">
        <v>0.40799999999999997</v>
      </c>
      <c r="G4" s="16">
        <v>0.40699999999999997</v>
      </c>
      <c r="H4" s="3">
        <f t="shared" ref="H4:AG4" si="3">$C$4-$C$4*H2</f>
        <v>0.38726666666666665</v>
      </c>
      <c r="I4" s="3">
        <f t="shared" si="3"/>
        <v>0.36753333333333327</v>
      </c>
      <c r="J4" s="3">
        <f t="shared" si="3"/>
        <v>0.34779999999999989</v>
      </c>
      <c r="K4" s="3">
        <f t="shared" si="3"/>
        <v>0.32806666666666651</v>
      </c>
      <c r="L4" s="3">
        <f t="shared" si="3"/>
        <v>0.30833333333333324</v>
      </c>
      <c r="M4" s="3">
        <f t="shared" si="3"/>
        <v>0.28860000000000008</v>
      </c>
      <c r="N4" s="3">
        <f t="shared" si="3"/>
        <v>0.25973999999999997</v>
      </c>
      <c r="O4" s="3">
        <f t="shared" si="3"/>
        <v>0.23087999999999997</v>
      </c>
      <c r="P4" s="3">
        <f t="shared" si="3"/>
        <v>0.20201999999999998</v>
      </c>
      <c r="Q4" s="3">
        <f t="shared" si="3"/>
        <v>0.17315999999999998</v>
      </c>
      <c r="R4" s="3">
        <f t="shared" si="3"/>
        <v>0.14429999999999987</v>
      </c>
      <c r="S4" s="3">
        <f t="shared" si="3"/>
        <v>0.11543999999999988</v>
      </c>
      <c r="T4" s="3">
        <f t="shared" si="3"/>
        <v>8.6579999999999879E-2</v>
      </c>
      <c r="U4" s="3">
        <f t="shared" si="3"/>
        <v>5.7719999999999883E-2</v>
      </c>
      <c r="V4" s="3">
        <f t="shared" si="3"/>
        <v>2.8859999999999775E-2</v>
      </c>
      <c r="W4" s="48">
        <f t="shared" si="3"/>
        <v>0</v>
      </c>
      <c r="X4" s="48">
        <f t="shared" si="3"/>
        <v>0</v>
      </c>
      <c r="Y4" s="48">
        <f t="shared" si="3"/>
        <v>0</v>
      </c>
      <c r="Z4" s="48">
        <f t="shared" si="3"/>
        <v>0</v>
      </c>
      <c r="AA4" s="48">
        <f t="shared" si="3"/>
        <v>0</v>
      </c>
      <c r="AB4" s="48">
        <f t="shared" si="3"/>
        <v>0</v>
      </c>
      <c r="AC4" s="48">
        <f t="shared" si="3"/>
        <v>0</v>
      </c>
      <c r="AD4" s="48">
        <f t="shared" si="3"/>
        <v>0</v>
      </c>
      <c r="AE4" s="48">
        <f t="shared" si="3"/>
        <v>0</v>
      </c>
      <c r="AF4" s="48">
        <f t="shared" si="3"/>
        <v>0</v>
      </c>
      <c r="AG4" s="48">
        <f t="shared" si="3"/>
        <v>0</v>
      </c>
    </row>
    <row r="5" spans="1:33" x14ac:dyDescent="0.25">
      <c r="A5" t="s">
        <v>8</v>
      </c>
      <c r="B5" t="s">
        <v>3</v>
      </c>
      <c r="E5" s="8">
        <v>124000</v>
      </c>
      <c r="F5" s="8">
        <f>E5</f>
        <v>124000</v>
      </c>
      <c r="G5" s="8">
        <f t="shared" ref="G5:AG5" si="4">F5</f>
        <v>124000</v>
      </c>
      <c r="H5" s="8">
        <f t="shared" si="4"/>
        <v>124000</v>
      </c>
      <c r="I5" s="8">
        <f t="shared" si="4"/>
        <v>124000</v>
      </c>
      <c r="J5" s="8">
        <f t="shared" si="4"/>
        <v>124000</v>
      </c>
      <c r="K5" s="8">
        <f t="shared" si="4"/>
        <v>124000</v>
      </c>
      <c r="L5" s="8">
        <f t="shared" si="4"/>
        <v>124000</v>
      </c>
      <c r="M5" s="8">
        <f t="shared" si="4"/>
        <v>124000</v>
      </c>
      <c r="N5" s="8">
        <f t="shared" si="4"/>
        <v>124000</v>
      </c>
      <c r="O5" s="8">
        <f t="shared" si="4"/>
        <v>124000</v>
      </c>
      <c r="P5" s="8">
        <f t="shared" si="4"/>
        <v>124000</v>
      </c>
      <c r="Q5" s="8">
        <f t="shared" si="4"/>
        <v>124000</v>
      </c>
      <c r="R5" s="8">
        <f t="shared" si="4"/>
        <v>124000</v>
      </c>
      <c r="S5" s="8">
        <f t="shared" si="4"/>
        <v>124000</v>
      </c>
      <c r="T5" s="8">
        <f t="shared" si="4"/>
        <v>124000</v>
      </c>
      <c r="U5" s="8">
        <f t="shared" si="4"/>
        <v>124000</v>
      </c>
      <c r="V5" s="8">
        <f t="shared" si="4"/>
        <v>124000</v>
      </c>
      <c r="W5" s="8">
        <f t="shared" si="4"/>
        <v>124000</v>
      </c>
      <c r="X5" s="8">
        <f t="shared" si="4"/>
        <v>124000</v>
      </c>
      <c r="Y5" s="8">
        <f t="shared" si="4"/>
        <v>124000</v>
      </c>
      <c r="Z5" s="8">
        <f t="shared" si="4"/>
        <v>124000</v>
      </c>
      <c r="AA5" s="8">
        <f t="shared" si="4"/>
        <v>124000</v>
      </c>
      <c r="AB5" s="8">
        <f t="shared" si="4"/>
        <v>124000</v>
      </c>
      <c r="AC5" s="8">
        <f t="shared" si="4"/>
        <v>124000</v>
      </c>
      <c r="AD5" s="8">
        <f t="shared" si="4"/>
        <v>124000</v>
      </c>
      <c r="AE5" s="8">
        <f t="shared" si="4"/>
        <v>124000</v>
      </c>
      <c r="AF5" s="8">
        <f t="shared" si="4"/>
        <v>124000</v>
      </c>
      <c r="AG5" s="8">
        <f t="shared" si="4"/>
        <v>124000</v>
      </c>
    </row>
    <row r="6" spans="1:33" x14ac:dyDescent="0.25">
      <c r="A6" t="s">
        <v>9</v>
      </c>
      <c r="B6" t="s">
        <v>3</v>
      </c>
      <c r="E6" s="8">
        <f t="shared" ref="E6:AG6" si="5">E5*$B$19</f>
        <v>124000</v>
      </c>
      <c r="F6" s="8">
        <f t="shared" si="5"/>
        <v>124000</v>
      </c>
      <c r="G6" s="8">
        <f t="shared" si="5"/>
        <v>124000</v>
      </c>
      <c r="H6" s="8">
        <f t="shared" si="5"/>
        <v>124000</v>
      </c>
      <c r="I6" s="8">
        <f t="shared" si="5"/>
        <v>124000</v>
      </c>
      <c r="J6" s="8">
        <f t="shared" si="5"/>
        <v>124000</v>
      </c>
      <c r="K6" s="8">
        <f t="shared" si="5"/>
        <v>124000</v>
      </c>
      <c r="L6" s="8">
        <f t="shared" si="5"/>
        <v>124000</v>
      </c>
      <c r="M6" s="8">
        <f t="shared" si="5"/>
        <v>124000</v>
      </c>
      <c r="N6" s="8">
        <f t="shared" si="5"/>
        <v>124000</v>
      </c>
      <c r="O6" s="8">
        <f t="shared" si="5"/>
        <v>124000</v>
      </c>
      <c r="P6" s="8">
        <f t="shared" si="5"/>
        <v>124000</v>
      </c>
      <c r="Q6" s="8">
        <f t="shared" si="5"/>
        <v>124000</v>
      </c>
      <c r="R6" s="8">
        <f t="shared" si="5"/>
        <v>124000</v>
      </c>
      <c r="S6" s="8">
        <f t="shared" si="5"/>
        <v>124000</v>
      </c>
      <c r="T6" s="8">
        <f t="shared" si="5"/>
        <v>124000</v>
      </c>
      <c r="U6" s="8">
        <f t="shared" si="5"/>
        <v>124000</v>
      </c>
      <c r="V6" s="8">
        <f t="shared" si="5"/>
        <v>124000</v>
      </c>
      <c r="W6" s="8">
        <f t="shared" si="5"/>
        <v>124000</v>
      </c>
      <c r="X6" s="8">
        <f t="shared" si="5"/>
        <v>124000</v>
      </c>
      <c r="Y6" s="8">
        <f t="shared" si="5"/>
        <v>124000</v>
      </c>
      <c r="Z6" s="8">
        <f t="shared" si="5"/>
        <v>124000</v>
      </c>
      <c r="AA6" s="8">
        <f t="shared" si="5"/>
        <v>124000</v>
      </c>
      <c r="AB6" s="8">
        <f t="shared" si="5"/>
        <v>124000</v>
      </c>
      <c r="AC6" s="8">
        <f t="shared" si="5"/>
        <v>124000</v>
      </c>
      <c r="AD6" s="8">
        <f t="shared" si="5"/>
        <v>124000</v>
      </c>
      <c r="AE6" s="8">
        <f t="shared" si="5"/>
        <v>124000</v>
      </c>
      <c r="AF6" s="8">
        <f t="shared" si="5"/>
        <v>124000</v>
      </c>
      <c r="AG6" s="8">
        <f t="shared" si="5"/>
        <v>124000</v>
      </c>
    </row>
    <row r="7" spans="1:33" x14ac:dyDescent="0.25">
      <c r="A7" t="s">
        <v>6</v>
      </c>
      <c r="B7" t="s">
        <v>3</v>
      </c>
      <c r="E7" s="8">
        <f t="shared" ref="E7:AG7" si="6">E6*$B$18</f>
        <v>99200</v>
      </c>
      <c r="F7" s="8">
        <f t="shared" si="6"/>
        <v>99200</v>
      </c>
      <c r="G7" s="8">
        <f t="shared" si="6"/>
        <v>99200</v>
      </c>
      <c r="H7" s="8">
        <f t="shared" si="6"/>
        <v>99200</v>
      </c>
      <c r="I7" s="8">
        <f t="shared" si="6"/>
        <v>99200</v>
      </c>
      <c r="J7" s="8">
        <f t="shared" si="6"/>
        <v>99200</v>
      </c>
      <c r="K7" s="8">
        <f t="shared" si="6"/>
        <v>99200</v>
      </c>
      <c r="L7" s="8">
        <f t="shared" si="6"/>
        <v>99200</v>
      </c>
      <c r="M7" s="8">
        <f t="shared" si="6"/>
        <v>99200</v>
      </c>
      <c r="N7" s="8">
        <f t="shared" si="6"/>
        <v>99200</v>
      </c>
      <c r="O7" s="8">
        <f t="shared" si="6"/>
        <v>99200</v>
      </c>
      <c r="P7" s="8">
        <f t="shared" si="6"/>
        <v>99200</v>
      </c>
      <c r="Q7" s="8">
        <f t="shared" si="6"/>
        <v>99200</v>
      </c>
      <c r="R7" s="8">
        <f t="shared" si="6"/>
        <v>99200</v>
      </c>
      <c r="S7" s="8">
        <f t="shared" si="6"/>
        <v>99200</v>
      </c>
      <c r="T7" s="8">
        <f t="shared" si="6"/>
        <v>99200</v>
      </c>
      <c r="U7" s="8">
        <f t="shared" si="6"/>
        <v>99200</v>
      </c>
      <c r="V7" s="8">
        <f t="shared" si="6"/>
        <v>99200</v>
      </c>
      <c r="W7" s="8">
        <f t="shared" si="6"/>
        <v>99200</v>
      </c>
      <c r="X7" s="8">
        <f t="shared" si="6"/>
        <v>99200</v>
      </c>
      <c r="Y7" s="8">
        <f t="shared" si="6"/>
        <v>99200</v>
      </c>
      <c r="Z7" s="8">
        <f t="shared" si="6"/>
        <v>99200</v>
      </c>
      <c r="AA7" s="8">
        <f t="shared" si="6"/>
        <v>99200</v>
      </c>
      <c r="AB7" s="8">
        <f t="shared" si="6"/>
        <v>99200</v>
      </c>
      <c r="AC7" s="8">
        <f t="shared" si="6"/>
        <v>99200</v>
      </c>
      <c r="AD7" s="8">
        <f t="shared" si="6"/>
        <v>99200</v>
      </c>
      <c r="AE7" s="8">
        <f t="shared" si="6"/>
        <v>99200</v>
      </c>
      <c r="AF7" s="8">
        <f t="shared" si="6"/>
        <v>99200</v>
      </c>
      <c r="AG7" s="8">
        <f t="shared" si="6"/>
        <v>99200</v>
      </c>
    </row>
    <row r="8" spans="1:33" x14ac:dyDescent="0.25">
      <c r="A8" t="s">
        <v>5</v>
      </c>
      <c r="B8" t="s">
        <v>1</v>
      </c>
      <c r="E8" s="8">
        <f t="shared" ref="E8:AG8" si="7">E7/3.412/$B$20</f>
        <v>6922.3468989002395</v>
      </c>
      <c r="F8" s="8">
        <f t="shared" si="7"/>
        <v>6922.3468989002395</v>
      </c>
      <c r="G8" s="8">
        <f t="shared" si="7"/>
        <v>6922.3468989002395</v>
      </c>
      <c r="H8" s="8">
        <f t="shared" si="7"/>
        <v>6922.3468989002395</v>
      </c>
      <c r="I8" s="8">
        <f t="shared" si="7"/>
        <v>6922.3468989002395</v>
      </c>
      <c r="J8" s="8">
        <f t="shared" si="7"/>
        <v>6922.3468989002395</v>
      </c>
      <c r="K8" s="8">
        <f>K7/3.412/$B$20</f>
        <v>6922.3468989002395</v>
      </c>
      <c r="L8" s="8">
        <f t="shared" si="7"/>
        <v>6922.3468989002395</v>
      </c>
      <c r="M8" s="8">
        <f t="shared" si="7"/>
        <v>6922.3468989002395</v>
      </c>
      <c r="N8" s="8">
        <f t="shared" si="7"/>
        <v>6922.3468989002395</v>
      </c>
      <c r="O8" s="8">
        <f t="shared" si="7"/>
        <v>6922.3468989002395</v>
      </c>
      <c r="P8" s="8">
        <f t="shared" si="7"/>
        <v>6922.3468989002395</v>
      </c>
      <c r="Q8" s="8">
        <f t="shared" si="7"/>
        <v>6922.3468989002395</v>
      </c>
      <c r="R8" s="8">
        <f t="shared" si="7"/>
        <v>6922.3468989002395</v>
      </c>
      <c r="S8" s="8">
        <f t="shared" si="7"/>
        <v>6922.3468989002395</v>
      </c>
      <c r="T8" s="8">
        <f t="shared" si="7"/>
        <v>6922.3468989002395</v>
      </c>
      <c r="U8" s="8">
        <f t="shared" si="7"/>
        <v>6922.3468989002395</v>
      </c>
      <c r="V8" s="8">
        <f t="shared" si="7"/>
        <v>6922.3468989002395</v>
      </c>
      <c r="W8" s="8">
        <f t="shared" si="7"/>
        <v>6922.3468989002395</v>
      </c>
      <c r="X8" s="8">
        <f t="shared" si="7"/>
        <v>6922.3468989002395</v>
      </c>
      <c r="Y8" s="8">
        <f t="shared" si="7"/>
        <v>6922.3468989002395</v>
      </c>
      <c r="Z8" s="8">
        <f t="shared" si="7"/>
        <v>6922.3468989002395</v>
      </c>
      <c r="AA8" s="8">
        <f t="shared" si="7"/>
        <v>6922.3468989002395</v>
      </c>
      <c r="AB8" s="8">
        <f t="shared" si="7"/>
        <v>6922.3468989002395</v>
      </c>
      <c r="AC8" s="8">
        <f t="shared" si="7"/>
        <v>6922.3468989002395</v>
      </c>
      <c r="AD8" s="8">
        <f t="shared" si="7"/>
        <v>6922.3468989002395</v>
      </c>
      <c r="AE8" s="8">
        <f t="shared" si="7"/>
        <v>6922.3468989002395</v>
      </c>
      <c r="AF8" s="8">
        <f t="shared" si="7"/>
        <v>6922.3468989002395</v>
      </c>
      <c r="AG8" s="8">
        <f t="shared" si="7"/>
        <v>6922.3468989002395</v>
      </c>
    </row>
    <row r="9" spans="1:33" x14ac:dyDescent="0.25">
      <c r="A9" t="s">
        <v>56</v>
      </c>
      <c r="B9" t="s">
        <v>42</v>
      </c>
      <c r="E9" s="4">
        <v>0</v>
      </c>
      <c r="F9" s="4">
        <v>0</v>
      </c>
      <c r="G9" s="4">
        <v>0</v>
      </c>
      <c r="H9" s="4">
        <v>0</v>
      </c>
      <c r="I9" s="4">
        <v>0</v>
      </c>
      <c r="J9" s="4">
        <v>0</v>
      </c>
      <c r="K9" s="1">
        <v>1</v>
      </c>
      <c r="L9" s="1">
        <v>1</v>
      </c>
      <c r="M9" s="1">
        <f t="shared" ref="M9:AG9" si="8">L9</f>
        <v>1</v>
      </c>
      <c r="N9" s="1">
        <f t="shared" si="8"/>
        <v>1</v>
      </c>
      <c r="O9" s="1">
        <f t="shared" si="8"/>
        <v>1</v>
      </c>
      <c r="P9" s="1">
        <f t="shared" si="8"/>
        <v>1</v>
      </c>
      <c r="Q9" s="1">
        <f t="shared" si="8"/>
        <v>1</v>
      </c>
      <c r="R9" s="1">
        <f t="shared" si="8"/>
        <v>1</v>
      </c>
      <c r="S9" s="1">
        <f t="shared" si="8"/>
        <v>1</v>
      </c>
      <c r="T9" s="1">
        <f t="shared" si="8"/>
        <v>1</v>
      </c>
      <c r="U9" s="1">
        <f t="shared" si="8"/>
        <v>1</v>
      </c>
      <c r="V9" s="1">
        <f t="shared" si="8"/>
        <v>1</v>
      </c>
      <c r="W9" s="1">
        <f t="shared" si="8"/>
        <v>1</v>
      </c>
      <c r="X9" s="1">
        <f t="shared" si="8"/>
        <v>1</v>
      </c>
      <c r="Y9" s="1">
        <f t="shared" si="8"/>
        <v>1</v>
      </c>
      <c r="Z9" s="1">
        <f t="shared" si="8"/>
        <v>1</v>
      </c>
      <c r="AA9" s="1">
        <f t="shared" si="8"/>
        <v>1</v>
      </c>
      <c r="AB9" s="1">
        <f t="shared" si="8"/>
        <v>1</v>
      </c>
      <c r="AC9" s="1">
        <f t="shared" si="8"/>
        <v>1</v>
      </c>
      <c r="AD9" s="1">
        <f t="shared" si="8"/>
        <v>1</v>
      </c>
      <c r="AE9" s="1">
        <f t="shared" si="8"/>
        <v>1</v>
      </c>
      <c r="AF9" s="1">
        <f t="shared" si="8"/>
        <v>1</v>
      </c>
      <c r="AG9" s="1">
        <f t="shared" si="8"/>
        <v>1</v>
      </c>
    </row>
    <row r="10" spans="1:33" x14ac:dyDescent="0.25">
      <c r="E10" s="8"/>
    </row>
    <row r="11" spans="1:33" x14ac:dyDescent="0.25">
      <c r="A11" t="s">
        <v>10</v>
      </c>
      <c r="B11" t="s">
        <v>44</v>
      </c>
      <c r="E11" s="8">
        <f t="shared" ref="E11:AG11" si="9">E6*$B$21/2204</f>
        <v>6582.5771324863881</v>
      </c>
      <c r="F11" s="7">
        <f t="shared" si="9"/>
        <v>6582.5771324863881</v>
      </c>
      <c r="G11" s="7">
        <f t="shared" si="9"/>
        <v>6582.5771324863881</v>
      </c>
      <c r="H11" s="7">
        <f t="shared" si="9"/>
        <v>6582.5771324863881</v>
      </c>
      <c r="I11" s="7">
        <f t="shared" si="9"/>
        <v>6582.5771324863881</v>
      </c>
      <c r="J11" s="7">
        <f t="shared" si="9"/>
        <v>6582.5771324863881</v>
      </c>
      <c r="K11" s="7">
        <f t="shared" si="9"/>
        <v>6582.5771324863881</v>
      </c>
      <c r="L11" s="7">
        <f t="shared" si="9"/>
        <v>6582.5771324863881</v>
      </c>
      <c r="M11" s="7">
        <f t="shared" si="9"/>
        <v>6582.5771324863881</v>
      </c>
      <c r="N11" s="7">
        <f t="shared" si="9"/>
        <v>6582.5771324863881</v>
      </c>
      <c r="O11" s="7">
        <f t="shared" si="9"/>
        <v>6582.5771324863881</v>
      </c>
      <c r="P11" s="7">
        <f t="shared" si="9"/>
        <v>6582.5771324863881</v>
      </c>
      <c r="Q11" s="7">
        <f t="shared" si="9"/>
        <v>6582.5771324863881</v>
      </c>
      <c r="R11" s="7">
        <f t="shared" si="9"/>
        <v>6582.5771324863881</v>
      </c>
      <c r="S11" s="7">
        <f t="shared" si="9"/>
        <v>6582.5771324863881</v>
      </c>
      <c r="T11" s="7">
        <f t="shared" si="9"/>
        <v>6582.5771324863881</v>
      </c>
      <c r="U11" s="7">
        <f t="shared" si="9"/>
        <v>6582.5771324863881</v>
      </c>
      <c r="V11" s="7">
        <f t="shared" si="9"/>
        <v>6582.5771324863881</v>
      </c>
      <c r="W11" s="7">
        <f t="shared" si="9"/>
        <v>6582.5771324863881</v>
      </c>
      <c r="X11" s="7">
        <f t="shared" si="9"/>
        <v>6582.5771324863881</v>
      </c>
      <c r="Y11" s="7">
        <f t="shared" si="9"/>
        <v>6582.5771324863881</v>
      </c>
      <c r="Z11" s="7">
        <f t="shared" si="9"/>
        <v>6582.5771324863881</v>
      </c>
      <c r="AA11" s="7">
        <f t="shared" si="9"/>
        <v>6582.5771324863881</v>
      </c>
      <c r="AB11" s="7">
        <f t="shared" si="9"/>
        <v>6582.5771324863881</v>
      </c>
      <c r="AC11" s="7">
        <f t="shared" si="9"/>
        <v>6582.5771324863881</v>
      </c>
      <c r="AD11" s="7">
        <f t="shared" si="9"/>
        <v>6582.5771324863881</v>
      </c>
      <c r="AE11" s="7">
        <f t="shared" si="9"/>
        <v>6582.5771324863881</v>
      </c>
      <c r="AF11" s="7">
        <f t="shared" si="9"/>
        <v>6582.5771324863881</v>
      </c>
      <c r="AG11" s="7">
        <f t="shared" si="9"/>
        <v>6582.5771324863881</v>
      </c>
    </row>
    <row r="12" spans="1:33" x14ac:dyDescent="0.25">
      <c r="A12" t="s">
        <v>12</v>
      </c>
      <c r="B12" t="s">
        <v>44</v>
      </c>
      <c r="E12" s="8">
        <f>E8*E4*E9+(1-E9)*E11</f>
        <v>6582.5771324863881</v>
      </c>
      <c r="F12" s="8">
        <f t="shared" ref="F12:I12" si="10">F8*F4*F9+(1-F9)*F11</f>
        <v>6582.5771324863881</v>
      </c>
      <c r="G12" s="8">
        <f t="shared" si="10"/>
        <v>6582.5771324863881</v>
      </c>
      <c r="H12" s="8">
        <f t="shared" si="10"/>
        <v>6582.5771324863881</v>
      </c>
      <c r="I12" s="8">
        <f t="shared" si="10"/>
        <v>6582.5771324863881</v>
      </c>
      <c r="J12" s="8">
        <f>J8*J4*J9+(1-J9)*J11</f>
        <v>6582.5771324863881</v>
      </c>
      <c r="K12" s="8">
        <f>K8*K4*K9+(1-K9)*K11</f>
        <v>2270.9912726325374</v>
      </c>
      <c r="L12" s="8">
        <f>L8*L4*L9+(1-L9)*L11</f>
        <v>2134.3902938275733</v>
      </c>
      <c r="M12" s="8">
        <f t="shared" ref="M12" si="11">M8*M4*M9+(1-M9)*M11</f>
        <v>1997.7893150226096</v>
      </c>
      <c r="N12" s="8">
        <f t="shared" ref="N12" si="12">N8*N4*N9+(1-N9)*N11</f>
        <v>1798.0103835203479</v>
      </c>
      <c r="O12" s="8">
        <f t="shared" ref="O12" si="13">O8*O4*O9+(1-O9)*O11</f>
        <v>1598.2314520180871</v>
      </c>
      <c r="P12" s="8">
        <f t="shared" ref="P12" si="14">P8*P4*P9+(1-P9)*P11</f>
        <v>1398.4525205158261</v>
      </c>
      <c r="Q12" s="8">
        <f t="shared" ref="Q12:U12" si="15">Q8*Q4*Q9+(1-Q9)*Q11</f>
        <v>1198.6735890135653</v>
      </c>
      <c r="R12" s="8">
        <f t="shared" si="15"/>
        <v>998.89465751130365</v>
      </c>
      <c r="S12" s="8">
        <f t="shared" si="15"/>
        <v>799.11572600904276</v>
      </c>
      <c r="T12" s="8">
        <f t="shared" si="15"/>
        <v>599.33679450678187</v>
      </c>
      <c r="U12" s="8">
        <f t="shared" si="15"/>
        <v>399.55786300452098</v>
      </c>
      <c r="V12" s="8">
        <f t="shared" ref="V12" si="16">V8*V4*V9+(1-V9)*V11</f>
        <v>199.77893150225935</v>
      </c>
      <c r="W12" s="8">
        <f t="shared" ref="W12" si="17">W8*W4*W9+(1-W9)*W11</f>
        <v>0</v>
      </c>
      <c r="X12" s="8">
        <f t="shared" ref="X12" si="18">X8*X4*X9+(1-X9)*X11</f>
        <v>0</v>
      </c>
      <c r="Y12" s="8">
        <f t="shared" ref="Y12:AC12" si="19">Y8*Y4*Y9+(1-Y9)*Y11</f>
        <v>0</v>
      </c>
      <c r="Z12" s="8">
        <f t="shared" si="19"/>
        <v>0</v>
      </c>
      <c r="AA12" s="8">
        <f t="shared" si="19"/>
        <v>0</v>
      </c>
      <c r="AB12" s="8">
        <f t="shared" si="19"/>
        <v>0</v>
      </c>
      <c r="AC12" s="8">
        <f t="shared" si="19"/>
        <v>0</v>
      </c>
      <c r="AD12" s="8">
        <f t="shared" ref="AD12" si="20">AD8*AD4*AD9+(1-AD9)*AD11</f>
        <v>0</v>
      </c>
      <c r="AE12" s="8">
        <f t="shared" ref="AE12" si="21">AE8*AE4*AE9+(1-AE9)*AE11</f>
        <v>0</v>
      </c>
      <c r="AF12" s="8">
        <f t="shared" ref="AF12" si="22">AF8*AF4*AF9+(1-AF9)*AF11</f>
        <v>0</v>
      </c>
      <c r="AG12" s="8">
        <f t="shared" ref="AG12" si="23">AG8*AG4*AG9+(1-AG9)*AG11</f>
        <v>0</v>
      </c>
    </row>
    <row r="13" spans="1:33" x14ac:dyDescent="0.25">
      <c r="A13" t="s">
        <v>13</v>
      </c>
      <c r="B13" t="s">
        <v>44</v>
      </c>
      <c r="E13" s="8">
        <f>E7*$B$22/1000*E4*E9</f>
        <v>0</v>
      </c>
      <c r="F13" s="8">
        <f t="shared" ref="F13:AG13" si="24">F7*$B$22/1000*F4*F9</f>
        <v>0</v>
      </c>
      <c r="G13" s="8">
        <f t="shared" si="24"/>
        <v>0</v>
      </c>
      <c r="H13" s="8">
        <f t="shared" si="24"/>
        <v>0</v>
      </c>
      <c r="I13" s="8">
        <f t="shared" si="24"/>
        <v>0</v>
      </c>
      <c r="J13" s="8">
        <f t="shared" si="24"/>
        <v>0</v>
      </c>
      <c r="K13" s="8">
        <f t="shared" si="24"/>
        <v>162.72106666666659</v>
      </c>
      <c r="L13" s="8">
        <f t="shared" si="24"/>
        <v>152.93333333333328</v>
      </c>
      <c r="M13" s="8">
        <f t="shared" si="24"/>
        <v>143.14560000000003</v>
      </c>
      <c r="N13" s="8">
        <f t="shared" si="24"/>
        <v>128.83103999999997</v>
      </c>
      <c r="O13" s="8">
        <f t="shared" si="24"/>
        <v>114.51647999999999</v>
      </c>
      <c r="P13" s="8">
        <f t="shared" si="24"/>
        <v>100.20191999999999</v>
      </c>
      <c r="Q13" s="8">
        <f t="shared" si="24"/>
        <v>85.887359999999987</v>
      </c>
      <c r="R13" s="8">
        <f t="shared" si="24"/>
        <v>71.572799999999944</v>
      </c>
      <c r="S13" s="8">
        <f t="shared" si="24"/>
        <v>57.258239999999937</v>
      </c>
      <c r="T13" s="8">
        <f t="shared" si="24"/>
        <v>42.943679999999944</v>
      </c>
      <c r="U13" s="8">
        <f t="shared" si="24"/>
        <v>28.629119999999944</v>
      </c>
      <c r="V13" s="8">
        <f t="shared" si="24"/>
        <v>14.314559999999888</v>
      </c>
      <c r="W13" s="8">
        <f t="shared" si="24"/>
        <v>0</v>
      </c>
      <c r="X13" s="8">
        <f t="shared" si="24"/>
        <v>0</v>
      </c>
      <c r="Y13" s="8">
        <f t="shared" si="24"/>
        <v>0</v>
      </c>
      <c r="Z13" s="8">
        <f t="shared" si="24"/>
        <v>0</v>
      </c>
      <c r="AA13" s="8">
        <f t="shared" si="24"/>
        <v>0</v>
      </c>
      <c r="AB13" s="8">
        <f t="shared" si="24"/>
        <v>0</v>
      </c>
      <c r="AC13" s="8">
        <f t="shared" si="24"/>
        <v>0</v>
      </c>
      <c r="AD13" s="8">
        <f t="shared" si="24"/>
        <v>0</v>
      </c>
      <c r="AE13" s="8">
        <f t="shared" si="24"/>
        <v>0</v>
      </c>
      <c r="AF13" s="8">
        <f t="shared" si="24"/>
        <v>0</v>
      </c>
      <c r="AG13" s="8">
        <f t="shared" si="24"/>
        <v>0</v>
      </c>
    </row>
    <row r="14" spans="1:33" x14ac:dyDescent="0.25">
      <c r="A14" t="s">
        <v>41</v>
      </c>
      <c r="B14" t="s">
        <v>42</v>
      </c>
      <c r="E14" s="4">
        <f t="shared" ref="E14:AG14" si="25">1-(E12+E13)/E11</f>
        <v>0</v>
      </c>
      <c r="F14" s="4">
        <f t="shared" si="25"/>
        <v>0</v>
      </c>
      <c r="G14" s="4">
        <f t="shared" si="25"/>
        <v>0</v>
      </c>
      <c r="H14" s="4">
        <f t="shared" si="25"/>
        <v>0</v>
      </c>
      <c r="I14" s="4">
        <f t="shared" si="25"/>
        <v>0</v>
      </c>
      <c r="J14" s="4">
        <f t="shared" si="25"/>
        <v>0</v>
      </c>
      <c r="K14" s="4">
        <f t="shared" si="25"/>
        <v>0.63027970803588051</v>
      </c>
      <c r="L14" s="4">
        <f t="shared" si="25"/>
        <v>0.65251852259011311</v>
      </c>
      <c r="M14" s="4">
        <f t="shared" si="25"/>
        <v>0.67475733714434583</v>
      </c>
      <c r="N14" s="4">
        <f t="shared" si="25"/>
        <v>0.70728160342991131</v>
      </c>
      <c r="O14" s="4">
        <f t="shared" si="25"/>
        <v>0.73980586971547668</v>
      </c>
      <c r="P14" s="4">
        <f t="shared" si="25"/>
        <v>0.77233013600104217</v>
      </c>
      <c r="Q14" s="4">
        <f t="shared" si="25"/>
        <v>0.80485440228660754</v>
      </c>
      <c r="R14" s="4">
        <f t="shared" si="25"/>
        <v>0.83737866857217313</v>
      </c>
      <c r="S14" s="4">
        <f t="shared" si="25"/>
        <v>0.86990293485773851</v>
      </c>
      <c r="T14" s="4">
        <f t="shared" si="25"/>
        <v>0.90242720114330388</v>
      </c>
      <c r="U14" s="4">
        <f t="shared" si="25"/>
        <v>0.93495146742886925</v>
      </c>
      <c r="V14" s="4">
        <f t="shared" si="25"/>
        <v>0.96747573371443485</v>
      </c>
      <c r="W14" s="4">
        <f t="shared" si="25"/>
        <v>1</v>
      </c>
      <c r="X14" s="4">
        <f t="shared" si="25"/>
        <v>1</v>
      </c>
      <c r="Y14" s="4">
        <f t="shared" si="25"/>
        <v>1</v>
      </c>
      <c r="Z14" s="4">
        <f t="shared" si="25"/>
        <v>1</v>
      </c>
      <c r="AA14" s="4">
        <f t="shared" si="25"/>
        <v>1</v>
      </c>
      <c r="AB14" s="4">
        <f t="shared" si="25"/>
        <v>1</v>
      </c>
      <c r="AC14" s="4">
        <f t="shared" si="25"/>
        <v>1</v>
      </c>
      <c r="AD14" s="4">
        <f t="shared" si="25"/>
        <v>1</v>
      </c>
      <c r="AE14" s="4">
        <f t="shared" si="25"/>
        <v>1</v>
      </c>
      <c r="AF14" s="4">
        <f t="shared" si="25"/>
        <v>1</v>
      </c>
      <c r="AG14" s="4">
        <f t="shared" si="25"/>
        <v>1</v>
      </c>
    </row>
    <row r="15" spans="1:33" x14ac:dyDescent="0.25">
      <c r="A15" t="s">
        <v>43</v>
      </c>
      <c r="B15" t="s">
        <v>44</v>
      </c>
      <c r="E15" s="8">
        <f>E11-E12-E13</f>
        <v>0</v>
      </c>
      <c r="F15" s="8">
        <f t="shared" ref="F15:AG15" si="26">F11-F12-F13</f>
        <v>0</v>
      </c>
      <c r="G15" s="8">
        <f t="shared" si="26"/>
        <v>0</v>
      </c>
      <c r="H15" s="8">
        <f t="shared" si="26"/>
        <v>0</v>
      </c>
      <c r="I15" s="8">
        <f t="shared" si="26"/>
        <v>0</v>
      </c>
      <c r="J15" s="8">
        <f t="shared" si="26"/>
        <v>0</v>
      </c>
      <c r="K15" s="8">
        <f t="shared" si="26"/>
        <v>4148.8647931871837</v>
      </c>
      <c r="L15" s="8">
        <f t="shared" si="26"/>
        <v>4295.2535053254815</v>
      </c>
      <c r="M15" s="8">
        <f t="shared" si="26"/>
        <v>4441.6422174637792</v>
      </c>
      <c r="N15" s="8">
        <f t="shared" si="26"/>
        <v>4655.73570896604</v>
      </c>
      <c r="O15" s="8">
        <f t="shared" si="26"/>
        <v>4869.8292004683008</v>
      </c>
      <c r="P15" s="8">
        <f t="shared" si="26"/>
        <v>5083.9226919705616</v>
      </c>
      <c r="Q15" s="8">
        <f t="shared" si="26"/>
        <v>5298.0161834728233</v>
      </c>
      <c r="R15" s="8">
        <f t="shared" si="26"/>
        <v>5512.109674975085</v>
      </c>
      <c r="S15" s="8">
        <f t="shared" si="26"/>
        <v>5726.2031664773449</v>
      </c>
      <c r="T15" s="8">
        <f t="shared" si="26"/>
        <v>5940.2966579796057</v>
      </c>
      <c r="U15" s="8">
        <f t="shared" si="26"/>
        <v>6154.3901494818674</v>
      </c>
      <c r="V15" s="8">
        <f t="shared" si="26"/>
        <v>6368.4836409841291</v>
      </c>
      <c r="W15" s="8">
        <f t="shared" si="26"/>
        <v>6582.5771324863881</v>
      </c>
      <c r="X15" s="8">
        <f t="shared" si="26"/>
        <v>6582.5771324863881</v>
      </c>
      <c r="Y15" s="8">
        <f t="shared" si="26"/>
        <v>6582.5771324863881</v>
      </c>
      <c r="Z15" s="8">
        <f t="shared" si="26"/>
        <v>6582.5771324863881</v>
      </c>
      <c r="AA15" s="8">
        <f t="shared" si="26"/>
        <v>6582.5771324863881</v>
      </c>
      <c r="AB15" s="8">
        <f t="shared" si="26"/>
        <v>6582.5771324863881</v>
      </c>
      <c r="AC15" s="8">
        <f t="shared" si="26"/>
        <v>6582.5771324863881</v>
      </c>
      <c r="AD15" s="8">
        <f t="shared" si="26"/>
        <v>6582.5771324863881</v>
      </c>
      <c r="AE15" s="8">
        <f t="shared" si="26"/>
        <v>6582.5771324863881</v>
      </c>
      <c r="AF15" s="8">
        <f t="shared" si="26"/>
        <v>6582.5771324863881</v>
      </c>
      <c r="AG15" s="8">
        <f t="shared" si="26"/>
        <v>6582.5771324863881</v>
      </c>
    </row>
    <row r="17" spans="1:5" x14ac:dyDescent="0.25">
      <c r="A17" s="23" t="s">
        <v>30</v>
      </c>
      <c r="B17" s="18"/>
    </row>
    <row r="18" spans="1:5" x14ac:dyDescent="0.25">
      <c r="A18" s="18" t="s">
        <v>4</v>
      </c>
      <c r="B18" s="19">
        <v>0.8</v>
      </c>
    </row>
    <row r="19" spans="1:5" x14ac:dyDescent="0.25">
      <c r="A19" s="18" t="s">
        <v>2</v>
      </c>
      <c r="B19" s="19">
        <v>1</v>
      </c>
      <c r="E19" s="5"/>
    </row>
    <row r="20" spans="1:5" x14ac:dyDescent="0.25">
      <c r="A20" s="18" t="s">
        <v>16</v>
      </c>
      <c r="B20" s="18">
        <v>4.2</v>
      </c>
    </row>
    <row r="21" spans="1:5" x14ac:dyDescent="0.25">
      <c r="A21" s="18" t="s">
        <v>7</v>
      </c>
      <c r="B21" s="18">
        <v>117</v>
      </c>
    </row>
    <row r="22" spans="1:5" x14ac:dyDescent="0.25">
      <c r="A22" s="18" t="s">
        <v>67</v>
      </c>
      <c r="B22" s="18">
        <v>5</v>
      </c>
    </row>
    <row r="23" spans="1:5" x14ac:dyDescent="0.25">
      <c r="A23" s="22" t="s">
        <v>0</v>
      </c>
      <c r="B23" s="18"/>
    </row>
    <row r="24" spans="1:5" x14ac:dyDescent="0.25">
      <c r="A24" s="20" t="s">
        <v>66</v>
      </c>
      <c r="B24" s="18"/>
    </row>
    <row r="26" spans="1:5" x14ac:dyDescent="0.25">
      <c r="A26" s="5" t="s">
        <v>34</v>
      </c>
    </row>
    <row r="27" spans="1:5" x14ac:dyDescent="0.25">
      <c r="A27" s="12" t="s">
        <v>14</v>
      </c>
      <c r="B27" s="14">
        <f>SUM(H11:M11)</f>
        <v>39495.462794918327</v>
      </c>
    </row>
    <row r="28" spans="1:5" x14ac:dyDescent="0.25">
      <c r="A28" s="10" t="s">
        <v>11</v>
      </c>
      <c r="B28" s="11">
        <f>SUM(H12:M12)+SUM(H13:M13)</f>
        <v>26609.702278941881</v>
      </c>
    </row>
    <row r="29" spans="1:5" x14ac:dyDescent="0.25">
      <c r="A29" s="9" t="s">
        <v>17</v>
      </c>
      <c r="B29" s="8">
        <f>B27-B28</f>
        <v>12885.760515976446</v>
      </c>
    </row>
    <row r="30" spans="1:5" x14ac:dyDescent="0.25">
      <c r="A30" s="9" t="s">
        <v>15</v>
      </c>
      <c r="B30" s="4">
        <f>B29/B27</f>
        <v>0.32625926129505661</v>
      </c>
    </row>
    <row r="31" spans="1:5" x14ac:dyDescent="0.25">
      <c r="C31" s="13"/>
    </row>
    <row r="32" spans="1:5" x14ac:dyDescent="0.25">
      <c r="A32" s="5" t="s">
        <v>35</v>
      </c>
    </row>
    <row r="33" spans="1:2" x14ac:dyDescent="0.25">
      <c r="A33" s="12" t="s">
        <v>14</v>
      </c>
      <c r="B33" s="14">
        <f>SUM(H11:AG11)</f>
        <v>171147.00544464609</v>
      </c>
    </row>
    <row r="34" spans="1:2" x14ac:dyDescent="0.25">
      <c r="A34" s="10" t="s">
        <v>11</v>
      </c>
      <c r="B34" s="11">
        <f>SUM(H12:AG12)+SUM(H13:AG13)</f>
        <v>36243.909396543611</v>
      </c>
    </row>
    <row r="35" spans="1:2" x14ac:dyDescent="0.25">
      <c r="A35" s="9" t="s">
        <v>17</v>
      </c>
      <c r="B35" s="8">
        <f>B33-B34</f>
        <v>134903.09604810248</v>
      </c>
    </row>
    <row r="36" spans="1:2" x14ac:dyDescent="0.25">
      <c r="A36" s="9" t="s">
        <v>15</v>
      </c>
      <c r="B36" s="4">
        <f>B35/B33</f>
        <v>0.78822936865076532</v>
      </c>
    </row>
  </sheetData>
  <hyperlinks>
    <hyperlink ref="A23" r:id="rId1" xr:uid="{93D77D7E-C9EC-414A-BFEF-A22A853FE19F}"/>
    <hyperlink ref="A24" r:id="rId2" location=":~:text=The%20bill%20establishes%20a%20standard,for%20all%20electric%20utilities%20by " xr:uid="{4523DD83-1B13-4D56-920B-0F871E315081}"/>
  </hyperlinks>
  <pageMargins left="0.7" right="0.7" top="0.75" bottom="0.75" header="0.3" footer="0.3"/>
  <pageSetup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FFC117-06EC-4DA9-8B24-F7109229ECDC}">
  <dimension ref="A1:AG39"/>
  <sheetViews>
    <sheetView workbookViewId="0">
      <selection activeCell="F30" sqref="F30"/>
    </sheetView>
  </sheetViews>
  <sheetFormatPr defaultRowHeight="15" x14ac:dyDescent="0.25"/>
  <cols>
    <col min="1" max="1" width="32.140625" customWidth="1"/>
    <col min="3" max="23" width="9.28515625" customWidth="1"/>
  </cols>
  <sheetData>
    <row r="1" spans="1:33" ht="18.75" x14ac:dyDescent="0.3">
      <c r="A1" s="24" t="s">
        <v>38</v>
      </c>
    </row>
    <row r="2" spans="1:33" x14ac:dyDescent="0.25">
      <c r="A2" t="s">
        <v>45</v>
      </c>
      <c r="C2" s="1">
        <v>0.05</v>
      </c>
      <c r="D2" s="1">
        <f>1-D4/$C$4</f>
        <v>0.52494802494802495</v>
      </c>
      <c r="E2" s="1">
        <f>1-E4/$C$4</f>
        <v>0.60498960498960497</v>
      </c>
      <c r="F2" s="1">
        <f>1-F4/$C$4</f>
        <v>0.57588357588357586</v>
      </c>
      <c r="G2" s="1">
        <f>1-G4/$C$4</f>
        <v>0.57692307692307687</v>
      </c>
      <c r="H2" s="4">
        <f>($M$2-$G$2)/($M$3-$G$3)+G2</f>
        <v>0.59743589743589742</v>
      </c>
      <c r="I2" s="4">
        <f t="shared" ref="I2:L2" si="0">($M$2-$G$2)/($M$3-$G$3)+H2</f>
        <v>0.61794871794871797</v>
      </c>
      <c r="J2" s="4">
        <f t="shared" si="0"/>
        <v>0.63846153846153852</v>
      </c>
      <c r="K2" s="4">
        <f t="shared" si="0"/>
        <v>0.65897435897435908</v>
      </c>
      <c r="L2" s="4">
        <f t="shared" si="0"/>
        <v>0.67948717948717963</v>
      </c>
      <c r="M2" s="6">
        <v>0.7</v>
      </c>
      <c r="N2" s="2">
        <f>($W$2-$M$2)/($W$3-$M$3)+M2</f>
        <v>0.73</v>
      </c>
      <c r="O2" s="49">
        <f>($W$2-$M$2)/($W$3-$M$3)+N2</f>
        <v>0.76</v>
      </c>
      <c r="P2" s="49">
        <f t="shared" ref="P2:U2" si="1">($W$2-$M$2)/($W$3-$M$3)+O2</f>
        <v>0.79</v>
      </c>
      <c r="Q2" s="49">
        <f t="shared" si="1"/>
        <v>0.82000000000000006</v>
      </c>
      <c r="R2" s="49">
        <f t="shared" si="1"/>
        <v>0.85000000000000009</v>
      </c>
      <c r="S2" s="49">
        <f t="shared" si="1"/>
        <v>0.88000000000000012</v>
      </c>
      <c r="T2" s="49">
        <f t="shared" si="1"/>
        <v>0.91000000000000014</v>
      </c>
      <c r="U2" s="49">
        <f t="shared" si="1"/>
        <v>0.94000000000000017</v>
      </c>
      <c r="V2" s="49">
        <f>($W$2-$M$2)/($W$3-$M$3)+U2</f>
        <v>0.9700000000000002</v>
      </c>
      <c r="W2" s="50">
        <v>1</v>
      </c>
      <c r="X2" s="50">
        <f>W2</f>
        <v>1</v>
      </c>
      <c r="Y2" s="50">
        <f t="shared" ref="Y2:AF2" si="2">X2</f>
        <v>1</v>
      </c>
      <c r="Z2" s="50">
        <f t="shared" si="2"/>
        <v>1</v>
      </c>
      <c r="AA2" s="50">
        <f t="shared" si="2"/>
        <v>1</v>
      </c>
      <c r="AB2" s="50">
        <f t="shared" si="2"/>
        <v>1</v>
      </c>
      <c r="AC2" s="50">
        <f t="shared" si="2"/>
        <v>1</v>
      </c>
      <c r="AD2" s="50">
        <f t="shared" si="2"/>
        <v>1</v>
      </c>
      <c r="AE2" s="50">
        <f t="shared" si="2"/>
        <v>1</v>
      </c>
      <c r="AF2" s="50">
        <f t="shared" si="2"/>
        <v>1</v>
      </c>
      <c r="AG2" s="51">
        <v>1</v>
      </c>
    </row>
    <row r="3" spans="1:33" x14ac:dyDescent="0.25">
      <c r="A3" t="s">
        <v>29</v>
      </c>
      <c r="C3" s="15">
        <v>2005</v>
      </c>
      <c r="D3" s="15">
        <v>2021</v>
      </c>
      <c r="E3" s="15">
        <v>2022</v>
      </c>
      <c r="F3" s="15">
        <v>2023</v>
      </c>
      <c r="G3" s="15">
        <v>2024</v>
      </c>
      <c r="H3">
        <v>2025</v>
      </c>
      <c r="I3">
        <v>2026</v>
      </c>
      <c r="J3">
        <v>2027</v>
      </c>
      <c r="K3">
        <v>2028</v>
      </c>
      <c r="L3">
        <v>2029</v>
      </c>
      <c r="M3">
        <v>2030</v>
      </c>
      <c r="N3">
        <v>2031</v>
      </c>
      <c r="O3">
        <v>2032</v>
      </c>
      <c r="P3">
        <v>2033</v>
      </c>
      <c r="Q3">
        <v>2034</v>
      </c>
      <c r="R3">
        <v>2035</v>
      </c>
      <c r="S3">
        <v>2036</v>
      </c>
      <c r="T3">
        <v>2037</v>
      </c>
      <c r="U3">
        <v>2038</v>
      </c>
      <c r="V3">
        <v>2039</v>
      </c>
      <c r="W3" s="47">
        <v>2040</v>
      </c>
      <c r="X3" s="47">
        <v>2041</v>
      </c>
      <c r="Y3" s="47">
        <v>2042</v>
      </c>
      <c r="Z3" s="47">
        <v>2043</v>
      </c>
      <c r="AA3" s="47">
        <v>2044</v>
      </c>
      <c r="AB3" s="47">
        <v>2045</v>
      </c>
      <c r="AC3" s="47">
        <v>2046</v>
      </c>
      <c r="AD3" s="47">
        <v>2047</v>
      </c>
      <c r="AE3" s="47">
        <v>2048</v>
      </c>
      <c r="AF3" s="47">
        <v>2049</v>
      </c>
      <c r="AG3" s="47">
        <v>2050</v>
      </c>
    </row>
    <row r="4" spans="1:33" x14ac:dyDescent="0.25">
      <c r="A4" t="s">
        <v>46</v>
      </c>
      <c r="C4" s="15">
        <v>0.96199999999999997</v>
      </c>
      <c r="D4" s="15">
        <v>0.45700000000000002</v>
      </c>
      <c r="E4" s="16">
        <v>0.38</v>
      </c>
      <c r="F4" s="16">
        <v>0.40799999999999997</v>
      </c>
      <c r="G4" s="16">
        <v>0.40699999999999997</v>
      </c>
      <c r="H4" s="3">
        <f t="shared" ref="H4:AG4" si="3">$C$4-$C$4*H2</f>
        <v>0.38726666666666665</v>
      </c>
      <c r="I4" s="3">
        <f t="shared" si="3"/>
        <v>0.36753333333333327</v>
      </c>
      <c r="J4" s="3">
        <f t="shared" si="3"/>
        <v>0.34779999999999989</v>
      </c>
      <c r="K4" s="3">
        <f t="shared" si="3"/>
        <v>0.32806666666666651</v>
      </c>
      <c r="L4" s="3">
        <f t="shared" si="3"/>
        <v>0.30833333333333324</v>
      </c>
      <c r="M4" s="3">
        <f t="shared" si="3"/>
        <v>0.28860000000000008</v>
      </c>
      <c r="N4" s="3">
        <f t="shared" si="3"/>
        <v>0.25973999999999997</v>
      </c>
      <c r="O4" s="3">
        <f t="shared" si="3"/>
        <v>0.23087999999999997</v>
      </c>
      <c r="P4" s="3">
        <f t="shared" si="3"/>
        <v>0.20201999999999998</v>
      </c>
      <c r="Q4" s="3">
        <f t="shared" si="3"/>
        <v>0.17315999999999998</v>
      </c>
      <c r="R4" s="3">
        <f t="shared" si="3"/>
        <v>0.14429999999999987</v>
      </c>
      <c r="S4" s="3">
        <f t="shared" si="3"/>
        <v>0.11543999999999988</v>
      </c>
      <c r="T4" s="3">
        <f t="shared" si="3"/>
        <v>8.6579999999999879E-2</v>
      </c>
      <c r="U4" s="3">
        <f t="shared" si="3"/>
        <v>5.7719999999999883E-2</v>
      </c>
      <c r="V4" s="3">
        <f t="shared" si="3"/>
        <v>2.8859999999999775E-2</v>
      </c>
      <c r="W4" s="48">
        <f t="shared" si="3"/>
        <v>0</v>
      </c>
      <c r="X4" s="48">
        <f t="shared" si="3"/>
        <v>0</v>
      </c>
      <c r="Y4" s="48">
        <f t="shared" si="3"/>
        <v>0</v>
      </c>
      <c r="Z4" s="48">
        <f t="shared" si="3"/>
        <v>0</v>
      </c>
      <c r="AA4" s="48">
        <f t="shared" si="3"/>
        <v>0</v>
      </c>
      <c r="AB4" s="48">
        <f t="shared" si="3"/>
        <v>0</v>
      </c>
      <c r="AC4" s="48">
        <f t="shared" si="3"/>
        <v>0</v>
      </c>
      <c r="AD4" s="48">
        <f t="shared" si="3"/>
        <v>0</v>
      </c>
      <c r="AE4" s="48">
        <f t="shared" si="3"/>
        <v>0</v>
      </c>
      <c r="AF4" s="48">
        <f t="shared" si="3"/>
        <v>0</v>
      </c>
      <c r="AG4" s="48">
        <f t="shared" si="3"/>
        <v>0</v>
      </c>
    </row>
    <row r="5" spans="1:33" x14ac:dyDescent="0.25">
      <c r="A5" t="s">
        <v>8</v>
      </c>
      <c r="B5" t="s">
        <v>3</v>
      </c>
      <c r="E5" s="8">
        <v>124000</v>
      </c>
      <c r="F5" s="8">
        <f>E5</f>
        <v>124000</v>
      </c>
      <c r="G5" s="8">
        <f t="shared" ref="G5:AG5" si="4">F5</f>
        <v>124000</v>
      </c>
      <c r="H5" s="8">
        <f t="shared" si="4"/>
        <v>124000</v>
      </c>
      <c r="I5" s="8">
        <f t="shared" si="4"/>
        <v>124000</v>
      </c>
      <c r="J5" s="8">
        <f t="shared" si="4"/>
        <v>124000</v>
      </c>
      <c r="K5" s="8">
        <f t="shared" si="4"/>
        <v>124000</v>
      </c>
      <c r="L5" s="8">
        <f t="shared" si="4"/>
        <v>124000</v>
      </c>
      <c r="M5" s="8">
        <f t="shared" si="4"/>
        <v>124000</v>
      </c>
      <c r="N5" s="8">
        <f t="shared" si="4"/>
        <v>124000</v>
      </c>
      <c r="O5" s="8">
        <f t="shared" si="4"/>
        <v>124000</v>
      </c>
      <c r="P5" s="8">
        <f t="shared" si="4"/>
        <v>124000</v>
      </c>
      <c r="Q5" s="8">
        <f t="shared" si="4"/>
        <v>124000</v>
      </c>
      <c r="R5" s="8">
        <f t="shared" si="4"/>
        <v>124000</v>
      </c>
      <c r="S5" s="8">
        <f t="shared" si="4"/>
        <v>124000</v>
      </c>
      <c r="T5" s="8">
        <f t="shared" si="4"/>
        <v>124000</v>
      </c>
      <c r="U5" s="8">
        <f t="shared" si="4"/>
        <v>124000</v>
      </c>
      <c r="V5" s="8">
        <f t="shared" si="4"/>
        <v>124000</v>
      </c>
      <c r="W5" s="8">
        <f t="shared" si="4"/>
        <v>124000</v>
      </c>
      <c r="X5" s="8">
        <f t="shared" si="4"/>
        <v>124000</v>
      </c>
      <c r="Y5" s="8">
        <f t="shared" si="4"/>
        <v>124000</v>
      </c>
      <c r="Z5" s="8">
        <f t="shared" si="4"/>
        <v>124000</v>
      </c>
      <c r="AA5" s="8">
        <f t="shared" si="4"/>
        <v>124000</v>
      </c>
      <c r="AB5" s="8">
        <f t="shared" si="4"/>
        <v>124000</v>
      </c>
      <c r="AC5" s="8">
        <f t="shared" si="4"/>
        <v>124000</v>
      </c>
      <c r="AD5" s="8">
        <f t="shared" si="4"/>
        <v>124000</v>
      </c>
      <c r="AE5" s="8">
        <f t="shared" si="4"/>
        <v>124000</v>
      </c>
      <c r="AF5" s="8">
        <f t="shared" si="4"/>
        <v>124000</v>
      </c>
      <c r="AG5" s="8">
        <f t="shared" si="4"/>
        <v>124000</v>
      </c>
    </row>
    <row r="6" spans="1:33" x14ac:dyDescent="0.25">
      <c r="A6" t="s">
        <v>9</v>
      </c>
      <c r="B6" t="s">
        <v>3</v>
      </c>
      <c r="E6" s="8">
        <f t="shared" ref="E6:AG6" si="5">E5*$B$19</f>
        <v>62000</v>
      </c>
      <c r="F6" s="8">
        <f t="shared" si="5"/>
        <v>62000</v>
      </c>
      <c r="G6" s="8">
        <f t="shared" si="5"/>
        <v>62000</v>
      </c>
      <c r="H6" s="8">
        <f t="shared" si="5"/>
        <v>62000</v>
      </c>
      <c r="I6" s="8">
        <f t="shared" si="5"/>
        <v>62000</v>
      </c>
      <c r="J6" s="8">
        <f t="shared" si="5"/>
        <v>62000</v>
      </c>
      <c r="K6" s="8">
        <f t="shared" si="5"/>
        <v>62000</v>
      </c>
      <c r="L6" s="8">
        <f t="shared" si="5"/>
        <v>62000</v>
      </c>
      <c r="M6" s="8">
        <f t="shared" si="5"/>
        <v>62000</v>
      </c>
      <c r="N6" s="8">
        <f t="shared" si="5"/>
        <v>62000</v>
      </c>
      <c r="O6" s="8">
        <f t="shared" si="5"/>
        <v>62000</v>
      </c>
      <c r="P6" s="8">
        <f t="shared" si="5"/>
        <v>62000</v>
      </c>
      <c r="Q6" s="8">
        <f t="shared" si="5"/>
        <v>62000</v>
      </c>
      <c r="R6" s="8">
        <f t="shared" si="5"/>
        <v>62000</v>
      </c>
      <c r="S6" s="8">
        <f t="shared" si="5"/>
        <v>62000</v>
      </c>
      <c r="T6" s="8">
        <f t="shared" si="5"/>
        <v>62000</v>
      </c>
      <c r="U6" s="8">
        <f t="shared" si="5"/>
        <v>62000</v>
      </c>
      <c r="V6" s="8">
        <f t="shared" si="5"/>
        <v>62000</v>
      </c>
      <c r="W6" s="8">
        <f t="shared" si="5"/>
        <v>62000</v>
      </c>
      <c r="X6" s="8">
        <f t="shared" si="5"/>
        <v>62000</v>
      </c>
      <c r="Y6" s="8">
        <f t="shared" si="5"/>
        <v>62000</v>
      </c>
      <c r="Z6" s="8">
        <f t="shared" si="5"/>
        <v>62000</v>
      </c>
      <c r="AA6" s="8">
        <f t="shared" si="5"/>
        <v>62000</v>
      </c>
      <c r="AB6" s="8">
        <f t="shared" si="5"/>
        <v>62000</v>
      </c>
      <c r="AC6" s="8">
        <f t="shared" si="5"/>
        <v>62000</v>
      </c>
      <c r="AD6" s="8">
        <f t="shared" si="5"/>
        <v>62000</v>
      </c>
      <c r="AE6" s="8">
        <f t="shared" si="5"/>
        <v>62000</v>
      </c>
      <c r="AF6" s="8">
        <f t="shared" si="5"/>
        <v>62000</v>
      </c>
      <c r="AG6" s="8">
        <f t="shared" si="5"/>
        <v>62000</v>
      </c>
    </row>
    <row r="7" spans="1:33" x14ac:dyDescent="0.25">
      <c r="A7" t="s">
        <v>6</v>
      </c>
      <c r="B7" t="s">
        <v>3</v>
      </c>
      <c r="E7" s="8">
        <f t="shared" ref="E7:AG7" si="6">E6*$B$18</f>
        <v>49600</v>
      </c>
      <c r="F7" s="8">
        <f t="shared" si="6"/>
        <v>49600</v>
      </c>
      <c r="G7" s="8">
        <f t="shared" si="6"/>
        <v>49600</v>
      </c>
      <c r="H7" s="8">
        <f t="shared" si="6"/>
        <v>49600</v>
      </c>
      <c r="I7" s="8">
        <f t="shared" si="6"/>
        <v>49600</v>
      </c>
      <c r="J7" s="8">
        <f t="shared" si="6"/>
        <v>49600</v>
      </c>
      <c r="K7" s="8">
        <f t="shared" si="6"/>
        <v>49600</v>
      </c>
      <c r="L7" s="8">
        <f t="shared" si="6"/>
        <v>49600</v>
      </c>
      <c r="M7" s="8">
        <f t="shared" si="6"/>
        <v>49600</v>
      </c>
      <c r="N7" s="8">
        <f t="shared" si="6"/>
        <v>49600</v>
      </c>
      <c r="O7" s="8">
        <f t="shared" si="6"/>
        <v>49600</v>
      </c>
      <c r="P7" s="8">
        <f t="shared" si="6"/>
        <v>49600</v>
      </c>
      <c r="Q7" s="8">
        <f t="shared" si="6"/>
        <v>49600</v>
      </c>
      <c r="R7" s="8">
        <f t="shared" si="6"/>
        <v>49600</v>
      </c>
      <c r="S7" s="8">
        <f t="shared" si="6"/>
        <v>49600</v>
      </c>
      <c r="T7" s="8">
        <f t="shared" si="6"/>
        <v>49600</v>
      </c>
      <c r="U7" s="8">
        <f t="shared" si="6"/>
        <v>49600</v>
      </c>
      <c r="V7" s="8">
        <f t="shared" si="6"/>
        <v>49600</v>
      </c>
      <c r="W7" s="8">
        <f t="shared" si="6"/>
        <v>49600</v>
      </c>
      <c r="X7" s="8">
        <f t="shared" si="6"/>
        <v>49600</v>
      </c>
      <c r="Y7" s="8">
        <f t="shared" si="6"/>
        <v>49600</v>
      </c>
      <c r="Z7" s="8">
        <f t="shared" si="6"/>
        <v>49600</v>
      </c>
      <c r="AA7" s="8">
        <f t="shared" si="6"/>
        <v>49600</v>
      </c>
      <c r="AB7" s="8">
        <f t="shared" si="6"/>
        <v>49600</v>
      </c>
      <c r="AC7" s="8">
        <f t="shared" si="6"/>
        <v>49600</v>
      </c>
      <c r="AD7" s="8">
        <f t="shared" si="6"/>
        <v>49600</v>
      </c>
      <c r="AE7" s="8">
        <f t="shared" si="6"/>
        <v>49600</v>
      </c>
      <c r="AF7" s="8">
        <f t="shared" si="6"/>
        <v>49600</v>
      </c>
      <c r="AG7" s="8">
        <f t="shared" si="6"/>
        <v>49600</v>
      </c>
    </row>
    <row r="8" spans="1:33" x14ac:dyDescent="0.25">
      <c r="A8" t="s">
        <v>5</v>
      </c>
      <c r="B8" t="s">
        <v>1</v>
      </c>
      <c r="E8" s="8">
        <f t="shared" ref="E8:AG8" si="7">E7/3.412/$B$20</f>
        <v>3461.1734494501197</v>
      </c>
      <c r="F8" s="8">
        <f t="shared" si="7"/>
        <v>3461.1734494501197</v>
      </c>
      <c r="G8" s="8">
        <f t="shared" si="7"/>
        <v>3461.1734494501197</v>
      </c>
      <c r="H8" s="8">
        <f t="shared" si="7"/>
        <v>3461.1734494501197</v>
      </c>
      <c r="I8" s="8">
        <f t="shared" si="7"/>
        <v>3461.1734494501197</v>
      </c>
      <c r="J8" s="8">
        <f t="shared" si="7"/>
        <v>3461.1734494501197</v>
      </c>
      <c r="K8" s="8">
        <f t="shared" si="7"/>
        <v>3461.1734494501197</v>
      </c>
      <c r="L8" s="8">
        <f t="shared" si="7"/>
        <v>3461.1734494501197</v>
      </c>
      <c r="M8" s="8">
        <f t="shared" si="7"/>
        <v>3461.1734494501197</v>
      </c>
      <c r="N8" s="8">
        <f t="shared" si="7"/>
        <v>3461.1734494501197</v>
      </c>
      <c r="O8" s="8">
        <f t="shared" si="7"/>
        <v>3461.1734494501197</v>
      </c>
      <c r="P8" s="8">
        <f t="shared" si="7"/>
        <v>3461.1734494501197</v>
      </c>
      <c r="Q8" s="8">
        <f t="shared" si="7"/>
        <v>3461.1734494501197</v>
      </c>
      <c r="R8" s="8">
        <f t="shared" si="7"/>
        <v>3461.1734494501197</v>
      </c>
      <c r="S8" s="8">
        <f t="shared" si="7"/>
        <v>3461.1734494501197</v>
      </c>
      <c r="T8" s="8">
        <f t="shared" si="7"/>
        <v>3461.1734494501197</v>
      </c>
      <c r="U8" s="8">
        <f t="shared" si="7"/>
        <v>3461.1734494501197</v>
      </c>
      <c r="V8" s="8">
        <f t="shared" si="7"/>
        <v>3461.1734494501197</v>
      </c>
      <c r="W8" s="8">
        <f t="shared" si="7"/>
        <v>3461.1734494501197</v>
      </c>
      <c r="X8" s="8">
        <f t="shared" si="7"/>
        <v>3461.1734494501197</v>
      </c>
      <c r="Y8" s="8">
        <f t="shared" si="7"/>
        <v>3461.1734494501197</v>
      </c>
      <c r="Z8" s="8">
        <f t="shared" si="7"/>
        <v>3461.1734494501197</v>
      </c>
      <c r="AA8" s="8">
        <f t="shared" si="7"/>
        <v>3461.1734494501197</v>
      </c>
      <c r="AB8" s="8">
        <f t="shared" si="7"/>
        <v>3461.1734494501197</v>
      </c>
      <c r="AC8" s="8">
        <f t="shared" si="7"/>
        <v>3461.1734494501197</v>
      </c>
      <c r="AD8" s="8">
        <f t="shared" si="7"/>
        <v>3461.1734494501197</v>
      </c>
      <c r="AE8" s="8">
        <f t="shared" si="7"/>
        <v>3461.1734494501197</v>
      </c>
      <c r="AF8" s="8">
        <f t="shared" si="7"/>
        <v>3461.1734494501197</v>
      </c>
      <c r="AG8" s="8">
        <f t="shared" si="7"/>
        <v>3461.1734494501197</v>
      </c>
    </row>
    <row r="9" spans="1:33" x14ac:dyDescent="0.25">
      <c r="A9" t="s">
        <v>56</v>
      </c>
      <c r="B9" t="s">
        <v>42</v>
      </c>
      <c r="E9" s="4">
        <v>0</v>
      </c>
      <c r="F9" s="4">
        <v>0</v>
      </c>
      <c r="G9" s="4">
        <v>0</v>
      </c>
      <c r="H9" s="4">
        <v>0</v>
      </c>
      <c r="I9" s="4">
        <v>0</v>
      </c>
      <c r="J9" s="4">
        <v>0</v>
      </c>
      <c r="K9" s="1">
        <v>1</v>
      </c>
      <c r="L9" s="1">
        <v>1</v>
      </c>
      <c r="M9" s="1">
        <f t="shared" ref="M9:AG9" si="8">L9</f>
        <v>1</v>
      </c>
      <c r="N9" s="1">
        <f t="shared" si="8"/>
        <v>1</v>
      </c>
      <c r="O9" s="1">
        <f t="shared" si="8"/>
        <v>1</v>
      </c>
      <c r="P9" s="1">
        <f t="shared" si="8"/>
        <v>1</v>
      </c>
      <c r="Q9" s="1">
        <f t="shared" si="8"/>
        <v>1</v>
      </c>
      <c r="R9" s="1">
        <f t="shared" si="8"/>
        <v>1</v>
      </c>
      <c r="S9" s="1">
        <f t="shared" si="8"/>
        <v>1</v>
      </c>
      <c r="T9" s="1">
        <f t="shared" si="8"/>
        <v>1</v>
      </c>
      <c r="U9" s="1">
        <f t="shared" si="8"/>
        <v>1</v>
      </c>
      <c r="V9" s="1">
        <f t="shared" si="8"/>
        <v>1</v>
      </c>
      <c r="W9" s="1">
        <f t="shared" si="8"/>
        <v>1</v>
      </c>
      <c r="X9" s="1">
        <f t="shared" si="8"/>
        <v>1</v>
      </c>
      <c r="Y9" s="1">
        <f t="shared" si="8"/>
        <v>1</v>
      </c>
      <c r="Z9" s="1">
        <f t="shared" si="8"/>
        <v>1</v>
      </c>
      <c r="AA9" s="1">
        <f t="shared" si="8"/>
        <v>1</v>
      </c>
      <c r="AB9" s="1">
        <f t="shared" si="8"/>
        <v>1</v>
      </c>
      <c r="AC9" s="1">
        <f t="shared" si="8"/>
        <v>1</v>
      </c>
      <c r="AD9" s="1">
        <f t="shared" si="8"/>
        <v>1</v>
      </c>
      <c r="AE9" s="1">
        <f t="shared" si="8"/>
        <v>1</v>
      </c>
      <c r="AF9" s="1">
        <f t="shared" si="8"/>
        <v>1</v>
      </c>
      <c r="AG9" s="1">
        <f t="shared" si="8"/>
        <v>1</v>
      </c>
    </row>
    <row r="10" spans="1:33" x14ac:dyDescent="0.25">
      <c r="E10" s="8"/>
    </row>
    <row r="11" spans="1:33" x14ac:dyDescent="0.25">
      <c r="A11" t="s">
        <v>10</v>
      </c>
      <c r="B11" t="s">
        <v>44</v>
      </c>
      <c r="E11" s="8">
        <f t="shared" ref="E11:AG11" si="9">E6*$B$21/2204</f>
        <v>3291.2885662431941</v>
      </c>
      <c r="F11" s="7">
        <f t="shared" si="9"/>
        <v>3291.2885662431941</v>
      </c>
      <c r="G11" s="7">
        <f t="shared" si="9"/>
        <v>3291.2885662431941</v>
      </c>
      <c r="H11" s="7">
        <f t="shared" si="9"/>
        <v>3291.2885662431941</v>
      </c>
      <c r="I11" s="7">
        <f t="shared" si="9"/>
        <v>3291.2885662431941</v>
      </c>
      <c r="J11" s="7">
        <f t="shared" si="9"/>
        <v>3291.2885662431941</v>
      </c>
      <c r="K11" s="7">
        <f t="shared" si="9"/>
        <v>3291.2885662431941</v>
      </c>
      <c r="L11" s="7">
        <f t="shared" si="9"/>
        <v>3291.2885662431941</v>
      </c>
      <c r="M11" s="7">
        <f t="shared" si="9"/>
        <v>3291.2885662431941</v>
      </c>
      <c r="N11" s="7">
        <f t="shared" si="9"/>
        <v>3291.2885662431941</v>
      </c>
      <c r="O11" s="7">
        <f t="shared" si="9"/>
        <v>3291.2885662431941</v>
      </c>
      <c r="P11" s="7">
        <f t="shared" si="9"/>
        <v>3291.2885662431941</v>
      </c>
      <c r="Q11" s="7">
        <f t="shared" si="9"/>
        <v>3291.2885662431941</v>
      </c>
      <c r="R11" s="7">
        <f t="shared" si="9"/>
        <v>3291.2885662431941</v>
      </c>
      <c r="S11" s="7">
        <f t="shared" si="9"/>
        <v>3291.2885662431941</v>
      </c>
      <c r="T11" s="7">
        <f t="shared" si="9"/>
        <v>3291.2885662431941</v>
      </c>
      <c r="U11" s="7">
        <f t="shared" si="9"/>
        <v>3291.2885662431941</v>
      </c>
      <c r="V11" s="7">
        <f t="shared" si="9"/>
        <v>3291.2885662431941</v>
      </c>
      <c r="W11" s="7">
        <f t="shared" si="9"/>
        <v>3291.2885662431941</v>
      </c>
      <c r="X11" s="7">
        <f t="shared" si="9"/>
        <v>3291.2885662431941</v>
      </c>
      <c r="Y11" s="7">
        <f t="shared" si="9"/>
        <v>3291.2885662431941</v>
      </c>
      <c r="Z11" s="7">
        <f t="shared" si="9"/>
        <v>3291.2885662431941</v>
      </c>
      <c r="AA11" s="7">
        <f t="shared" si="9"/>
        <v>3291.2885662431941</v>
      </c>
      <c r="AB11" s="7">
        <f t="shared" si="9"/>
        <v>3291.2885662431941</v>
      </c>
      <c r="AC11" s="7">
        <f t="shared" si="9"/>
        <v>3291.2885662431941</v>
      </c>
      <c r="AD11" s="7">
        <f t="shared" si="9"/>
        <v>3291.2885662431941</v>
      </c>
      <c r="AE11" s="7">
        <f t="shared" si="9"/>
        <v>3291.2885662431941</v>
      </c>
      <c r="AF11" s="7">
        <f t="shared" si="9"/>
        <v>3291.2885662431941</v>
      </c>
      <c r="AG11" s="7">
        <f t="shared" si="9"/>
        <v>3291.2885662431941</v>
      </c>
    </row>
    <row r="12" spans="1:33" x14ac:dyDescent="0.25">
      <c r="A12" t="s">
        <v>12</v>
      </c>
      <c r="B12" t="s">
        <v>44</v>
      </c>
      <c r="E12" s="8">
        <f>E8*E4*E9+(1-E9)*E11</f>
        <v>3291.2885662431941</v>
      </c>
      <c r="F12" s="8">
        <f t="shared" ref="F12:R12" si="10">F8*F4*F9+(1-F9)*F11</f>
        <v>3291.2885662431941</v>
      </c>
      <c r="G12" s="8">
        <f t="shared" si="10"/>
        <v>3291.2885662431941</v>
      </c>
      <c r="H12" s="8">
        <f t="shared" si="10"/>
        <v>3291.2885662431941</v>
      </c>
      <c r="I12" s="8">
        <f t="shared" si="10"/>
        <v>3291.2885662431941</v>
      </c>
      <c r="J12" s="8">
        <f t="shared" si="10"/>
        <v>3291.2885662431941</v>
      </c>
      <c r="K12" s="8">
        <f t="shared" si="10"/>
        <v>1135.4956363162687</v>
      </c>
      <c r="L12" s="8">
        <f t="shared" si="10"/>
        <v>1067.1951469137866</v>
      </c>
      <c r="M12" s="8">
        <f t="shared" si="10"/>
        <v>998.89465751130479</v>
      </c>
      <c r="N12" s="8">
        <f t="shared" si="10"/>
        <v>899.00519176017394</v>
      </c>
      <c r="O12" s="8">
        <f t="shared" si="10"/>
        <v>799.11572600904356</v>
      </c>
      <c r="P12" s="8">
        <f t="shared" si="10"/>
        <v>699.22626025791305</v>
      </c>
      <c r="Q12" s="8">
        <f t="shared" si="10"/>
        <v>599.33679450678267</v>
      </c>
      <c r="R12" s="8">
        <f t="shared" si="10"/>
        <v>499.44732875565182</v>
      </c>
      <c r="S12" s="8">
        <f t="shared" ref="S12" si="11">S8*S4*S9+(1-S9)*S11</f>
        <v>399.55786300452138</v>
      </c>
      <c r="T12" s="8">
        <f t="shared" ref="T12" si="12">T8*T4*T9+(1-T9)*T11</f>
        <v>299.66839725339094</v>
      </c>
      <c r="U12" s="8">
        <f t="shared" ref="U12" si="13">U8*U4*U9+(1-U9)*U11</f>
        <v>199.77893150226049</v>
      </c>
      <c r="V12" s="8">
        <f t="shared" ref="V12" si="14">V8*V4*V9+(1-V9)*V11</f>
        <v>99.889465751129677</v>
      </c>
      <c r="W12" s="8">
        <f t="shared" ref="W12" si="15">W8*W4*W9+(1-W9)*W11</f>
        <v>0</v>
      </c>
      <c r="X12" s="8">
        <f t="shared" ref="X12" si="16">X8*X4*X9+(1-X9)*X11</f>
        <v>0</v>
      </c>
      <c r="Y12" s="8">
        <f t="shared" ref="Y12" si="17">Y8*Y4*Y9+(1-Y9)*Y11</f>
        <v>0</v>
      </c>
      <c r="Z12" s="8">
        <f t="shared" ref="Z12" si="18">Z8*Z4*Z9+(1-Z9)*Z11</f>
        <v>0</v>
      </c>
      <c r="AA12" s="8">
        <f t="shared" ref="AA12" si="19">AA8*AA4*AA9+(1-AA9)*AA11</f>
        <v>0</v>
      </c>
      <c r="AB12" s="8">
        <f t="shared" ref="AB12" si="20">AB8*AB4*AB9+(1-AB9)*AB11</f>
        <v>0</v>
      </c>
      <c r="AC12" s="8">
        <f t="shared" ref="AC12" si="21">AC8*AC4*AC9+(1-AC9)*AC11</f>
        <v>0</v>
      </c>
      <c r="AD12" s="8">
        <f t="shared" ref="AD12:AE12" si="22">AD8*AD4*AD9+(1-AD9)*AD11</f>
        <v>0</v>
      </c>
      <c r="AE12" s="8">
        <f t="shared" si="22"/>
        <v>0</v>
      </c>
      <c r="AF12" s="8">
        <f t="shared" ref="AF12" si="23">AF8*AF4*AF9+(1-AF9)*AF11</f>
        <v>0</v>
      </c>
      <c r="AG12" s="8">
        <f t="shared" ref="AG12" si="24">AG8*AG4*AG9+(1-AG9)*AG11</f>
        <v>0</v>
      </c>
    </row>
    <row r="13" spans="1:33" x14ac:dyDescent="0.25">
      <c r="A13" t="s">
        <v>13</v>
      </c>
      <c r="B13" t="s">
        <v>44</v>
      </c>
      <c r="E13" s="8">
        <f>E7*$B$22/1000*E4*E9</f>
        <v>0</v>
      </c>
      <c r="F13" s="8">
        <f t="shared" ref="F13:R13" si="25">F7*$B$22/1000*F4*F9</f>
        <v>0</v>
      </c>
      <c r="G13" s="8">
        <f t="shared" si="25"/>
        <v>0</v>
      </c>
      <c r="H13" s="8">
        <f t="shared" si="25"/>
        <v>0</v>
      </c>
      <c r="I13" s="8">
        <f t="shared" si="25"/>
        <v>0</v>
      </c>
      <c r="J13" s="8">
        <f t="shared" si="25"/>
        <v>0</v>
      </c>
      <c r="K13" s="8">
        <f t="shared" si="25"/>
        <v>81.360533333333294</v>
      </c>
      <c r="L13" s="8">
        <f t="shared" si="25"/>
        <v>76.46666666666664</v>
      </c>
      <c r="M13" s="8">
        <f t="shared" si="25"/>
        <v>71.572800000000015</v>
      </c>
      <c r="N13" s="8">
        <f t="shared" si="25"/>
        <v>64.415519999999987</v>
      </c>
      <c r="O13" s="8">
        <f t="shared" si="25"/>
        <v>57.258239999999994</v>
      </c>
      <c r="P13" s="8">
        <f t="shared" si="25"/>
        <v>50.100959999999993</v>
      </c>
      <c r="Q13" s="8">
        <f t="shared" si="25"/>
        <v>42.943679999999993</v>
      </c>
      <c r="R13" s="8">
        <f t="shared" si="25"/>
        <v>35.786399999999972</v>
      </c>
      <c r="S13" s="8">
        <f t="shared" ref="S13:AG13" si="26">S7*$B$22/1000*S4*S9</f>
        <v>28.629119999999968</v>
      </c>
      <c r="T13" s="8">
        <f t="shared" si="26"/>
        <v>21.471839999999972</v>
      </c>
      <c r="U13" s="8">
        <f t="shared" si="26"/>
        <v>14.314559999999972</v>
      </c>
      <c r="V13" s="8">
        <f t="shared" si="26"/>
        <v>7.1572799999999441</v>
      </c>
      <c r="W13" s="8">
        <f t="shared" si="26"/>
        <v>0</v>
      </c>
      <c r="X13" s="8">
        <f t="shared" si="26"/>
        <v>0</v>
      </c>
      <c r="Y13" s="8">
        <f t="shared" si="26"/>
        <v>0</v>
      </c>
      <c r="Z13" s="8">
        <f t="shared" si="26"/>
        <v>0</v>
      </c>
      <c r="AA13" s="8">
        <f t="shared" si="26"/>
        <v>0</v>
      </c>
      <c r="AB13" s="8">
        <f t="shared" si="26"/>
        <v>0</v>
      </c>
      <c r="AC13" s="8">
        <f t="shared" si="26"/>
        <v>0</v>
      </c>
      <c r="AD13" s="8">
        <f t="shared" si="26"/>
        <v>0</v>
      </c>
      <c r="AE13" s="8">
        <f t="shared" si="26"/>
        <v>0</v>
      </c>
      <c r="AF13" s="8">
        <f t="shared" si="26"/>
        <v>0</v>
      </c>
      <c r="AG13" s="8">
        <f t="shared" si="26"/>
        <v>0</v>
      </c>
    </row>
    <row r="14" spans="1:33" s="52" customFormat="1" x14ac:dyDescent="0.25">
      <c r="A14" s="52" t="s">
        <v>41</v>
      </c>
      <c r="B14" s="52" t="s">
        <v>42</v>
      </c>
      <c r="E14" s="53">
        <f t="shared" ref="E14:AG14" si="27">1-(E12+E13)/E11</f>
        <v>0</v>
      </c>
      <c r="F14" s="53">
        <f t="shared" si="27"/>
        <v>0</v>
      </c>
      <c r="G14" s="53">
        <f t="shared" si="27"/>
        <v>0</v>
      </c>
      <c r="H14" s="53">
        <f t="shared" si="27"/>
        <v>0</v>
      </c>
      <c r="I14" s="53">
        <f t="shared" si="27"/>
        <v>0</v>
      </c>
      <c r="J14" s="53">
        <f t="shared" si="27"/>
        <v>0</v>
      </c>
      <c r="K14" s="53">
        <f t="shared" si="27"/>
        <v>0.63027970803588051</v>
      </c>
      <c r="L14" s="53">
        <f t="shared" si="27"/>
        <v>0.65251852259011311</v>
      </c>
      <c r="M14" s="53">
        <f t="shared" si="27"/>
        <v>0.67475733714434583</v>
      </c>
      <c r="N14" s="53">
        <f t="shared" si="27"/>
        <v>0.70728160342991131</v>
      </c>
      <c r="O14" s="53">
        <f t="shared" si="27"/>
        <v>0.73980586971547668</v>
      </c>
      <c r="P14" s="53">
        <f t="shared" si="27"/>
        <v>0.77233013600104217</v>
      </c>
      <c r="Q14" s="53">
        <f t="shared" si="27"/>
        <v>0.80485440228660754</v>
      </c>
      <c r="R14" s="53">
        <f t="shared" si="27"/>
        <v>0.83737866857217313</v>
      </c>
      <c r="S14" s="53">
        <f t="shared" si="27"/>
        <v>0.86990293485773851</v>
      </c>
      <c r="T14" s="53">
        <f t="shared" si="27"/>
        <v>0.90242720114330388</v>
      </c>
      <c r="U14" s="53">
        <f t="shared" si="27"/>
        <v>0.93495146742886925</v>
      </c>
      <c r="V14" s="53">
        <f t="shared" si="27"/>
        <v>0.96747573371443485</v>
      </c>
      <c r="W14" s="53">
        <f t="shared" si="27"/>
        <v>1</v>
      </c>
      <c r="X14" s="53">
        <f t="shared" si="27"/>
        <v>1</v>
      </c>
      <c r="Y14" s="53">
        <f t="shared" si="27"/>
        <v>1</v>
      </c>
      <c r="Z14" s="53">
        <f t="shared" si="27"/>
        <v>1</v>
      </c>
      <c r="AA14" s="53">
        <f t="shared" si="27"/>
        <v>1</v>
      </c>
      <c r="AB14" s="53">
        <f t="shared" si="27"/>
        <v>1</v>
      </c>
      <c r="AC14" s="53">
        <f t="shared" si="27"/>
        <v>1</v>
      </c>
      <c r="AD14" s="53">
        <f t="shared" si="27"/>
        <v>1</v>
      </c>
      <c r="AE14" s="53">
        <f t="shared" si="27"/>
        <v>1</v>
      </c>
      <c r="AF14" s="53">
        <f t="shared" si="27"/>
        <v>1</v>
      </c>
      <c r="AG14" s="53">
        <f t="shared" si="27"/>
        <v>1</v>
      </c>
    </row>
    <row r="15" spans="1:33" x14ac:dyDescent="0.25">
      <c r="A15" t="s">
        <v>43</v>
      </c>
      <c r="B15" t="s">
        <v>44</v>
      </c>
      <c r="E15" s="8">
        <f>E11-E12-E13</f>
        <v>0</v>
      </c>
      <c r="F15" s="8">
        <f t="shared" ref="F15:AG15" si="28">F11-F12-F13</f>
        <v>0</v>
      </c>
      <c r="G15" s="8">
        <f t="shared" si="28"/>
        <v>0</v>
      </c>
      <c r="H15" s="8">
        <f t="shared" si="28"/>
        <v>0</v>
      </c>
      <c r="I15" s="8">
        <f t="shared" si="28"/>
        <v>0</v>
      </c>
      <c r="J15" s="8">
        <f t="shared" si="28"/>
        <v>0</v>
      </c>
      <c r="K15" s="8">
        <f t="shared" si="28"/>
        <v>2074.4323965935919</v>
      </c>
      <c r="L15" s="8">
        <f t="shared" si="28"/>
        <v>2147.6267526627407</v>
      </c>
      <c r="M15" s="8">
        <f t="shared" si="28"/>
        <v>2220.8211087318896</v>
      </c>
      <c r="N15" s="8">
        <f t="shared" si="28"/>
        <v>2327.86785448302</v>
      </c>
      <c r="O15" s="8">
        <f t="shared" si="28"/>
        <v>2434.9146002341504</v>
      </c>
      <c r="P15" s="8">
        <f t="shared" si="28"/>
        <v>2541.9613459852808</v>
      </c>
      <c r="Q15" s="8">
        <f t="shared" si="28"/>
        <v>2649.0080917364116</v>
      </c>
      <c r="R15" s="8">
        <f t="shared" si="28"/>
        <v>2756.0548374875425</v>
      </c>
      <c r="S15" s="8">
        <f t="shared" si="28"/>
        <v>2863.1015832386724</v>
      </c>
      <c r="T15" s="8">
        <f t="shared" si="28"/>
        <v>2970.1483289898028</v>
      </c>
      <c r="U15" s="8">
        <f t="shared" si="28"/>
        <v>3077.1950747409337</v>
      </c>
      <c r="V15" s="8">
        <f t="shared" si="28"/>
        <v>3184.2418204920646</v>
      </c>
      <c r="W15" s="8">
        <f t="shared" si="28"/>
        <v>3291.2885662431941</v>
      </c>
      <c r="X15" s="8">
        <f t="shared" si="28"/>
        <v>3291.2885662431941</v>
      </c>
      <c r="Y15" s="8">
        <f t="shared" si="28"/>
        <v>3291.2885662431941</v>
      </c>
      <c r="Z15" s="8">
        <f t="shared" si="28"/>
        <v>3291.2885662431941</v>
      </c>
      <c r="AA15" s="8">
        <f t="shared" si="28"/>
        <v>3291.2885662431941</v>
      </c>
      <c r="AB15" s="8">
        <f t="shared" si="28"/>
        <v>3291.2885662431941</v>
      </c>
      <c r="AC15" s="8">
        <f t="shared" si="28"/>
        <v>3291.2885662431941</v>
      </c>
      <c r="AD15" s="8">
        <f t="shared" si="28"/>
        <v>3291.2885662431941</v>
      </c>
      <c r="AE15" s="8">
        <f t="shared" si="28"/>
        <v>3291.2885662431941</v>
      </c>
      <c r="AF15" s="8">
        <f t="shared" si="28"/>
        <v>3291.2885662431941</v>
      </c>
      <c r="AG15" s="8">
        <f t="shared" si="28"/>
        <v>3291.2885662431941</v>
      </c>
    </row>
    <row r="17" spans="1:13" x14ac:dyDescent="0.25">
      <c r="A17" s="23" t="s">
        <v>30</v>
      </c>
      <c r="B17" s="18"/>
    </row>
    <row r="18" spans="1:13" x14ac:dyDescent="0.25">
      <c r="A18" s="18" t="s">
        <v>4</v>
      </c>
      <c r="B18" s="19">
        <v>0.8</v>
      </c>
      <c r="M18" s="7"/>
    </row>
    <row r="19" spans="1:13" x14ac:dyDescent="0.25">
      <c r="A19" s="18" t="s">
        <v>2</v>
      </c>
      <c r="B19" s="19">
        <v>0.5</v>
      </c>
      <c r="E19" s="5"/>
    </row>
    <row r="20" spans="1:13" x14ac:dyDescent="0.25">
      <c r="A20" s="18" t="s">
        <v>16</v>
      </c>
      <c r="B20" s="18">
        <f>'GHG (LP FULL)'!B20</f>
        <v>4.2</v>
      </c>
    </row>
    <row r="21" spans="1:13" x14ac:dyDescent="0.25">
      <c r="A21" s="18" t="s">
        <v>7</v>
      </c>
      <c r="B21" s="18">
        <v>117</v>
      </c>
    </row>
    <row r="22" spans="1:13" x14ac:dyDescent="0.25">
      <c r="A22" s="18" t="s">
        <v>67</v>
      </c>
      <c r="B22" s="18">
        <v>5</v>
      </c>
    </row>
    <row r="23" spans="1:13" x14ac:dyDescent="0.25">
      <c r="A23" s="22" t="s">
        <v>0</v>
      </c>
      <c r="B23" s="18"/>
    </row>
    <row r="24" spans="1:13" x14ac:dyDescent="0.25">
      <c r="A24" s="20" t="s">
        <v>66</v>
      </c>
      <c r="B24" s="18"/>
    </row>
    <row r="26" spans="1:13" x14ac:dyDescent="0.25">
      <c r="A26" s="5" t="s">
        <v>34</v>
      </c>
    </row>
    <row r="27" spans="1:13" x14ac:dyDescent="0.25">
      <c r="A27" s="12" t="s">
        <v>14</v>
      </c>
      <c r="B27" s="14">
        <f>SUM(H11:M11)</f>
        <v>19747.731397459163</v>
      </c>
      <c r="E27" t="s">
        <v>68</v>
      </c>
    </row>
    <row r="28" spans="1:13" x14ac:dyDescent="0.25">
      <c r="A28" s="10" t="s">
        <v>11</v>
      </c>
      <c r="B28" s="11">
        <f>SUM(H12:M12)+SUM(H13:M13)</f>
        <v>13304.85113947094</v>
      </c>
    </row>
    <row r="29" spans="1:13" x14ac:dyDescent="0.25">
      <c r="A29" s="9" t="s">
        <v>17</v>
      </c>
      <c r="B29" s="8">
        <f>B27-B28</f>
        <v>6442.8802579882231</v>
      </c>
      <c r="C29" s="13"/>
    </row>
    <row r="30" spans="1:13" x14ac:dyDescent="0.25">
      <c r="A30" s="9" t="s">
        <v>15</v>
      </c>
      <c r="B30" s="4">
        <f>B29/B27</f>
        <v>0.32625926129505661</v>
      </c>
    </row>
    <row r="32" spans="1:13" x14ac:dyDescent="0.25">
      <c r="A32" s="5" t="s">
        <v>35</v>
      </c>
    </row>
    <row r="33" spans="1:2" x14ac:dyDescent="0.25">
      <c r="A33" s="12" t="s">
        <v>14</v>
      </c>
      <c r="B33" s="14">
        <f>SUM(H11:AG11)</f>
        <v>85573.502722323043</v>
      </c>
    </row>
    <row r="34" spans="1:2" x14ac:dyDescent="0.25">
      <c r="A34" s="10" t="s">
        <v>11</v>
      </c>
      <c r="B34" s="11">
        <f>SUM(H12:AG12)+SUM(H13:AG13)</f>
        <v>18121.954698271806</v>
      </c>
    </row>
    <row r="35" spans="1:2" x14ac:dyDescent="0.25">
      <c r="A35" s="9" t="s">
        <v>17</v>
      </c>
      <c r="B35" s="8">
        <f>B33-B34</f>
        <v>67451.548024051241</v>
      </c>
    </row>
    <row r="36" spans="1:2" x14ac:dyDescent="0.25">
      <c r="A36" s="9" t="s">
        <v>15</v>
      </c>
      <c r="B36" s="4">
        <f>B35/B33</f>
        <v>0.78822936865076532</v>
      </c>
    </row>
    <row r="39" spans="1:2" x14ac:dyDescent="0.25">
      <c r="A39" s="5"/>
    </row>
  </sheetData>
  <hyperlinks>
    <hyperlink ref="A23" r:id="rId1" xr:uid="{6CB9964C-9BB6-4E27-8705-6B12A203AB76}"/>
    <hyperlink ref="A24" r:id="rId2" location=":~:text=The%20bill%20establishes%20a%20standard,for%20all%20electric%20utilities%20by " xr:uid="{5EF36DFC-792A-469C-98FD-930F58FC4B08}"/>
  </hyperlinks>
  <pageMargins left="0.7" right="0.7" top="0.75" bottom="0.75" header="0.3" footer="0.3"/>
  <pageSetup orientation="portrait"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CA319-4454-4468-A4AE-F33765774289}">
  <dimension ref="A1:AG34"/>
  <sheetViews>
    <sheetView topLeftCell="E1" workbookViewId="0">
      <selection activeCell="J10" sqref="J10:K10"/>
    </sheetView>
  </sheetViews>
  <sheetFormatPr defaultRowHeight="15" x14ac:dyDescent="0.25"/>
  <cols>
    <col min="1" max="1" width="32.140625" customWidth="1"/>
    <col min="2" max="2" width="10.7109375" customWidth="1"/>
    <col min="5" max="5" width="13.28515625" customWidth="1"/>
    <col min="6" max="6" width="10.140625" bestFit="1" customWidth="1"/>
    <col min="8" max="8" width="9.140625" customWidth="1"/>
  </cols>
  <sheetData>
    <row r="1" spans="1:33" ht="18.75" x14ac:dyDescent="0.3">
      <c r="A1" s="24" t="s">
        <v>39</v>
      </c>
    </row>
    <row r="2" spans="1:33" x14ac:dyDescent="0.25">
      <c r="A2" t="s">
        <v>45</v>
      </c>
      <c r="C2" s="1">
        <v>0.05</v>
      </c>
      <c r="D2" s="1">
        <f t="shared" ref="D2:E2" si="0">1-D4/$C$4</f>
        <v>0.52494802494802495</v>
      </c>
      <c r="E2" s="1">
        <f t="shared" si="0"/>
        <v>0.60498960498960497</v>
      </c>
      <c r="F2" s="1">
        <f>1-F4/$C$4</f>
        <v>0.57588357588357586</v>
      </c>
      <c r="G2" s="1">
        <f>1-G4/$C$4</f>
        <v>0.57692307692307687</v>
      </c>
      <c r="H2" s="4">
        <f>($M$2-$G$2)/($M$3-$G$3)+G2</f>
        <v>0.59743589743589742</v>
      </c>
      <c r="I2" s="4">
        <f t="shared" ref="I2:L2" si="1">($M$2-$G$2)/($M$3-$G$3)+H2</f>
        <v>0.61794871794871797</v>
      </c>
      <c r="J2" s="4">
        <f t="shared" si="1"/>
        <v>0.63846153846153852</v>
      </c>
      <c r="K2" s="4">
        <f t="shared" si="1"/>
        <v>0.65897435897435908</v>
      </c>
      <c r="L2" s="4">
        <f t="shared" si="1"/>
        <v>0.67948717948717963</v>
      </c>
      <c r="M2" s="6">
        <v>0.7</v>
      </c>
      <c r="N2" s="2">
        <f>($W$2-$M$2)/($W$3-$M$3)+M2</f>
        <v>0.73</v>
      </c>
      <c r="O2" s="49">
        <f>($W$2-$M$2)/($W$3-$M$3)+N2</f>
        <v>0.76</v>
      </c>
      <c r="P2" s="49">
        <f t="shared" ref="P2:U2" si="2">($W$2-$M$2)/($W$3-$M$3)+O2</f>
        <v>0.79</v>
      </c>
      <c r="Q2" s="49">
        <f t="shared" si="2"/>
        <v>0.82000000000000006</v>
      </c>
      <c r="R2" s="49">
        <f t="shared" si="2"/>
        <v>0.85000000000000009</v>
      </c>
      <c r="S2" s="49">
        <f t="shared" si="2"/>
        <v>0.88000000000000012</v>
      </c>
      <c r="T2" s="49">
        <f t="shared" si="2"/>
        <v>0.91000000000000014</v>
      </c>
      <c r="U2" s="49">
        <f t="shared" si="2"/>
        <v>0.94000000000000017</v>
      </c>
      <c r="V2" s="49">
        <f>($W$2-$M$2)/($W$3-$M$3)+U2</f>
        <v>0.9700000000000002</v>
      </c>
      <c r="W2" s="50">
        <v>1</v>
      </c>
      <c r="X2" s="50">
        <f>W2</f>
        <v>1</v>
      </c>
      <c r="Y2" s="50">
        <f t="shared" ref="Y2:AF2" si="3">X2</f>
        <v>1</v>
      </c>
      <c r="Z2" s="50">
        <f t="shared" si="3"/>
        <v>1</v>
      </c>
      <c r="AA2" s="50">
        <f t="shared" si="3"/>
        <v>1</v>
      </c>
      <c r="AB2" s="50">
        <f t="shared" si="3"/>
        <v>1</v>
      </c>
      <c r="AC2" s="50">
        <f t="shared" si="3"/>
        <v>1</v>
      </c>
      <c r="AD2" s="50">
        <f t="shared" si="3"/>
        <v>1</v>
      </c>
      <c r="AE2" s="50">
        <f t="shared" si="3"/>
        <v>1</v>
      </c>
      <c r="AF2" s="50">
        <f t="shared" si="3"/>
        <v>1</v>
      </c>
      <c r="AG2" s="51">
        <v>1</v>
      </c>
    </row>
    <row r="3" spans="1:33" x14ac:dyDescent="0.25">
      <c r="A3" t="s">
        <v>29</v>
      </c>
      <c r="C3" s="15">
        <v>2005</v>
      </c>
      <c r="D3" s="15">
        <v>2021</v>
      </c>
      <c r="E3" s="15">
        <v>2022</v>
      </c>
      <c r="F3" s="15">
        <v>2023</v>
      </c>
      <c r="G3" s="15">
        <v>2024</v>
      </c>
      <c r="H3">
        <v>2025</v>
      </c>
      <c r="I3">
        <v>2026</v>
      </c>
      <c r="J3">
        <v>2027</v>
      </c>
      <c r="K3">
        <v>2028</v>
      </c>
      <c r="L3">
        <v>2029</v>
      </c>
      <c r="M3">
        <v>2030</v>
      </c>
      <c r="N3">
        <v>2031</v>
      </c>
      <c r="O3">
        <v>2032</v>
      </c>
      <c r="P3">
        <v>2033</v>
      </c>
      <c r="Q3">
        <v>2034</v>
      </c>
      <c r="R3">
        <v>2035</v>
      </c>
      <c r="S3">
        <v>2036</v>
      </c>
      <c r="T3">
        <v>2037</v>
      </c>
      <c r="U3">
        <v>2038</v>
      </c>
      <c r="V3">
        <v>2039</v>
      </c>
      <c r="W3" s="47">
        <v>2040</v>
      </c>
      <c r="X3" s="47">
        <v>2041</v>
      </c>
      <c r="Y3" s="47">
        <v>2042</v>
      </c>
      <c r="Z3" s="47">
        <v>2043</v>
      </c>
      <c r="AA3" s="47">
        <v>2044</v>
      </c>
      <c r="AB3" s="47">
        <v>2045</v>
      </c>
      <c r="AC3" s="47">
        <v>2046</v>
      </c>
      <c r="AD3" s="47">
        <v>2047</v>
      </c>
      <c r="AE3" s="47">
        <v>2048</v>
      </c>
      <c r="AF3" s="47">
        <v>2049</v>
      </c>
      <c r="AG3" s="47">
        <v>2050</v>
      </c>
    </row>
    <row r="4" spans="1:33" x14ac:dyDescent="0.25">
      <c r="A4" t="s">
        <v>46</v>
      </c>
      <c r="C4" s="15">
        <v>0.96199999999999997</v>
      </c>
      <c r="D4" s="15">
        <v>0.45700000000000002</v>
      </c>
      <c r="E4" s="16">
        <v>0.38</v>
      </c>
      <c r="F4" s="16">
        <v>0.40799999999999997</v>
      </c>
      <c r="G4" s="16">
        <v>0.40699999999999997</v>
      </c>
      <c r="H4" s="3">
        <f t="shared" ref="H4:AG4" si="4">$C$4-$C$4*H2</f>
        <v>0.38726666666666665</v>
      </c>
      <c r="I4" s="3">
        <f t="shared" si="4"/>
        <v>0.36753333333333327</v>
      </c>
      <c r="J4" s="3">
        <f t="shared" si="4"/>
        <v>0.34779999999999989</v>
      </c>
      <c r="K4" s="3">
        <f t="shared" si="4"/>
        <v>0.32806666666666651</v>
      </c>
      <c r="L4" s="3">
        <f t="shared" si="4"/>
        <v>0.30833333333333324</v>
      </c>
      <c r="M4" s="3">
        <f t="shared" si="4"/>
        <v>0.28860000000000008</v>
      </c>
      <c r="N4" s="3">
        <f t="shared" si="4"/>
        <v>0.25973999999999997</v>
      </c>
      <c r="O4" s="3">
        <f t="shared" si="4"/>
        <v>0.23087999999999997</v>
      </c>
      <c r="P4" s="3">
        <f t="shared" si="4"/>
        <v>0.20201999999999998</v>
      </c>
      <c r="Q4" s="3">
        <f t="shared" si="4"/>
        <v>0.17315999999999998</v>
      </c>
      <c r="R4" s="3">
        <f t="shared" si="4"/>
        <v>0.14429999999999987</v>
      </c>
      <c r="S4" s="3">
        <f t="shared" si="4"/>
        <v>0.11543999999999988</v>
      </c>
      <c r="T4" s="3">
        <f t="shared" si="4"/>
        <v>8.6579999999999879E-2</v>
      </c>
      <c r="U4" s="3">
        <f t="shared" si="4"/>
        <v>5.7719999999999883E-2</v>
      </c>
      <c r="V4" s="3">
        <f t="shared" si="4"/>
        <v>2.8859999999999775E-2</v>
      </c>
      <c r="W4" s="48">
        <f t="shared" si="4"/>
        <v>0</v>
      </c>
      <c r="X4" s="48">
        <f t="shared" si="4"/>
        <v>0</v>
      </c>
      <c r="Y4" s="48">
        <f t="shared" si="4"/>
        <v>0</v>
      </c>
      <c r="Z4" s="48">
        <f t="shared" si="4"/>
        <v>0</v>
      </c>
      <c r="AA4" s="48">
        <f t="shared" si="4"/>
        <v>0</v>
      </c>
      <c r="AB4" s="48">
        <f t="shared" si="4"/>
        <v>0</v>
      </c>
      <c r="AC4" s="48">
        <f t="shared" si="4"/>
        <v>0</v>
      </c>
      <c r="AD4" s="48">
        <f t="shared" si="4"/>
        <v>0</v>
      </c>
      <c r="AE4" s="48">
        <f t="shared" si="4"/>
        <v>0</v>
      </c>
      <c r="AF4" s="48">
        <f t="shared" si="4"/>
        <v>0</v>
      </c>
      <c r="AG4" s="48">
        <f t="shared" si="4"/>
        <v>0</v>
      </c>
    </row>
    <row r="5" spans="1:33" x14ac:dyDescent="0.25">
      <c r="A5" s="9" t="s">
        <v>18</v>
      </c>
      <c r="B5" t="s">
        <v>3</v>
      </c>
      <c r="E5" s="8">
        <f>85000</f>
        <v>85000</v>
      </c>
      <c r="F5" s="8">
        <f t="shared" ref="F5:AF5" si="5">85000</f>
        <v>85000</v>
      </c>
      <c r="G5" s="8">
        <f t="shared" si="5"/>
        <v>85000</v>
      </c>
      <c r="H5" s="8">
        <f t="shared" si="5"/>
        <v>85000</v>
      </c>
      <c r="I5" s="8">
        <f t="shared" si="5"/>
        <v>85000</v>
      </c>
      <c r="J5" s="8">
        <f t="shared" si="5"/>
        <v>85000</v>
      </c>
      <c r="K5" s="8">
        <f t="shared" si="5"/>
        <v>85000</v>
      </c>
      <c r="L5" s="8">
        <f t="shared" si="5"/>
        <v>85000</v>
      </c>
      <c r="M5" s="8">
        <f t="shared" si="5"/>
        <v>85000</v>
      </c>
      <c r="N5" s="8">
        <f t="shared" si="5"/>
        <v>85000</v>
      </c>
      <c r="O5" s="8">
        <f t="shared" si="5"/>
        <v>85000</v>
      </c>
      <c r="P5" s="8">
        <f t="shared" si="5"/>
        <v>85000</v>
      </c>
      <c r="Q5" s="8">
        <f t="shared" si="5"/>
        <v>85000</v>
      </c>
      <c r="R5" s="8">
        <f t="shared" si="5"/>
        <v>85000</v>
      </c>
      <c r="S5" s="8">
        <f t="shared" si="5"/>
        <v>85000</v>
      </c>
      <c r="T5" s="8">
        <f t="shared" si="5"/>
        <v>85000</v>
      </c>
      <c r="U5" s="8">
        <f t="shared" si="5"/>
        <v>85000</v>
      </c>
      <c r="V5" s="8">
        <f t="shared" si="5"/>
        <v>85000</v>
      </c>
      <c r="W5" s="8">
        <f t="shared" si="5"/>
        <v>85000</v>
      </c>
      <c r="X5" s="8">
        <f t="shared" si="5"/>
        <v>85000</v>
      </c>
      <c r="Y5" s="8">
        <f t="shared" si="5"/>
        <v>85000</v>
      </c>
      <c r="Z5" s="8">
        <f t="shared" si="5"/>
        <v>85000</v>
      </c>
      <c r="AA5" s="8">
        <f t="shared" si="5"/>
        <v>85000</v>
      </c>
      <c r="AB5" s="8">
        <f t="shared" si="5"/>
        <v>85000</v>
      </c>
      <c r="AC5" s="8">
        <f t="shared" si="5"/>
        <v>85000</v>
      </c>
      <c r="AD5" s="8">
        <f t="shared" si="5"/>
        <v>85000</v>
      </c>
      <c r="AE5" s="8">
        <f t="shared" si="5"/>
        <v>85000</v>
      </c>
      <c r="AF5" s="8">
        <f t="shared" si="5"/>
        <v>85000</v>
      </c>
      <c r="AG5" s="8">
        <f>85000</f>
        <v>85000</v>
      </c>
    </row>
    <row r="6" spans="1:33" x14ac:dyDescent="0.25">
      <c r="A6" s="9" t="s">
        <v>36</v>
      </c>
      <c r="B6" t="s">
        <v>3</v>
      </c>
      <c r="E6" s="8">
        <f t="shared" ref="E6:AG6" si="6">E5/$B$19</f>
        <v>106250</v>
      </c>
      <c r="F6" s="8">
        <f t="shared" si="6"/>
        <v>106250</v>
      </c>
      <c r="G6" s="8">
        <f t="shared" si="6"/>
        <v>106250</v>
      </c>
      <c r="H6" s="8">
        <f t="shared" si="6"/>
        <v>106250</v>
      </c>
      <c r="I6" s="8">
        <f t="shared" si="6"/>
        <v>106250</v>
      </c>
      <c r="J6" s="8">
        <f t="shared" si="6"/>
        <v>106250</v>
      </c>
      <c r="K6" s="8">
        <f t="shared" si="6"/>
        <v>106250</v>
      </c>
      <c r="L6" s="8">
        <f t="shared" si="6"/>
        <v>106250</v>
      </c>
      <c r="M6" s="8">
        <f t="shared" si="6"/>
        <v>106250</v>
      </c>
      <c r="N6" s="8">
        <f t="shared" si="6"/>
        <v>106250</v>
      </c>
      <c r="O6" s="8">
        <f t="shared" si="6"/>
        <v>106250</v>
      </c>
      <c r="P6" s="8">
        <f t="shared" si="6"/>
        <v>106250</v>
      </c>
      <c r="Q6" s="8">
        <f t="shared" si="6"/>
        <v>106250</v>
      </c>
      <c r="R6" s="8">
        <f t="shared" si="6"/>
        <v>106250</v>
      </c>
      <c r="S6" s="8">
        <f t="shared" si="6"/>
        <v>106250</v>
      </c>
      <c r="T6" s="8">
        <f t="shared" si="6"/>
        <v>106250</v>
      </c>
      <c r="U6" s="8">
        <f t="shared" si="6"/>
        <v>106250</v>
      </c>
      <c r="V6" s="8">
        <f t="shared" si="6"/>
        <v>106250</v>
      </c>
      <c r="W6" s="8">
        <f t="shared" si="6"/>
        <v>106250</v>
      </c>
      <c r="X6" s="8">
        <f t="shared" si="6"/>
        <v>106250</v>
      </c>
      <c r="Y6" s="8">
        <f t="shared" si="6"/>
        <v>106250</v>
      </c>
      <c r="Z6" s="8">
        <f t="shared" si="6"/>
        <v>106250</v>
      </c>
      <c r="AA6" s="8">
        <f t="shared" si="6"/>
        <v>106250</v>
      </c>
      <c r="AB6" s="8">
        <f t="shared" si="6"/>
        <v>106250</v>
      </c>
      <c r="AC6" s="8">
        <f t="shared" si="6"/>
        <v>106250</v>
      </c>
      <c r="AD6" s="8">
        <f t="shared" si="6"/>
        <v>106250</v>
      </c>
      <c r="AE6" s="8">
        <f t="shared" si="6"/>
        <v>106250</v>
      </c>
      <c r="AF6" s="8">
        <f t="shared" si="6"/>
        <v>106250</v>
      </c>
      <c r="AG6" s="8">
        <f t="shared" si="6"/>
        <v>106250</v>
      </c>
    </row>
    <row r="7" spans="1:33" x14ac:dyDescent="0.25">
      <c r="A7" s="9" t="s">
        <v>20</v>
      </c>
      <c r="B7" t="s">
        <v>21</v>
      </c>
      <c r="E7" s="8">
        <f>E6*$B$17/2004</f>
        <v>6203.2185628742518</v>
      </c>
      <c r="F7" s="8">
        <f t="shared" ref="F7:AG7" si="7">F6*$B$17/2004</f>
        <v>6203.2185628742518</v>
      </c>
      <c r="G7" s="8">
        <f t="shared" si="7"/>
        <v>6203.2185628742518</v>
      </c>
      <c r="H7" s="8">
        <f t="shared" si="7"/>
        <v>6203.2185628742518</v>
      </c>
      <c r="I7" s="8">
        <f t="shared" si="7"/>
        <v>6203.2185628742518</v>
      </c>
      <c r="J7" s="8">
        <f t="shared" si="7"/>
        <v>6203.2185628742518</v>
      </c>
      <c r="K7" s="8">
        <f t="shared" si="7"/>
        <v>6203.2185628742518</v>
      </c>
      <c r="L7" s="8">
        <f t="shared" si="7"/>
        <v>6203.2185628742518</v>
      </c>
      <c r="M7" s="8">
        <f t="shared" si="7"/>
        <v>6203.2185628742518</v>
      </c>
      <c r="N7" s="8">
        <f t="shared" si="7"/>
        <v>6203.2185628742518</v>
      </c>
      <c r="O7" s="8">
        <f t="shared" si="7"/>
        <v>6203.2185628742518</v>
      </c>
      <c r="P7" s="8">
        <f t="shared" si="7"/>
        <v>6203.2185628742518</v>
      </c>
      <c r="Q7" s="8">
        <f t="shared" si="7"/>
        <v>6203.2185628742518</v>
      </c>
      <c r="R7" s="8">
        <f t="shared" si="7"/>
        <v>6203.2185628742518</v>
      </c>
      <c r="S7" s="8">
        <f t="shared" si="7"/>
        <v>6203.2185628742518</v>
      </c>
      <c r="T7" s="8">
        <f t="shared" si="7"/>
        <v>6203.2185628742518</v>
      </c>
      <c r="U7" s="8">
        <f t="shared" si="7"/>
        <v>6203.2185628742518</v>
      </c>
      <c r="V7" s="8">
        <f t="shared" si="7"/>
        <v>6203.2185628742518</v>
      </c>
      <c r="W7" s="8">
        <f t="shared" si="7"/>
        <v>6203.2185628742518</v>
      </c>
      <c r="X7" s="8">
        <f t="shared" si="7"/>
        <v>6203.2185628742518</v>
      </c>
      <c r="Y7" s="8">
        <f t="shared" si="7"/>
        <v>6203.2185628742518</v>
      </c>
      <c r="Z7" s="8">
        <f t="shared" si="7"/>
        <v>6203.2185628742518</v>
      </c>
      <c r="AA7" s="8">
        <f t="shared" si="7"/>
        <v>6203.2185628742518</v>
      </c>
      <c r="AB7" s="8">
        <f t="shared" si="7"/>
        <v>6203.2185628742518</v>
      </c>
      <c r="AC7" s="8">
        <f t="shared" si="7"/>
        <v>6203.2185628742518</v>
      </c>
      <c r="AD7" s="8">
        <f t="shared" si="7"/>
        <v>6203.2185628742518</v>
      </c>
      <c r="AE7" s="8">
        <f t="shared" si="7"/>
        <v>6203.2185628742518</v>
      </c>
      <c r="AF7" s="8">
        <f t="shared" si="7"/>
        <v>6203.2185628742518</v>
      </c>
      <c r="AG7" s="8">
        <f t="shared" si="7"/>
        <v>6203.2185628742518</v>
      </c>
    </row>
    <row r="8" spans="1:33" x14ac:dyDescent="0.25">
      <c r="A8" t="s">
        <v>23</v>
      </c>
      <c r="B8" t="s">
        <v>1</v>
      </c>
      <c r="E8" s="7">
        <f t="shared" ref="E8:AG8" si="8">E5/3.412/$B$20</f>
        <v>5931.4464355496011</v>
      </c>
      <c r="F8" s="7">
        <f t="shared" si="8"/>
        <v>5931.4464355496011</v>
      </c>
      <c r="G8" s="7">
        <f t="shared" si="8"/>
        <v>5931.4464355496011</v>
      </c>
      <c r="H8" s="7">
        <f t="shared" si="8"/>
        <v>5931.4464355496011</v>
      </c>
      <c r="I8" s="7">
        <f t="shared" si="8"/>
        <v>5931.4464355496011</v>
      </c>
      <c r="J8" s="7">
        <f t="shared" si="8"/>
        <v>5931.4464355496011</v>
      </c>
      <c r="K8" s="7">
        <f t="shared" si="8"/>
        <v>5931.4464355496011</v>
      </c>
      <c r="L8" s="7">
        <f t="shared" si="8"/>
        <v>5931.4464355496011</v>
      </c>
      <c r="M8" s="7">
        <f t="shared" si="8"/>
        <v>5931.4464355496011</v>
      </c>
      <c r="N8" s="7">
        <f t="shared" si="8"/>
        <v>5931.4464355496011</v>
      </c>
      <c r="O8" s="7">
        <f t="shared" si="8"/>
        <v>5931.4464355496011</v>
      </c>
      <c r="P8" s="7">
        <f t="shared" si="8"/>
        <v>5931.4464355496011</v>
      </c>
      <c r="Q8" s="7">
        <f t="shared" si="8"/>
        <v>5931.4464355496011</v>
      </c>
      <c r="R8" s="7">
        <f t="shared" si="8"/>
        <v>5931.4464355496011</v>
      </c>
      <c r="S8" s="7">
        <f t="shared" si="8"/>
        <v>5931.4464355496011</v>
      </c>
      <c r="T8" s="7">
        <f t="shared" si="8"/>
        <v>5931.4464355496011</v>
      </c>
      <c r="U8" s="7">
        <f t="shared" si="8"/>
        <v>5931.4464355496011</v>
      </c>
      <c r="V8" s="7">
        <f t="shared" si="8"/>
        <v>5931.4464355496011</v>
      </c>
      <c r="W8" s="7">
        <f t="shared" si="8"/>
        <v>5931.4464355496011</v>
      </c>
      <c r="X8" s="7">
        <f t="shared" si="8"/>
        <v>5931.4464355496011</v>
      </c>
      <c r="Y8" s="7">
        <f t="shared" si="8"/>
        <v>5931.4464355496011</v>
      </c>
      <c r="Z8" s="7">
        <f t="shared" si="8"/>
        <v>5931.4464355496011</v>
      </c>
      <c r="AA8" s="7">
        <f t="shared" si="8"/>
        <v>5931.4464355496011</v>
      </c>
      <c r="AB8" s="7">
        <f t="shared" si="8"/>
        <v>5931.4464355496011</v>
      </c>
      <c r="AC8" s="7">
        <f t="shared" si="8"/>
        <v>5931.4464355496011</v>
      </c>
      <c r="AD8" s="7">
        <f t="shared" si="8"/>
        <v>5931.4464355496011</v>
      </c>
      <c r="AE8" s="7">
        <f t="shared" si="8"/>
        <v>5931.4464355496011</v>
      </c>
      <c r="AF8" s="7">
        <f t="shared" si="8"/>
        <v>5931.4464355496011</v>
      </c>
      <c r="AG8" s="7">
        <f t="shared" si="8"/>
        <v>5931.4464355496011</v>
      </c>
    </row>
    <row r="9" spans="1:33" x14ac:dyDescent="0.25">
      <c r="A9" t="s">
        <v>24</v>
      </c>
      <c r="B9" t="s">
        <v>1</v>
      </c>
      <c r="E9" s="7">
        <f t="shared" ref="E9:AG9" si="9">E5*$B$18/1000</f>
        <v>425</v>
      </c>
      <c r="F9" s="7">
        <f t="shared" si="9"/>
        <v>425</v>
      </c>
      <c r="G9" s="7">
        <f t="shared" si="9"/>
        <v>425</v>
      </c>
      <c r="H9" s="7">
        <f t="shared" si="9"/>
        <v>425</v>
      </c>
      <c r="I9" s="7">
        <f t="shared" si="9"/>
        <v>425</v>
      </c>
      <c r="J9" s="7">
        <f t="shared" si="9"/>
        <v>425</v>
      </c>
      <c r="K9" s="7">
        <f t="shared" si="9"/>
        <v>425</v>
      </c>
      <c r="L9" s="7">
        <f t="shared" si="9"/>
        <v>425</v>
      </c>
      <c r="M9" s="7">
        <f t="shared" si="9"/>
        <v>425</v>
      </c>
      <c r="N9" s="7">
        <f t="shared" si="9"/>
        <v>425</v>
      </c>
      <c r="O9" s="7">
        <f t="shared" si="9"/>
        <v>425</v>
      </c>
      <c r="P9" s="7">
        <f t="shared" si="9"/>
        <v>425</v>
      </c>
      <c r="Q9" s="7">
        <f t="shared" si="9"/>
        <v>425</v>
      </c>
      <c r="R9" s="7">
        <f t="shared" si="9"/>
        <v>425</v>
      </c>
      <c r="S9" s="7">
        <f t="shared" si="9"/>
        <v>425</v>
      </c>
      <c r="T9" s="7">
        <f t="shared" si="9"/>
        <v>425</v>
      </c>
      <c r="U9" s="7">
        <f t="shared" si="9"/>
        <v>425</v>
      </c>
      <c r="V9" s="7">
        <f t="shared" si="9"/>
        <v>425</v>
      </c>
      <c r="W9" s="7">
        <f t="shared" si="9"/>
        <v>425</v>
      </c>
      <c r="X9" s="7">
        <f t="shared" si="9"/>
        <v>425</v>
      </c>
      <c r="Y9" s="7">
        <f t="shared" si="9"/>
        <v>425</v>
      </c>
      <c r="Z9" s="7">
        <f t="shared" si="9"/>
        <v>425</v>
      </c>
      <c r="AA9" s="7">
        <f t="shared" si="9"/>
        <v>425</v>
      </c>
      <c r="AB9" s="7">
        <f t="shared" si="9"/>
        <v>425</v>
      </c>
      <c r="AC9" s="7">
        <f t="shared" si="9"/>
        <v>425</v>
      </c>
      <c r="AD9" s="7">
        <f t="shared" si="9"/>
        <v>425</v>
      </c>
      <c r="AE9" s="7">
        <f t="shared" si="9"/>
        <v>425</v>
      </c>
      <c r="AF9" s="7">
        <f t="shared" si="9"/>
        <v>425</v>
      </c>
      <c r="AG9" s="7">
        <f t="shared" si="9"/>
        <v>425</v>
      </c>
    </row>
    <row r="10" spans="1:33" x14ac:dyDescent="0.25">
      <c r="A10" t="s">
        <v>56</v>
      </c>
      <c r="B10" t="s">
        <v>42</v>
      </c>
      <c r="E10" s="4">
        <v>0</v>
      </c>
      <c r="F10" s="4">
        <v>0</v>
      </c>
      <c r="G10" s="4">
        <v>0</v>
      </c>
      <c r="H10" s="4">
        <v>0</v>
      </c>
      <c r="I10" s="4">
        <v>0</v>
      </c>
      <c r="J10" s="4">
        <v>0</v>
      </c>
      <c r="K10" s="1">
        <v>1</v>
      </c>
      <c r="L10" s="1">
        <v>1</v>
      </c>
      <c r="M10" s="1">
        <f t="shared" ref="M10:AG10" si="10">L10</f>
        <v>1</v>
      </c>
      <c r="N10" s="1">
        <f t="shared" si="10"/>
        <v>1</v>
      </c>
      <c r="O10" s="1">
        <f t="shared" si="10"/>
        <v>1</v>
      </c>
      <c r="P10" s="1">
        <f t="shared" si="10"/>
        <v>1</v>
      </c>
      <c r="Q10" s="1">
        <f t="shared" si="10"/>
        <v>1</v>
      </c>
      <c r="R10" s="1">
        <f t="shared" si="10"/>
        <v>1</v>
      </c>
      <c r="S10" s="1">
        <f t="shared" si="10"/>
        <v>1</v>
      </c>
      <c r="T10" s="1">
        <f t="shared" si="10"/>
        <v>1</v>
      </c>
      <c r="U10" s="1">
        <f t="shared" si="10"/>
        <v>1</v>
      </c>
      <c r="V10" s="1">
        <f t="shared" si="10"/>
        <v>1</v>
      </c>
      <c r="W10" s="1">
        <f t="shared" si="10"/>
        <v>1</v>
      </c>
      <c r="X10" s="1">
        <f t="shared" si="10"/>
        <v>1</v>
      </c>
      <c r="Y10" s="1">
        <f t="shared" si="10"/>
        <v>1</v>
      </c>
      <c r="Z10" s="1">
        <f t="shared" si="10"/>
        <v>1</v>
      </c>
      <c r="AA10" s="1">
        <f t="shared" si="10"/>
        <v>1</v>
      </c>
      <c r="AB10" s="1">
        <f t="shared" si="10"/>
        <v>1</v>
      </c>
      <c r="AC10" s="1">
        <f t="shared" si="10"/>
        <v>1</v>
      </c>
      <c r="AD10" s="1">
        <f t="shared" si="10"/>
        <v>1</v>
      </c>
      <c r="AE10" s="1">
        <f t="shared" si="10"/>
        <v>1</v>
      </c>
      <c r="AF10" s="1">
        <f t="shared" si="10"/>
        <v>1</v>
      </c>
      <c r="AG10" s="1">
        <f t="shared" si="10"/>
        <v>1</v>
      </c>
    </row>
    <row r="11" spans="1:33" x14ac:dyDescent="0.25"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</row>
    <row r="12" spans="1:33" x14ac:dyDescent="0.25">
      <c r="A12" s="9" t="s">
        <v>31</v>
      </c>
      <c r="B12" t="s">
        <v>21</v>
      </c>
      <c r="E12" s="7">
        <f>(E8+E9)*E4*E10+(1-E10)*E7</f>
        <v>6203.2185628742518</v>
      </c>
      <c r="F12" s="7">
        <f t="shared" ref="F12:K12" si="11">(F8+F9)*F4*F10+(1-F10)*F7</f>
        <v>6203.2185628742518</v>
      </c>
      <c r="G12" s="7">
        <f t="shared" si="11"/>
        <v>6203.2185628742518</v>
      </c>
      <c r="H12" s="7">
        <f t="shared" si="11"/>
        <v>6203.2185628742518</v>
      </c>
      <c r="I12" s="7">
        <f t="shared" si="11"/>
        <v>6203.2185628742518</v>
      </c>
      <c r="J12" s="7">
        <f>(J8+J9)*J4*J10+(1-J10)*J7</f>
        <v>6203.2185628742518</v>
      </c>
      <c r="K12" s="7">
        <f t="shared" si="11"/>
        <v>2085.3381939559713</v>
      </c>
      <c r="L12" s="7">
        <f>(L8+L9)*L4*L10+(1-L10)*L7</f>
        <v>1959.904317627793</v>
      </c>
      <c r="M12" s="7">
        <f t="shared" ref="M12:AG12" si="12">(M8+M9)*M4*M10+(1-M10)*M7</f>
        <v>1834.4704412996155</v>
      </c>
      <c r="N12" s="7">
        <f t="shared" si="12"/>
        <v>1651.0233971696532</v>
      </c>
      <c r="O12" s="7">
        <f t="shared" si="12"/>
        <v>1467.5763530396916</v>
      </c>
      <c r="P12" s="7">
        <f t="shared" si="12"/>
        <v>1284.1293089097303</v>
      </c>
      <c r="Q12" s="7">
        <f t="shared" si="12"/>
        <v>1100.6822647797687</v>
      </c>
      <c r="R12" s="7">
        <f t="shared" si="12"/>
        <v>917.23522064980659</v>
      </c>
      <c r="S12" s="7">
        <f t="shared" si="12"/>
        <v>733.78817651984514</v>
      </c>
      <c r="T12" s="7">
        <f t="shared" si="12"/>
        <v>550.34113238988368</v>
      </c>
      <c r="U12" s="7">
        <f t="shared" si="12"/>
        <v>366.89408825992223</v>
      </c>
      <c r="V12" s="7">
        <f t="shared" si="12"/>
        <v>183.44704412996006</v>
      </c>
      <c r="W12" s="7">
        <f t="shared" si="12"/>
        <v>0</v>
      </c>
      <c r="X12" s="7">
        <f t="shared" si="12"/>
        <v>0</v>
      </c>
      <c r="Y12" s="7">
        <f t="shared" si="12"/>
        <v>0</v>
      </c>
      <c r="Z12" s="7">
        <f t="shared" si="12"/>
        <v>0</v>
      </c>
      <c r="AA12" s="7">
        <f t="shared" si="12"/>
        <v>0</v>
      </c>
      <c r="AB12" s="7">
        <f t="shared" si="12"/>
        <v>0</v>
      </c>
      <c r="AC12" s="7">
        <f t="shared" si="12"/>
        <v>0</v>
      </c>
      <c r="AD12" s="7">
        <f t="shared" si="12"/>
        <v>0</v>
      </c>
      <c r="AE12" s="7">
        <f t="shared" si="12"/>
        <v>0</v>
      </c>
      <c r="AF12" s="7">
        <f t="shared" si="12"/>
        <v>0</v>
      </c>
      <c r="AG12" s="7">
        <f t="shared" si="12"/>
        <v>0</v>
      </c>
    </row>
    <row r="13" spans="1:33" x14ac:dyDescent="0.25">
      <c r="A13" t="s">
        <v>41</v>
      </c>
      <c r="B13" t="s">
        <v>42</v>
      </c>
      <c r="E13" s="4">
        <f>1-E12/E7</f>
        <v>0</v>
      </c>
      <c r="F13" s="4">
        <f t="shared" ref="F13:L13" si="13">1-F12/F7</f>
        <v>0</v>
      </c>
      <c r="G13" s="4">
        <f t="shared" si="13"/>
        <v>0</v>
      </c>
      <c r="H13" s="4">
        <f t="shared" si="13"/>
        <v>0</v>
      </c>
      <c r="I13" s="4">
        <f t="shared" si="13"/>
        <v>0</v>
      </c>
      <c r="J13" s="4">
        <f t="shared" si="13"/>
        <v>0</v>
      </c>
      <c r="K13" s="4">
        <f t="shared" si="13"/>
        <v>0.66382964378580067</v>
      </c>
      <c r="L13" s="4">
        <f t="shared" si="13"/>
        <v>0.68405041709191772</v>
      </c>
      <c r="M13" s="4">
        <f>1-M12/M7</f>
        <v>0.70427119039803487</v>
      </c>
      <c r="N13" s="4">
        <f t="shared" ref="N13:AG13" si="14">1-N12/N7</f>
        <v>0.73384407135823149</v>
      </c>
      <c r="O13" s="4">
        <f t="shared" si="14"/>
        <v>0.76341695231842799</v>
      </c>
      <c r="P13" s="4">
        <f t="shared" si="14"/>
        <v>0.79298983327862449</v>
      </c>
      <c r="Q13" s="4">
        <f t="shared" si="14"/>
        <v>0.82256271423882099</v>
      </c>
      <c r="R13" s="4">
        <f t="shared" si="14"/>
        <v>0.8521355951990176</v>
      </c>
      <c r="S13" s="4">
        <f t="shared" si="14"/>
        <v>0.88170847615921411</v>
      </c>
      <c r="T13" s="4">
        <f t="shared" si="14"/>
        <v>0.91128135711941061</v>
      </c>
      <c r="U13" s="4">
        <f t="shared" si="14"/>
        <v>0.94085423807960711</v>
      </c>
      <c r="V13" s="4">
        <f t="shared" si="14"/>
        <v>0.97042711903980372</v>
      </c>
      <c r="W13" s="4">
        <f t="shared" si="14"/>
        <v>1</v>
      </c>
      <c r="X13" s="4">
        <f t="shared" si="14"/>
        <v>1</v>
      </c>
      <c r="Y13" s="4">
        <f t="shared" si="14"/>
        <v>1</v>
      </c>
      <c r="Z13" s="4">
        <f t="shared" si="14"/>
        <v>1</v>
      </c>
      <c r="AA13" s="4">
        <f t="shared" si="14"/>
        <v>1</v>
      </c>
      <c r="AB13" s="4">
        <f t="shared" si="14"/>
        <v>1</v>
      </c>
      <c r="AC13" s="4">
        <f t="shared" si="14"/>
        <v>1</v>
      </c>
      <c r="AD13" s="4">
        <f t="shared" si="14"/>
        <v>1</v>
      </c>
      <c r="AE13" s="4">
        <f t="shared" si="14"/>
        <v>1</v>
      </c>
      <c r="AF13" s="4">
        <f t="shared" si="14"/>
        <v>1</v>
      </c>
      <c r="AG13" s="4">
        <f t="shared" si="14"/>
        <v>1</v>
      </c>
    </row>
    <row r="14" spans="1:33" x14ac:dyDescent="0.25">
      <c r="A14" t="s">
        <v>43</v>
      </c>
      <c r="B14" t="s">
        <v>44</v>
      </c>
      <c r="E14" s="8">
        <f>E7-E12</f>
        <v>0</v>
      </c>
      <c r="F14" s="8">
        <f t="shared" ref="F14:L14" si="15">F7-F12</f>
        <v>0</v>
      </c>
      <c r="G14" s="8">
        <f t="shared" si="15"/>
        <v>0</v>
      </c>
      <c r="H14" s="8">
        <f t="shared" si="15"/>
        <v>0</v>
      </c>
      <c r="I14" s="8">
        <f t="shared" si="15"/>
        <v>0</v>
      </c>
      <c r="J14" s="8">
        <f t="shared" si="15"/>
        <v>0</v>
      </c>
      <c r="K14" s="8">
        <f t="shared" si="15"/>
        <v>4117.8803689182805</v>
      </c>
      <c r="L14" s="8">
        <f t="shared" si="15"/>
        <v>4243.314245246459</v>
      </c>
      <c r="M14" s="8">
        <f>M7-M12</f>
        <v>4368.7481215746366</v>
      </c>
      <c r="N14" s="8">
        <f t="shared" ref="N14:AG14" si="16">N7-N12</f>
        <v>4552.1951657045984</v>
      </c>
      <c r="O14" s="8">
        <f t="shared" si="16"/>
        <v>4735.6422098345602</v>
      </c>
      <c r="P14" s="8">
        <f t="shared" si="16"/>
        <v>4919.089253964521</v>
      </c>
      <c r="Q14" s="8">
        <f t="shared" si="16"/>
        <v>5102.5362980944828</v>
      </c>
      <c r="R14" s="8">
        <f t="shared" si="16"/>
        <v>5285.9833422244456</v>
      </c>
      <c r="S14" s="8">
        <f t="shared" si="16"/>
        <v>5469.4303863544064</v>
      </c>
      <c r="T14" s="8">
        <f t="shared" si="16"/>
        <v>5652.8774304843682</v>
      </c>
      <c r="U14" s="8">
        <f t="shared" si="16"/>
        <v>5836.32447461433</v>
      </c>
      <c r="V14" s="8">
        <f t="shared" si="16"/>
        <v>6019.7715187442918</v>
      </c>
      <c r="W14" s="8">
        <f t="shared" si="16"/>
        <v>6203.2185628742518</v>
      </c>
      <c r="X14" s="8">
        <f t="shared" si="16"/>
        <v>6203.2185628742518</v>
      </c>
      <c r="Y14" s="8">
        <f t="shared" si="16"/>
        <v>6203.2185628742518</v>
      </c>
      <c r="Z14" s="8">
        <f t="shared" si="16"/>
        <v>6203.2185628742518</v>
      </c>
      <c r="AA14" s="8">
        <f t="shared" si="16"/>
        <v>6203.2185628742518</v>
      </c>
      <c r="AB14" s="8">
        <f t="shared" si="16"/>
        <v>6203.2185628742518</v>
      </c>
      <c r="AC14" s="8">
        <f t="shared" si="16"/>
        <v>6203.2185628742518</v>
      </c>
      <c r="AD14" s="8">
        <f t="shared" si="16"/>
        <v>6203.2185628742518</v>
      </c>
      <c r="AE14" s="8">
        <f t="shared" si="16"/>
        <v>6203.2185628742518</v>
      </c>
      <c r="AF14" s="8">
        <f t="shared" si="16"/>
        <v>6203.2185628742518</v>
      </c>
      <c r="AG14" s="8">
        <f t="shared" si="16"/>
        <v>6203.2185628742518</v>
      </c>
    </row>
    <row r="16" spans="1:33" x14ac:dyDescent="0.25">
      <c r="A16" s="17" t="s">
        <v>30</v>
      </c>
      <c r="B16" s="18"/>
    </row>
    <row r="17" spans="1:5" x14ac:dyDescent="0.25">
      <c r="A17" s="18" t="s">
        <v>7</v>
      </c>
      <c r="B17" s="18">
        <v>117</v>
      </c>
    </row>
    <row r="18" spans="1:5" x14ac:dyDescent="0.25">
      <c r="A18" s="18" t="s">
        <v>67</v>
      </c>
      <c r="B18" s="18">
        <v>5</v>
      </c>
    </row>
    <row r="19" spans="1:5" x14ac:dyDescent="0.25">
      <c r="A19" s="18" t="s">
        <v>19</v>
      </c>
      <c r="B19" s="19">
        <v>0.8</v>
      </c>
    </row>
    <row r="20" spans="1:5" x14ac:dyDescent="0.25">
      <c r="A20" s="18" t="s">
        <v>22</v>
      </c>
      <c r="B20" s="18">
        <f>'GHG (LP FULL)'!B20</f>
        <v>4.2</v>
      </c>
    </row>
    <row r="21" spans="1:5" x14ac:dyDescent="0.25">
      <c r="A21" s="20" t="s">
        <v>0</v>
      </c>
      <c r="B21" s="21"/>
      <c r="E21" s="8"/>
    </row>
    <row r="22" spans="1:5" x14ac:dyDescent="0.25">
      <c r="A22" s="20" t="s">
        <v>66</v>
      </c>
      <c r="B22" s="18"/>
    </row>
    <row r="23" spans="1:5" x14ac:dyDescent="0.25">
      <c r="E23" s="8"/>
    </row>
    <row r="24" spans="1:5" x14ac:dyDescent="0.25">
      <c r="A24" s="5" t="s">
        <v>27</v>
      </c>
    </row>
    <row r="25" spans="1:5" x14ac:dyDescent="0.25">
      <c r="A25" s="12" t="s">
        <v>25</v>
      </c>
      <c r="B25" s="14">
        <f>SUM(H7:M7)</f>
        <v>37219.311377245511</v>
      </c>
    </row>
    <row r="26" spans="1:5" x14ac:dyDescent="0.25">
      <c r="A26" s="10" t="s">
        <v>26</v>
      </c>
      <c r="B26" s="11">
        <f>SUM(H12:M12)</f>
        <v>24489.368641506131</v>
      </c>
    </row>
    <row r="27" spans="1:5" x14ac:dyDescent="0.25">
      <c r="A27" s="9" t="s">
        <v>17</v>
      </c>
      <c r="B27" s="8">
        <f>B25-B26</f>
        <v>12729.94273573938</v>
      </c>
    </row>
    <row r="28" spans="1:5" x14ac:dyDescent="0.25">
      <c r="A28" s="9" t="s">
        <v>15</v>
      </c>
      <c r="B28" s="4">
        <f>B27/B25</f>
        <v>0.34202520854595897</v>
      </c>
      <c r="E28" s="8"/>
    </row>
    <row r="29" spans="1:5" x14ac:dyDescent="0.25">
      <c r="E29" s="8"/>
    </row>
    <row r="30" spans="1:5" x14ac:dyDescent="0.25">
      <c r="A30" s="5" t="s">
        <v>28</v>
      </c>
    </row>
    <row r="31" spans="1:5" x14ac:dyDescent="0.25">
      <c r="A31" s="12" t="s">
        <v>25</v>
      </c>
      <c r="B31" s="14">
        <f>SUM(H7:AG7)</f>
        <v>161283.68263473044</v>
      </c>
    </row>
    <row r="32" spans="1:5" x14ac:dyDescent="0.25">
      <c r="A32" s="10" t="s">
        <v>26</v>
      </c>
      <c r="B32" s="11">
        <f>SUM(H12:AG12)</f>
        <v>32744.485627354392</v>
      </c>
    </row>
    <row r="33" spans="1:2" x14ac:dyDescent="0.25">
      <c r="A33" s="9" t="s">
        <v>17</v>
      </c>
      <c r="B33" s="8">
        <f>B31-B32</f>
        <v>128539.19700737606</v>
      </c>
    </row>
    <row r="34" spans="1:2" x14ac:dyDescent="0.25">
      <c r="A34" s="9" t="s">
        <v>15</v>
      </c>
      <c r="B34" s="4">
        <f>B33/B31</f>
        <v>0.79697583107949654</v>
      </c>
    </row>
  </sheetData>
  <hyperlinks>
    <hyperlink ref="A21" r:id="rId1" xr:uid="{2713227B-61AC-424B-8956-677891335AAE}"/>
    <hyperlink ref="A22" r:id="rId2" location=":~:text=The%20bill%20establishes%20a%20standard,for%20all%20electric%20utilities%20by " xr:uid="{53EE1EF0-7215-4F1A-A511-124BEAA50FF6}"/>
  </hyperlinks>
  <pageMargins left="0.7" right="0.7" top="0.75" bottom="0.75" header="0.3" footer="0.3"/>
  <pageSetup orientation="portrait"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2A90D3-FFD6-4E0B-B753-0C4507AD3BB9}">
  <dimension ref="A1:AG35"/>
  <sheetViews>
    <sheetView workbookViewId="0">
      <selection activeCell="O24" sqref="O24"/>
    </sheetView>
  </sheetViews>
  <sheetFormatPr defaultRowHeight="15" x14ac:dyDescent="0.25"/>
  <cols>
    <col min="1" max="1" width="32.140625" customWidth="1"/>
    <col min="2" max="2" width="10.7109375" customWidth="1"/>
    <col min="5" max="5" width="13.28515625" customWidth="1"/>
    <col min="6" max="6" width="10.140625" bestFit="1" customWidth="1"/>
    <col min="8" max="8" width="9.140625" customWidth="1"/>
    <col min="13" max="13" width="11" bestFit="1" customWidth="1"/>
  </cols>
  <sheetData>
    <row r="1" spans="1:33" ht="18.75" x14ac:dyDescent="0.3">
      <c r="A1" s="24" t="s">
        <v>40</v>
      </c>
    </row>
    <row r="2" spans="1:33" x14ac:dyDescent="0.25">
      <c r="A2" t="s">
        <v>45</v>
      </c>
      <c r="C2" s="1">
        <v>0.05</v>
      </c>
      <c r="D2" s="1">
        <f t="shared" ref="D2:E2" si="0">1-D4/$C$4</f>
        <v>0.52494802494802495</v>
      </c>
      <c r="E2" s="1">
        <f t="shared" si="0"/>
        <v>0.60498960498960497</v>
      </c>
      <c r="F2" s="1">
        <f>1-F4/$C$4</f>
        <v>0.57588357588357586</v>
      </c>
      <c r="G2" s="1">
        <f>1-G4/$C$4</f>
        <v>0.57692307692307687</v>
      </c>
      <c r="H2" s="4">
        <f>($M$2-$G$2)/($M$3-$G$3)+G2</f>
        <v>0.59743589743589742</v>
      </c>
      <c r="I2" s="4">
        <f t="shared" ref="I2:L2" si="1">($M$2-$G$2)/($M$3-$G$3)+H2</f>
        <v>0.61794871794871797</v>
      </c>
      <c r="J2" s="4">
        <f t="shared" si="1"/>
        <v>0.63846153846153852</v>
      </c>
      <c r="K2" s="4">
        <f t="shared" si="1"/>
        <v>0.65897435897435908</v>
      </c>
      <c r="L2" s="4">
        <f t="shared" si="1"/>
        <v>0.67948717948717963</v>
      </c>
      <c r="M2" s="6">
        <v>0.7</v>
      </c>
      <c r="N2" s="2">
        <f>($W$2-$M$2)/($W$3-$M$3)+M2</f>
        <v>0.73</v>
      </c>
      <c r="O2" s="49">
        <f>($W$2-$M$2)/($W$3-$M$3)+N2</f>
        <v>0.76</v>
      </c>
      <c r="P2" s="49">
        <f t="shared" ref="P2:U2" si="2">($W$2-$M$2)/($W$3-$M$3)+O2</f>
        <v>0.79</v>
      </c>
      <c r="Q2" s="49">
        <f t="shared" si="2"/>
        <v>0.82000000000000006</v>
      </c>
      <c r="R2" s="49">
        <f t="shared" si="2"/>
        <v>0.85000000000000009</v>
      </c>
      <c r="S2" s="49">
        <f t="shared" si="2"/>
        <v>0.88000000000000012</v>
      </c>
      <c r="T2" s="49">
        <f t="shared" si="2"/>
        <v>0.91000000000000014</v>
      </c>
      <c r="U2" s="49">
        <f t="shared" si="2"/>
        <v>0.94000000000000017</v>
      </c>
      <c r="V2" s="49">
        <f>($W$2-$M$2)/($W$3-$M$3)+U2</f>
        <v>0.9700000000000002</v>
      </c>
      <c r="W2" s="50">
        <v>1</v>
      </c>
      <c r="X2" s="50">
        <f>W2</f>
        <v>1</v>
      </c>
      <c r="Y2" s="50">
        <f t="shared" ref="Y2:AF2" si="3">X2</f>
        <v>1</v>
      </c>
      <c r="Z2" s="50">
        <f t="shared" si="3"/>
        <v>1</v>
      </c>
      <c r="AA2" s="50">
        <f t="shared" si="3"/>
        <v>1</v>
      </c>
      <c r="AB2" s="50">
        <f t="shared" si="3"/>
        <v>1</v>
      </c>
      <c r="AC2" s="50">
        <f t="shared" si="3"/>
        <v>1</v>
      </c>
      <c r="AD2" s="50">
        <f t="shared" si="3"/>
        <v>1</v>
      </c>
      <c r="AE2" s="50">
        <f t="shared" si="3"/>
        <v>1</v>
      </c>
      <c r="AF2" s="50">
        <f t="shared" si="3"/>
        <v>1</v>
      </c>
      <c r="AG2" s="51">
        <v>1</v>
      </c>
    </row>
    <row r="3" spans="1:33" x14ac:dyDescent="0.25">
      <c r="A3" t="s">
        <v>29</v>
      </c>
      <c r="C3" s="15">
        <v>2005</v>
      </c>
      <c r="D3" s="15">
        <v>2021</v>
      </c>
      <c r="E3" s="15">
        <v>2022</v>
      </c>
      <c r="F3" s="15">
        <v>2023</v>
      </c>
      <c r="G3" s="15">
        <v>2024</v>
      </c>
      <c r="H3">
        <v>2025</v>
      </c>
      <c r="I3">
        <v>2026</v>
      </c>
      <c r="J3">
        <v>2027</v>
      </c>
      <c r="K3">
        <v>2028</v>
      </c>
      <c r="L3">
        <v>2029</v>
      </c>
      <c r="M3">
        <v>2030</v>
      </c>
      <c r="N3">
        <v>2031</v>
      </c>
      <c r="O3">
        <v>2032</v>
      </c>
      <c r="P3">
        <v>2033</v>
      </c>
      <c r="Q3">
        <v>2034</v>
      </c>
      <c r="R3">
        <v>2035</v>
      </c>
      <c r="S3">
        <v>2036</v>
      </c>
      <c r="T3">
        <v>2037</v>
      </c>
      <c r="U3">
        <v>2038</v>
      </c>
      <c r="V3">
        <v>2039</v>
      </c>
      <c r="W3" s="47">
        <v>2040</v>
      </c>
      <c r="X3" s="47">
        <v>2041</v>
      </c>
      <c r="Y3" s="47">
        <v>2042</v>
      </c>
      <c r="Z3" s="47">
        <v>2043</v>
      </c>
      <c r="AA3" s="47">
        <v>2044</v>
      </c>
      <c r="AB3" s="47">
        <v>2045</v>
      </c>
      <c r="AC3" s="47">
        <v>2046</v>
      </c>
      <c r="AD3" s="47">
        <v>2047</v>
      </c>
      <c r="AE3" s="47">
        <v>2048</v>
      </c>
      <c r="AF3" s="47">
        <v>2049</v>
      </c>
      <c r="AG3" s="47">
        <v>2050</v>
      </c>
    </row>
    <row r="4" spans="1:33" x14ac:dyDescent="0.25">
      <c r="A4" t="s">
        <v>46</v>
      </c>
      <c r="C4" s="15">
        <v>0.96199999999999997</v>
      </c>
      <c r="D4" s="15">
        <v>0.45700000000000002</v>
      </c>
      <c r="E4" s="16">
        <v>0.38</v>
      </c>
      <c r="F4" s="16">
        <v>0.40799999999999997</v>
      </c>
      <c r="G4" s="16">
        <v>0.40699999999999997</v>
      </c>
      <c r="H4" s="3">
        <f t="shared" ref="H4:AF4" si="4">$C$4-$C$4*H2</f>
        <v>0.38726666666666665</v>
      </c>
      <c r="I4" s="3">
        <f t="shared" si="4"/>
        <v>0.36753333333333327</v>
      </c>
      <c r="J4" s="3">
        <f t="shared" si="4"/>
        <v>0.34779999999999989</v>
      </c>
      <c r="K4" s="3">
        <f t="shared" si="4"/>
        <v>0.32806666666666651</v>
      </c>
      <c r="L4" s="3">
        <f t="shared" si="4"/>
        <v>0.30833333333333324</v>
      </c>
      <c r="M4" s="3">
        <f t="shared" si="4"/>
        <v>0.28860000000000008</v>
      </c>
      <c r="N4" s="3">
        <f t="shared" si="4"/>
        <v>0.25973999999999997</v>
      </c>
      <c r="O4" s="3">
        <f t="shared" si="4"/>
        <v>0.23087999999999997</v>
      </c>
      <c r="P4" s="3">
        <f t="shared" si="4"/>
        <v>0.20201999999999998</v>
      </c>
      <c r="Q4" s="3">
        <f t="shared" si="4"/>
        <v>0.17315999999999998</v>
      </c>
      <c r="R4" s="3">
        <f t="shared" si="4"/>
        <v>0.14429999999999987</v>
      </c>
      <c r="S4" s="3">
        <f t="shared" si="4"/>
        <v>0.11543999999999988</v>
      </c>
      <c r="T4" s="3">
        <f t="shared" si="4"/>
        <v>8.6579999999999879E-2</v>
      </c>
      <c r="U4" s="3">
        <f t="shared" si="4"/>
        <v>5.7719999999999883E-2</v>
      </c>
      <c r="V4" s="3">
        <f t="shared" si="4"/>
        <v>2.8859999999999775E-2</v>
      </c>
      <c r="W4" s="48">
        <f t="shared" si="4"/>
        <v>0</v>
      </c>
      <c r="X4" s="48">
        <f t="shared" si="4"/>
        <v>0</v>
      </c>
      <c r="Y4" s="48">
        <f t="shared" si="4"/>
        <v>0</v>
      </c>
      <c r="Z4" s="48">
        <f t="shared" si="4"/>
        <v>0</v>
      </c>
      <c r="AA4" s="48">
        <f t="shared" si="4"/>
        <v>0</v>
      </c>
      <c r="AB4" s="48">
        <f t="shared" si="4"/>
        <v>0</v>
      </c>
      <c r="AC4" s="48">
        <f t="shared" si="4"/>
        <v>0</v>
      </c>
      <c r="AD4" s="48">
        <f t="shared" si="4"/>
        <v>0</v>
      </c>
      <c r="AE4" s="48">
        <f t="shared" si="4"/>
        <v>0</v>
      </c>
      <c r="AF4" s="48">
        <f t="shared" si="4"/>
        <v>0</v>
      </c>
      <c r="AG4" s="48">
        <f>$C$4-$C$4*AG2</f>
        <v>0</v>
      </c>
    </row>
    <row r="5" spans="1:33" x14ac:dyDescent="0.25">
      <c r="A5" s="9" t="s">
        <v>18</v>
      </c>
      <c r="B5" t="s">
        <v>3</v>
      </c>
      <c r="E5" s="8">
        <v>53500</v>
      </c>
      <c r="F5" s="8">
        <f>E5</f>
        <v>53500</v>
      </c>
      <c r="G5" s="8">
        <f t="shared" ref="G5:AG6" si="5">F5</f>
        <v>53500</v>
      </c>
      <c r="H5" s="8">
        <f t="shared" si="5"/>
        <v>53500</v>
      </c>
      <c r="I5" s="8">
        <f t="shared" si="5"/>
        <v>53500</v>
      </c>
      <c r="J5" s="8">
        <f t="shared" si="5"/>
        <v>53500</v>
      </c>
      <c r="K5" s="8">
        <f t="shared" si="5"/>
        <v>53500</v>
      </c>
      <c r="L5" s="8">
        <f t="shared" si="5"/>
        <v>53500</v>
      </c>
      <c r="M5" s="8">
        <f t="shared" si="5"/>
        <v>53500</v>
      </c>
      <c r="N5" s="8">
        <f t="shared" si="5"/>
        <v>53500</v>
      </c>
      <c r="O5" s="8">
        <f t="shared" si="5"/>
        <v>53500</v>
      </c>
      <c r="P5" s="8">
        <f t="shared" si="5"/>
        <v>53500</v>
      </c>
      <c r="Q5" s="8">
        <f t="shared" si="5"/>
        <v>53500</v>
      </c>
      <c r="R5" s="8">
        <f t="shared" si="5"/>
        <v>53500</v>
      </c>
      <c r="S5" s="8">
        <f t="shared" si="5"/>
        <v>53500</v>
      </c>
      <c r="T5" s="8">
        <f t="shared" si="5"/>
        <v>53500</v>
      </c>
      <c r="U5" s="8">
        <f t="shared" si="5"/>
        <v>53500</v>
      </c>
      <c r="V5" s="8">
        <f t="shared" si="5"/>
        <v>53500</v>
      </c>
      <c r="W5" s="8">
        <f t="shared" si="5"/>
        <v>53500</v>
      </c>
      <c r="X5" s="8">
        <f t="shared" si="5"/>
        <v>53500</v>
      </c>
      <c r="Y5" s="8">
        <f t="shared" si="5"/>
        <v>53500</v>
      </c>
      <c r="Z5" s="8">
        <f t="shared" si="5"/>
        <v>53500</v>
      </c>
      <c r="AA5" s="8">
        <f t="shared" si="5"/>
        <v>53500</v>
      </c>
      <c r="AB5" s="8">
        <f t="shared" si="5"/>
        <v>53500</v>
      </c>
      <c r="AC5" s="8">
        <f t="shared" si="5"/>
        <v>53500</v>
      </c>
      <c r="AD5" s="8">
        <f t="shared" si="5"/>
        <v>53500</v>
      </c>
      <c r="AE5" s="8">
        <f t="shared" si="5"/>
        <v>53500</v>
      </c>
      <c r="AF5" s="8">
        <f t="shared" si="5"/>
        <v>53500</v>
      </c>
      <c r="AG5" s="8">
        <f t="shared" si="5"/>
        <v>53500</v>
      </c>
    </row>
    <row r="6" spans="1:33" s="78" customFormat="1" x14ac:dyDescent="0.25">
      <c r="A6" s="77" t="s">
        <v>70</v>
      </c>
      <c r="B6" s="78" t="s">
        <v>3</v>
      </c>
      <c r="E6" s="79">
        <v>26700</v>
      </c>
      <c r="F6" s="79">
        <f>E6</f>
        <v>26700</v>
      </c>
      <c r="G6" s="79">
        <f t="shared" si="5"/>
        <v>26700</v>
      </c>
      <c r="H6" s="79">
        <f t="shared" si="5"/>
        <v>26700</v>
      </c>
      <c r="I6" s="79">
        <f t="shared" si="5"/>
        <v>26700</v>
      </c>
      <c r="J6" s="79">
        <f t="shared" si="5"/>
        <v>26700</v>
      </c>
      <c r="K6" s="79">
        <f t="shared" si="5"/>
        <v>26700</v>
      </c>
      <c r="L6" s="79">
        <f t="shared" si="5"/>
        <v>26700</v>
      </c>
      <c r="M6" s="79">
        <f t="shared" si="5"/>
        <v>26700</v>
      </c>
      <c r="N6" s="79">
        <f t="shared" si="5"/>
        <v>26700</v>
      </c>
      <c r="O6" s="79">
        <f t="shared" si="5"/>
        <v>26700</v>
      </c>
      <c r="P6" s="79">
        <f t="shared" si="5"/>
        <v>26700</v>
      </c>
      <c r="Q6" s="79">
        <f t="shared" si="5"/>
        <v>26700</v>
      </c>
      <c r="R6" s="79">
        <f t="shared" si="5"/>
        <v>26700</v>
      </c>
      <c r="S6" s="79">
        <f t="shared" si="5"/>
        <v>26700</v>
      </c>
      <c r="T6" s="79">
        <f t="shared" si="5"/>
        <v>26700</v>
      </c>
      <c r="U6" s="79">
        <f t="shared" si="5"/>
        <v>26700</v>
      </c>
      <c r="V6" s="79">
        <f t="shared" si="5"/>
        <v>26700</v>
      </c>
      <c r="W6" s="79">
        <f t="shared" si="5"/>
        <v>26700</v>
      </c>
      <c r="X6" s="79">
        <f t="shared" si="5"/>
        <v>26700</v>
      </c>
      <c r="Y6" s="79">
        <f t="shared" si="5"/>
        <v>26700</v>
      </c>
      <c r="Z6" s="79">
        <f t="shared" si="5"/>
        <v>26700</v>
      </c>
      <c r="AA6" s="79">
        <f t="shared" si="5"/>
        <v>26700</v>
      </c>
      <c r="AB6" s="79">
        <f t="shared" si="5"/>
        <v>26700</v>
      </c>
      <c r="AC6" s="79">
        <f t="shared" si="5"/>
        <v>26700</v>
      </c>
      <c r="AD6" s="79">
        <f t="shared" si="5"/>
        <v>26700</v>
      </c>
      <c r="AE6" s="79">
        <f t="shared" si="5"/>
        <v>26700</v>
      </c>
      <c r="AF6" s="79">
        <f t="shared" si="5"/>
        <v>26700</v>
      </c>
      <c r="AG6" s="79">
        <f t="shared" si="5"/>
        <v>26700</v>
      </c>
    </row>
    <row r="7" spans="1:33" x14ac:dyDescent="0.25">
      <c r="A7" s="9" t="s">
        <v>36</v>
      </c>
      <c r="B7" t="s">
        <v>3</v>
      </c>
      <c r="E7" s="8">
        <f>(E5+E6)/$B$20</f>
        <v>100250</v>
      </c>
      <c r="F7" s="8">
        <f t="shared" ref="F7:AG7" si="6">(F5+F6)/$B$20</f>
        <v>100250</v>
      </c>
      <c r="G7" s="8">
        <f t="shared" si="6"/>
        <v>100250</v>
      </c>
      <c r="H7" s="8">
        <f t="shared" si="6"/>
        <v>100250</v>
      </c>
      <c r="I7" s="8">
        <f t="shared" si="6"/>
        <v>100250</v>
      </c>
      <c r="J7" s="8">
        <f t="shared" si="6"/>
        <v>100250</v>
      </c>
      <c r="K7" s="8">
        <f t="shared" si="6"/>
        <v>100250</v>
      </c>
      <c r="L7" s="8">
        <f t="shared" si="6"/>
        <v>100250</v>
      </c>
      <c r="M7" s="8">
        <f t="shared" si="6"/>
        <v>100250</v>
      </c>
      <c r="N7" s="8">
        <f t="shared" si="6"/>
        <v>100250</v>
      </c>
      <c r="O7" s="8">
        <f t="shared" si="6"/>
        <v>100250</v>
      </c>
      <c r="P7" s="8">
        <f t="shared" si="6"/>
        <v>100250</v>
      </c>
      <c r="Q7" s="8">
        <f t="shared" si="6"/>
        <v>100250</v>
      </c>
      <c r="R7" s="8">
        <f t="shared" si="6"/>
        <v>100250</v>
      </c>
      <c r="S7" s="8">
        <f t="shared" si="6"/>
        <v>100250</v>
      </c>
      <c r="T7" s="8">
        <f t="shared" si="6"/>
        <v>100250</v>
      </c>
      <c r="U7" s="8">
        <f t="shared" si="6"/>
        <v>100250</v>
      </c>
      <c r="V7" s="8">
        <f t="shared" si="6"/>
        <v>100250</v>
      </c>
      <c r="W7" s="8">
        <f t="shared" si="6"/>
        <v>100250</v>
      </c>
      <c r="X7" s="8">
        <f t="shared" si="6"/>
        <v>100250</v>
      </c>
      <c r="Y7" s="8">
        <f t="shared" si="6"/>
        <v>100250</v>
      </c>
      <c r="Z7" s="8">
        <f t="shared" si="6"/>
        <v>100250</v>
      </c>
      <c r="AA7" s="8">
        <f t="shared" si="6"/>
        <v>100250</v>
      </c>
      <c r="AB7" s="8">
        <f t="shared" si="6"/>
        <v>100250</v>
      </c>
      <c r="AC7" s="8">
        <f t="shared" si="6"/>
        <v>100250</v>
      </c>
      <c r="AD7" s="8">
        <f t="shared" si="6"/>
        <v>100250</v>
      </c>
      <c r="AE7" s="8">
        <f t="shared" si="6"/>
        <v>100250</v>
      </c>
      <c r="AF7" s="8">
        <f t="shared" si="6"/>
        <v>100250</v>
      </c>
      <c r="AG7" s="8">
        <f t="shared" si="6"/>
        <v>100250</v>
      </c>
    </row>
    <row r="8" spans="1:33" x14ac:dyDescent="0.25">
      <c r="A8" s="9" t="s">
        <v>20</v>
      </c>
      <c r="B8" t="s">
        <v>21</v>
      </c>
      <c r="E8" s="8">
        <f>E7*$B$18/2204</f>
        <v>5321.8012704174225</v>
      </c>
      <c r="F8" s="8">
        <f t="shared" ref="F8:AG8" si="7">F7*$B$18/2204</f>
        <v>5321.8012704174225</v>
      </c>
      <c r="G8" s="8">
        <f t="shared" si="7"/>
        <v>5321.8012704174225</v>
      </c>
      <c r="H8" s="8">
        <f t="shared" si="7"/>
        <v>5321.8012704174225</v>
      </c>
      <c r="I8" s="8">
        <f t="shared" si="7"/>
        <v>5321.8012704174225</v>
      </c>
      <c r="J8" s="8">
        <f t="shared" si="7"/>
        <v>5321.8012704174225</v>
      </c>
      <c r="K8" s="8">
        <f t="shared" si="7"/>
        <v>5321.8012704174225</v>
      </c>
      <c r="L8" s="8">
        <f t="shared" si="7"/>
        <v>5321.8012704174225</v>
      </c>
      <c r="M8" s="8">
        <f t="shared" si="7"/>
        <v>5321.8012704174225</v>
      </c>
      <c r="N8" s="8">
        <f t="shared" si="7"/>
        <v>5321.8012704174225</v>
      </c>
      <c r="O8" s="8">
        <f t="shared" si="7"/>
        <v>5321.8012704174225</v>
      </c>
      <c r="P8" s="8">
        <f t="shared" si="7"/>
        <v>5321.8012704174225</v>
      </c>
      <c r="Q8" s="8">
        <f t="shared" si="7"/>
        <v>5321.8012704174225</v>
      </c>
      <c r="R8" s="8">
        <f t="shared" si="7"/>
        <v>5321.8012704174225</v>
      </c>
      <c r="S8" s="8">
        <f t="shared" si="7"/>
        <v>5321.8012704174225</v>
      </c>
      <c r="T8" s="8">
        <f t="shared" si="7"/>
        <v>5321.8012704174225</v>
      </c>
      <c r="U8" s="8">
        <f t="shared" si="7"/>
        <v>5321.8012704174225</v>
      </c>
      <c r="V8" s="8">
        <f t="shared" si="7"/>
        <v>5321.8012704174225</v>
      </c>
      <c r="W8" s="8">
        <f t="shared" si="7"/>
        <v>5321.8012704174225</v>
      </c>
      <c r="X8" s="8">
        <f t="shared" si="7"/>
        <v>5321.8012704174225</v>
      </c>
      <c r="Y8" s="8">
        <f t="shared" si="7"/>
        <v>5321.8012704174225</v>
      </c>
      <c r="Z8" s="8">
        <f t="shared" si="7"/>
        <v>5321.8012704174225</v>
      </c>
      <c r="AA8" s="8">
        <f t="shared" si="7"/>
        <v>5321.8012704174225</v>
      </c>
      <c r="AB8" s="8">
        <f t="shared" si="7"/>
        <v>5321.8012704174225</v>
      </c>
      <c r="AC8" s="8">
        <f t="shared" si="7"/>
        <v>5321.8012704174225</v>
      </c>
      <c r="AD8" s="8">
        <f t="shared" si="7"/>
        <v>5321.8012704174225</v>
      </c>
      <c r="AE8" s="8">
        <f t="shared" si="7"/>
        <v>5321.8012704174225</v>
      </c>
      <c r="AF8" s="8">
        <f t="shared" si="7"/>
        <v>5321.8012704174225</v>
      </c>
      <c r="AG8" s="8">
        <f t="shared" si="7"/>
        <v>5321.8012704174225</v>
      </c>
    </row>
    <row r="9" spans="1:33" x14ac:dyDescent="0.25">
      <c r="A9" t="s">
        <v>23</v>
      </c>
      <c r="B9" t="s">
        <v>1</v>
      </c>
      <c r="E9" s="7">
        <f>(E5+E6)/3.412/$B$21</f>
        <v>5596.4941662479769</v>
      </c>
      <c r="F9" s="7">
        <f t="shared" ref="F9:AG9" si="8">(F5+F6)/3.412/$B$21</f>
        <v>5596.4941662479769</v>
      </c>
      <c r="G9" s="7">
        <f t="shared" si="8"/>
        <v>5596.4941662479769</v>
      </c>
      <c r="H9" s="7">
        <f t="shared" si="8"/>
        <v>5596.4941662479769</v>
      </c>
      <c r="I9" s="7">
        <f t="shared" si="8"/>
        <v>5596.4941662479769</v>
      </c>
      <c r="J9" s="7">
        <f t="shared" si="8"/>
        <v>5596.4941662479769</v>
      </c>
      <c r="K9" s="7">
        <f t="shared" si="8"/>
        <v>5596.4941662479769</v>
      </c>
      <c r="L9" s="7">
        <f t="shared" si="8"/>
        <v>5596.4941662479769</v>
      </c>
      <c r="M9" s="7">
        <f t="shared" si="8"/>
        <v>5596.4941662479769</v>
      </c>
      <c r="N9" s="7">
        <f t="shared" si="8"/>
        <v>5596.4941662479769</v>
      </c>
      <c r="O9" s="7">
        <f t="shared" si="8"/>
        <v>5596.4941662479769</v>
      </c>
      <c r="P9" s="7">
        <f t="shared" si="8"/>
        <v>5596.4941662479769</v>
      </c>
      <c r="Q9" s="7">
        <f t="shared" si="8"/>
        <v>5596.4941662479769</v>
      </c>
      <c r="R9" s="7">
        <f t="shared" si="8"/>
        <v>5596.4941662479769</v>
      </c>
      <c r="S9" s="7">
        <f t="shared" si="8"/>
        <v>5596.4941662479769</v>
      </c>
      <c r="T9" s="7">
        <f t="shared" si="8"/>
        <v>5596.4941662479769</v>
      </c>
      <c r="U9" s="7">
        <f t="shared" si="8"/>
        <v>5596.4941662479769</v>
      </c>
      <c r="V9" s="7">
        <f t="shared" si="8"/>
        <v>5596.4941662479769</v>
      </c>
      <c r="W9" s="7">
        <f t="shared" si="8"/>
        <v>5596.4941662479769</v>
      </c>
      <c r="X9" s="7">
        <f t="shared" si="8"/>
        <v>5596.4941662479769</v>
      </c>
      <c r="Y9" s="7">
        <f t="shared" si="8"/>
        <v>5596.4941662479769</v>
      </c>
      <c r="Z9" s="7">
        <f t="shared" si="8"/>
        <v>5596.4941662479769</v>
      </c>
      <c r="AA9" s="7">
        <f t="shared" si="8"/>
        <v>5596.4941662479769</v>
      </c>
      <c r="AB9" s="7">
        <f t="shared" si="8"/>
        <v>5596.4941662479769</v>
      </c>
      <c r="AC9" s="7">
        <f t="shared" si="8"/>
        <v>5596.4941662479769</v>
      </c>
      <c r="AD9" s="7">
        <f t="shared" si="8"/>
        <v>5596.4941662479769</v>
      </c>
      <c r="AE9" s="7">
        <f t="shared" si="8"/>
        <v>5596.4941662479769</v>
      </c>
      <c r="AF9" s="7">
        <f t="shared" si="8"/>
        <v>5596.4941662479769</v>
      </c>
      <c r="AG9" s="7">
        <f t="shared" si="8"/>
        <v>5596.4941662479769</v>
      </c>
    </row>
    <row r="10" spans="1:33" x14ac:dyDescent="0.25">
      <c r="A10" t="s">
        <v>24</v>
      </c>
      <c r="B10" t="s">
        <v>1</v>
      </c>
      <c r="E10" s="7">
        <f>(E5+E6)*$B$19/1000</f>
        <v>401</v>
      </c>
      <c r="F10" s="7">
        <f t="shared" ref="F10:AG10" si="9">(F5+F6)*$B$19/1000</f>
        <v>401</v>
      </c>
      <c r="G10" s="7">
        <f t="shared" si="9"/>
        <v>401</v>
      </c>
      <c r="H10" s="7">
        <f t="shared" si="9"/>
        <v>401</v>
      </c>
      <c r="I10" s="7">
        <f t="shared" si="9"/>
        <v>401</v>
      </c>
      <c r="J10" s="7">
        <f t="shared" si="9"/>
        <v>401</v>
      </c>
      <c r="K10" s="7">
        <f t="shared" si="9"/>
        <v>401</v>
      </c>
      <c r="L10" s="7">
        <f t="shared" si="9"/>
        <v>401</v>
      </c>
      <c r="M10" s="7">
        <f t="shared" si="9"/>
        <v>401</v>
      </c>
      <c r="N10" s="7">
        <f t="shared" si="9"/>
        <v>401</v>
      </c>
      <c r="O10" s="7">
        <f t="shared" si="9"/>
        <v>401</v>
      </c>
      <c r="P10" s="7">
        <f t="shared" si="9"/>
        <v>401</v>
      </c>
      <c r="Q10" s="7">
        <f t="shared" si="9"/>
        <v>401</v>
      </c>
      <c r="R10" s="7">
        <f t="shared" si="9"/>
        <v>401</v>
      </c>
      <c r="S10" s="7">
        <f t="shared" si="9"/>
        <v>401</v>
      </c>
      <c r="T10" s="7">
        <f t="shared" si="9"/>
        <v>401</v>
      </c>
      <c r="U10" s="7">
        <f t="shared" si="9"/>
        <v>401</v>
      </c>
      <c r="V10" s="7">
        <f t="shared" si="9"/>
        <v>401</v>
      </c>
      <c r="W10" s="7">
        <f t="shared" si="9"/>
        <v>401</v>
      </c>
      <c r="X10" s="7">
        <f t="shared" si="9"/>
        <v>401</v>
      </c>
      <c r="Y10" s="7">
        <f t="shared" si="9"/>
        <v>401</v>
      </c>
      <c r="Z10" s="7">
        <f t="shared" si="9"/>
        <v>401</v>
      </c>
      <c r="AA10" s="7">
        <f t="shared" si="9"/>
        <v>401</v>
      </c>
      <c r="AB10" s="7">
        <f t="shared" si="9"/>
        <v>401</v>
      </c>
      <c r="AC10" s="7">
        <f t="shared" si="9"/>
        <v>401</v>
      </c>
      <c r="AD10" s="7">
        <f t="shared" si="9"/>
        <v>401</v>
      </c>
      <c r="AE10" s="7">
        <f t="shared" si="9"/>
        <v>401</v>
      </c>
      <c r="AF10" s="7">
        <f t="shared" si="9"/>
        <v>401</v>
      </c>
      <c r="AG10" s="7">
        <f t="shared" si="9"/>
        <v>401</v>
      </c>
    </row>
    <row r="11" spans="1:33" x14ac:dyDescent="0.25">
      <c r="A11" t="s">
        <v>56</v>
      </c>
      <c r="B11" t="s">
        <v>42</v>
      </c>
      <c r="E11" s="4">
        <v>0</v>
      </c>
      <c r="F11" s="4">
        <v>0</v>
      </c>
      <c r="G11" s="4">
        <v>0</v>
      </c>
      <c r="H11" s="4">
        <v>0</v>
      </c>
      <c r="I11" s="4">
        <v>0</v>
      </c>
      <c r="J11" s="4">
        <v>0</v>
      </c>
      <c r="K11" s="1">
        <v>1</v>
      </c>
      <c r="L11" s="1">
        <v>1</v>
      </c>
      <c r="M11" s="1">
        <f t="shared" ref="M11:AG11" si="10">L11</f>
        <v>1</v>
      </c>
      <c r="N11" s="1">
        <f t="shared" si="10"/>
        <v>1</v>
      </c>
      <c r="O11" s="1">
        <f t="shared" si="10"/>
        <v>1</v>
      </c>
      <c r="P11" s="1">
        <f t="shared" si="10"/>
        <v>1</v>
      </c>
      <c r="Q11" s="1">
        <f t="shared" si="10"/>
        <v>1</v>
      </c>
      <c r="R11" s="1">
        <f t="shared" si="10"/>
        <v>1</v>
      </c>
      <c r="S11" s="1">
        <f t="shared" si="10"/>
        <v>1</v>
      </c>
      <c r="T11" s="1">
        <f t="shared" si="10"/>
        <v>1</v>
      </c>
      <c r="U11" s="1">
        <f t="shared" si="10"/>
        <v>1</v>
      </c>
      <c r="V11" s="1">
        <f t="shared" si="10"/>
        <v>1</v>
      </c>
      <c r="W11" s="1">
        <f t="shared" si="10"/>
        <v>1</v>
      </c>
      <c r="X11" s="1">
        <f t="shared" si="10"/>
        <v>1</v>
      </c>
      <c r="Y11" s="1">
        <f t="shared" si="10"/>
        <v>1</v>
      </c>
      <c r="Z11" s="1">
        <f t="shared" si="10"/>
        <v>1</v>
      </c>
      <c r="AA11" s="1">
        <f t="shared" si="10"/>
        <v>1</v>
      </c>
      <c r="AB11" s="1">
        <f t="shared" si="10"/>
        <v>1</v>
      </c>
      <c r="AC11" s="1">
        <f t="shared" si="10"/>
        <v>1</v>
      </c>
      <c r="AD11" s="1">
        <f t="shared" si="10"/>
        <v>1</v>
      </c>
      <c r="AE11" s="1">
        <f t="shared" si="10"/>
        <v>1</v>
      </c>
      <c r="AF11" s="1">
        <f t="shared" si="10"/>
        <v>1</v>
      </c>
      <c r="AG11" s="1">
        <f t="shared" si="10"/>
        <v>1</v>
      </c>
    </row>
    <row r="12" spans="1:33" x14ac:dyDescent="0.25"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</row>
    <row r="13" spans="1:33" x14ac:dyDescent="0.25">
      <c r="A13" s="9" t="s">
        <v>31</v>
      </c>
      <c r="B13" t="s">
        <v>21</v>
      </c>
      <c r="E13" s="7">
        <f>(E9+E10)*E4*E11+(1-E11)*E8</f>
        <v>5321.8012704174225</v>
      </c>
      <c r="F13" s="7">
        <f t="shared" ref="F13:AG13" si="11">(F9+F10)*F4*F11+(1-F11)*F8</f>
        <v>5321.8012704174225</v>
      </c>
      <c r="G13" s="7">
        <f t="shared" si="11"/>
        <v>5321.8012704174225</v>
      </c>
      <c r="H13" s="7">
        <f t="shared" si="11"/>
        <v>5321.8012704174225</v>
      </c>
      <c r="I13" s="7">
        <f t="shared" si="11"/>
        <v>5321.8012704174225</v>
      </c>
      <c r="J13" s="7">
        <f t="shared" si="11"/>
        <v>5321.8012704174225</v>
      </c>
      <c r="K13" s="7">
        <f t="shared" si="11"/>
        <v>1967.577919473752</v>
      </c>
      <c r="L13" s="7">
        <f t="shared" si="11"/>
        <v>1849.227367926459</v>
      </c>
      <c r="M13" s="7">
        <f t="shared" si="11"/>
        <v>1730.8768163791665</v>
      </c>
      <c r="N13" s="7">
        <f t="shared" si="11"/>
        <v>1557.7891347412494</v>
      </c>
      <c r="O13" s="7">
        <f t="shared" si="11"/>
        <v>1384.7014531033328</v>
      </c>
      <c r="P13" s="7">
        <f t="shared" si="11"/>
        <v>1211.6137714654162</v>
      </c>
      <c r="Q13" s="7">
        <f t="shared" si="11"/>
        <v>1038.5260898274996</v>
      </c>
      <c r="R13" s="7">
        <f t="shared" si="11"/>
        <v>865.43840818958233</v>
      </c>
      <c r="S13" s="7">
        <f t="shared" si="11"/>
        <v>692.35072655166573</v>
      </c>
      <c r="T13" s="7">
        <f t="shared" si="11"/>
        <v>519.26304491374913</v>
      </c>
      <c r="U13" s="7">
        <f t="shared" si="11"/>
        <v>346.17536327583252</v>
      </c>
      <c r="V13" s="7">
        <f t="shared" si="11"/>
        <v>173.08768163791527</v>
      </c>
      <c r="W13" s="7">
        <f t="shared" si="11"/>
        <v>0</v>
      </c>
      <c r="X13" s="7">
        <f t="shared" si="11"/>
        <v>0</v>
      </c>
      <c r="Y13" s="7">
        <f t="shared" si="11"/>
        <v>0</v>
      </c>
      <c r="Z13" s="7">
        <f t="shared" si="11"/>
        <v>0</v>
      </c>
      <c r="AA13" s="7">
        <f t="shared" si="11"/>
        <v>0</v>
      </c>
      <c r="AB13" s="7">
        <f t="shared" si="11"/>
        <v>0</v>
      </c>
      <c r="AC13" s="7">
        <f t="shared" si="11"/>
        <v>0</v>
      </c>
      <c r="AD13" s="7">
        <f t="shared" si="11"/>
        <v>0</v>
      </c>
      <c r="AE13" s="7">
        <f t="shared" si="11"/>
        <v>0</v>
      </c>
      <c r="AF13" s="7">
        <f t="shared" si="11"/>
        <v>0</v>
      </c>
      <c r="AG13" s="7">
        <f t="shared" si="11"/>
        <v>0</v>
      </c>
    </row>
    <row r="14" spans="1:33" x14ac:dyDescent="0.25">
      <c r="A14" t="s">
        <v>41</v>
      </c>
      <c r="B14" t="s">
        <v>42</v>
      </c>
      <c r="E14" s="4">
        <f>1-E13/E8</f>
        <v>0</v>
      </c>
      <c r="F14" s="4">
        <f t="shared" ref="F14:L14" si="12">1-F13/F8</f>
        <v>0</v>
      </c>
      <c r="G14" s="4">
        <f t="shared" si="12"/>
        <v>0</v>
      </c>
      <c r="H14" s="4">
        <f t="shared" si="12"/>
        <v>0</v>
      </c>
      <c r="I14" s="4">
        <f t="shared" si="12"/>
        <v>0</v>
      </c>
      <c r="J14" s="4">
        <f t="shared" si="12"/>
        <v>0</v>
      </c>
      <c r="K14" s="4">
        <f t="shared" si="12"/>
        <v>0.6302797080358804</v>
      </c>
      <c r="L14" s="4">
        <f t="shared" si="12"/>
        <v>0.65251852259011311</v>
      </c>
      <c r="M14" s="4">
        <f>1-M13/M8</f>
        <v>0.67475733714434571</v>
      </c>
      <c r="N14" s="4">
        <f t="shared" ref="N14:AG14" si="13">1-N13/N8</f>
        <v>0.7072816034299112</v>
      </c>
      <c r="O14" s="4">
        <f t="shared" si="13"/>
        <v>0.73980586971547657</v>
      </c>
      <c r="P14" s="4">
        <f t="shared" si="13"/>
        <v>0.77233013600104206</v>
      </c>
      <c r="Q14" s="4">
        <f t="shared" si="13"/>
        <v>0.80485440228660754</v>
      </c>
      <c r="R14" s="4">
        <f t="shared" si="13"/>
        <v>0.83737866857217302</v>
      </c>
      <c r="S14" s="4">
        <f t="shared" si="13"/>
        <v>0.86990293485773851</v>
      </c>
      <c r="T14" s="4">
        <f t="shared" si="13"/>
        <v>0.90242720114330388</v>
      </c>
      <c r="U14" s="4">
        <f t="shared" si="13"/>
        <v>0.93495146742886925</v>
      </c>
      <c r="V14" s="4">
        <f t="shared" si="13"/>
        <v>0.96747573371443485</v>
      </c>
      <c r="W14" s="4">
        <f t="shared" si="13"/>
        <v>1</v>
      </c>
      <c r="X14" s="4">
        <f t="shared" si="13"/>
        <v>1</v>
      </c>
      <c r="Y14" s="4">
        <f t="shared" si="13"/>
        <v>1</v>
      </c>
      <c r="Z14" s="4">
        <f t="shared" si="13"/>
        <v>1</v>
      </c>
      <c r="AA14" s="4">
        <f t="shared" si="13"/>
        <v>1</v>
      </c>
      <c r="AB14" s="4">
        <f t="shared" si="13"/>
        <v>1</v>
      </c>
      <c r="AC14" s="4">
        <f t="shared" si="13"/>
        <v>1</v>
      </c>
      <c r="AD14" s="4">
        <f t="shared" si="13"/>
        <v>1</v>
      </c>
      <c r="AE14" s="4">
        <f t="shared" si="13"/>
        <v>1</v>
      </c>
      <c r="AF14" s="4">
        <f t="shared" si="13"/>
        <v>1</v>
      </c>
      <c r="AG14" s="4">
        <f t="shared" si="13"/>
        <v>1</v>
      </c>
    </row>
    <row r="15" spans="1:33" x14ac:dyDescent="0.25">
      <c r="A15" t="s">
        <v>43</v>
      </c>
      <c r="B15" t="s">
        <v>44</v>
      </c>
      <c r="E15" s="8">
        <f>E8-E13</f>
        <v>0</v>
      </c>
      <c r="F15" s="8">
        <f t="shared" ref="F15:L15" si="14">F8-F13</f>
        <v>0</v>
      </c>
      <c r="G15" s="8">
        <f t="shared" si="14"/>
        <v>0</v>
      </c>
      <c r="H15" s="8">
        <f t="shared" si="14"/>
        <v>0</v>
      </c>
      <c r="I15" s="8">
        <f t="shared" si="14"/>
        <v>0</v>
      </c>
      <c r="J15" s="8">
        <f t="shared" si="14"/>
        <v>0</v>
      </c>
      <c r="K15" s="8">
        <f t="shared" si="14"/>
        <v>3354.2233509436705</v>
      </c>
      <c r="L15" s="8">
        <f t="shared" si="14"/>
        <v>3472.5739024909635</v>
      </c>
      <c r="M15" s="8">
        <f>M8-M13</f>
        <v>3590.924454038256</v>
      </c>
      <c r="N15" s="8">
        <f t="shared" ref="N15:AG15" si="15">N8-N13</f>
        <v>3764.0121356761729</v>
      </c>
      <c r="O15" s="8">
        <f t="shared" si="15"/>
        <v>3937.0998173140897</v>
      </c>
      <c r="P15" s="8">
        <f t="shared" si="15"/>
        <v>4110.1874989520065</v>
      </c>
      <c r="Q15" s="8">
        <f t="shared" si="15"/>
        <v>4283.2751805899225</v>
      </c>
      <c r="R15" s="8">
        <f t="shared" si="15"/>
        <v>4456.3628622278402</v>
      </c>
      <c r="S15" s="8">
        <f t="shared" si="15"/>
        <v>4629.450543865757</v>
      </c>
      <c r="T15" s="8">
        <f t="shared" si="15"/>
        <v>4802.5382255036729</v>
      </c>
      <c r="U15" s="8">
        <f t="shared" si="15"/>
        <v>4975.6259071415898</v>
      </c>
      <c r="V15" s="8">
        <f t="shared" si="15"/>
        <v>5148.7135887795075</v>
      </c>
      <c r="W15" s="8">
        <f t="shared" si="15"/>
        <v>5321.8012704174225</v>
      </c>
      <c r="X15" s="8">
        <f t="shared" si="15"/>
        <v>5321.8012704174225</v>
      </c>
      <c r="Y15" s="8">
        <f t="shared" si="15"/>
        <v>5321.8012704174225</v>
      </c>
      <c r="Z15" s="8">
        <f t="shared" si="15"/>
        <v>5321.8012704174225</v>
      </c>
      <c r="AA15" s="8">
        <f t="shared" si="15"/>
        <v>5321.8012704174225</v>
      </c>
      <c r="AB15" s="8">
        <f t="shared" si="15"/>
        <v>5321.8012704174225</v>
      </c>
      <c r="AC15" s="8">
        <f t="shared" si="15"/>
        <v>5321.8012704174225</v>
      </c>
      <c r="AD15" s="8">
        <f t="shared" si="15"/>
        <v>5321.8012704174225</v>
      </c>
      <c r="AE15" s="8">
        <f t="shared" si="15"/>
        <v>5321.8012704174225</v>
      </c>
      <c r="AF15" s="8">
        <f t="shared" si="15"/>
        <v>5321.8012704174225</v>
      </c>
      <c r="AG15" s="8">
        <f t="shared" si="15"/>
        <v>5321.8012704174225</v>
      </c>
    </row>
    <row r="17" spans="1:10" x14ac:dyDescent="0.25">
      <c r="A17" s="17" t="s">
        <v>30</v>
      </c>
      <c r="B17" s="18"/>
    </row>
    <row r="18" spans="1:10" x14ac:dyDescent="0.25">
      <c r="A18" s="18" t="s">
        <v>7</v>
      </c>
      <c r="B18" s="18">
        <v>117</v>
      </c>
    </row>
    <row r="19" spans="1:10" x14ac:dyDescent="0.25">
      <c r="A19" s="18" t="s">
        <v>67</v>
      </c>
      <c r="B19" s="18">
        <v>5</v>
      </c>
    </row>
    <row r="20" spans="1:10" x14ac:dyDescent="0.25">
      <c r="A20" s="18" t="s">
        <v>19</v>
      </c>
      <c r="B20" s="19">
        <v>0.8</v>
      </c>
    </row>
    <row r="21" spans="1:10" x14ac:dyDescent="0.25">
      <c r="A21" s="18" t="s">
        <v>22</v>
      </c>
      <c r="B21" s="18">
        <f>'GHG (LP FULL)'!B20</f>
        <v>4.2</v>
      </c>
      <c r="E21" s="8"/>
    </row>
    <row r="22" spans="1:10" x14ac:dyDescent="0.25">
      <c r="A22" s="20" t="s">
        <v>0</v>
      </c>
      <c r="B22" s="21"/>
      <c r="E22" s="8"/>
    </row>
    <row r="23" spans="1:10" x14ac:dyDescent="0.25">
      <c r="A23" s="20" t="s">
        <v>66</v>
      </c>
      <c r="B23" s="18"/>
    </row>
    <row r="25" spans="1:10" x14ac:dyDescent="0.25">
      <c r="A25" s="5" t="s">
        <v>32</v>
      </c>
    </row>
    <row r="26" spans="1:10" x14ac:dyDescent="0.25">
      <c r="A26" s="12" t="s">
        <v>25</v>
      </c>
      <c r="B26" s="14">
        <f>SUM(H8:M8)</f>
        <v>31930.807622504533</v>
      </c>
      <c r="H26" s="8">
        <f>'GHG (DES FULL)'!B25</f>
        <v>37219.311377245511</v>
      </c>
      <c r="J26" s="8"/>
    </row>
    <row r="27" spans="1:10" x14ac:dyDescent="0.25">
      <c r="A27" s="10" t="s">
        <v>26</v>
      </c>
      <c r="B27" s="11">
        <f>SUM(H13:M13)</f>
        <v>21513.085915031646</v>
      </c>
      <c r="G27" s="32" t="s">
        <v>17</v>
      </c>
      <c r="H27" s="8">
        <f>B28</f>
        <v>10417.721707472887</v>
      </c>
      <c r="J27" s="8"/>
    </row>
    <row r="28" spans="1:10" x14ac:dyDescent="0.25">
      <c r="A28" s="9" t="s">
        <v>17</v>
      </c>
      <c r="B28" s="8">
        <f>B26-B27</f>
        <v>10417.721707472887</v>
      </c>
      <c r="H28" s="8">
        <f>H26-H27</f>
        <v>26801.589669772624</v>
      </c>
      <c r="J28" s="8"/>
    </row>
    <row r="29" spans="1:10" x14ac:dyDescent="0.25">
      <c r="A29" s="9" t="s">
        <v>15</v>
      </c>
      <c r="B29" s="4">
        <f>B28/B26</f>
        <v>0.32625926129505645</v>
      </c>
      <c r="H29" s="4">
        <f>1-H28/H26</f>
        <v>0.2799009794104329</v>
      </c>
      <c r="J29" s="4"/>
    </row>
    <row r="31" spans="1:10" x14ac:dyDescent="0.25">
      <c r="A31" s="5" t="s">
        <v>33</v>
      </c>
    </row>
    <row r="32" spans="1:10" x14ac:dyDescent="0.25">
      <c r="A32" s="12" t="s">
        <v>25</v>
      </c>
      <c r="B32" s="14">
        <f>SUM(H8:AG8)</f>
        <v>138366.83303085295</v>
      </c>
      <c r="H32" s="8">
        <f>'GHG (DES FULL)'!B31</f>
        <v>161283.68263473044</v>
      </c>
      <c r="J32" s="8"/>
    </row>
    <row r="33" spans="1:10" x14ac:dyDescent="0.25">
      <c r="A33" s="10" t="s">
        <v>26</v>
      </c>
      <c r="B33" s="11">
        <f>SUM(H13:AG13)</f>
        <v>29302.031588737897</v>
      </c>
      <c r="G33" s="32" t="s">
        <v>17</v>
      </c>
      <c r="H33" s="8">
        <f>B34</f>
        <v>109064.80144211506</v>
      </c>
      <c r="J33" s="8"/>
    </row>
    <row r="34" spans="1:10" x14ac:dyDescent="0.25">
      <c r="A34" s="9" t="s">
        <v>17</v>
      </c>
      <c r="B34" s="8">
        <f>B32-B33</f>
        <v>109064.80144211506</v>
      </c>
      <c r="H34" s="8">
        <f>H32-H33</f>
        <v>52218.881192615387</v>
      </c>
      <c r="J34" s="8"/>
    </row>
    <row r="35" spans="1:10" x14ac:dyDescent="0.25">
      <c r="A35" s="9" t="s">
        <v>15</v>
      </c>
      <c r="B35" s="4">
        <f>B34/B32</f>
        <v>0.78822936865076509</v>
      </c>
      <c r="H35" s="4">
        <f>1-H34/H32</f>
        <v>0.67622960773484531</v>
      </c>
      <c r="J35" s="4"/>
    </row>
  </sheetData>
  <hyperlinks>
    <hyperlink ref="A22" r:id="rId1" xr:uid="{EB995205-2F1D-4DE3-8F21-4CB5031EABD5}"/>
    <hyperlink ref="A23" r:id="rId2" location=":~:text=The%20bill%20establishes%20a%20standard,for%20all%20electric%20utilities%20by " xr:uid="{F5BE525F-3839-4F30-AC1B-6115618E96E9}"/>
  </hyperlinks>
  <pageMargins left="0.7" right="0.7" top="0.75" bottom="0.75" header="0.3" footer="0.3"/>
  <pageSetup orientation="portrait"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15D5C1-DB7A-44C0-9D43-5E784E451828}">
  <dimension ref="A2:X37"/>
  <sheetViews>
    <sheetView topLeftCell="K1" workbookViewId="0">
      <selection activeCell="R40" sqref="R40"/>
    </sheetView>
  </sheetViews>
  <sheetFormatPr defaultRowHeight="15" x14ac:dyDescent="0.25"/>
  <cols>
    <col min="1" max="1" width="10.7109375" customWidth="1"/>
    <col min="2" max="4" width="11.140625" customWidth="1"/>
    <col min="5" max="5" width="11.5703125" customWidth="1"/>
    <col min="6" max="6" width="11.28515625" customWidth="1"/>
    <col min="7" max="7" width="12.42578125" customWidth="1"/>
    <col min="8" max="8" width="16.28515625" customWidth="1"/>
    <col min="12" max="18" width="18.7109375" customWidth="1"/>
    <col min="19" max="24" width="16.5703125" customWidth="1"/>
  </cols>
  <sheetData>
    <row r="2" spans="1:24" ht="30" x14ac:dyDescent="0.25">
      <c r="A2" s="61">
        <v>2023</v>
      </c>
      <c r="B2" s="61" t="s">
        <v>71</v>
      </c>
      <c r="C2" s="61" t="s">
        <v>72</v>
      </c>
      <c r="D2" s="61" t="s">
        <v>73</v>
      </c>
      <c r="E2" s="61" t="s">
        <v>74</v>
      </c>
      <c r="F2" s="61" t="s">
        <v>75</v>
      </c>
      <c r="G2" s="61" t="s">
        <v>76</v>
      </c>
      <c r="H2" s="61" t="s">
        <v>77</v>
      </c>
      <c r="I2" s="61" t="s">
        <v>78</v>
      </c>
      <c r="L2" s="62" t="s">
        <v>79</v>
      </c>
      <c r="M2" s="62" t="s">
        <v>80</v>
      </c>
      <c r="N2" s="62" t="s">
        <v>81</v>
      </c>
      <c r="O2" s="62" t="s">
        <v>82</v>
      </c>
      <c r="P2" s="62" t="s">
        <v>3</v>
      </c>
      <c r="Q2" s="62" t="s">
        <v>44</v>
      </c>
      <c r="R2" s="63"/>
      <c r="S2" s="62" t="s">
        <v>3</v>
      </c>
      <c r="T2" s="62" t="s">
        <v>44</v>
      </c>
      <c r="U2" s="62" t="s">
        <v>83</v>
      </c>
      <c r="V2" s="62" t="s">
        <v>84</v>
      </c>
      <c r="W2" s="62" t="s">
        <v>85</v>
      </c>
      <c r="X2" s="62" t="s">
        <v>86</v>
      </c>
    </row>
    <row r="3" spans="1:24" x14ac:dyDescent="0.25">
      <c r="A3" s="64" t="s">
        <v>87</v>
      </c>
      <c r="B3" s="65">
        <v>17859709</v>
      </c>
      <c r="C3" s="65">
        <f>(B3/8.337)/100*0.13368</f>
        <v>2863.723040806045</v>
      </c>
      <c r="D3" s="66">
        <f>C3/H3</f>
        <v>0.41347430563182863</v>
      </c>
      <c r="E3" s="64">
        <v>83</v>
      </c>
      <c r="F3" s="67">
        <v>7322.48</v>
      </c>
      <c r="G3" s="67">
        <v>29030.11</v>
      </c>
      <c r="H3" s="65">
        <v>6926</v>
      </c>
      <c r="I3" s="66">
        <f>F3/G3</f>
        <v>0.25223741832187335</v>
      </c>
      <c r="L3" s="68">
        <f t="shared" ref="L3:L14" si="0">H3*748*$N$33</f>
        <v>4662583.2</v>
      </c>
      <c r="M3">
        <v>744</v>
      </c>
      <c r="N3" s="7">
        <f>L3/M3/60</f>
        <v>104.44854838709678</v>
      </c>
      <c r="O3" s="69">
        <f t="shared" ref="O3:O14" si="1">N3*500*$N$34/1000000</f>
        <v>5.2224274193548386</v>
      </c>
      <c r="P3" s="68">
        <f>M3*O3/$N$35</f>
        <v>4856.8574999999992</v>
      </c>
      <c r="Q3" s="68">
        <f t="shared" ref="Q3:Q14" si="2">P3*$N$36/2204.62</f>
        <v>257.75522652429896</v>
      </c>
      <c r="S3" s="70">
        <f>L3*8.34*1*$N$34/$N$35/1000000</f>
        <v>4860.7429860000002</v>
      </c>
      <c r="T3" s="68">
        <f t="shared" ref="T3:T14" si="3">S3*$N$36/2204.62</f>
        <v>257.96143070551841</v>
      </c>
      <c r="U3" s="71">
        <v>1464</v>
      </c>
      <c r="V3" s="4">
        <f>(MAX($U$3:$U$14)-IF(U3&lt;$U$13,0,U3))/MAX($U$3:$U$14)</f>
        <v>7.3417721518987344E-2</v>
      </c>
      <c r="W3" s="70">
        <f>S3*V3</f>
        <v>356.864674921519</v>
      </c>
      <c r="X3" s="70">
        <f t="shared" ref="X3:X14" si="4">T3*V3</f>
        <v>18.938940482177301</v>
      </c>
    </row>
    <row r="4" spans="1:24" x14ac:dyDescent="0.25">
      <c r="A4" s="64" t="s">
        <v>88</v>
      </c>
      <c r="B4" s="65">
        <v>19283866</v>
      </c>
      <c r="C4" s="65">
        <f t="shared" ref="C4:C14" si="5">(B4/8.337)/100*0.13368</f>
        <v>3092.0801329974806</v>
      </c>
      <c r="D4" s="66">
        <f t="shared" ref="D4:D14" si="6">C4/H4</f>
        <v>0.41354555744248772</v>
      </c>
      <c r="E4" s="64">
        <v>83</v>
      </c>
      <c r="F4" s="67">
        <v>7906.39</v>
      </c>
      <c r="G4" s="67">
        <v>31304.63</v>
      </c>
      <c r="H4" s="65">
        <v>7477</v>
      </c>
      <c r="I4" s="66">
        <f t="shared" ref="I4:I14" si="7">F4/G4</f>
        <v>0.25256295953665642</v>
      </c>
      <c r="L4" s="68">
        <f t="shared" si="0"/>
        <v>5033516.4000000004</v>
      </c>
      <c r="M4">
        <v>672</v>
      </c>
      <c r="N4" s="7">
        <f t="shared" ref="N4:N14" si="8">L4/M4/60</f>
        <v>124.83919642857144</v>
      </c>
      <c r="O4" s="69">
        <f t="shared" si="1"/>
        <v>6.2419598214285719</v>
      </c>
      <c r="P4" s="68">
        <f t="shared" ref="P4:P14" si="9">M4*O4/$N$35</f>
        <v>5243.2462500000001</v>
      </c>
      <c r="Q4" s="68">
        <f t="shared" si="2"/>
        <v>278.26102060672588</v>
      </c>
      <c r="S4" s="70">
        <f t="shared" ref="S4:S14" si="10">L4*8.34*1*$N$34/$N$35/1000000</f>
        <v>5247.4408469999998</v>
      </c>
      <c r="T4" s="68">
        <f t="shared" si="3"/>
        <v>278.48362942321126</v>
      </c>
      <c r="U4" s="71">
        <v>1370</v>
      </c>
      <c r="V4" s="4">
        <f>(MAX($U$3:$U$14)-IF(U4&lt;$U$13,0,U4))/MAX($U$3:$U$14)</f>
        <v>0.13291139240506328</v>
      </c>
      <c r="W4" s="70">
        <f t="shared" ref="W4:W14" si="11">S4*V4</f>
        <v>697.44466953797462</v>
      </c>
      <c r="X4" s="70">
        <f t="shared" si="4"/>
        <v>37.01364694865466</v>
      </c>
    </row>
    <row r="5" spans="1:24" x14ac:dyDescent="0.25">
      <c r="A5" s="64" t="s">
        <v>89</v>
      </c>
      <c r="B5" s="65">
        <v>26334546</v>
      </c>
      <c r="C5" s="65">
        <f t="shared" si="5"/>
        <v>4222.6245763224179</v>
      </c>
      <c r="D5" s="66">
        <f t="shared" si="6"/>
        <v>0.60967724174450155</v>
      </c>
      <c r="E5" s="64">
        <v>81</v>
      </c>
      <c r="F5" s="67">
        <v>10797.16</v>
      </c>
      <c r="G5" s="67">
        <v>29967.23</v>
      </c>
      <c r="H5" s="65">
        <v>6926</v>
      </c>
      <c r="I5" s="66">
        <f t="shared" si="7"/>
        <v>0.3602988998315827</v>
      </c>
      <c r="L5" s="68">
        <f t="shared" si="0"/>
        <v>4662583.2</v>
      </c>
      <c r="M5">
        <v>744</v>
      </c>
      <c r="N5" s="7">
        <f t="shared" si="8"/>
        <v>104.44854838709678</v>
      </c>
      <c r="O5" s="69">
        <f t="shared" si="1"/>
        <v>5.2224274193548386</v>
      </c>
      <c r="P5" s="68">
        <f t="shared" si="9"/>
        <v>4856.8574999999992</v>
      </c>
      <c r="Q5" s="68">
        <f t="shared" si="2"/>
        <v>257.75522652429896</v>
      </c>
      <c r="S5" s="70">
        <f t="shared" si="10"/>
        <v>4860.7429860000002</v>
      </c>
      <c r="T5" s="68">
        <f t="shared" si="3"/>
        <v>257.96143070551841</v>
      </c>
      <c r="U5" s="71">
        <v>1294</v>
      </c>
      <c r="V5" s="4">
        <f>(MAX($U$3:$U$14)-IF(U5&lt;$U$13,0,U5))/MAX($U$3:$U$14)</f>
        <v>0.18101265822784809</v>
      </c>
      <c r="W5" s="70">
        <f t="shared" si="11"/>
        <v>879.85600885822782</v>
      </c>
      <c r="X5" s="70">
        <f t="shared" si="4"/>
        <v>46.694284292264726</v>
      </c>
    </row>
    <row r="6" spans="1:24" x14ac:dyDescent="0.25">
      <c r="A6" s="64" t="s">
        <v>90</v>
      </c>
      <c r="B6" s="65">
        <v>20905337</v>
      </c>
      <c r="C6" s="65">
        <f t="shared" si="5"/>
        <v>3352.075626916157</v>
      </c>
      <c r="D6" s="66">
        <f t="shared" si="6"/>
        <v>0.43213557134409658</v>
      </c>
      <c r="E6" s="64">
        <v>81</v>
      </c>
      <c r="F6" s="67">
        <v>8571.19</v>
      </c>
      <c r="G6" s="67">
        <v>33427.17</v>
      </c>
      <c r="H6" s="65">
        <v>7757</v>
      </c>
      <c r="I6" s="66">
        <f t="shared" si="7"/>
        <v>0.25641386931648719</v>
      </c>
      <c r="L6" s="68">
        <f t="shared" si="0"/>
        <v>5222012.4000000004</v>
      </c>
      <c r="M6">
        <v>720</v>
      </c>
      <c r="N6" s="7">
        <f t="shared" si="8"/>
        <v>120.87991666666667</v>
      </c>
      <c r="O6" s="69">
        <f t="shared" si="1"/>
        <v>6.0439958333333337</v>
      </c>
      <c r="P6" s="68">
        <f t="shared" si="9"/>
        <v>5439.5962500000005</v>
      </c>
      <c r="Q6" s="68">
        <f t="shared" si="2"/>
        <v>288.68138783554542</v>
      </c>
      <c r="S6" s="70">
        <f t="shared" si="10"/>
        <v>5443.9479270000002</v>
      </c>
      <c r="T6" s="68">
        <f t="shared" si="3"/>
        <v>288.91233294581383</v>
      </c>
      <c r="U6" s="71">
        <v>870</v>
      </c>
      <c r="V6" s="4">
        <f>(MAX($U$3:$U$14)-IF(U6&lt;$U$13,0,U6))/MAX($U$3:$U$14)</f>
        <v>1</v>
      </c>
      <c r="W6" s="70">
        <f t="shared" si="11"/>
        <v>5443.9479270000002</v>
      </c>
      <c r="X6" s="70">
        <f t="shared" si="4"/>
        <v>288.91233294581383</v>
      </c>
    </row>
    <row r="7" spans="1:24" x14ac:dyDescent="0.25">
      <c r="A7" s="64" t="s">
        <v>91</v>
      </c>
      <c r="B7" s="65">
        <v>17655320</v>
      </c>
      <c r="C7" s="65">
        <f t="shared" si="5"/>
        <v>2830.9501950341846</v>
      </c>
      <c r="D7" s="66">
        <f t="shared" si="6"/>
        <v>0.51953573041552292</v>
      </c>
      <c r="E7" s="64">
        <v>81</v>
      </c>
      <c r="F7" s="67">
        <v>7238.68</v>
      </c>
      <c r="G7" s="67">
        <v>23588.17</v>
      </c>
      <c r="H7" s="65">
        <v>5449</v>
      </c>
      <c r="I7" s="66">
        <f t="shared" si="7"/>
        <v>0.30687755769099512</v>
      </c>
      <c r="L7" s="68">
        <f t="shared" si="0"/>
        <v>3668266.8000000003</v>
      </c>
      <c r="M7">
        <v>744</v>
      </c>
      <c r="N7" s="7">
        <f t="shared" si="8"/>
        <v>82.174435483870965</v>
      </c>
      <c r="O7" s="69">
        <f t="shared" si="1"/>
        <v>4.1087217741935484</v>
      </c>
      <c r="P7" s="68">
        <f t="shared" si="9"/>
        <v>3821.1112499999999</v>
      </c>
      <c r="Q7" s="68">
        <f t="shared" si="2"/>
        <v>202.78778939227621</v>
      </c>
      <c r="S7" s="70">
        <f t="shared" si="10"/>
        <v>3824.1681389999999</v>
      </c>
      <c r="T7" s="68">
        <f t="shared" si="3"/>
        <v>202.95001962379004</v>
      </c>
      <c r="U7" s="71">
        <v>339</v>
      </c>
      <c r="V7" s="4">
        <f>(MAX($U$3:$U$14)-IF(U7&lt;$U$13,0,U7))/MAX($U$3:$U$14)</f>
        <v>1</v>
      </c>
      <c r="W7" s="70">
        <f t="shared" si="11"/>
        <v>3824.1681389999999</v>
      </c>
      <c r="X7" s="70">
        <f t="shared" si="4"/>
        <v>202.95001962379004</v>
      </c>
    </row>
    <row r="8" spans="1:24" x14ac:dyDescent="0.25">
      <c r="A8" s="64" t="s">
        <v>92</v>
      </c>
      <c r="B8" s="65">
        <v>9003624</v>
      </c>
      <c r="C8" s="65">
        <f t="shared" si="5"/>
        <v>1443.6901239294712</v>
      </c>
      <c r="D8" s="66">
        <f t="shared" si="6"/>
        <v>0.31736428312364723</v>
      </c>
      <c r="E8" s="64">
        <v>81</v>
      </c>
      <c r="F8" s="67">
        <v>3691.49</v>
      </c>
      <c r="G8" s="67">
        <v>19761.189999999999</v>
      </c>
      <c r="H8" s="65">
        <v>4549</v>
      </c>
      <c r="I8" s="66">
        <f t="shared" si="7"/>
        <v>0.18680504564755462</v>
      </c>
      <c r="L8" s="68">
        <f t="shared" si="0"/>
        <v>3062386.8000000003</v>
      </c>
      <c r="M8">
        <v>720</v>
      </c>
      <c r="N8" s="7">
        <f t="shared" si="8"/>
        <v>70.888583333333344</v>
      </c>
      <c r="O8" s="69">
        <f t="shared" si="1"/>
        <v>3.5444291666666672</v>
      </c>
      <c r="P8" s="68">
        <f t="shared" si="9"/>
        <v>3189.9862500000004</v>
      </c>
      <c r="Q8" s="68">
        <f t="shared" si="2"/>
        <v>169.29375187107078</v>
      </c>
      <c r="S8" s="70">
        <f t="shared" si="10"/>
        <v>3192.5382389999995</v>
      </c>
      <c r="T8" s="68">
        <f t="shared" si="3"/>
        <v>169.42918687256758</v>
      </c>
      <c r="U8" s="71">
        <v>101</v>
      </c>
      <c r="V8" s="4">
        <f t="shared" ref="V8:V13" si="12">(MAX($U$3:$U$14)-IF(U8&lt;$U$13,0,U8))/MAX($U$3:$U$14)</f>
        <v>1</v>
      </c>
      <c r="W8" s="70">
        <f t="shared" si="11"/>
        <v>3192.5382389999995</v>
      </c>
      <c r="X8" s="70">
        <f t="shared" si="4"/>
        <v>169.42918687256758</v>
      </c>
    </row>
    <row r="9" spans="1:24" x14ac:dyDescent="0.25">
      <c r="A9" s="64" t="s">
        <v>93</v>
      </c>
      <c r="B9" s="65">
        <v>11568300</v>
      </c>
      <c r="C9" s="65">
        <f t="shared" si="5"/>
        <v>1854.9242461317019</v>
      </c>
      <c r="D9" s="66">
        <f t="shared" si="6"/>
        <v>0.53859589028214339</v>
      </c>
      <c r="E9" s="64">
        <v>81</v>
      </c>
      <c r="F9" s="67">
        <v>4743</v>
      </c>
      <c r="G9" s="67">
        <v>15030.45</v>
      </c>
      <c r="H9" s="65">
        <v>3444</v>
      </c>
      <c r="I9" s="66">
        <f t="shared" si="7"/>
        <v>0.31555941438879076</v>
      </c>
      <c r="L9" s="68">
        <f t="shared" si="0"/>
        <v>2318500.8000000003</v>
      </c>
      <c r="M9">
        <v>744</v>
      </c>
      <c r="N9" s="7">
        <f t="shared" si="8"/>
        <v>51.937741935483878</v>
      </c>
      <c r="O9" s="69">
        <f t="shared" si="1"/>
        <v>2.5968870967741937</v>
      </c>
      <c r="P9" s="68">
        <f t="shared" si="9"/>
        <v>2415.105</v>
      </c>
      <c r="Q9" s="68">
        <f t="shared" si="2"/>
        <v>128.17051691447958</v>
      </c>
      <c r="S9" s="70">
        <f t="shared" si="10"/>
        <v>2417.037084</v>
      </c>
      <c r="T9" s="68">
        <f t="shared" si="3"/>
        <v>128.27305332801117</v>
      </c>
      <c r="U9" s="71">
        <v>49</v>
      </c>
      <c r="V9" s="4">
        <f t="shared" si="12"/>
        <v>1</v>
      </c>
      <c r="W9" s="70">
        <f t="shared" si="11"/>
        <v>2417.037084</v>
      </c>
      <c r="X9" s="70">
        <f t="shared" si="4"/>
        <v>128.27305332801117</v>
      </c>
    </row>
    <row r="10" spans="1:24" x14ac:dyDescent="0.25">
      <c r="A10" s="64" t="s">
        <v>94</v>
      </c>
      <c r="B10" s="65">
        <v>9632609</v>
      </c>
      <c r="C10" s="65">
        <f t="shared" si="5"/>
        <v>1544.5450055415617</v>
      </c>
      <c r="D10" s="66">
        <f t="shared" si="6"/>
        <v>0.40731672087066501</v>
      </c>
      <c r="E10" s="64">
        <v>81</v>
      </c>
      <c r="F10" s="67">
        <v>3949.37</v>
      </c>
      <c r="G10" s="67">
        <v>16553.97</v>
      </c>
      <c r="H10" s="65">
        <v>3792</v>
      </c>
      <c r="I10" s="66">
        <f t="shared" si="7"/>
        <v>0.23857539913386333</v>
      </c>
      <c r="L10" s="68">
        <f t="shared" si="0"/>
        <v>2552774.4</v>
      </c>
      <c r="M10">
        <v>744</v>
      </c>
      <c r="N10" s="7">
        <f t="shared" si="8"/>
        <v>57.185806451612898</v>
      </c>
      <c r="O10" s="69">
        <f t="shared" si="1"/>
        <v>2.859290322580645</v>
      </c>
      <c r="P10" s="68">
        <f t="shared" si="9"/>
        <v>2659.14</v>
      </c>
      <c r="Q10" s="68">
        <f t="shared" si="2"/>
        <v>141.12154475601238</v>
      </c>
      <c r="S10" s="70">
        <f t="shared" si="10"/>
        <v>2661.2673119999995</v>
      </c>
      <c r="T10" s="68">
        <f t="shared" si="3"/>
        <v>141.23444199181716</v>
      </c>
      <c r="U10" s="71">
        <v>50</v>
      </c>
      <c r="V10" s="4">
        <f t="shared" si="12"/>
        <v>1</v>
      </c>
      <c r="W10" s="70">
        <f t="shared" si="11"/>
        <v>2661.2673119999995</v>
      </c>
      <c r="X10" s="70">
        <f t="shared" si="4"/>
        <v>141.23444199181716</v>
      </c>
    </row>
    <row r="11" spans="1:24" x14ac:dyDescent="0.25">
      <c r="A11" s="64" t="s">
        <v>95</v>
      </c>
      <c r="B11" s="65">
        <v>7063783</v>
      </c>
      <c r="C11" s="65">
        <f t="shared" si="5"/>
        <v>1132.6454497301188</v>
      </c>
      <c r="D11" s="66">
        <f t="shared" si="6"/>
        <v>0.28645560185384894</v>
      </c>
      <c r="E11" s="64">
        <v>81</v>
      </c>
      <c r="F11" s="67">
        <v>2896.15</v>
      </c>
      <c r="G11" s="67">
        <v>17244.57</v>
      </c>
      <c r="H11" s="65">
        <v>3954</v>
      </c>
      <c r="I11" s="66">
        <f t="shared" si="7"/>
        <v>0.16794561998356586</v>
      </c>
      <c r="L11" s="68">
        <f t="shared" si="0"/>
        <v>2661832.8000000003</v>
      </c>
      <c r="M11">
        <v>720</v>
      </c>
      <c r="N11" s="7">
        <f t="shared" si="8"/>
        <v>61.616500000000002</v>
      </c>
      <c r="O11" s="69">
        <f t="shared" si="1"/>
        <v>3.0808249999999999</v>
      </c>
      <c r="P11" s="68">
        <f t="shared" si="9"/>
        <v>2772.7424999999998</v>
      </c>
      <c r="Q11" s="68">
        <f t="shared" si="2"/>
        <v>147.15047150982937</v>
      </c>
      <c r="S11" s="70">
        <f t="shared" si="10"/>
        <v>2774.9606939999999</v>
      </c>
      <c r="T11" s="68">
        <f t="shared" si="3"/>
        <v>147.26819188703723</v>
      </c>
      <c r="U11" s="71">
        <v>307</v>
      </c>
      <c r="V11" s="4">
        <f t="shared" si="12"/>
        <v>1</v>
      </c>
      <c r="W11" s="70">
        <f t="shared" si="11"/>
        <v>2774.9606939999999</v>
      </c>
      <c r="X11" s="70">
        <f t="shared" si="4"/>
        <v>147.26819188703723</v>
      </c>
    </row>
    <row r="12" spans="1:24" x14ac:dyDescent="0.25">
      <c r="A12" s="64" t="s">
        <v>96</v>
      </c>
      <c r="B12" s="65">
        <v>16125185</v>
      </c>
      <c r="C12" s="65">
        <f t="shared" si="5"/>
        <v>2585.6000129543004</v>
      </c>
      <c r="D12" s="66">
        <f t="shared" si="6"/>
        <v>0.58884081369945351</v>
      </c>
      <c r="E12" s="64">
        <v>82</v>
      </c>
      <c r="F12" s="67">
        <v>6611.33</v>
      </c>
      <c r="G12" s="67">
        <v>19107.509999999998</v>
      </c>
      <c r="H12" s="65">
        <v>4391</v>
      </c>
      <c r="I12" s="66">
        <f t="shared" si="7"/>
        <v>0.34600688420416897</v>
      </c>
      <c r="L12" s="68">
        <f t="shared" si="0"/>
        <v>2956021.2</v>
      </c>
      <c r="M12">
        <v>744</v>
      </c>
      <c r="N12" s="7">
        <f t="shared" si="8"/>
        <v>66.219112903225806</v>
      </c>
      <c r="O12" s="69">
        <f t="shared" si="1"/>
        <v>3.31095564516129</v>
      </c>
      <c r="P12" s="68">
        <f t="shared" si="9"/>
        <v>3079.1887499999993</v>
      </c>
      <c r="Q12" s="68">
        <f t="shared" si="2"/>
        <v>163.41368750623687</v>
      </c>
      <c r="S12" s="70">
        <f t="shared" si="10"/>
        <v>3081.6521010000001</v>
      </c>
      <c r="T12" s="68">
        <f t="shared" si="3"/>
        <v>163.54441845624191</v>
      </c>
      <c r="U12" s="71">
        <v>661</v>
      </c>
      <c r="V12" s="4">
        <f t="shared" si="12"/>
        <v>1</v>
      </c>
      <c r="W12" s="70">
        <f t="shared" si="11"/>
        <v>3081.6521010000001</v>
      </c>
      <c r="X12" s="70">
        <f t="shared" si="4"/>
        <v>163.54441845624191</v>
      </c>
    </row>
    <row r="13" spans="1:24" x14ac:dyDescent="0.25">
      <c r="A13" s="64" t="s">
        <v>97</v>
      </c>
      <c r="B13" s="65">
        <v>22759166</v>
      </c>
      <c r="C13" s="65">
        <f t="shared" si="5"/>
        <v>3649.3286684418854</v>
      </c>
      <c r="D13" s="66">
        <f t="shared" si="6"/>
        <v>0.55494657366816991</v>
      </c>
      <c r="E13" s="64">
        <v>83</v>
      </c>
      <c r="F13" s="67">
        <v>9848.76</v>
      </c>
      <c r="G13" s="67">
        <v>28424.44</v>
      </c>
      <c r="H13" s="65">
        <v>6576</v>
      </c>
      <c r="I13" s="66">
        <f t="shared" si="7"/>
        <v>0.34648914807116693</v>
      </c>
      <c r="L13" s="68">
        <f t="shared" si="0"/>
        <v>4426963.2</v>
      </c>
      <c r="M13">
        <v>720</v>
      </c>
      <c r="N13" s="7">
        <f t="shared" si="8"/>
        <v>102.47600000000001</v>
      </c>
      <c r="O13" s="69">
        <f t="shared" si="1"/>
        <v>5.123800000000001</v>
      </c>
      <c r="P13" s="68">
        <f t="shared" si="9"/>
        <v>4611.420000000001</v>
      </c>
      <c r="Q13" s="68">
        <f t="shared" si="2"/>
        <v>244.72976748827469</v>
      </c>
      <c r="S13" s="70">
        <f t="shared" si="10"/>
        <v>4615.109136</v>
      </c>
      <c r="T13" s="68">
        <f t="shared" si="3"/>
        <v>244.92555130226526</v>
      </c>
      <c r="U13" s="71">
        <v>1105</v>
      </c>
      <c r="V13" s="4">
        <f t="shared" si="12"/>
        <v>0.30063291139240506</v>
      </c>
      <c r="W13" s="70">
        <f t="shared" si="11"/>
        <v>1387.4536959493671</v>
      </c>
      <c r="X13" s="70">
        <f t="shared" si="4"/>
        <v>73.632681562389877</v>
      </c>
    </row>
    <row r="14" spans="1:24" x14ac:dyDescent="0.25">
      <c r="A14" s="64" t="s">
        <v>98</v>
      </c>
      <c r="B14" s="65">
        <v>18605732</v>
      </c>
      <c r="C14" s="65">
        <f t="shared" si="5"/>
        <v>2983.3444329614968</v>
      </c>
      <c r="D14" s="66">
        <f t="shared" si="6"/>
        <v>0.44950194861556375</v>
      </c>
      <c r="E14" s="64">
        <v>83</v>
      </c>
      <c r="F14" s="67">
        <v>7628.35</v>
      </c>
      <c r="G14" s="67">
        <v>28712.81</v>
      </c>
      <c r="H14" s="65">
        <v>6637</v>
      </c>
      <c r="I14" s="66">
        <f t="shared" si="7"/>
        <v>0.2656775843256024</v>
      </c>
      <c r="L14" s="68">
        <f t="shared" si="0"/>
        <v>4468028.4000000004</v>
      </c>
      <c r="M14">
        <v>744</v>
      </c>
      <c r="N14" s="7">
        <f t="shared" si="8"/>
        <v>100.09024193548387</v>
      </c>
      <c r="O14" s="69">
        <f t="shared" si="1"/>
        <v>5.0045120967741941</v>
      </c>
      <c r="P14" s="68">
        <f t="shared" si="9"/>
        <v>4654.19625</v>
      </c>
      <c r="Q14" s="68">
        <f t="shared" si="2"/>
        <v>246.99991892026748</v>
      </c>
      <c r="S14" s="70">
        <f t="shared" si="10"/>
        <v>4657.9196069999998</v>
      </c>
      <c r="T14" s="68">
        <f t="shared" si="3"/>
        <v>247.19751885540364</v>
      </c>
      <c r="U14" s="71">
        <v>1580</v>
      </c>
      <c r="V14" s="4">
        <f>(MAX($U$3:$U$14)-IF(U14&lt;$U$13,0,U14))/MAX($U$3:$U$14)</f>
        <v>0</v>
      </c>
      <c r="W14" s="70">
        <f t="shared" si="11"/>
        <v>0</v>
      </c>
      <c r="X14" s="70">
        <f t="shared" si="4"/>
        <v>0</v>
      </c>
    </row>
    <row r="15" spans="1:24" x14ac:dyDescent="0.25">
      <c r="F15" s="72"/>
      <c r="G15" s="72"/>
      <c r="L15" s="61" t="s">
        <v>99</v>
      </c>
      <c r="M15" s="61"/>
      <c r="N15" s="61"/>
      <c r="O15" s="61"/>
      <c r="P15" s="73">
        <f>SUM(P3:P14)</f>
        <v>47599.447499999995</v>
      </c>
      <c r="Q15" s="73">
        <f>SUM(Q3:Q14)</f>
        <v>2526.1203098493165</v>
      </c>
      <c r="S15" s="73">
        <f>SUM(S3:S14)</f>
        <v>47637.527058000007</v>
      </c>
      <c r="T15" s="73">
        <f>SUM(T3:T14)</f>
        <v>2528.1412060971961</v>
      </c>
      <c r="U15" s="13"/>
      <c r="W15" s="74">
        <f>SUM(W3:W14)</f>
        <v>26717.190545267091</v>
      </c>
      <c r="X15" s="74">
        <f>SUM(X3:X14)</f>
        <v>1417.8911983907656</v>
      </c>
    </row>
    <row r="16" spans="1:24" x14ac:dyDescent="0.25">
      <c r="U16" s="13"/>
      <c r="X16" s="70"/>
    </row>
    <row r="17" spans="1:24" x14ac:dyDescent="0.25">
      <c r="U17" s="13"/>
      <c r="X17" s="70"/>
    </row>
    <row r="18" spans="1:24" ht="30" x14ac:dyDescent="0.25">
      <c r="A18" s="61">
        <v>2022</v>
      </c>
      <c r="B18" s="61" t="s">
        <v>71</v>
      </c>
      <c r="C18" s="61" t="s">
        <v>72</v>
      </c>
      <c r="D18" s="61" t="s">
        <v>73</v>
      </c>
      <c r="E18" s="61" t="s">
        <v>74</v>
      </c>
      <c r="F18" s="61" t="s">
        <v>75</v>
      </c>
      <c r="G18" s="61" t="s">
        <v>76</v>
      </c>
      <c r="H18" s="61" t="s">
        <v>77</v>
      </c>
      <c r="I18" s="61" t="s">
        <v>78</v>
      </c>
      <c r="L18" s="62" t="s">
        <v>79</v>
      </c>
      <c r="M18" s="62" t="s">
        <v>80</v>
      </c>
      <c r="N18" s="62" t="s">
        <v>81</v>
      </c>
      <c r="O18" s="62" t="s">
        <v>82</v>
      </c>
      <c r="P18" s="62" t="s">
        <v>3</v>
      </c>
      <c r="Q18" s="62" t="s">
        <v>44</v>
      </c>
      <c r="S18" s="62" t="s">
        <v>3</v>
      </c>
      <c r="T18" s="62" t="s">
        <v>44</v>
      </c>
      <c r="U18" s="62" t="s">
        <v>83</v>
      </c>
      <c r="V18" s="62" t="s">
        <v>84</v>
      </c>
      <c r="W18" s="62" t="s">
        <v>85</v>
      </c>
      <c r="X18" s="62" t="s">
        <v>86</v>
      </c>
    </row>
    <row r="19" spans="1:24" x14ac:dyDescent="0.25">
      <c r="A19" s="64" t="s">
        <v>87</v>
      </c>
      <c r="B19" s="65">
        <v>24352313</v>
      </c>
      <c r="C19" s="65">
        <f>(B19/8.337)/100*0.13368</f>
        <v>3904.7825378913276</v>
      </c>
      <c r="D19" s="66">
        <f>C19/H19</f>
        <v>0.39747379253779802</v>
      </c>
      <c r="E19" s="64">
        <v>86</v>
      </c>
      <c r="F19" s="67">
        <v>11070.99</v>
      </c>
      <c r="G19" s="67">
        <v>40012.01</v>
      </c>
      <c r="H19" s="65">
        <v>9824</v>
      </c>
      <c r="I19" s="66">
        <f>F19/G19</f>
        <v>0.2766916733250841</v>
      </c>
      <c r="L19" s="68">
        <f t="shared" ref="L19:L30" si="13">H19*748*$N$33</f>
        <v>6613516.7999999998</v>
      </c>
      <c r="M19">
        <v>744</v>
      </c>
      <c r="N19" s="69">
        <f>L19/M19/60</f>
        <v>148.1522580645161</v>
      </c>
      <c r="O19" s="69">
        <f t="shared" ref="O19:O30" si="14">N19*500*$N$34/1000000</f>
        <v>7.4076129032258047</v>
      </c>
      <c r="P19" s="68">
        <f>M19*O19/$N$35</f>
        <v>6889.0799999999972</v>
      </c>
      <c r="Q19" s="68">
        <f t="shared" ref="Q19:Q30" si="15">P19*$N$36/2204.62</f>
        <v>365.60602734258043</v>
      </c>
      <c r="S19" s="70">
        <f t="shared" ref="S19:S30" si="16">L19*8.34*1*$N$34/$N$35/1000000</f>
        <v>6894.5912639999988</v>
      </c>
      <c r="T19" s="68">
        <f t="shared" ref="T19:T30" si="17">S19*$N$36/2204.62</f>
        <v>365.89851216445459</v>
      </c>
      <c r="U19" s="71">
        <v>1860</v>
      </c>
      <c r="V19" s="4">
        <f>(MAX($U$19:$U$30)-IF(U19&lt;$U$29,0,U19))/MAX($U$19:$U$30)</f>
        <v>0</v>
      </c>
      <c r="W19" s="70">
        <f>S19*V19</f>
        <v>0</v>
      </c>
      <c r="X19" s="70">
        <f t="shared" ref="X19:X30" si="18">T19*V19</f>
        <v>0</v>
      </c>
    </row>
    <row r="20" spans="1:24" x14ac:dyDescent="0.25">
      <c r="A20" s="64" t="s">
        <v>88</v>
      </c>
      <c r="B20" s="65">
        <v>21024026</v>
      </c>
      <c r="C20" s="65">
        <f t="shared" ref="C20:C30" si="19">(B20/8.337)/100*0.13368</f>
        <v>3371.1068677941707</v>
      </c>
      <c r="D20" s="66">
        <f t="shared" ref="D20:D30" si="20">C20/H20</f>
        <v>0.39692768960251629</v>
      </c>
      <c r="E20" s="64">
        <v>86</v>
      </c>
      <c r="F20" s="67">
        <v>10071.540000000001</v>
      </c>
      <c r="G20" s="67">
        <v>34591.85</v>
      </c>
      <c r="H20" s="65">
        <v>8493</v>
      </c>
      <c r="I20" s="66">
        <f t="shared" ref="I20:I30" si="21">F20/G20</f>
        <v>0.29115355206500959</v>
      </c>
      <c r="L20" s="68">
        <f t="shared" si="13"/>
        <v>5717487.6000000006</v>
      </c>
      <c r="M20">
        <v>672</v>
      </c>
      <c r="N20" s="69">
        <f t="shared" ref="N20:N30" si="22">L20/M20/60</f>
        <v>141.80276785714287</v>
      </c>
      <c r="O20" s="69">
        <f t="shared" si="14"/>
        <v>7.0901383928571438</v>
      </c>
      <c r="P20" s="68">
        <f t="shared" ref="P20:P30" si="23">M20*O20/$N$35</f>
        <v>5955.7162500000004</v>
      </c>
      <c r="Q20" s="68">
        <f t="shared" si="15"/>
        <v>316.07206740844231</v>
      </c>
      <c r="S20" s="70">
        <f t="shared" si="16"/>
        <v>5960.4808229999999</v>
      </c>
      <c r="T20" s="68">
        <f t="shared" si="17"/>
        <v>316.324925062369</v>
      </c>
      <c r="U20" s="71">
        <v>1653</v>
      </c>
      <c r="V20" s="4">
        <f t="shared" ref="V20:V30" si="24">(MAX($U$19:$U$30)-IF(U20&lt;$U$29,0,U20))/MAX($U$19:$U$30)</f>
        <v>0.11129032258064517</v>
      </c>
      <c r="W20" s="70">
        <f t="shared" ref="W20:W30" si="25">S20*V20</f>
        <v>663.34383352741941</v>
      </c>
      <c r="X20" s="70">
        <f t="shared" si="18"/>
        <v>35.203902950489457</v>
      </c>
    </row>
    <row r="21" spans="1:24" x14ac:dyDescent="0.25">
      <c r="A21" s="64" t="s">
        <v>89</v>
      </c>
      <c r="B21" s="65">
        <v>20355763</v>
      </c>
      <c r="C21" s="65">
        <f t="shared" si="19"/>
        <v>3263.9539376754228</v>
      </c>
      <c r="D21" s="66">
        <f t="shared" si="20"/>
        <v>0.48577971985048712</v>
      </c>
      <c r="E21" s="64">
        <v>85</v>
      </c>
      <c r="F21" s="67">
        <v>10073.280000000001</v>
      </c>
      <c r="G21" s="67">
        <v>30562</v>
      </c>
      <c r="H21" s="65">
        <v>6719</v>
      </c>
      <c r="I21" s="66">
        <f t="shared" si="21"/>
        <v>0.32960146587265232</v>
      </c>
      <c r="L21" s="68">
        <f t="shared" si="13"/>
        <v>4523230.8</v>
      </c>
      <c r="M21">
        <v>744</v>
      </c>
      <c r="N21" s="69">
        <f t="shared" si="22"/>
        <v>101.32685483870968</v>
      </c>
      <c r="O21" s="69">
        <f t="shared" si="14"/>
        <v>5.0663427419354843</v>
      </c>
      <c r="P21" s="68">
        <f t="shared" si="23"/>
        <v>4711.6987500000005</v>
      </c>
      <c r="Q21" s="68">
        <f t="shared" si="15"/>
        <v>250.05159789442175</v>
      </c>
      <c r="S21" s="70">
        <f t="shared" si="16"/>
        <v>4715.4681090000004</v>
      </c>
      <c r="T21" s="68">
        <f t="shared" si="17"/>
        <v>250.2516391727373</v>
      </c>
      <c r="U21" s="71">
        <v>1260</v>
      </c>
      <c r="V21" s="4">
        <f t="shared" si="24"/>
        <v>0.32258064516129031</v>
      </c>
      <c r="W21" s="70">
        <f t="shared" si="25"/>
        <v>1521.1187448387097</v>
      </c>
      <c r="X21" s="70">
        <f t="shared" si="18"/>
        <v>80.726335217012036</v>
      </c>
    </row>
    <row r="22" spans="1:24" x14ac:dyDescent="0.25">
      <c r="A22" s="64" t="s">
        <v>90</v>
      </c>
      <c r="B22" s="65">
        <v>15639492</v>
      </c>
      <c r="C22" s="65">
        <f t="shared" si="19"/>
        <v>2507.7213512774379</v>
      </c>
      <c r="D22" s="66">
        <f t="shared" si="20"/>
        <v>0.34076930986240495</v>
      </c>
      <c r="E22" s="64">
        <v>85</v>
      </c>
      <c r="F22" s="67">
        <v>8355.19</v>
      </c>
      <c r="G22" s="67">
        <v>29523.67</v>
      </c>
      <c r="H22" s="65">
        <v>7359</v>
      </c>
      <c r="I22" s="66">
        <f t="shared" si="21"/>
        <v>0.2829997083695896</v>
      </c>
      <c r="L22" s="68">
        <f t="shared" si="13"/>
        <v>4954078.8</v>
      </c>
      <c r="M22">
        <v>720</v>
      </c>
      <c r="N22" s="69">
        <f t="shared" si="22"/>
        <v>114.67775</v>
      </c>
      <c r="O22" s="69">
        <f t="shared" si="14"/>
        <v>5.7338874999999998</v>
      </c>
      <c r="P22" s="68">
        <f t="shared" si="23"/>
        <v>5160.4987499999988</v>
      </c>
      <c r="Q22" s="68">
        <f t="shared" si="15"/>
        <v>273.86958013172335</v>
      </c>
      <c r="S22" s="70">
        <f t="shared" si="16"/>
        <v>5164.627148999999</v>
      </c>
      <c r="T22" s="68">
        <f t="shared" si="17"/>
        <v>274.08867579582869</v>
      </c>
      <c r="U22" s="71">
        <v>931</v>
      </c>
      <c r="V22" s="4">
        <f t="shared" si="24"/>
        <v>1</v>
      </c>
      <c r="W22" s="70">
        <f t="shared" si="25"/>
        <v>5164.627148999999</v>
      </c>
      <c r="X22" s="70">
        <f t="shared" si="18"/>
        <v>274.08867579582869</v>
      </c>
    </row>
    <row r="23" spans="1:24" x14ac:dyDescent="0.25">
      <c r="A23" s="64" t="s">
        <v>91</v>
      </c>
      <c r="B23" s="65">
        <v>11170455</v>
      </c>
      <c r="C23" s="65">
        <f t="shared" si="19"/>
        <v>1791.1316113709968</v>
      </c>
      <c r="D23" s="66">
        <f t="shared" si="20"/>
        <v>0.36243051626284839</v>
      </c>
      <c r="E23" s="64">
        <v>85</v>
      </c>
      <c r="F23" s="67">
        <v>6751.36</v>
      </c>
      <c r="G23" s="67">
        <v>30059.16</v>
      </c>
      <c r="H23" s="65">
        <v>4942</v>
      </c>
      <c r="I23" s="66">
        <f t="shared" si="21"/>
        <v>0.224602417366287</v>
      </c>
      <c r="L23" s="68">
        <f t="shared" si="13"/>
        <v>3326954.4</v>
      </c>
      <c r="M23">
        <v>744</v>
      </c>
      <c r="N23" s="69">
        <f t="shared" si="22"/>
        <v>74.528548387096777</v>
      </c>
      <c r="O23" s="69">
        <f t="shared" si="14"/>
        <v>3.7264274193548386</v>
      </c>
      <c r="P23" s="68">
        <f t="shared" si="23"/>
        <v>3465.5774999999999</v>
      </c>
      <c r="Q23" s="68">
        <f t="shared" si="15"/>
        <v>183.91948158866381</v>
      </c>
      <c r="S23" s="70">
        <f t="shared" si="16"/>
        <v>3468.3499619999993</v>
      </c>
      <c r="T23" s="68">
        <f t="shared" si="17"/>
        <v>184.0666171739347</v>
      </c>
      <c r="U23" s="71">
        <v>380</v>
      </c>
      <c r="V23" s="4">
        <f t="shared" si="24"/>
        <v>1</v>
      </c>
      <c r="W23" s="70">
        <f t="shared" si="25"/>
        <v>3468.3499619999993</v>
      </c>
      <c r="X23" s="70">
        <f t="shared" si="18"/>
        <v>184.0666171739347</v>
      </c>
    </row>
    <row r="24" spans="1:24" x14ac:dyDescent="0.25">
      <c r="A24" s="64" t="s">
        <v>92</v>
      </c>
      <c r="B24" s="65">
        <v>7421907</v>
      </c>
      <c r="C24" s="65">
        <f t="shared" si="19"/>
        <v>1190.0690029507016</v>
      </c>
      <c r="D24" s="66">
        <f t="shared" si="20"/>
        <v>0.3015886981628742</v>
      </c>
      <c r="E24" s="64">
        <v>85</v>
      </c>
      <c r="F24" s="67">
        <v>4565.8900000000003</v>
      </c>
      <c r="G24" s="67">
        <v>24092.880000000001</v>
      </c>
      <c r="H24" s="65">
        <v>3946</v>
      </c>
      <c r="I24" s="66">
        <f t="shared" si="21"/>
        <v>0.18951200520651745</v>
      </c>
      <c r="L24" s="68">
        <f t="shared" si="13"/>
        <v>2656447.2000000002</v>
      </c>
      <c r="M24">
        <v>720</v>
      </c>
      <c r="N24" s="69">
        <f t="shared" si="22"/>
        <v>61.491833333333339</v>
      </c>
      <c r="O24" s="69">
        <f t="shared" si="14"/>
        <v>3.0745916666666671</v>
      </c>
      <c r="P24" s="68">
        <f t="shared" si="23"/>
        <v>2767.1325000000002</v>
      </c>
      <c r="Q24" s="68">
        <f t="shared" si="15"/>
        <v>146.85274673186311</v>
      </c>
      <c r="S24" s="70">
        <f t="shared" si="16"/>
        <v>2769.3462060000002</v>
      </c>
      <c r="T24" s="68">
        <f t="shared" si="17"/>
        <v>146.97022892924861</v>
      </c>
      <c r="U24" s="71">
        <v>169</v>
      </c>
      <c r="V24" s="4">
        <f t="shared" si="24"/>
        <v>1</v>
      </c>
      <c r="W24" s="70">
        <f t="shared" si="25"/>
        <v>2769.3462060000002</v>
      </c>
      <c r="X24" s="70">
        <f t="shared" si="18"/>
        <v>146.97022892924861</v>
      </c>
    </row>
    <row r="25" spans="1:24" x14ac:dyDescent="0.25">
      <c r="A25" s="64" t="s">
        <v>93</v>
      </c>
      <c r="B25" s="65">
        <v>5652949</v>
      </c>
      <c r="C25" s="65">
        <f t="shared" si="19"/>
        <v>906.4246399424253</v>
      </c>
      <c r="D25" s="66">
        <f t="shared" si="20"/>
        <v>0.23247618362206343</v>
      </c>
      <c r="E25" s="64">
        <v>84</v>
      </c>
      <c r="F25" s="67">
        <v>3650.79</v>
      </c>
      <c r="G25" s="67">
        <v>5699.73</v>
      </c>
      <c r="H25" s="65">
        <v>3899</v>
      </c>
      <c r="I25" s="66">
        <f t="shared" si="21"/>
        <v>0.6405198140964572</v>
      </c>
      <c r="L25" s="68">
        <f t="shared" si="13"/>
        <v>2624806.8000000003</v>
      </c>
      <c r="M25">
        <v>744</v>
      </c>
      <c r="N25" s="69">
        <f t="shared" si="22"/>
        <v>58.799435483870973</v>
      </c>
      <c r="O25" s="69">
        <f t="shared" si="14"/>
        <v>2.9399717741935487</v>
      </c>
      <c r="P25" s="68">
        <f t="shared" si="23"/>
        <v>2734.1737500000004</v>
      </c>
      <c r="Q25" s="68">
        <f t="shared" si="15"/>
        <v>145.10361366131127</v>
      </c>
      <c r="S25" s="70">
        <f t="shared" si="16"/>
        <v>2736.361089</v>
      </c>
      <c r="T25" s="68">
        <f t="shared" si="17"/>
        <v>145.21969655224029</v>
      </c>
      <c r="U25" s="71">
        <v>31</v>
      </c>
      <c r="V25" s="4">
        <f t="shared" si="24"/>
        <v>1</v>
      </c>
      <c r="W25" s="70">
        <f t="shared" si="25"/>
        <v>2736.361089</v>
      </c>
      <c r="X25" s="70">
        <f t="shared" si="18"/>
        <v>145.21969655224029</v>
      </c>
    </row>
    <row r="26" spans="1:24" x14ac:dyDescent="0.25">
      <c r="A26" s="64" t="s">
        <v>94</v>
      </c>
      <c r="B26" s="65">
        <v>7642261</v>
      </c>
      <c r="C26" s="65">
        <f t="shared" si="19"/>
        <v>1225.4017637999279</v>
      </c>
      <c r="D26" s="66">
        <f t="shared" si="20"/>
        <v>0.3551889170434574</v>
      </c>
      <c r="E26" s="64">
        <v>85</v>
      </c>
      <c r="F26" s="67">
        <v>4033.69</v>
      </c>
      <c r="G26" s="67">
        <v>13185.78</v>
      </c>
      <c r="H26" s="65">
        <v>3450</v>
      </c>
      <c r="I26" s="66">
        <f t="shared" si="21"/>
        <v>0.3059121265484484</v>
      </c>
      <c r="L26" s="68">
        <f t="shared" si="13"/>
        <v>2322540</v>
      </c>
      <c r="M26">
        <v>744</v>
      </c>
      <c r="N26" s="69">
        <f t="shared" si="22"/>
        <v>52.028225806451609</v>
      </c>
      <c r="O26" s="69">
        <f t="shared" si="14"/>
        <v>2.6014112903225803</v>
      </c>
      <c r="P26" s="68">
        <f t="shared" si="23"/>
        <v>2419.3124999999995</v>
      </c>
      <c r="Q26" s="68">
        <f t="shared" si="15"/>
        <v>128.39381049795426</v>
      </c>
      <c r="S26" s="70">
        <f t="shared" si="16"/>
        <v>2421.2479499999999</v>
      </c>
      <c r="T26" s="68">
        <f t="shared" si="17"/>
        <v>128.49652554635267</v>
      </c>
      <c r="U26" s="71">
        <v>37</v>
      </c>
      <c r="V26" s="4">
        <f t="shared" si="24"/>
        <v>1</v>
      </c>
      <c r="W26" s="70">
        <f t="shared" si="25"/>
        <v>2421.2479499999999</v>
      </c>
      <c r="X26" s="70">
        <f t="shared" si="18"/>
        <v>128.49652554635267</v>
      </c>
    </row>
    <row r="27" spans="1:24" x14ac:dyDescent="0.25">
      <c r="A27" s="64" t="s">
        <v>95</v>
      </c>
      <c r="B27" s="65">
        <v>5891267</v>
      </c>
      <c r="C27" s="65">
        <f t="shared" si="19"/>
        <v>944.63784641957545</v>
      </c>
      <c r="D27" s="66">
        <f t="shared" si="20"/>
        <v>0.2646785784308141</v>
      </c>
      <c r="E27" s="64">
        <v>84</v>
      </c>
      <c r="F27" s="67">
        <v>3394.09</v>
      </c>
      <c r="G27" s="67">
        <v>14569.06</v>
      </c>
      <c r="H27" s="65">
        <v>3569</v>
      </c>
      <c r="I27" s="66">
        <f t="shared" si="21"/>
        <v>0.23296561343010463</v>
      </c>
      <c r="L27" s="68">
        <f t="shared" si="13"/>
        <v>2402650.8000000003</v>
      </c>
      <c r="M27">
        <v>720</v>
      </c>
      <c r="N27" s="69">
        <f t="shared" si="22"/>
        <v>55.616916666666675</v>
      </c>
      <c r="O27" s="69">
        <f t="shared" si="14"/>
        <v>2.7808458333333341</v>
      </c>
      <c r="P27" s="68">
        <f t="shared" si="23"/>
        <v>2502.7612500000005</v>
      </c>
      <c r="Q27" s="68">
        <f t="shared" si="15"/>
        <v>132.82246657020261</v>
      </c>
      <c r="S27" s="70">
        <f t="shared" si="16"/>
        <v>2504.7634589999998</v>
      </c>
      <c r="T27" s="68">
        <f t="shared" si="17"/>
        <v>132.92872454345871</v>
      </c>
      <c r="U27" s="71">
        <v>215</v>
      </c>
      <c r="V27" s="4">
        <f t="shared" si="24"/>
        <v>1</v>
      </c>
      <c r="W27" s="70">
        <f t="shared" si="25"/>
        <v>2504.7634589999998</v>
      </c>
      <c r="X27" s="70">
        <f t="shared" si="18"/>
        <v>132.92872454345871</v>
      </c>
    </row>
    <row r="28" spans="1:24" x14ac:dyDescent="0.25">
      <c r="A28" s="64" t="s">
        <v>96</v>
      </c>
      <c r="B28" s="65">
        <v>9863016</v>
      </c>
      <c r="C28" s="65">
        <f t="shared" si="19"/>
        <v>1581.4897191795608</v>
      </c>
      <c r="D28" s="66">
        <f t="shared" si="20"/>
        <v>0.3683880081946333</v>
      </c>
      <c r="E28" s="64">
        <v>84</v>
      </c>
      <c r="F28" s="67">
        <v>4983.5600000000004</v>
      </c>
      <c r="G28" s="67">
        <v>17437.78</v>
      </c>
      <c r="H28" s="65">
        <v>4293</v>
      </c>
      <c r="I28" s="66">
        <f t="shared" si="21"/>
        <v>0.28579096651064534</v>
      </c>
      <c r="L28" s="68">
        <f t="shared" si="13"/>
        <v>2890047.6</v>
      </c>
      <c r="M28">
        <v>744</v>
      </c>
      <c r="N28" s="69">
        <f t="shared" si="22"/>
        <v>64.741209677419363</v>
      </c>
      <c r="O28" s="69">
        <f t="shared" si="14"/>
        <v>3.2370604838709682</v>
      </c>
      <c r="P28" s="68">
        <f t="shared" si="23"/>
        <v>3010.4662500000004</v>
      </c>
      <c r="Q28" s="68">
        <f t="shared" si="15"/>
        <v>159.76655897615009</v>
      </c>
      <c r="S28" s="70">
        <f t="shared" si="16"/>
        <v>3012.8746230000002</v>
      </c>
      <c r="T28" s="68">
        <f t="shared" si="17"/>
        <v>159.894372223331</v>
      </c>
      <c r="U28" s="71">
        <v>578</v>
      </c>
      <c r="V28" s="4">
        <f t="shared" si="24"/>
        <v>1</v>
      </c>
      <c r="W28" s="70">
        <f t="shared" si="25"/>
        <v>3012.8746230000002</v>
      </c>
      <c r="X28" s="70">
        <f t="shared" si="18"/>
        <v>159.894372223331</v>
      </c>
    </row>
    <row r="29" spans="1:24" x14ac:dyDescent="0.25">
      <c r="A29" s="64" t="s">
        <v>97</v>
      </c>
      <c r="B29" s="65">
        <v>14996260</v>
      </c>
      <c r="C29" s="65">
        <f t="shared" si="19"/>
        <v>2404.5820280676498</v>
      </c>
      <c r="D29" s="66">
        <f t="shared" si="20"/>
        <v>0.37170846005064923</v>
      </c>
      <c r="E29" s="64">
        <v>84</v>
      </c>
      <c r="F29" s="67">
        <v>7450.22</v>
      </c>
      <c r="G29" s="67">
        <v>26055.7</v>
      </c>
      <c r="H29" s="65">
        <v>6469</v>
      </c>
      <c r="I29" s="66">
        <f t="shared" si="21"/>
        <v>0.28593436369009467</v>
      </c>
      <c r="L29" s="68">
        <f t="shared" si="13"/>
        <v>4354930.8</v>
      </c>
      <c r="M29">
        <v>720</v>
      </c>
      <c r="N29" s="69">
        <f t="shared" si="22"/>
        <v>100.80858333333332</v>
      </c>
      <c r="O29" s="69">
        <f t="shared" si="14"/>
        <v>5.0404291666666659</v>
      </c>
      <c r="P29" s="68">
        <f t="shared" si="23"/>
        <v>4536.3862499999987</v>
      </c>
      <c r="Q29" s="68">
        <f t="shared" si="15"/>
        <v>240.74769858297566</v>
      </c>
      <c r="S29" s="70">
        <f t="shared" si="16"/>
        <v>4540.015359</v>
      </c>
      <c r="T29" s="68">
        <f t="shared" si="17"/>
        <v>240.94029674184216</v>
      </c>
      <c r="U29" s="71">
        <v>1027</v>
      </c>
      <c r="V29" s="4">
        <f t="shared" si="24"/>
        <v>0.44784946236559142</v>
      </c>
      <c r="W29" s="70">
        <f t="shared" si="25"/>
        <v>2033.2434376596775</v>
      </c>
      <c r="X29" s="70">
        <f t="shared" si="18"/>
        <v>107.90498235804007</v>
      </c>
    </row>
    <row r="30" spans="1:24" x14ac:dyDescent="0.25">
      <c r="A30" s="64" t="s">
        <v>98</v>
      </c>
      <c r="B30" s="65">
        <v>23396844</v>
      </c>
      <c r="C30" s="65">
        <f t="shared" si="19"/>
        <v>3751.5774330334657</v>
      </c>
      <c r="D30" s="66">
        <f t="shared" si="20"/>
        <v>0.49617476961162094</v>
      </c>
      <c r="E30" s="64">
        <v>84</v>
      </c>
      <c r="F30" s="67">
        <v>11144.15</v>
      </c>
      <c r="G30" s="67">
        <v>30381.39</v>
      </c>
      <c r="H30" s="65">
        <v>7561</v>
      </c>
      <c r="I30" s="66">
        <f t="shared" si="21"/>
        <v>0.36680843108231714</v>
      </c>
      <c r="L30" s="68">
        <f t="shared" si="13"/>
        <v>5090065.2</v>
      </c>
      <c r="M30">
        <v>744</v>
      </c>
      <c r="N30" s="69">
        <f t="shared" si="22"/>
        <v>114.02475806451613</v>
      </c>
      <c r="O30" s="69">
        <f t="shared" si="14"/>
        <v>5.7012379032258069</v>
      </c>
      <c r="P30" s="68">
        <f t="shared" si="23"/>
        <v>5302.1512499999999</v>
      </c>
      <c r="Q30" s="68">
        <f t="shared" si="15"/>
        <v>281.38713077537176</v>
      </c>
      <c r="S30" s="70">
        <f t="shared" si="16"/>
        <v>5306.3929709999993</v>
      </c>
      <c r="T30" s="68">
        <f t="shared" si="17"/>
        <v>281.61224047999201</v>
      </c>
      <c r="U30" s="71">
        <v>1582</v>
      </c>
      <c r="V30" s="4">
        <f t="shared" si="24"/>
        <v>0.14946236559139786</v>
      </c>
      <c r="W30" s="70">
        <f t="shared" si="25"/>
        <v>793.10604620322579</v>
      </c>
      <c r="X30" s="70">
        <f t="shared" si="18"/>
        <v>42.090431641633216</v>
      </c>
    </row>
    <row r="31" spans="1:24" x14ac:dyDescent="0.25">
      <c r="L31" s="61" t="s">
        <v>99</v>
      </c>
      <c r="M31" s="61"/>
      <c r="N31" s="61"/>
      <c r="O31" s="61"/>
      <c r="P31" s="73">
        <f>SUM(P19:P30)</f>
        <v>49454.954999999994</v>
      </c>
      <c r="Q31" s="73">
        <f>SUM(Q19:Q30)</f>
        <v>2624.5927801616604</v>
      </c>
      <c r="S31" s="73">
        <f>SUM(S19:S30)</f>
        <v>49494.518963999995</v>
      </c>
      <c r="T31" s="73">
        <f>SUM(T19:T30)</f>
        <v>2626.6924543857899</v>
      </c>
      <c r="W31" s="74">
        <f>SUM(W19:W30)</f>
        <v>27088.382500229032</v>
      </c>
      <c r="X31" s="74">
        <f>SUM(X19:X30)</f>
        <v>1437.5904929315693</v>
      </c>
    </row>
    <row r="32" spans="1:24" x14ac:dyDescent="0.25">
      <c r="L32" s="18" t="s">
        <v>30</v>
      </c>
      <c r="M32" s="18"/>
      <c r="N32" s="18"/>
      <c r="O32" s="18"/>
    </row>
    <row r="33" spans="12:17" x14ac:dyDescent="0.25">
      <c r="L33" s="75" t="s">
        <v>100</v>
      </c>
      <c r="M33" s="18"/>
      <c r="N33" s="19">
        <v>0.9</v>
      </c>
      <c r="O33" s="18"/>
    </row>
    <row r="34" spans="12:17" x14ac:dyDescent="0.25">
      <c r="L34" s="75" t="s">
        <v>101</v>
      </c>
      <c r="M34" s="18"/>
      <c r="N34" s="18">
        <f>160-60</f>
        <v>100</v>
      </c>
      <c r="O34" s="18" t="s">
        <v>102</v>
      </c>
    </row>
    <row r="35" spans="12:17" x14ac:dyDescent="0.25">
      <c r="L35" s="18" t="s">
        <v>103</v>
      </c>
      <c r="M35" s="18"/>
      <c r="N35" s="19">
        <v>0.8</v>
      </c>
      <c r="O35" s="18"/>
    </row>
    <row r="36" spans="12:17" x14ac:dyDescent="0.25">
      <c r="L36" s="75" t="s">
        <v>104</v>
      </c>
      <c r="M36" s="18"/>
      <c r="N36" s="18">
        <v>117</v>
      </c>
      <c r="Q36" s="70"/>
    </row>
    <row r="37" spans="12:17" x14ac:dyDescent="0.25">
      <c r="Q37" s="76"/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66DB24-66F0-4063-8191-DB72CFC14797}">
  <dimension ref="A1:AD39"/>
  <sheetViews>
    <sheetView tabSelected="1" topLeftCell="A7" workbookViewId="0">
      <selection activeCell="O32" sqref="O32"/>
    </sheetView>
  </sheetViews>
  <sheetFormatPr defaultRowHeight="15" x14ac:dyDescent="0.25"/>
  <cols>
    <col min="1" max="1" width="37.5703125" bestFit="1" customWidth="1"/>
    <col min="2" max="7" width="11.85546875" customWidth="1"/>
    <col min="8" max="8" width="9.140625" customWidth="1"/>
    <col min="10" max="10" width="7.85546875" customWidth="1"/>
    <col min="11" max="16" width="10.5703125" customWidth="1"/>
  </cols>
  <sheetData>
    <row r="1" spans="1:8" ht="18.75" customHeight="1" x14ac:dyDescent="0.25">
      <c r="A1" s="81" t="s">
        <v>52</v>
      </c>
      <c r="B1" s="82"/>
      <c r="C1" s="82"/>
    </row>
    <row r="2" spans="1:8" ht="15" customHeight="1" x14ac:dyDescent="0.25">
      <c r="B2" s="83" t="s">
        <v>53</v>
      </c>
      <c r="C2" s="83"/>
    </row>
    <row r="3" spans="1:8" ht="45.75" thickBot="1" x14ac:dyDescent="0.3">
      <c r="A3" s="25"/>
      <c r="B3" s="26" t="s">
        <v>47</v>
      </c>
      <c r="C3" s="26" t="s">
        <v>48</v>
      </c>
      <c r="D3" s="26" t="s">
        <v>62</v>
      </c>
      <c r="E3" s="43" t="s">
        <v>61</v>
      </c>
    </row>
    <row r="4" spans="1:8" ht="15.75" thickTop="1" x14ac:dyDescent="0.25">
      <c r="A4" s="27" t="s">
        <v>65</v>
      </c>
      <c r="B4" s="29">
        <f>'GHG (LP BASE)'!B29</f>
        <v>6442.8802579882231</v>
      </c>
      <c r="C4" s="29">
        <f>'GHG (LP BASE)'!B35</f>
        <v>67451.548024051241</v>
      </c>
      <c r="D4" s="29">
        <v>1027362</v>
      </c>
      <c r="E4" s="44">
        <f>B4/(D4/1000)</f>
        <v>6.2712853482883562</v>
      </c>
    </row>
    <row r="5" spans="1:8" x14ac:dyDescent="0.25">
      <c r="A5" s="28" t="s">
        <v>64</v>
      </c>
      <c r="B5" s="30">
        <f>'GHG (LP FULL)'!B29</f>
        <v>12885.760515976446</v>
      </c>
      <c r="C5" s="31">
        <f>'GHG (LP FULL)'!B35</f>
        <v>134903.09604810248</v>
      </c>
      <c r="D5" s="31">
        <v>2290137</v>
      </c>
      <c r="E5" s="45">
        <f t="shared" ref="E5:E9" si="0">B5/(D5/1000)</f>
        <v>5.6266330424670858</v>
      </c>
    </row>
    <row r="6" spans="1:8" x14ac:dyDescent="0.25">
      <c r="A6" s="28" t="s">
        <v>54</v>
      </c>
      <c r="B6" s="30">
        <f>'GHG (DES BASE)'!B28</f>
        <v>10417.721707472887</v>
      </c>
      <c r="C6" s="31">
        <f>'GHG (DES BASE)'!B34</f>
        <v>109064.80144211506</v>
      </c>
      <c r="D6" s="31">
        <f>3113854+538246</f>
        <v>3652100</v>
      </c>
      <c r="E6" s="45">
        <f t="shared" si="0"/>
        <v>2.8525291496598908</v>
      </c>
    </row>
    <row r="7" spans="1:8" x14ac:dyDescent="0.25">
      <c r="A7" s="27" t="s">
        <v>55</v>
      </c>
      <c r="B7" s="29">
        <f>'GHG (DES FULL)'!B27</f>
        <v>12729.94273573938</v>
      </c>
      <c r="C7" s="29">
        <f>'GHG (DES FULL)'!B33</f>
        <v>128539.19700737606</v>
      </c>
      <c r="D7" s="29">
        <f>3113854+538246</f>
        <v>3652100</v>
      </c>
      <c r="E7" s="44">
        <f t="shared" si="0"/>
        <v>3.4856501015140275</v>
      </c>
    </row>
    <row r="8" spans="1:8" ht="30" x14ac:dyDescent="0.25">
      <c r="A8" s="60" t="s">
        <v>69</v>
      </c>
      <c r="B8" s="55">
        <f>'GHG (DES BASE)'!B28+B4</f>
        <v>16860.601965461108</v>
      </c>
      <c r="C8" s="56">
        <f>'GHG (DES BASE)'!B34+C4</f>
        <v>176516.34946616628</v>
      </c>
      <c r="D8" s="56">
        <f>3113854+538246+D4</f>
        <v>4679462</v>
      </c>
      <c r="E8" s="57">
        <f t="shared" si="0"/>
        <v>3.6031069309807635</v>
      </c>
      <c r="F8" s="52" t="s">
        <v>105</v>
      </c>
      <c r="G8" s="52"/>
      <c r="H8" s="52"/>
    </row>
    <row r="9" spans="1:8" x14ac:dyDescent="0.25">
      <c r="A9" s="28" t="s">
        <v>49</v>
      </c>
      <c r="B9" s="30">
        <f>'GHG (DES FULL)'!B27+B5</f>
        <v>25615.703251715826</v>
      </c>
      <c r="C9" s="31">
        <f>'GHG (DES FULL)'!B33+C5</f>
        <v>263442.29305547854</v>
      </c>
      <c r="D9" s="31">
        <f>3113854+538246+D5</f>
        <v>5942237</v>
      </c>
      <c r="E9" s="45">
        <f t="shared" si="0"/>
        <v>4.3107845162883649</v>
      </c>
    </row>
    <row r="12" spans="1:8" ht="18.75" customHeight="1" x14ac:dyDescent="0.25">
      <c r="A12" s="82" t="s">
        <v>52</v>
      </c>
      <c r="B12" s="82"/>
      <c r="C12" s="82"/>
    </row>
    <row r="13" spans="1:8" ht="15" customHeight="1" x14ac:dyDescent="0.25">
      <c r="B13" s="83" t="s">
        <v>53</v>
      </c>
      <c r="C13" s="83"/>
    </row>
    <row r="14" spans="1:8" ht="15.75" thickBot="1" x14ac:dyDescent="0.3">
      <c r="A14" s="25"/>
      <c r="B14" s="26" t="s">
        <v>47</v>
      </c>
      <c r="C14" s="26" t="s">
        <v>48</v>
      </c>
    </row>
    <row r="15" spans="1:8" ht="15.75" thickTop="1" x14ac:dyDescent="0.25">
      <c r="A15" s="27" t="s">
        <v>51</v>
      </c>
      <c r="B15" s="29">
        <f>ROUND(B4,-2)</f>
        <v>6400</v>
      </c>
      <c r="C15" s="29">
        <f>ROUND(C4,-3)</f>
        <v>67000</v>
      </c>
    </row>
    <row r="16" spans="1:8" x14ac:dyDescent="0.25">
      <c r="A16" s="54" t="s">
        <v>50</v>
      </c>
      <c r="B16" s="55">
        <f>ROUND(B8,-2)</f>
        <v>16900</v>
      </c>
      <c r="C16" s="56">
        <f>ROUND(C8,-3)</f>
        <v>177000</v>
      </c>
      <c r="D16" s="52" t="s">
        <v>105</v>
      </c>
      <c r="E16" s="52"/>
      <c r="F16" s="52"/>
    </row>
    <row r="17" spans="1:30" x14ac:dyDescent="0.25">
      <c r="D17" s="52" t="s">
        <v>106</v>
      </c>
      <c r="E17" s="52"/>
      <c r="F17" s="52"/>
    </row>
    <row r="20" spans="1:30" x14ac:dyDescent="0.25">
      <c r="I20" s="80"/>
      <c r="J20" s="80"/>
      <c r="K20" s="80"/>
      <c r="L20" s="80"/>
      <c r="M20" s="80"/>
      <c r="N20" s="80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  <c r="AA20" s="80"/>
      <c r="AB20" s="80"/>
      <c r="AC20" s="80"/>
      <c r="AD20" s="80"/>
    </row>
    <row r="21" spans="1:30" ht="18.75" x14ac:dyDescent="0.25">
      <c r="A21" s="82" t="s">
        <v>63</v>
      </c>
      <c r="B21" s="82"/>
      <c r="C21" s="82"/>
      <c r="D21" s="82"/>
      <c r="E21" s="82"/>
      <c r="F21" s="82"/>
      <c r="G21" s="82"/>
      <c r="I21" s="80"/>
      <c r="J21" s="80"/>
      <c r="K21" s="80"/>
      <c r="L21" s="80"/>
      <c r="M21" s="80"/>
      <c r="N21" s="80"/>
      <c r="O21" s="80"/>
      <c r="P21" s="80"/>
      <c r="Q21" s="80"/>
      <c r="R21" s="80"/>
      <c r="S21" s="80"/>
      <c r="T21" s="80"/>
      <c r="U21" s="80"/>
      <c r="V21" s="80"/>
      <c r="W21" s="80"/>
      <c r="X21" s="80"/>
      <c r="Y21" s="80"/>
      <c r="Z21" s="80"/>
      <c r="AA21" s="80"/>
      <c r="AB21" s="80"/>
      <c r="AC21" s="80"/>
      <c r="AD21" s="80"/>
    </row>
    <row r="22" spans="1:30" x14ac:dyDescent="0.25"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80"/>
      <c r="V22" s="80"/>
      <c r="W22" s="80"/>
      <c r="X22" s="80"/>
      <c r="Y22" s="80"/>
      <c r="Z22" s="80"/>
      <c r="AA22" s="80"/>
      <c r="AB22" s="80"/>
      <c r="AC22" s="80"/>
      <c r="AD22" s="80"/>
    </row>
    <row r="23" spans="1:30" x14ac:dyDescent="0.25">
      <c r="A23" s="37"/>
      <c r="B23" s="89" t="s">
        <v>57</v>
      </c>
      <c r="C23" s="88"/>
      <c r="D23" s="87" t="s">
        <v>58</v>
      </c>
      <c r="E23" s="88"/>
      <c r="F23" s="90" t="s">
        <v>59</v>
      </c>
      <c r="G23" s="90"/>
      <c r="I23" s="80"/>
      <c r="J23" s="80"/>
      <c r="K23" s="80"/>
      <c r="L23" s="80"/>
      <c r="M23" s="80"/>
      <c r="N23" s="80"/>
      <c r="O23" s="80"/>
      <c r="P23" s="80"/>
      <c r="Q23" s="80"/>
      <c r="R23" s="80"/>
      <c r="S23" s="80"/>
      <c r="T23" s="80"/>
      <c r="U23" s="80"/>
      <c r="V23" s="80"/>
      <c r="W23" s="80"/>
      <c r="X23" s="80"/>
      <c r="Y23" s="80"/>
      <c r="Z23" s="80"/>
      <c r="AA23" s="80"/>
      <c r="AB23" s="80"/>
      <c r="AC23" s="80"/>
      <c r="AD23" s="80"/>
    </row>
    <row r="24" spans="1:30" x14ac:dyDescent="0.25">
      <c r="A24" s="37"/>
      <c r="B24" s="84" t="s">
        <v>53</v>
      </c>
      <c r="C24" s="86"/>
      <c r="D24" s="85" t="s">
        <v>53</v>
      </c>
      <c r="E24" s="86"/>
      <c r="F24" s="84" t="s">
        <v>53</v>
      </c>
      <c r="G24" s="84"/>
      <c r="I24" s="80"/>
      <c r="J24" s="80"/>
      <c r="K24" s="80"/>
      <c r="L24" s="80"/>
      <c r="M24" s="80"/>
      <c r="N24" s="80"/>
      <c r="O24" s="80"/>
      <c r="P24" s="80"/>
      <c r="Q24" s="80"/>
      <c r="R24" s="80"/>
      <c r="S24" s="80"/>
      <c r="T24" s="80"/>
      <c r="U24" s="80"/>
      <c r="V24" s="80"/>
      <c r="W24" s="80"/>
      <c r="X24" s="80"/>
      <c r="Y24" s="80"/>
      <c r="Z24" s="80"/>
      <c r="AA24" s="80"/>
      <c r="AB24" s="80"/>
      <c r="AC24" s="80"/>
      <c r="AD24" s="80"/>
    </row>
    <row r="25" spans="1:30" ht="15.75" thickBot="1" x14ac:dyDescent="0.3">
      <c r="A25" s="37"/>
      <c r="B25" s="26" t="s">
        <v>47</v>
      </c>
      <c r="C25" s="33" t="s">
        <v>48</v>
      </c>
      <c r="D25" s="35" t="s">
        <v>47</v>
      </c>
      <c r="E25" s="33" t="s">
        <v>48</v>
      </c>
      <c r="F25" s="26" t="s">
        <v>47</v>
      </c>
      <c r="G25" s="26" t="s">
        <v>48</v>
      </c>
      <c r="I25" s="80"/>
      <c r="J25" s="80"/>
      <c r="K25" s="80"/>
      <c r="L25" s="80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  <c r="AA25" s="80"/>
      <c r="AB25" s="80"/>
      <c r="AC25" s="80"/>
      <c r="AD25" s="80"/>
    </row>
    <row r="26" spans="1:30" ht="15.75" thickTop="1" x14ac:dyDescent="0.25">
      <c r="A26" s="27" t="s">
        <v>51</v>
      </c>
      <c r="B26" s="29">
        <v>8400</v>
      </c>
      <c r="C26" s="34">
        <v>69000</v>
      </c>
      <c r="D26" s="36">
        <v>6400</v>
      </c>
      <c r="E26" s="34">
        <v>67000</v>
      </c>
      <c r="F26" s="29">
        <v>4400</v>
      </c>
      <c r="G26" s="29">
        <v>65000</v>
      </c>
      <c r="I26" s="80"/>
      <c r="J26" s="80"/>
      <c r="K26" s="80"/>
      <c r="L26" s="80"/>
      <c r="M26" s="80"/>
      <c r="N26" s="80"/>
      <c r="O26" s="80"/>
      <c r="P26" s="80"/>
      <c r="Q26" s="80"/>
      <c r="R26" s="80"/>
      <c r="S26" s="80"/>
      <c r="T26" s="80"/>
      <c r="U26" s="80"/>
      <c r="V26" s="80"/>
      <c r="W26" s="80"/>
      <c r="X26" s="80"/>
      <c r="Y26" s="80"/>
      <c r="Z26" s="80"/>
      <c r="AA26" s="80"/>
      <c r="AB26" s="80"/>
      <c r="AC26" s="80"/>
      <c r="AD26" s="80"/>
    </row>
    <row r="27" spans="1:30" x14ac:dyDescent="0.25">
      <c r="A27" s="54" t="s">
        <v>50</v>
      </c>
      <c r="B27" s="55">
        <f>16900+5300</f>
        <v>22200</v>
      </c>
      <c r="C27" s="58">
        <v>156000</v>
      </c>
      <c r="D27" s="59">
        <v>16900</v>
      </c>
      <c r="E27" s="58">
        <v>177000</v>
      </c>
      <c r="F27" s="55">
        <f>D27-5300</f>
        <v>11600</v>
      </c>
      <c r="G27" s="56">
        <f>E27-5300</f>
        <v>171700</v>
      </c>
      <c r="I27" s="80"/>
      <c r="J27" s="80"/>
      <c r="K27" s="80"/>
      <c r="L27" s="80"/>
      <c r="M27" s="80"/>
      <c r="N27" s="80"/>
      <c r="O27" s="80"/>
      <c r="P27" s="80"/>
      <c r="Q27" s="80"/>
      <c r="R27" s="80"/>
      <c r="S27" s="80"/>
      <c r="T27" s="80"/>
      <c r="U27" s="80"/>
      <c r="V27" s="80"/>
      <c r="W27" s="80"/>
      <c r="X27" s="80"/>
      <c r="Y27" s="80"/>
      <c r="Z27" s="80"/>
      <c r="AA27" s="80"/>
      <c r="AB27" s="80"/>
      <c r="AC27" s="80"/>
      <c r="AD27" s="80"/>
    </row>
    <row r="28" spans="1:30" x14ac:dyDescent="0.25">
      <c r="B28" s="46">
        <f>(B26-$D$26)/$D$26</f>
        <v>0.3125</v>
      </c>
      <c r="C28" s="46">
        <f>(C26-$E$26)/$E$26</f>
        <v>2.9850746268656716E-2</v>
      </c>
      <c r="D28" s="46">
        <f>(D26-$D$26)/$D$26</f>
        <v>0</v>
      </c>
      <c r="E28" s="46">
        <f>(E26-$E$26)/$E$26</f>
        <v>0</v>
      </c>
      <c r="F28" s="46">
        <f>(F26-$D$26)/$D$26</f>
        <v>-0.3125</v>
      </c>
      <c r="G28" s="46">
        <f>(G26-$E$26)/$E$26</f>
        <v>-2.9850746268656716E-2</v>
      </c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0"/>
      <c r="W28" s="80"/>
      <c r="X28" s="80"/>
      <c r="Y28" s="80"/>
      <c r="Z28" s="80"/>
      <c r="AA28" s="80"/>
      <c r="AB28" s="80"/>
      <c r="AC28" s="80"/>
      <c r="AD28" s="80"/>
    </row>
    <row r="29" spans="1:30" x14ac:dyDescent="0.25">
      <c r="I29" s="80"/>
      <c r="J29" s="80"/>
      <c r="K29" s="80"/>
      <c r="L29" s="80"/>
      <c r="M29" s="80"/>
      <c r="N29" s="80"/>
      <c r="O29" s="80"/>
      <c r="P29" s="80"/>
      <c r="Q29" s="80"/>
      <c r="R29" s="80"/>
      <c r="S29" s="80"/>
      <c r="T29" s="80"/>
      <c r="U29" s="80"/>
      <c r="V29" s="80"/>
      <c r="W29" s="80"/>
      <c r="X29" s="80"/>
      <c r="Y29" s="80"/>
      <c r="Z29" s="80"/>
      <c r="AA29" s="80"/>
      <c r="AB29" s="80"/>
      <c r="AC29" s="80"/>
      <c r="AD29" s="80"/>
    </row>
    <row r="30" spans="1:30" x14ac:dyDescent="0.25">
      <c r="I30" s="80"/>
      <c r="J30" s="80"/>
      <c r="K30" s="80"/>
      <c r="L30" s="80"/>
      <c r="M30" s="80"/>
      <c r="N30" s="80"/>
      <c r="O30" s="80"/>
      <c r="P30" s="80"/>
      <c r="Q30" s="80"/>
      <c r="R30" s="80"/>
      <c r="S30" s="80"/>
      <c r="T30" s="80"/>
      <c r="U30" s="80"/>
      <c r="V30" s="80"/>
      <c r="W30" s="80"/>
      <c r="X30" s="80"/>
      <c r="Y30" s="80"/>
      <c r="Z30" s="80"/>
      <c r="AA30" s="80"/>
      <c r="AB30" s="80"/>
      <c r="AC30" s="80"/>
      <c r="AD30" s="80"/>
    </row>
    <row r="31" spans="1:30" ht="15" customHeight="1" x14ac:dyDescent="0.25">
      <c r="A31" s="13"/>
      <c r="B31" s="89" t="s">
        <v>57</v>
      </c>
      <c r="C31" s="89"/>
      <c r="D31" s="89" t="s">
        <v>58</v>
      </c>
      <c r="E31" s="89"/>
      <c r="F31" s="89" t="s">
        <v>59</v>
      </c>
      <c r="G31" s="89"/>
      <c r="I31" s="80"/>
      <c r="J31" s="80"/>
      <c r="K31" s="80"/>
      <c r="L31" s="80"/>
      <c r="M31" s="80"/>
      <c r="N31" s="80"/>
      <c r="O31" s="80"/>
      <c r="P31" s="80"/>
      <c r="Q31" s="80"/>
      <c r="R31" s="80"/>
      <c r="S31" s="80"/>
      <c r="T31" s="80"/>
      <c r="U31" s="80"/>
      <c r="V31" s="80"/>
      <c r="W31" s="80"/>
      <c r="X31" s="80"/>
      <c r="Y31" s="80"/>
      <c r="Z31" s="80"/>
      <c r="AA31" s="80"/>
      <c r="AB31" s="80"/>
      <c r="AC31" s="80"/>
      <c r="AD31" s="80"/>
    </row>
    <row r="32" spans="1:30" ht="60" x14ac:dyDescent="0.25">
      <c r="A32" s="13"/>
      <c r="B32" s="38" t="s">
        <v>51</v>
      </c>
      <c r="C32" s="38" t="s">
        <v>50</v>
      </c>
      <c r="D32" s="38" t="s">
        <v>51</v>
      </c>
      <c r="E32" s="38" t="s">
        <v>50</v>
      </c>
      <c r="F32" s="38" t="s">
        <v>51</v>
      </c>
      <c r="G32" s="38" t="s">
        <v>50</v>
      </c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0"/>
      <c r="AA32" s="80"/>
      <c r="AB32" s="80"/>
      <c r="AC32" s="80"/>
      <c r="AD32" s="80"/>
    </row>
    <row r="33" spans="1:30" x14ac:dyDescent="0.25">
      <c r="A33" s="39" t="s">
        <v>47</v>
      </c>
      <c r="B33" s="40">
        <f>B26</f>
        <v>8400</v>
      </c>
      <c r="C33" s="40">
        <f>B27</f>
        <v>22200</v>
      </c>
      <c r="D33" s="40">
        <f>D26</f>
        <v>6400</v>
      </c>
      <c r="E33" s="40">
        <f>D27</f>
        <v>16900</v>
      </c>
      <c r="F33" s="40">
        <f>F26</f>
        <v>4400</v>
      </c>
      <c r="G33" s="40">
        <f>F27</f>
        <v>11600</v>
      </c>
      <c r="I33" s="80"/>
      <c r="J33" s="80"/>
      <c r="K33" s="80"/>
      <c r="L33" s="80"/>
      <c r="M33" s="80"/>
      <c r="N33" s="80"/>
      <c r="O33" s="80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0"/>
      <c r="AA33" s="80"/>
      <c r="AB33" s="80"/>
      <c r="AC33" s="80"/>
      <c r="AD33" s="80"/>
    </row>
    <row r="34" spans="1:30" x14ac:dyDescent="0.25">
      <c r="A34" s="39" t="s">
        <v>60</v>
      </c>
      <c r="B34" s="40">
        <f>C26-B26</f>
        <v>60600</v>
      </c>
      <c r="C34" s="41">
        <f>C27-B27</f>
        <v>133800</v>
      </c>
      <c r="D34" s="40">
        <f>E26-D33</f>
        <v>60600</v>
      </c>
      <c r="E34" s="41">
        <f>E27-E33</f>
        <v>160100</v>
      </c>
      <c r="F34" s="40">
        <f>G26-F26</f>
        <v>60600</v>
      </c>
      <c r="G34" s="41">
        <f>G27-F27</f>
        <v>160100</v>
      </c>
      <c r="I34" s="80"/>
      <c r="J34" s="80"/>
      <c r="K34" s="80"/>
      <c r="L34" s="80"/>
      <c r="M34" s="80"/>
      <c r="N34" s="80"/>
      <c r="O34" s="80"/>
      <c r="P34" s="80"/>
      <c r="Q34" s="80"/>
      <c r="R34" s="80"/>
      <c r="S34" s="80"/>
      <c r="T34" s="80"/>
      <c r="U34" s="80"/>
      <c r="V34" s="80"/>
      <c r="W34" s="80"/>
      <c r="X34" s="80"/>
      <c r="Y34" s="80"/>
      <c r="Z34" s="80"/>
      <c r="AA34" s="80"/>
      <c r="AB34" s="80"/>
      <c r="AC34" s="80"/>
      <c r="AD34" s="80"/>
    </row>
    <row r="35" spans="1:30" x14ac:dyDescent="0.25">
      <c r="A35" s="39" t="s">
        <v>47</v>
      </c>
      <c r="B35" s="42">
        <f>(B33-$D$33)/$D$33</f>
        <v>0.3125</v>
      </c>
      <c r="C35" s="42">
        <f>(C33-$E$33)/$E$33</f>
        <v>0.31360946745562129</v>
      </c>
      <c r="D35" s="42">
        <f>(D33-$D$33)/$D$33</f>
        <v>0</v>
      </c>
      <c r="E35" s="42">
        <f>(E33-$E$33)/$E$33</f>
        <v>0</v>
      </c>
      <c r="F35" s="42">
        <f>(F33-$D$33)/$D$33</f>
        <v>-0.3125</v>
      </c>
      <c r="G35" s="42">
        <f>(G33-$E$33)/$E$33</f>
        <v>-0.31360946745562129</v>
      </c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80"/>
      <c r="T35" s="80"/>
      <c r="U35" s="80"/>
      <c r="V35" s="80"/>
      <c r="W35" s="80"/>
      <c r="X35" s="80"/>
      <c r="Y35" s="80"/>
      <c r="Z35" s="80"/>
      <c r="AA35" s="80"/>
      <c r="AB35" s="80"/>
      <c r="AC35" s="80"/>
      <c r="AD35" s="80"/>
    </row>
    <row r="36" spans="1:30" x14ac:dyDescent="0.25">
      <c r="A36" s="39" t="s">
        <v>60</v>
      </c>
      <c r="B36" s="42">
        <f>((B34+B33)-($D$34+$D$33))/($D$34+$D$33)</f>
        <v>2.9850746268656716E-2</v>
      </c>
      <c r="C36" s="42">
        <f>((C34+C33)-($E$34+$E$33))/($E$34+$E$33)</f>
        <v>-0.11864406779661017</v>
      </c>
      <c r="D36" s="42">
        <f>((D34+D33)-($D$34+$D$33))/($D$34+$D$33)</f>
        <v>0</v>
      </c>
      <c r="E36" s="42">
        <f>((E34+E33)-($E$34+$E$33))/($E$34+$E$33)</f>
        <v>0</v>
      </c>
      <c r="F36" s="42">
        <f>((F34+F33)-($D$34+$D$33))/($D$34+$D$33)</f>
        <v>-2.9850746268656716E-2</v>
      </c>
      <c r="G36" s="42">
        <f>((G34+G33)-($E$34+$E$33))/($E$34+$E$33)</f>
        <v>-2.9943502824858758E-2</v>
      </c>
      <c r="I36" s="80"/>
      <c r="J36" s="80"/>
      <c r="K36" s="80"/>
      <c r="L36" s="80"/>
      <c r="M36" s="80"/>
      <c r="N36" s="80"/>
      <c r="O36" s="80"/>
      <c r="P36" s="80"/>
      <c r="Q36" s="80"/>
      <c r="R36" s="80"/>
      <c r="S36" s="80"/>
      <c r="T36" s="80"/>
      <c r="U36" s="80"/>
      <c r="V36" s="80"/>
      <c r="W36" s="80"/>
      <c r="X36" s="80"/>
      <c r="Y36" s="80"/>
      <c r="Z36" s="80"/>
      <c r="AA36" s="80"/>
      <c r="AB36" s="80"/>
      <c r="AC36" s="80"/>
      <c r="AD36" s="80"/>
    </row>
    <row r="37" spans="1:30" x14ac:dyDescent="0.25">
      <c r="A37" s="13"/>
      <c r="B37" s="14">
        <f t="shared" ref="B37:D37" si="1">ROUND(SUM(B33:B34),-3)</f>
        <v>69000</v>
      </c>
      <c r="C37" s="14">
        <f t="shared" si="1"/>
        <v>156000</v>
      </c>
      <c r="D37" s="14">
        <f t="shared" si="1"/>
        <v>67000</v>
      </c>
      <c r="E37" s="14">
        <f>ROUND(SUM(E33:E34),-3)</f>
        <v>177000</v>
      </c>
      <c r="F37" s="14">
        <f t="shared" ref="F37:G37" si="2">ROUND(SUM(F33:F34),-3)</f>
        <v>65000</v>
      </c>
      <c r="G37" s="14">
        <f t="shared" si="2"/>
        <v>172000</v>
      </c>
      <c r="I37" s="80"/>
      <c r="J37" s="80"/>
      <c r="K37" s="80"/>
      <c r="L37" s="80"/>
      <c r="M37" s="80"/>
      <c r="N37" s="80"/>
      <c r="O37" s="80"/>
      <c r="P37" s="80"/>
      <c r="Q37" s="80"/>
      <c r="R37" s="80"/>
      <c r="S37" s="80"/>
      <c r="T37" s="80"/>
      <c r="U37" s="80"/>
      <c r="V37" s="80"/>
      <c r="W37" s="80"/>
      <c r="X37" s="80"/>
      <c r="Y37" s="80"/>
      <c r="Z37" s="80"/>
      <c r="AA37" s="80"/>
      <c r="AB37" s="80"/>
      <c r="AC37" s="80"/>
      <c r="AD37" s="80"/>
    </row>
    <row r="38" spans="1:30" x14ac:dyDescent="0.25">
      <c r="I38" s="80"/>
      <c r="J38" s="80"/>
      <c r="K38" s="80"/>
      <c r="L38" s="80"/>
      <c r="M38" s="80"/>
      <c r="N38" s="80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  <c r="AA38" s="80"/>
      <c r="AB38" s="80"/>
      <c r="AC38" s="80"/>
      <c r="AD38" s="80"/>
    </row>
    <row r="39" spans="1:30" x14ac:dyDescent="0.25">
      <c r="I39" s="80"/>
      <c r="J39" s="80"/>
      <c r="K39" s="80"/>
      <c r="L39" s="80"/>
      <c r="M39" s="80"/>
      <c r="N39" s="80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  <c r="AA39" s="80"/>
      <c r="AB39" s="80"/>
      <c r="AC39" s="80"/>
      <c r="AD39" s="80"/>
    </row>
  </sheetData>
  <mergeCells count="14">
    <mergeCell ref="B31:C31"/>
    <mergeCell ref="D31:E31"/>
    <mergeCell ref="F31:G31"/>
    <mergeCell ref="A21:G21"/>
    <mergeCell ref="B2:C2"/>
    <mergeCell ref="A1:C1"/>
    <mergeCell ref="A12:C12"/>
    <mergeCell ref="B13:C13"/>
    <mergeCell ref="F24:G24"/>
    <mergeCell ref="D24:E24"/>
    <mergeCell ref="D23:E23"/>
    <mergeCell ref="B23:C23"/>
    <mergeCell ref="B24:C24"/>
    <mergeCell ref="F23:G23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GHG (LP FULL)</vt:lpstr>
      <vt:lpstr>GHG (LP BASE)</vt:lpstr>
      <vt:lpstr>GHG (DES FULL)</vt:lpstr>
      <vt:lpstr>GHG (DES BASE)</vt:lpstr>
      <vt:lpstr>Make Up Water Preheat</vt:lpstr>
      <vt:lpstr>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Ryan Johnson</dc:creator>
  <cp:lastModifiedBy>Jodi Slick</cp:lastModifiedBy>
  <dcterms:created xsi:type="dcterms:W3CDTF">2024-01-03T14:48:20Z</dcterms:created>
  <dcterms:modified xsi:type="dcterms:W3CDTF">2024-04-02T00:18:23Z</dcterms:modified>
</cp:coreProperties>
</file>