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pdmwd.sharepoint.com/sites/Package5ERP/Shared Documents/06. Governmental Approvals (other than CEQA)/Grant Funding/EPA Climate Pollution Reduction Grants Program/CPRG Implementation Phase Application/Tech Appendix/"/>
    </mc:Choice>
  </mc:AlternateContent>
  <xr:revisionPtr revIDLastSave="4" documentId="8_{1BA033B1-31DF-48F3-9E9C-724DCB6AE1D5}" xr6:coauthVersionLast="47" xr6:coauthVersionMax="47" xr10:uidLastSave="{6E692C8B-5C76-4791-904B-5100483F2275}"/>
  <bookViews>
    <workbookView xWindow="-120" yWindow="-120" windowWidth="51840" windowHeight="21240" activeTab="3" xr2:uid="{901DB192-CE13-D34C-BD84-E61B9637E1F6}"/>
  </bookViews>
  <sheets>
    <sheet name="Summary" sheetId="4" r:id="rId1"/>
    <sheet name="GHG_Calculations" sheetId="5" r:id="rId2"/>
    <sheet name="CZ10" sheetId="8" r:id="rId3"/>
    <sheet name="First Year Ramp Up" sheetId="6" r:id="rId4"/>
  </sheets>
  <externalReferences>
    <externalReference r:id="rId5"/>
  </externalReferences>
  <definedNames>
    <definedName name="Active_PriceZone">[1]Dropdowns!$W$14</definedName>
    <definedName name="HistoricalYear">[1]Dropdowns!$E$8</definedName>
    <definedName name="_xlnm.Print_Titles" localSheetId="1">GHG_Calculations!$1:$1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26" i="5" l="1"/>
  <c r="N27" i="5"/>
  <c r="N28" i="5"/>
  <c r="N29" i="5"/>
  <c r="N30" i="5"/>
  <c r="N31" i="5"/>
  <c r="N32" i="5"/>
  <c r="N33" i="5"/>
  <c r="N34" i="5"/>
  <c r="N35" i="5"/>
  <c r="N36" i="5"/>
  <c r="N37" i="5"/>
  <c r="N38" i="5"/>
  <c r="N39" i="5"/>
  <c r="N40" i="5"/>
  <c r="N41" i="5"/>
  <c r="N42" i="5"/>
  <c r="N43" i="5"/>
  <c r="N44" i="5"/>
  <c r="N45" i="5"/>
  <c r="N46" i="5"/>
  <c r="N47" i="5"/>
  <c r="N48" i="5"/>
  <c r="N25" i="5"/>
  <c r="F20" i="5"/>
  <c r="F17" i="5"/>
  <c r="P27" i="6" l="1"/>
  <c r="P30" i="6" s="1"/>
  <c r="P32" i="6" s="1"/>
  <c r="P26" i="6"/>
  <c r="K26" i="6"/>
  <c r="I26" i="6"/>
  <c r="H26" i="6"/>
  <c r="L25" i="6"/>
  <c r="F25" i="6"/>
  <c r="P24" i="6"/>
  <c r="O24" i="6"/>
  <c r="J24" i="6"/>
  <c r="I24" i="6"/>
  <c r="H24" i="6"/>
  <c r="G24" i="6"/>
  <c r="G27" i="6" s="1"/>
  <c r="G30" i="6" s="1"/>
  <c r="G32" i="6" s="1"/>
  <c r="F24" i="6"/>
  <c r="F28" i="6" s="1"/>
  <c r="P23" i="6"/>
  <c r="O23" i="6"/>
  <c r="N23" i="6"/>
  <c r="M23" i="6"/>
  <c r="L23" i="6"/>
  <c r="K23" i="6"/>
  <c r="J23" i="6"/>
  <c r="I23" i="6"/>
  <c r="H23" i="6"/>
  <c r="G23" i="6"/>
  <c r="F23" i="6"/>
  <c r="P22" i="6"/>
  <c r="O22" i="6"/>
  <c r="M22" i="6"/>
  <c r="H22" i="6"/>
  <c r="G22" i="6"/>
  <c r="P21" i="6"/>
  <c r="O21" i="6"/>
  <c r="N21" i="6"/>
  <c r="M21" i="6"/>
  <c r="L21" i="6"/>
  <c r="L22" i="6" s="1"/>
  <c r="K21" i="6"/>
  <c r="J21" i="6"/>
  <c r="J22" i="6" s="1"/>
  <c r="I21" i="6"/>
  <c r="I22" i="6" s="1"/>
  <c r="H21" i="6"/>
  <c r="G21" i="6"/>
  <c r="F21" i="6"/>
  <c r="C21" i="6"/>
  <c r="C20" i="6"/>
  <c r="C18" i="6"/>
  <c r="C19" i="6" s="1"/>
  <c r="P17" i="6"/>
  <c r="O17" i="6"/>
  <c r="N17" i="6"/>
  <c r="M17" i="6"/>
  <c r="L17" i="6"/>
  <c r="K17" i="6"/>
  <c r="K14" i="6" s="1"/>
  <c r="J17" i="6"/>
  <c r="I17" i="6"/>
  <c r="I14" i="6" s="1"/>
  <c r="H17" i="6"/>
  <c r="G17" i="6"/>
  <c r="F17" i="6"/>
  <c r="P16" i="6"/>
  <c r="O16" i="6"/>
  <c r="O26" i="6" s="1"/>
  <c r="N16" i="6"/>
  <c r="N26" i="6" s="1"/>
  <c r="M16" i="6"/>
  <c r="L16" i="6"/>
  <c r="K16" i="6"/>
  <c r="K15" i="6" s="1"/>
  <c r="J16" i="6"/>
  <c r="I16" i="6"/>
  <c r="H16" i="6"/>
  <c r="G16" i="6"/>
  <c r="G26" i="6" s="1"/>
  <c r="F16" i="6"/>
  <c r="F26" i="6" s="1"/>
  <c r="P15" i="6"/>
  <c r="O15" i="6"/>
  <c r="J15" i="6"/>
  <c r="I15" i="6"/>
  <c r="H15" i="6"/>
  <c r="G15" i="6"/>
  <c r="J14" i="6"/>
  <c r="P13" i="6"/>
  <c r="O13" i="6"/>
  <c r="N13" i="6"/>
  <c r="N14" i="6" s="1"/>
  <c r="M13" i="6"/>
  <c r="L13" i="6"/>
  <c r="L24" i="6" s="1"/>
  <c r="L28" i="6" s="1"/>
  <c r="K13" i="6"/>
  <c r="K24" i="6" s="1"/>
  <c r="J13" i="6"/>
  <c r="I13" i="6"/>
  <c r="H13" i="6"/>
  <c r="G13" i="6"/>
  <c r="F13" i="6"/>
  <c r="F14" i="6" s="1"/>
  <c r="G48" i="5"/>
  <c r="C48" i="5"/>
  <c r="D48" i="5" s="1"/>
  <c r="E48" i="5" s="1"/>
  <c r="G47" i="5"/>
  <c r="C47" i="5"/>
  <c r="D47" i="5" s="1"/>
  <c r="E47" i="5" s="1"/>
  <c r="G46" i="5"/>
  <c r="C46" i="5"/>
  <c r="D46" i="5" s="1"/>
  <c r="E46" i="5" s="1"/>
  <c r="G45" i="5"/>
  <c r="C25" i="4" s="1"/>
  <c r="C45" i="5"/>
  <c r="D45" i="5" s="1"/>
  <c r="E45" i="5" s="1"/>
  <c r="G44" i="5"/>
  <c r="C44" i="5"/>
  <c r="D44" i="5" s="1"/>
  <c r="E44" i="5" s="1"/>
  <c r="G43" i="5"/>
  <c r="C43" i="5"/>
  <c r="D43" i="5" s="1"/>
  <c r="E43" i="5" s="1"/>
  <c r="G42" i="5"/>
  <c r="C22" i="4" s="1"/>
  <c r="C42" i="5"/>
  <c r="D42" i="5" s="1"/>
  <c r="E42" i="5" s="1"/>
  <c r="G41" i="5"/>
  <c r="C21" i="4" s="1"/>
  <c r="C41" i="5"/>
  <c r="D41" i="5" s="1"/>
  <c r="E41" i="5" s="1"/>
  <c r="G40" i="5"/>
  <c r="C40" i="5"/>
  <c r="D40" i="5" s="1"/>
  <c r="E40" i="5" s="1"/>
  <c r="G39" i="5"/>
  <c r="C39" i="5"/>
  <c r="D39" i="5" s="1"/>
  <c r="E39" i="5" s="1"/>
  <c r="G38" i="5"/>
  <c r="C38" i="5"/>
  <c r="D38" i="5" s="1"/>
  <c r="E38" i="5" s="1"/>
  <c r="G37" i="5"/>
  <c r="C37" i="5"/>
  <c r="D37" i="5" s="1"/>
  <c r="E37" i="5" s="1"/>
  <c r="G36" i="5"/>
  <c r="C36" i="5"/>
  <c r="D36" i="5" s="1"/>
  <c r="E36" i="5" s="1"/>
  <c r="G35" i="5"/>
  <c r="C15" i="4" s="1"/>
  <c r="C35" i="5"/>
  <c r="D35" i="5" s="1"/>
  <c r="E35" i="5" s="1"/>
  <c r="G34" i="5"/>
  <c r="C34" i="5"/>
  <c r="D34" i="5" s="1"/>
  <c r="E34" i="5" s="1"/>
  <c r="G33" i="5"/>
  <c r="C13" i="4" s="1"/>
  <c r="C33" i="5"/>
  <c r="D33" i="5" s="1"/>
  <c r="E33" i="5" s="1"/>
  <c r="G32" i="5"/>
  <c r="C32" i="5"/>
  <c r="D32" i="5" s="1"/>
  <c r="E32" i="5" s="1"/>
  <c r="G31" i="5"/>
  <c r="C31" i="5"/>
  <c r="D31" i="5" s="1"/>
  <c r="E31" i="5" s="1"/>
  <c r="G30" i="5"/>
  <c r="C10" i="4" s="1"/>
  <c r="C30" i="5"/>
  <c r="D30" i="5" s="1"/>
  <c r="E30" i="5" s="1"/>
  <c r="G29" i="5"/>
  <c r="C9" i="4" s="1"/>
  <c r="C29" i="5"/>
  <c r="D29" i="5" s="1"/>
  <c r="E29" i="5" s="1"/>
  <c r="G28" i="5"/>
  <c r="C28" i="5"/>
  <c r="D28" i="5" s="1"/>
  <c r="E28" i="5" s="1"/>
  <c r="G27" i="5"/>
  <c r="C27" i="5"/>
  <c r="D27" i="5" s="1"/>
  <c r="E27" i="5" s="1"/>
  <c r="G26" i="5"/>
  <c r="C6" i="4" s="1"/>
  <c r="C26" i="5"/>
  <c r="D26" i="5" s="1"/>
  <c r="E26" i="5" s="1"/>
  <c r="F19" i="5"/>
  <c r="F13" i="5"/>
  <c r="F12" i="5"/>
  <c r="F10" i="5"/>
  <c r="C27" i="4"/>
  <c r="C24" i="4"/>
  <c r="C18" i="4"/>
  <c r="C17" i="4"/>
  <c r="C14" i="4"/>
  <c r="C11" i="4"/>
  <c r="C8" i="4"/>
  <c r="S27" i="5" l="1"/>
  <c r="S35" i="5"/>
  <c r="S43" i="5"/>
  <c r="R27" i="5"/>
  <c r="R35" i="5"/>
  <c r="R43" i="5"/>
  <c r="S28" i="5"/>
  <c r="S36" i="5"/>
  <c r="S44" i="5"/>
  <c r="R28" i="5"/>
  <c r="R36" i="5"/>
  <c r="R44" i="5"/>
  <c r="S29" i="5"/>
  <c r="S37" i="5"/>
  <c r="S45" i="5"/>
  <c r="R29" i="5"/>
  <c r="R37" i="5"/>
  <c r="R45" i="5"/>
  <c r="S30" i="5"/>
  <c r="S38" i="5"/>
  <c r="S46" i="5"/>
  <c r="R30" i="5"/>
  <c r="R38" i="5"/>
  <c r="R46" i="5"/>
  <c r="S31" i="5"/>
  <c r="S39" i="5"/>
  <c r="S47" i="5"/>
  <c r="R31" i="5"/>
  <c r="R39" i="5"/>
  <c r="R47" i="5"/>
  <c r="S32" i="5"/>
  <c r="S40" i="5"/>
  <c r="S48" i="5"/>
  <c r="R32" i="5"/>
  <c r="R40" i="5"/>
  <c r="R48" i="5"/>
  <c r="S33" i="5"/>
  <c r="S41" i="5"/>
  <c r="S25" i="5"/>
  <c r="R33" i="5"/>
  <c r="R41" i="5"/>
  <c r="R25" i="5"/>
  <c r="S26" i="5"/>
  <c r="S34" i="5"/>
  <c r="S42" i="5"/>
  <c r="R26" i="5"/>
  <c r="R34" i="5"/>
  <c r="R42" i="5"/>
  <c r="J48" i="5"/>
  <c r="K48" i="5" s="1"/>
  <c r="J42" i="5"/>
  <c r="O42" i="5" s="1"/>
  <c r="J40" i="5"/>
  <c r="J34" i="5"/>
  <c r="J32" i="5"/>
  <c r="O32" i="5" s="1"/>
  <c r="J26" i="5"/>
  <c r="O26" i="5" s="1"/>
  <c r="D6" i="4" s="1"/>
  <c r="M26" i="5"/>
  <c r="M28" i="5"/>
  <c r="M31" i="5"/>
  <c r="L31" i="5"/>
  <c r="L32" i="5"/>
  <c r="L33" i="5"/>
  <c r="O34" i="5"/>
  <c r="Q34" i="5" s="1"/>
  <c r="M34" i="5"/>
  <c r="C16" i="4"/>
  <c r="M36" i="5"/>
  <c r="M39" i="5"/>
  <c r="L39" i="5"/>
  <c r="M40" i="5"/>
  <c r="L41" i="5"/>
  <c r="M42" i="5"/>
  <c r="M44" i="5"/>
  <c r="L45" i="5"/>
  <c r="L46" i="5"/>
  <c r="C28" i="4"/>
  <c r="M48" i="5"/>
  <c r="C22" i="6"/>
  <c r="C25" i="5"/>
  <c r="D25" i="5" s="1"/>
  <c r="E25" i="5" s="1"/>
  <c r="D22" i="4"/>
  <c r="M24" i="6"/>
  <c r="M14" i="6"/>
  <c r="K25" i="6"/>
  <c r="K28" i="6" s="1"/>
  <c r="M27" i="5"/>
  <c r="L29" i="5"/>
  <c r="K40" i="5"/>
  <c r="M43" i="5"/>
  <c r="M45" i="5"/>
  <c r="M46" i="5"/>
  <c r="G14" i="6"/>
  <c r="G25" i="6"/>
  <c r="O14" i="6"/>
  <c r="O25" i="6"/>
  <c r="O28" i="6" s="1"/>
  <c r="N22" i="6"/>
  <c r="H28" i="6"/>
  <c r="F27" i="6"/>
  <c r="F30" i="6" s="1"/>
  <c r="F32" i="6" s="1"/>
  <c r="C19" i="4"/>
  <c r="C23" i="4"/>
  <c r="C26" i="4"/>
  <c r="J27" i="5"/>
  <c r="O27" i="5" s="1"/>
  <c r="M29" i="5"/>
  <c r="L30" i="5"/>
  <c r="J35" i="5"/>
  <c r="O35" i="5" s="1"/>
  <c r="M37" i="5"/>
  <c r="L38" i="5"/>
  <c r="L40" i="5"/>
  <c r="J43" i="5"/>
  <c r="O43" i="5" s="1"/>
  <c r="J47" i="5"/>
  <c r="O47" i="5" s="1"/>
  <c r="H14" i="6"/>
  <c r="P14" i="6"/>
  <c r="I27" i="6"/>
  <c r="I30" i="6" s="1"/>
  <c r="I32" i="6" s="1"/>
  <c r="M25" i="6"/>
  <c r="C12" i="4"/>
  <c r="F15" i="6"/>
  <c r="G28" i="6"/>
  <c r="L47" i="5"/>
  <c r="M47" i="5"/>
  <c r="J45" i="5"/>
  <c r="J41" i="5"/>
  <c r="O41" i="5" s="1"/>
  <c r="J37" i="5"/>
  <c r="J33" i="5"/>
  <c r="O33" i="5" s="1"/>
  <c r="J29" i="5"/>
  <c r="J25" i="5"/>
  <c r="J46" i="5"/>
  <c r="O46" i="5" s="1"/>
  <c r="J30" i="5"/>
  <c r="O30" i="5" s="1"/>
  <c r="M32" i="5"/>
  <c r="J38" i="5"/>
  <c r="O38" i="5" s="1"/>
  <c r="K47" i="5"/>
  <c r="I25" i="6"/>
  <c r="I28" i="6" s="1"/>
  <c r="N25" i="6"/>
  <c r="H27" i="6"/>
  <c r="H30" i="6" s="1"/>
  <c r="H32" i="6" s="1"/>
  <c r="K46" i="5"/>
  <c r="K34" i="5"/>
  <c r="K26" i="5"/>
  <c r="M35" i="5"/>
  <c r="L37" i="5"/>
  <c r="C7" i="4"/>
  <c r="L27" i="5"/>
  <c r="J28" i="5"/>
  <c r="M30" i="5"/>
  <c r="L35" i="5"/>
  <c r="J36" i="5"/>
  <c r="K36" i="5" s="1"/>
  <c r="M38" i="5"/>
  <c r="L43" i="5"/>
  <c r="J44" i="5"/>
  <c r="K44" i="5" s="1"/>
  <c r="L48" i="5"/>
  <c r="N15" i="6"/>
  <c r="N24" i="6"/>
  <c r="C23" i="6"/>
  <c r="F25" i="5" s="1"/>
  <c r="G25" i="5" s="1"/>
  <c r="F22" i="6"/>
  <c r="C20" i="4"/>
  <c r="O40" i="5"/>
  <c r="K27" i="6"/>
  <c r="K30" i="6" s="1"/>
  <c r="K32" i="6" s="1"/>
  <c r="L15" i="6"/>
  <c r="L26" i="6"/>
  <c r="L26" i="5"/>
  <c r="L28" i="5"/>
  <c r="J31" i="5"/>
  <c r="K31" i="5" s="1"/>
  <c r="M33" i="5"/>
  <c r="L34" i="5"/>
  <c r="L36" i="5"/>
  <c r="J39" i="5"/>
  <c r="K39" i="5" s="1"/>
  <c r="M41" i="5"/>
  <c r="L42" i="5"/>
  <c r="L44" i="5"/>
  <c r="L27" i="6"/>
  <c r="L30" i="6" s="1"/>
  <c r="L32" i="6" s="1"/>
  <c r="L14" i="6"/>
  <c r="M15" i="6"/>
  <c r="M26" i="6"/>
  <c r="J25" i="6"/>
  <c r="J28" i="6" s="1"/>
  <c r="K22" i="6"/>
  <c r="P28" i="6"/>
  <c r="J26" i="6"/>
  <c r="J27" i="6" s="1"/>
  <c r="J30" i="6" s="1"/>
  <c r="J32" i="6" s="1"/>
  <c r="O27" i="6"/>
  <c r="O30" i="6" s="1"/>
  <c r="O32" i="6" s="1"/>
  <c r="H25" i="6"/>
  <c r="P25" i="6"/>
  <c r="K38" i="5" l="1"/>
  <c r="K42" i="5"/>
  <c r="K32" i="5"/>
  <c r="T46" i="5"/>
  <c r="O48" i="5"/>
  <c r="Q48" i="5" s="1"/>
  <c r="K27" i="5"/>
  <c r="D14" i="4"/>
  <c r="T47" i="5"/>
  <c r="K35" i="5"/>
  <c r="K28" i="5"/>
  <c r="O28" i="5"/>
  <c r="D8" i="4" s="1"/>
  <c r="D27" i="4"/>
  <c r="Q47" i="5"/>
  <c r="Q40" i="5"/>
  <c r="D20" i="4"/>
  <c r="K33" i="5"/>
  <c r="O44" i="5"/>
  <c r="D10" i="4"/>
  <c r="O37" i="5"/>
  <c r="K37" i="5"/>
  <c r="Q32" i="5"/>
  <c r="D12" i="4"/>
  <c r="T40" i="5"/>
  <c r="O39" i="5"/>
  <c r="Q30" i="5"/>
  <c r="Q42" i="5"/>
  <c r="T27" i="5"/>
  <c r="O45" i="5"/>
  <c r="K45" i="5"/>
  <c r="D7" i="4"/>
  <c r="Q27" i="5"/>
  <c r="M27" i="6"/>
  <c r="M30" i="6" s="1"/>
  <c r="M32" i="6" s="1"/>
  <c r="M28" i="6"/>
  <c r="O29" i="5"/>
  <c r="K29" i="5"/>
  <c r="M25" i="5"/>
  <c r="L25" i="5"/>
  <c r="O25" i="5"/>
  <c r="Q25" i="5" s="1"/>
  <c r="C5" i="4"/>
  <c r="K41" i="5"/>
  <c r="K30" i="5"/>
  <c r="Q38" i="5"/>
  <c r="D18" i="4"/>
  <c r="Q26" i="5"/>
  <c r="T32" i="5"/>
  <c r="Q46" i="5"/>
  <c r="D26" i="4"/>
  <c r="Q33" i="5"/>
  <c r="D13" i="4"/>
  <c r="D23" i="4"/>
  <c r="Q41" i="5"/>
  <c r="D21" i="4"/>
  <c r="N28" i="6"/>
  <c r="N27" i="6"/>
  <c r="N30" i="6" s="1"/>
  <c r="N32" i="6" s="1"/>
  <c r="O36" i="5"/>
  <c r="O31" i="5"/>
  <c r="K43" i="5"/>
  <c r="K25" i="5"/>
  <c r="D15" i="4"/>
  <c r="Q35" i="5"/>
  <c r="Q43" i="5"/>
  <c r="T30" i="5" l="1"/>
  <c r="T38" i="5"/>
  <c r="T35" i="5"/>
  <c r="F15" i="4" s="1"/>
  <c r="Q28" i="5"/>
  <c r="T48" i="5"/>
  <c r="F28" i="4" s="1"/>
  <c r="T43" i="5"/>
  <c r="F23" i="4" s="1"/>
  <c r="D28" i="4"/>
  <c r="F27" i="4"/>
  <c r="T42" i="5"/>
  <c r="F22" i="4" s="1"/>
  <c r="T28" i="5"/>
  <c r="T26" i="5"/>
  <c r="F6" i="4" s="1"/>
  <c r="T34" i="5"/>
  <c r="F14" i="4" s="1"/>
  <c r="T41" i="5"/>
  <c r="F21" i="4" s="1"/>
  <c r="F26" i="4"/>
  <c r="T33" i="5"/>
  <c r="T36" i="5"/>
  <c r="F7" i="4"/>
  <c r="F12" i="4"/>
  <c r="T25" i="5"/>
  <c r="D5" i="4"/>
  <c r="D11" i="4"/>
  <c r="Q31" i="5"/>
  <c r="D17" i="4"/>
  <c r="Q37" i="5"/>
  <c r="T37" i="5" s="1"/>
  <c r="F10" i="4"/>
  <c r="D9" i="4"/>
  <c r="Q29" i="5"/>
  <c r="D16" i="4"/>
  <c r="Q36" i="5"/>
  <c r="F8" i="4"/>
  <c r="Q39" i="5"/>
  <c r="D19" i="4"/>
  <c r="D24" i="4"/>
  <c r="Q44" i="5"/>
  <c r="T44" i="5" s="1"/>
  <c r="D25" i="4"/>
  <c r="Q45" i="5"/>
  <c r="F13" i="4"/>
  <c r="F20" i="4"/>
  <c r="F18" i="4"/>
  <c r="T31" i="5" l="1"/>
  <c r="F11" i="4" s="1"/>
  <c r="T29" i="5"/>
  <c r="F9" i="4" s="1"/>
  <c r="F16" i="4"/>
  <c r="F24" i="4"/>
  <c r="T39" i="5"/>
  <c r="F19" i="4" s="1"/>
  <c r="F17" i="4"/>
  <c r="T45" i="5"/>
  <c r="F25" i="4" s="1"/>
  <c r="F5" i="4"/>
</calcChain>
</file>

<file path=xl/sharedStrings.xml><?xml version="1.0" encoding="utf-8"?>
<sst xmlns="http://schemas.openxmlformats.org/spreadsheetml/2006/main" count="167" uniqueCount="136">
  <si>
    <t>Year</t>
  </si>
  <si>
    <t>Biogas Used for the Plant
(therms)</t>
  </si>
  <si>
    <t>Electricity Generated from the Plant for On-site Use (kWh)</t>
  </si>
  <si>
    <t>Electricity Generated from the Plant Supplied to the Grid 
(kWh)</t>
  </si>
  <si>
    <t>GHG Reductions (MT CO2e)</t>
  </si>
  <si>
    <t>Assumptions:</t>
  </si>
  <si>
    <t>Total CHP Capacity (2x1.2 MW)</t>
  </si>
  <si>
    <t>Start Up</t>
  </si>
  <si>
    <t>Biogas to CHP over time (increasing biosolids, increasing HSW)</t>
  </si>
  <si>
    <t>Grid CI decreases over time in line with 2022 Scoping Plan (85% reduce in GHG emissions by 2045 vs. 1990 baseline)</t>
  </si>
  <si>
    <t>HSW ramp up in Year 1</t>
  </si>
  <si>
    <t>Assumptions</t>
  </si>
  <si>
    <t>Value</t>
  </si>
  <si>
    <t>Unit</t>
  </si>
  <si>
    <t>lb CO2e/MWh</t>
  </si>
  <si>
    <t>MT CO2e/yr</t>
  </si>
  <si>
    <t>Source/Basis</t>
  </si>
  <si>
    <t>Diverting Food Waste From Landfills</t>
  </si>
  <si>
    <t>% Dilution of Food Waste</t>
  </si>
  <si>
    <t>Design basis</t>
  </si>
  <si>
    <t>GHG Emissions from Food Waste to Landfill </t>
  </si>
  <si>
    <t>MTCO2E/wet ton</t>
  </si>
  <si>
    <t>EPA WARM (see separate model inputs)</t>
  </si>
  <si>
    <t>CHP GHG Emission Calculations</t>
  </si>
  <si>
    <t>CO2 Emission Factor</t>
  </si>
  <si>
    <t>lb/mmbtu</t>
  </si>
  <si>
    <t>EPA AP-42 Table 3.2-2</t>
  </si>
  <si>
    <t>CH4 Emission Factor</t>
  </si>
  <si>
    <t>NO2 Emission Factor</t>
  </si>
  <si>
    <t>Maximum Daily Hours</t>
  </si>
  <si>
    <t>hr</t>
  </si>
  <si>
    <t>% of Max Operating Load</t>
  </si>
  <si>
    <t>Annual Hours</t>
  </si>
  <si>
    <t>Calculation</t>
  </si>
  <si>
    <t xml:space="preserve">Biogas heat value </t>
  </si>
  <si>
    <t>BTU/ft3</t>
  </si>
  <si>
    <t>Wastewater Engineering: Treatment and Reuse (Metcalf &amp; Eddy 2003)</t>
  </si>
  <si>
    <t>1560 kW Engine Rated Capacity</t>
  </si>
  <si>
    <t>mmbtu/hr</t>
  </si>
  <si>
    <t>1200 kW Engine Rated Capacity</t>
  </si>
  <si>
    <t>Plant Power Consumption</t>
  </si>
  <si>
    <t>CHP Electrical Efficiency</t>
  </si>
  <si>
    <t>Vendor Spec</t>
  </si>
  <si>
    <t>Boiler Emissions</t>
  </si>
  <si>
    <t>Number of Digesters</t>
  </si>
  <si>
    <t>Heat Demand per Digesters</t>
  </si>
  <si>
    <t>MMBTU/hr</t>
  </si>
  <si>
    <t>Package #1 Design basis</t>
  </si>
  <si>
    <t>ft3/yr</t>
  </si>
  <si>
    <t>Boiler CO2e Emission Factor</t>
  </si>
  <si>
    <t>kg CO2e/mmbtu</t>
  </si>
  <si>
    <t>Emission factors for Greenhouse Gas Inventories, Stationary Combustion Emission Factors, USEPA 2015
IPCC Fifth Assessment Report, 2014 (AR5)</t>
  </si>
  <si>
    <t>lb CO2e/mmbtu</t>
  </si>
  <si>
    <t>% of Running with CHPs Installed</t>
  </si>
  <si>
    <t xml:space="preserve">GHG Reductions </t>
  </si>
  <si>
    <t xml:space="preserve">HSW Feed </t>
  </si>
  <si>
    <t>Food Waste Diverted from Landfill to Digester</t>
  </si>
  <si>
    <t xml:space="preserve">Total GHG Emissions from Baseline MSW Generation and Management </t>
  </si>
  <si>
    <t>Biogas Produced</t>
  </si>
  <si>
    <t xml:space="preserve">Biogas Heat Value </t>
  </si>
  <si>
    <t>1200kW CHPs</t>
  </si>
  <si>
    <t>1560kW CHPs</t>
  </si>
  <si>
    <t>Max Rated Capacity</t>
  </si>
  <si>
    <t>CO2 Emissions</t>
  </si>
  <si>
    <t>CH4 Emissions</t>
  </si>
  <si>
    <t>N20 Emissions</t>
  </si>
  <si>
    <t>Total CO2e Emissions</t>
  </si>
  <si>
    <t>Electricity Generated from the Plant for On-site Use</t>
  </si>
  <si>
    <t>Grid CI (from SANDAG)</t>
  </si>
  <si>
    <t xml:space="preserve">Total GHG Emissions from SDG&amp;E Power Consumption </t>
  </si>
  <si>
    <t>GHG Emissions from Boiler without CHPs installed</t>
  </si>
  <si>
    <t xml:space="preserve">GHG Emissions from Boiler with CHPs installed </t>
  </si>
  <si>
    <t>wet ton/day</t>
  </si>
  <si>
    <t>wet tons/day</t>
  </si>
  <si>
    <t>MTCOe/yr</t>
  </si>
  <si>
    <t xml:space="preserve"> scfm</t>
  </si>
  <si>
    <t>#</t>
  </si>
  <si>
    <t>ton/yr</t>
  </si>
  <si>
    <t>kWh</t>
  </si>
  <si>
    <t>Week 0</t>
  </si>
  <si>
    <t>Week 1</t>
  </si>
  <si>
    <t>Week 2</t>
  </si>
  <si>
    <t>Week 3</t>
  </si>
  <si>
    <t>Week 4</t>
  </si>
  <si>
    <t>Week 5</t>
  </si>
  <si>
    <t>Week 6</t>
  </si>
  <si>
    <t>Week 7</t>
  </si>
  <si>
    <t>Week 8</t>
  </si>
  <si>
    <t>Week 9</t>
  </si>
  <si>
    <t>Week 10</t>
  </si>
  <si>
    <t>First year Ramp Up</t>
  </si>
  <si>
    <t>Primary Sludge TS Mass (lb/day)</t>
  </si>
  <si>
    <t>Max OLR Increase per Week</t>
  </si>
  <si>
    <r>
      <t xml:space="preserve">Primary Sludge TS (%) </t>
    </r>
    <r>
      <rPr>
        <vertAlign val="superscript"/>
        <sz val="11"/>
        <color rgb="FF000000"/>
        <rFont val="Calibri"/>
        <family val="2"/>
        <scheme val="minor"/>
      </rPr>
      <t>1</t>
    </r>
  </si>
  <si>
    <t>OLR at Total Feed</t>
  </si>
  <si>
    <t>Primary Sludge VS/TS (%)</t>
  </si>
  <si>
    <t>Primary Sludge Biogas Potential (scf biogas/lb VS)</t>
  </si>
  <si>
    <t>Primary Sludge VS Mass (lb/day)</t>
  </si>
  <si>
    <t>WAS Biogas Potential (scf biogas/lb VS)</t>
  </si>
  <si>
    <t>Primary Sludge Total Flow (gpd)</t>
  </si>
  <si>
    <t>HSW Biogas Potential (scf biogas/lb VS)</t>
  </si>
  <si>
    <t>WAS TS Mass (lb/day)</t>
  </si>
  <si>
    <t>WAS TS (%)</t>
  </si>
  <si>
    <t>WAS VS/TS (%)</t>
  </si>
  <si>
    <t>WAS VS Mass (lb/day)</t>
  </si>
  <si>
    <t>WAS Total Flow (gpd)</t>
  </si>
  <si>
    <t>Plant Sludge TS Mass (lb/day)</t>
  </si>
  <si>
    <t>Plant Sludge TS (%)</t>
  </si>
  <si>
    <t>Plant Sludge VS/TS (%)</t>
  </si>
  <si>
    <t>Plant Sludge VS Mass (lb/day)</t>
  </si>
  <si>
    <t>Plant Sludge Total Flow (gpd)</t>
  </si>
  <si>
    <t>Year Total HSW Feed (lb/yr)</t>
  </si>
  <si>
    <t>HSW TS Mass (lb/day)</t>
  </si>
  <si>
    <t>Daily Average HSW Feed (lb/d)</t>
  </si>
  <si>
    <t>HSW TS (%)</t>
  </si>
  <si>
    <t>Biogas From Primary Sludge (scfm)</t>
  </si>
  <si>
    <t>HSW VS/TS (%)</t>
  </si>
  <si>
    <t>Biogas From WAS (scfm)</t>
  </si>
  <si>
    <t>HSW VS Mass (lb/day)</t>
  </si>
  <si>
    <t>Biogas From HSW (scfm)</t>
  </si>
  <si>
    <t>HSW VS Mass % of Total VS Fed</t>
  </si>
  <si>
    <t>Total Biogas (scfm)</t>
  </si>
  <si>
    <t>HSW Total Flow (gpd)</t>
  </si>
  <si>
    <t>Total Digester TS Mass (lb/day)</t>
  </si>
  <si>
    <t>Total Digester TS (%)</t>
  </si>
  <si>
    <t>Total Digester VS/TS (%)</t>
  </si>
  <si>
    <t>Total Digester VS Mass (lb/day)</t>
  </si>
  <si>
    <t>Total Digester Total Flow (gpd)</t>
  </si>
  <si>
    <t>Total Volume of Digestors in Service (ft3)</t>
  </si>
  <si>
    <t>OLR (lb VS/ft3 d)</t>
  </si>
  <si>
    <t>Max OLR increase for next week</t>
  </si>
  <si>
    <t xml:space="preserve">San Diego Region Electricity Emission Rate </t>
  </si>
  <si>
    <t>lbs CO2e/MWh</t>
  </si>
  <si>
    <t>Renewable/Zero Carbon Content</t>
  </si>
  <si>
    <t>Interpolation-lbs CO2e/MWh</t>
  </si>
  <si>
    <t>Interpolation- MT CO2e/MWh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</si>
</sst>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(* #,##0.00_);_(* \(#,##0.00\);_(* &quot;-&quot;??_);_(@_)"/>
    <numFmt numFmtId="164" formatCode="_(* #,##0_);_(* \(#,##0\);_(* &quot;-&quot;??_);_(@_)"/>
    <numFmt numFmtId="165" formatCode="0.0"/>
    <numFmt numFmtId="166" formatCode="0.000"/>
    <numFmt numFmtId="167" formatCode="0.000000"/>
  </numFmts>
  <fonts count="17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name val="MS Sans Serif"/>
    </font>
    <font>
      <sz val="10"/>
      <color theme="1"/>
      <name val="Calibri"/>
      <family val="2"/>
      <scheme val="minor"/>
    </font>
    <font>
      <sz val="11"/>
      <color rgb="FF444444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vertAlign val="superscript"/>
      <sz val="11"/>
      <color rgb="FF00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CCECFF"/>
        <bgColor rgb="FF000000"/>
      </patternFill>
    </fill>
    <fill>
      <patternFill patternType="solid">
        <fgColor rgb="FFC6E0B4"/>
        <bgColor rgb="FF000000"/>
      </patternFill>
    </fill>
    <fill>
      <patternFill patternType="solid">
        <fgColor theme="9" tint="0.79998168889431442"/>
        <bgColor indexed="64"/>
      </patternFill>
    </fill>
  </fills>
  <borders count="5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n">
        <color indexed="64"/>
      </bottom>
      <diagonal/>
    </border>
    <border>
      <left style="medium">
        <color rgb="FF000000"/>
      </left>
      <right/>
      <top style="thin">
        <color indexed="64"/>
      </top>
      <bottom style="thin">
        <color indexed="64"/>
      </bottom>
      <diagonal/>
    </border>
    <border>
      <left style="medium">
        <color rgb="FF000000"/>
      </left>
      <right/>
      <top/>
      <bottom style="medium">
        <color indexed="64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indexed="64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indexed="64"/>
      </bottom>
      <diagonal/>
    </border>
    <border>
      <left/>
      <right/>
      <top style="medium">
        <color rgb="FF000000"/>
      </top>
      <bottom style="thin">
        <color indexed="64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 style="medium">
        <color indexed="64"/>
      </right>
      <top style="medium">
        <color rgb="FF000000"/>
      </top>
      <bottom/>
      <diagonal/>
    </border>
    <border>
      <left style="medium">
        <color indexed="64"/>
      </left>
      <right/>
      <top style="medium">
        <color rgb="FF000000"/>
      </top>
      <bottom/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/>
      <top/>
      <bottom style="medium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0" fontId="3" fillId="0" borderId="0"/>
    <xf numFmtId="0" fontId="4" fillId="0" borderId="0"/>
    <xf numFmtId="0" fontId="2" fillId="0" borderId="0"/>
    <xf numFmtId="0" fontId="1" fillId="0" borderId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/>
  </cellStyleXfs>
  <cellXfs count="166">
    <xf numFmtId="0" fontId="0" fillId="0" borderId="0" xfId="0"/>
    <xf numFmtId="0" fontId="7" fillId="0" borderId="0" xfId="0" applyFont="1"/>
    <xf numFmtId="0" fontId="8" fillId="0" borderId="0" xfId="0" applyFont="1"/>
    <xf numFmtId="0" fontId="4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0" fillId="0" borderId="1" xfId="0" applyBorder="1"/>
    <xf numFmtId="0" fontId="4" fillId="0" borderId="1" xfId="0" applyFont="1" applyBorder="1" applyAlignment="1">
      <alignment vertical="top"/>
    </xf>
    <xf numFmtId="0" fontId="8" fillId="0" borderId="6" xfId="0" applyFont="1" applyBorder="1"/>
    <xf numFmtId="0" fontId="0" fillId="0" borderId="1" xfId="0" applyBorder="1" applyAlignment="1">
      <alignment horizontal="center" vertical="center" wrapText="1"/>
    </xf>
    <xf numFmtId="164" fontId="4" fillId="0" borderId="1" xfId="5" applyNumberFormat="1" applyFont="1" applyBorder="1" applyAlignment="1">
      <alignment vertical="top"/>
    </xf>
    <xf numFmtId="0" fontId="0" fillId="0" borderId="3" xfId="0" applyBorder="1" applyAlignment="1">
      <alignment horizontal="center" vertical="center" wrapText="1"/>
    </xf>
    <xf numFmtId="165" fontId="0" fillId="0" borderId="0" xfId="0" applyNumberFormat="1"/>
    <xf numFmtId="3" fontId="4" fillId="0" borderId="1" xfId="0" applyNumberFormat="1" applyFont="1" applyBorder="1" applyAlignment="1">
      <alignment vertical="top"/>
    </xf>
    <xf numFmtId="0" fontId="10" fillId="0" borderId="0" xfId="7"/>
    <xf numFmtId="0" fontId="11" fillId="0" borderId="0" xfId="8" applyAlignment="1">
      <alignment wrapText="1"/>
    </xf>
    <xf numFmtId="0" fontId="12" fillId="0" borderId="0" xfId="2" applyFont="1"/>
    <xf numFmtId="0" fontId="6" fillId="0" borderId="0" xfId="8" applyFont="1" applyAlignment="1">
      <alignment horizontal="left" vertical="center"/>
    </xf>
    <xf numFmtId="0" fontId="6" fillId="2" borderId="8" xfId="8" applyFont="1" applyFill="1" applyBorder="1" applyAlignment="1">
      <alignment horizontal="center" vertical="center"/>
    </xf>
    <xf numFmtId="0" fontId="6" fillId="2" borderId="9" xfId="8" applyFont="1" applyFill="1" applyBorder="1" applyAlignment="1">
      <alignment horizontal="center" vertical="center"/>
    </xf>
    <xf numFmtId="0" fontId="6" fillId="0" borderId="0" xfId="8" applyFont="1" applyAlignment="1">
      <alignment wrapText="1"/>
    </xf>
    <xf numFmtId="0" fontId="8" fillId="0" borderId="11" xfId="0" applyFont="1" applyBorder="1" applyAlignment="1">
      <alignment horizontal="left" vertical="center" readingOrder="1"/>
    </xf>
    <xf numFmtId="0" fontId="6" fillId="0" borderId="12" xfId="8" applyFont="1" applyBorder="1" applyAlignment="1">
      <alignment horizontal="center" vertical="center"/>
    </xf>
    <xf numFmtId="0" fontId="6" fillId="0" borderId="0" xfId="8" applyFont="1"/>
    <xf numFmtId="0" fontId="8" fillId="0" borderId="14" xfId="0" applyFont="1" applyBorder="1" applyAlignment="1">
      <alignment horizontal="left" vertical="center" wrapText="1" readingOrder="1"/>
    </xf>
    <xf numFmtId="2" fontId="6" fillId="0" borderId="13" xfId="8" applyNumberFormat="1" applyFont="1" applyBorder="1" applyAlignment="1">
      <alignment horizontal="center" vertical="center"/>
    </xf>
    <xf numFmtId="0" fontId="6" fillId="0" borderId="15" xfId="8" applyFont="1" applyBorder="1" applyAlignment="1">
      <alignment horizontal="center" vertical="center"/>
    </xf>
    <xf numFmtId="0" fontId="11" fillId="0" borderId="0" xfId="8"/>
    <xf numFmtId="0" fontId="6" fillId="0" borderId="11" xfId="8" applyFont="1" applyBorder="1" applyAlignment="1">
      <alignment horizontal="left" vertical="center"/>
    </xf>
    <xf numFmtId="0" fontId="6" fillId="0" borderId="17" xfId="8" applyFont="1" applyBorder="1" applyAlignment="1">
      <alignment horizontal="center" vertical="center"/>
    </xf>
    <xf numFmtId="2" fontId="6" fillId="0" borderId="16" xfId="8" applyNumberFormat="1" applyFont="1" applyBorder="1" applyAlignment="1">
      <alignment horizontal="center" vertical="center"/>
    </xf>
    <xf numFmtId="0" fontId="6" fillId="0" borderId="14" xfId="8" applyFont="1" applyBorder="1" applyAlignment="1">
      <alignment horizontal="left" vertical="center"/>
    </xf>
    <xf numFmtId="0" fontId="11" fillId="0" borderId="0" xfId="8" applyAlignment="1">
      <alignment horizontal="center" vertical="center" wrapText="1"/>
    </xf>
    <xf numFmtId="9" fontId="6" fillId="0" borderId="16" xfId="8" applyNumberFormat="1" applyFont="1" applyBorder="1" applyAlignment="1">
      <alignment horizontal="center" vertical="center"/>
    </xf>
    <xf numFmtId="0" fontId="14" fillId="0" borderId="0" xfId="8" applyFont="1" applyAlignment="1">
      <alignment horizontal="center" vertical="center"/>
    </xf>
    <xf numFmtId="1" fontId="14" fillId="0" borderId="0" xfId="8" applyNumberFormat="1" applyFont="1" applyAlignment="1">
      <alignment horizontal="center" vertical="center"/>
    </xf>
    <xf numFmtId="0" fontId="14" fillId="0" borderId="0" xfId="8" applyFont="1" applyAlignment="1">
      <alignment horizontal="center" vertical="center" wrapText="1"/>
    </xf>
    <xf numFmtId="9" fontId="14" fillId="0" borderId="0" xfId="8" applyNumberFormat="1" applyFont="1" applyAlignment="1">
      <alignment horizontal="center" vertical="center" wrapText="1"/>
    </xf>
    <xf numFmtId="166" fontId="14" fillId="0" borderId="0" xfId="8" applyNumberFormat="1" applyFont="1" applyAlignment="1">
      <alignment horizontal="center" vertical="center" wrapText="1"/>
    </xf>
    <xf numFmtId="2" fontId="14" fillId="0" borderId="0" xfId="8" applyNumberFormat="1" applyFont="1" applyAlignment="1">
      <alignment horizontal="center" vertical="center" wrapText="1"/>
    </xf>
    <xf numFmtId="0" fontId="6" fillId="0" borderId="19" xfId="8" applyFont="1" applyBorder="1" applyAlignment="1">
      <alignment horizontal="center" vertical="center" wrapText="1"/>
    </xf>
    <xf numFmtId="0" fontId="6" fillId="0" borderId="20" xfId="8" applyFont="1" applyBorder="1" applyAlignment="1">
      <alignment horizontal="center" vertical="center" wrapText="1"/>
    </xf>
    <xf numFmtId="0" fontId="6" fillId="0" borderId="21" xfId="8" applyFont="1" applyBorder="1" applyAlignment="1">
      <alignment horizontal="center" vertical="center" wrapText="1"/>
    </xf>
    <xf numFmtId="0" fontId="4" fillId="0" borderId="21" xfId="2" applyBorder="1" applyAlignment="1">
      <alignment horizontal="center" wrapText="1"/>
    </xf>
    <xf numFmtId="0" fontId="4" fillId="0" borderId="19" xfId="2" applyBorder="1" applyAlignment="1">
      <alignment horizontal="center" wrapText="1"/>
    </xf>
    <xf numFmtId="0" fontId="6" fillId="0" borderId="14" xfId="8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 wrapText="1"/>
    </xf>
    <xf numFmtId="0" fontId="14" fillId="0" borderId="0" xfId="8" applyFont="1" applyAlignment="1">
      <alignment wrapText="1"/>
    </xf>
    <xf numFmtId="0" fontId="6" fillId="0" borderId="23" xfId="8" applyFont="1" applyBorder="1" applyAlignment="1">
      <alignment horizontal="left" vertical="center"/>
    </xf>
    <xf numFmtId="1" fontId="6" fillId="0" borderId="23" xfId="8" applyNumberFormat="1" applyFont="1" applyBorder="1" applyAlignment="1">
      <alignment horizontal="left" vertical="center"/>
    </xf>
    <xf numFmtId="2" fontId="6" fillId="0" borderId="0" xfId="8" applyNumberFormat="1" applyFont="1" applyAlignment="1">
      <alignment horizontal="left" vertical="center"/>
    </xf>
    <xf numFmtId="0" fontId="6" fillId="0" borderId="17" xfId="8" applyFont="1" applyBorder="1" applyAlignment="1">
      <alignment horizontal="left" vertical="center"/>
    </xf>
    <xf numFmtId="2" fontId="6" fillId="0" borderId="23" xfId="8" applyNumberFormat="1" applyFont="1" applyBorder="1" applyAlignment="1">
      <alignment horizontal="right" vertical="center"/>
    </xf>
    <xf numFmtId="0" fontId="6" fillId="0" borderId="22" xfId="8" applyFont="1" applyBorder="1" applyAlignment="1">
      <alignment horizontal="left" vertical="center"/>
    </xf>
    <xf numFmtId="2" fontId="6" fillId="0" borderId="14" xfId="8" applyNumberFormat="1" applyFont="1" applyBorder="1" applyAlignment="1">
      <alignment horizontal="left" vertical="center"/>
    </xf>
    <xf numFmtId="43" fontId="0" fillId="0" borderId="0" xfId="5" applyFont="1" applyBorder="1" applyAlignment="1"/>
    <xf numFmtId="0" fontId="8" fillId="0" borderId="24" xfId="0" applyFont="1" applyBorder="1"/>
    <xf numFmtId="3" fontId="8" fillId="0" borderId="25" xfId="0" applyNumberFormat="1" applyFont="1" applyBorder="1" applyAlignment="1">
      <alignment horizontal="center" vertical="center"/>
    </xf>
    <xf numFmtId="9" fontId="0" fillId="0" borderId="0" xfId="6" applyFont="1"/>
    <xf numFmtId="0" fontId="8" fillId="0" borderId="26" xfId="0" applyFont="1" applyBorder="1"/>
    <xf numFmtId="10" fontId="8" fillId="3" borderId="4" xfId="0" applyNumberFormat="1" applyFont="1" applyFill="1" applyBorder="1" applyAlignment="1">
      <alignment horizontal="center"/>
    </xf>
    <xf numFmtId="166" fontId="8" fillId="0" borderId="0" xfId="0" applyNumberFormat="1" applyFont="1" applyAlignment="1">
      <alignment horizontal="right"/>
    </xf>
    <xf numFmtId="9" fontId="8" fillId="0" borderId="4" xfId="0" applyNumberFormat="1" applyFont="1" applyBorder="1" applyAlignment="1">
      <alignment horizontal="center"/>
    </xf>
    <xf numFmtId="3" fontId="8" fillId="0" borderId="4" xfId="0" applyNumberFormat="1" applyFont="1" applyBorder="1" applyAlignment="1">
      <alignment horizontal="center"/>
    </xf>
    <xf numFmtId="0" fontId="8" fillId="0" borderId="27" xfId="0" applyFont="1" applyBorder="1"/>
    <xf numFmtId="3" fontId="8" fillId="0" borderId="5" xfId="0" applyNumberFormat="1" applyFont="1" applyBorder="1" applyAlignment="1">
      <alignment horizontal="center" vertical="center"/>
    </xf>
    <xf numFmtId="3" fontId="8" fillId="0" borderId="4" xfId="0" applyNumberFormat="1" applyFont="1" applyBorder="1" applyAlignment="1">
      <alignment horizontal="center" vertical="center"/>
    </xf>
    <xf numFmtId="167" fontId="0" fillId="0" borderId="0" xfId="0" applyNumberFormat="1"/>
    <xf numFmtId="3" fontId="8" fillId="0" borderId="28" xfId="0" applyNumberFormat="1" applyFont="1" applyBorder="1" applyAlignment="1">
      <alignment horizontal="center" vertical="center"/>
    </xf>
    <xf numFmtId="10" fontId="8" fillId="0" borderId="4" xfId="0" applyNumberFormat="1" applyFont="1" applyBorder="1" applyAlignment="1">
      <alignment horizontal="center"/>
    </xf>
    <xf numFmtId="0" fontId="8" fillId="0" borderId="29" xfId="0" applyFont="1" applyBorder="1"/>
    <xf numFmtId="164" fontId="0" fillId="0" borderId="0" xfId="5" applyNumberFormat="1" applyFont="1"/>
    <xf numFmtId="3" fontId="8" fillId="3" borderId="25" xfId="0" applyNumberFormat="1" applyFont="1" applyFill="1" applyBorder="1" applyAlignment="1">
      <alignment horizontal="center" vertical="center"/>
    </xf>
    <xf numFmtId="1" fontId="0" fillId="0" borderId="0" xfId="0" applyNumberFormat="1"/>
    <xf numFmtId="9" fontId="8" fillId="4" borderId="4" xfId="0" applyNumberFormat="1" applyFont="1" applyFill="1" applyBorder="1" applyAlignment="1">
      <alignment horizontal="center" vertical="center"/>
    </xf>
    <xf numFmtId="9" fontId="0" fillId="0" borderId="30" xfId="6" applyFont="1" applyBorder="1" applyAlignment="1">
      <alignment horizontal="center"/>
    </xf>
    <xf numFmtId="9" fontId="0" fillId="0" borderId="0" xfId="6" applyFont="1" applyAlignment="1">
      <alignment horizontal="center"/>
    </xf>
    <xf numFmtId="0" fontId="8" fillId="0" borderId="30" xfId="0" applyFont="1" applyBorder="1"/>
    <xf numFmtId="2" fontId="0" fillId="0" borderId="0" xfId="0" applyNumberFormat="1"/>
    <xf numFmtId="166" fontId="0" fillId="0" borderId="0" xfId="0" applyNumberFormat="1"/>
    <xf numFmtId="0" fontId="6" fillId="0" borderId="0" xfId="8" applyFont="1" applyAlignment="1">
      <alignment horizontal="center" vertical="center"/>
    </xf>
    <xf numFmtId="0" fontId="6" fillId="0" borderId="0" xfId="8" applyFont="1" applyAlignment="1">
      <alignment horizontal="right" vertical="center"/>
    </xf>
    <xf numFmtId="0" fontId="13" fillId="0" borderId="0" xfId="0" applyFont="1"/>
    <xf numFmtId="0" fontId="6" fillId="0" borderId="35" xfId="8" applyFont="1" applyBorder="1" applyAlignment="1">
      <alignment horizontal="left" vertical="center"/>
    </xf>
    <xf numFmtId="0" fontId="6" fillId="0" borderId="36" xfId="8" applyFont="1" applyBorder="1" applyAlignment="1">
      <alignment horizontal="center" vertical="center"/>
    </xf>
    <xf numFmtId="0" fontId="6" fillId="0" borderId="37" xfId="8" applyFont="1" applyBorder="1" applyAlignment="1">
      <alignment horizontal="center" vertical="center"/>
    </xf>
    <xf numFmtId="0" fontId="6" fillId="0" borderId="31" xfId="8" applyFont="1" applyBorder="1" applyAlignment="1">
      <alignment horizontal="left" vertical="center"/>
    </xf>
    <xf numFmtId="0" fontId="6" fillId="0" borderId="38" xfId="8" applyFont="1" applyBorder="1" applyAlignment="1">
      <alignment horizontal="center" vertical="center"/>
    </xf>
    <xf numFmtId="2" fontId="6" fillId="0" borderId="33" xfId="8" applyNumberFormat="1" applyFont="1" applyBorder="1" applyAlignment="1">
      <alignment horizontal="center" vertical="center"/>
    </xf>
    <xf numFmtId="0" fontId="6" fillId="0" borderId="10" xfId="8" applyFont="1" applyBorder="1" applyAlignment="1">
      <alignment horizontal="center" vertical="center"/>
    </xf>
    <xf numFmtId="0" fontId="6" fillId="0" borderId="16" xfId="8" applyFont="1" applyBorder="1" applyAlignment="1">
      <alignment horizontal="center" vertical="center"/>
    </xf>
    <xf numFmtId="0" fontId="6" fillId="0" borderId="32" xfId="8" applyFont="1" applyBorder="1" applyAlignment="1">
      <alignment horizontal="center" vertical="center"/>
    </xf>
    <xf numFmtId="0" fontId="6" fillId="0" borderId="33" xfId="8" applyFont="1" applyBorder="1" applyAlignment="1">
      <alignment horizontal="center" vertical="center"/>
    </xf>
    <xf numFmtId="0" fontId="4" fillId="0" borderId="40" xfId="2" applyBorder="1" applyAlignment="1">
      <alignment horizontal="center" wrapText="1"/>
    </xf>
    <xf numFmtId="0" fontId="4" fillId="0" borderId="41" xfId="0" applyFont="1" applyBorder="1" applyAlignment="1">
      <alignment horizontal="center" vertical="center" wrapText="1"/>
    </xf>
    <xf numFmtId="9" fontId="15" fillId="2" borderId="32" xfId="8" applyNumberFormat="1" applyFont="1" applyFill="1" applyBorder="1" applyAlignment="1">
      <alignment horizontal="center" wrapText="1"/>
    </xf>
    <xf numFmtId="2" fontId="6" fillId="0" borderId="33" xfId="8" applyNumberFormat="1" applyFont="1" applyBorder="1" applyAlignment="1">
      <alignment horizontal="left" vertical="center"/>
    </xf>
    <xf numFmtId="2" fontId="6" fillId="0" borderId="34" xfId="8" applyNumberFormat="1" applyFont="1" applyBorder="1" applyAlignment="1">
      <alignment horizontal="left" vertical="center"/>
    </xf>
    <xf numFmtId="0" fontId="6" fillId="0" borderId="31" xfId="8" applyFont="1" applyBorder="1" applyAlignment="1">
      <alignment horizontal="right" vertical="center"/>
    </xf>
    <xf numFmtId="9" fontId="6" fillId="0" borderId="34" xfId="8" applyNumberFormat="1" applyFont="1" applyBorder="1" applyAlignment="1">
      <alignment horizontal="center" vertical="center"/>
    </xf>
    <xf numFmtId="9" fontId="6" fillId="0" borderId="10" xfId="8" applyNumberFormat="1" applyFont="1" applyBorder="1" applyAlignment="1">
      <alignment horizontal="center" vertical="center"/>
    </xf>
    <xf numFmtId="0" fontId="6" fillId="0" borderId="12" xfId="8" applyFont="1" applyBorder="1" applyAlignment="1">
      <alignment horizontal="center" vertical="center" wrapText="1"/>
    </xf>
    <xf numFmtId="0" fontId="6" fillId="0" borderId="15" xfId="8" applyFont="1" applyBorder="1" applyAlignment="1">
      <alignment horizontal="center" vertical="center" wrapText="1"/>
    </xf>
    <xf numFmtId="0" fontId="6" fillId="0" borderId="17" xfId="8" applyFont="1" applyBorder="1" applyAlignment="1">
      <alignment horizontal="center" vertical="center" wrapText="1"/>
    </xf>
    <xf numFmtId="0" fontId="6" fillId="0" borderId="36" xfId="8" applyFont="1" applyBorder="1" applyAlignment="1">
      <alignment horizontal="center" vertical="center" wrapText="1"/>
    </xf>
    <xf numFmtId="0" fontId="6" fillId="0" borderId="37" xfId="8" applyFont="1" applyBorder="1" applyAlignment="1">
      <alignment horizontal="center" vertical="center" wrapText="1"/>
    </xf>
    <xf numFmtId="0" fontId="6" fillId="0" borderId="38" xfId="8" applyFont="1" applyBorder="1" applyAlignment="1">
      <alignment horizontal="center" vertical="center" wrapText="1"/>
    </xf>
    <xf numFmtId="0" fontId="6" fillId="0" borderId="37" xfId="0" applyFont="1" applyBorder="1" applyAlignment="1">
      <alignment horizontal="center"/>
    </xf>
    <xf numFmtId="0" fontId="6" fillId="0" borderId="37" xfId="0" applyFont="1" applyBorder="1" applyAlignment="1">
      <alignment horizontal="center" wrapText="1"/>
    </xf>
    <xf numFmtId="1" fontId="6" fillId="0" borderId="47" xfId="8" applyNumberFormat="1" applyFont="1" applyBorder="1" applyAlignment="1">
      <alignment horizontal="left" vertical="center"/>
    </xf>
    <xf numFmtId="166" fontId="6" fillId="0" borderId="35" xfId="8" applyNumberFormat="1" applyFont="1" applyBorder="1" applyAlignment="1">
      <alignment horizontal="left" vertical="center"/>
    </xf>
    <xf numFmtId="0" fontId="6" fillId="0" borderId="48" xfId="8" applyFont="1" applyBorder="1" applyAlignment="1">
      <alignment horizontal="left" vertical="center"/>
    </xf>
    <xf numFmtId="2" fontId="6" fillId="0" borderId="49" xfId="8" applyNumberFormat="1" applyFont="1" applyBorder="1" applyAlignment="1">
      <alignment horizontal="right" vertical="center"/>
    </xf>
    <xf numFmtId="0" fontId="6" fillId="0" borderId="35" xfId="8" applyFont="1" applyBorder="1" applyAlignment="1">
      <alignment horizontal="right" vertical="center"/>
    </xf>
    <xf numFmtId="2" fontId="6" fillId="0" borderId="36" xfId="8" applyNumberFormat="1" applyFont="1" applyBorder="1" applyAlignment="1">
      <alignment horizontal="right" vertical="center"/>
    </xf>
    <xf numFmtId="0" fontId="6" fillId="0" borderId="42" xfId="8" applyFont="1" applyBorder="1" applyAlignment="1">
      <alignment horizontal="left" vertical="center"/>
    </xf>
    <xf numFmtId="2" fontId="6" fillId="0" borderId="37" xfId="8" applyNumberFormat="1" applyFont="1" applyBorder="1" applyAlignment="1">
      <alignment horizontal="right" vertical="center"/>
    </xf>
    <xf numFmtId="0" fontId="6" fillId="0" borderId="43" xfId="8" applyFont="1" applyBorder="1" applyAlignment="1">
      <alignment horizontal="left" vertical="center"/>
    </xf>
    <xf numFmtId="0" fontId="6" fillId="0" borderId="50" xfId="8" applyFont="1" applyBorder="1" applyAlignment="1">
      <alignment horizontal="left" vertical="center"/>
    </xf>
    <xf numFmtId="2" fontId="6" fillId="0" borderId="51" xfId="8" applyNumberFormat="1" applyFont="1" applyBorder="1" applyAlignment="1">
      <alignment horizontal="right" vertical="center"/>
    </xf>
    <xf numFmtId="2" fontId="6" fillId="0" borderId="38" xfId="8" applyNumberFormat="1" applyFont="1" applyBorder="1" applyAlignment="1">
      <alignment horizontal="right" vertical="center"/>
    </xf>
    <xf numFmtId="2" fontId="6" fillId="0" borderId="0" xfId="8" applyNumberFormat="1" applyFont="1" applyAlignment="1">
      <alignment horizontal="right" vertical="center"/>
    </xf>
    <xf numFmtId="2" fontId="6" fillId="0" borderId="31" xfId="8" applyNumberFormat="1" applyFont="1" applyBorder="1" applyAlignment="1">
      <alignment horizontal="right" vertical="center"/>
    </xf>
    <xf numFmtId="0" fontId="6" fillId="0" borderId="23" xfId="8" applyFont="1" applyBorder="1" applyAlignment="1">
      <alignment horizontal="center" vertical="center"/>
    </xf>
    <xf numFmtId="0" fontId="4" fillId="0" borderId="23" xfId="0" applyFont="1" applyBorder="1" applyAlignment="1">
      <alignment horizontal="center" vertical="center" wrapText="1"/>
    </xf>
    <xf numFmtId="0" fontId="6" fillId="0" borderId="2" xfId="8" applyFont="1" applyBorder="1" applyAlignment="1">
      <alignment horizontal="center" vertical="center"/>
    </xf>
    <xf numFmtId="0" fontId="9" fillId="2" borderId="7" xfId="0" applyFont="1" applyFill="1" applyBorder="1" applyAlignment="1">
      <alignment horizontal="center" vertical="center" readingOrder="1"/>
    </xf>
    <xf numFmtId="0" fontId="9" fillId="2" borderId="8" xfId="0" applyFont="1" applyFill="1" applyBorder="1" applyAlignment="1">
      <alignment horizontal="center" vertical="center" readingOrder="1"/>
    </xf>
    <xf numFmtId="0" fontId="6" fillId="0" borderId="10" xfId="8" applyFont="1" applyBorder="1" applyAlignment="1">
      <alignment horizontal="center" vertical="center"/>
    </xf>
    <xf numFmtId="0" fontId="6" fillId="0" borderId="16" xfId="8" applyFont="1" applyBorder="1" applyAlignment="1">
      <alignment horizontal="center" vertical="center"/>
    </xf>
    <xf numFmtId="0" fontId="6" fillId="0" borderId="13" xfId="8" applyFont="1" applyBorder="1" applyAlignment="1">
      <alignment horizontal="center" vertical="center"/>
    </xf>
    <xf numFmtId="0" fontId="6" fillId="0" borderId="10" xfId="8" applyFont="1" applyBorder="1" applyAlignment="1">
      <alignment horizontal="center" vertical="center" wrapText="1"/>
    </xf>
    <xf numFmtId="0" fontId="6" fillId="0" borderId="13" xfId="8" applyFont="1" applyBorder="1" applyAlignment="1">
      <alignment horizontal="center" vertical="center" wrapText="1"/>
    </xf>
    <xf numFmtId="0" fontId="6" fillId="0" borderId="16" xfId="8" applyFont="1" applyBorder="1" applyAlignment="1">
      <alignment horizontal="center" vertical="center" wrapText="1"/>
    </xf>
    <xf numFmtId="0" fontId="6" fillId="0" borderId="44" xfId="8" applyFont="1" applyBorder="1" applyAlignment="1">
      <alignment horizontal="center" vertical="center"/>
    </xf>
    <xf numFmtId="0" fontId="6" fillId="0" borderId="45" xfId="8" applyFont="1" applyBorder="1" applyAlignment="1">
      <alignment horizontal="center" vertical="center"/>
    </xf>
    <xf numFmtId="0" fontId="15" fillId="2" borderId="39" xfId="8" applyFont="1" applyFill="1" applyBorder="1" applyAlignment="1">
      <alignment horizontal="center" wrapText="1"/>
    </xf>
    <xf numFmtId="0" fontId="15" fillId="2" borderId="46" xfId="8" applyFont="1" applyFill="1" applyBorder="1" applyAlignment="1">
      <alignment horizontal="center" wrapText="1"/>
    </xf>
    <xf numFmtId="0" fontId="6" fillId="0" borderId="32" xfId="8" applyFont="1" applyBorder="1" applyAlignment="1">
      <alignment horizontal="center" vertical="center"/>
    </xf>
    <xf numFmtId="0" fontId="6" fillId="0" borderId="33" xfId="8" applyFont="1" applyBorder="1" applyAlignment="1">
      <alignment horizontal="center" vertical="center"/>
    </xf>
    <xf numFmtId="0" fontId="6" fillId="0" borderId="34" xfId="8" applyFont="1" applyBorder="1" applyAlignment="1">
      <alignment horizontal="center" vertical="center"/>
    </xf>
    <xf numFmtId="0" fontId="5" fillId="2" borderId="11" xfId="8" applyFont="1" applyFill="1" applyBorder="1" applyAlignment="1">
      <alignment horizontal="center"/>
    </xf>
    <xf numFmtId="0" fontId="5" fillId="2" borderId="12" xfId="8" applyFont="1" applyFill="1" applyBorder="1" applyAlignment="1">
      <alignment horizontal="center"/>
    </xf>
    <xf numFmtId="0" fontId="7" fillId="2" borderId="18" xfId="2" applyFont="1" applyFill="1" applyBorder="1" applyAlignment="1">
      <alignment horizontal="center"/>
    </xf>
    <xf numFmtId="0" fontId="7" fillId="2" borderId="11" xfId="2" applyFont="1" applyFill="1" applyBorder="1" applyAlignment="1">
      <alignment horizontal="center"/>
    </xf>
    <xf numFmtId="0" fontId="7" fillId="2" borderId="12" xfId="2" applyFont="1" applyFill="1" applyBorder="1" applyAlignment="1">
      <alignment horizontal="center"/>
    </xf>
    <xf numFmtId="0" fontId="0" fillId="0" borderId="0" xfId="0" applyAlignment="1">
      <alignment horizontal="center"/>
    </xf>
    <xf numFmtId="2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0" fontId="0" fillId="0" borderId="52" xfId="0" applyBorder="1" applyAlignment="1">
      <alignment horizontal="left"/>
    </xf>
    <xf numFmtId="2" fontId="0" fillId="0" borderId="19" xfId="0" applyNumberFormat="1" applyBorder="1" applyAlignment="1">
      <alignment horizontal="center"/>
    </xf>
    <xf numFmtId="0" fontId="0" fillId="0" borderId="19" xfId="0" applyBorder="1" applyAlignment="1">
      <alignment horizontal="center"/>
    </xf>
    <xf numFmtId="1" fontId="0" fillId="0" borderId="19" xfId="0" applyNumberFormat="1" applyBorder="1" applyAlignment="1">
      <alignment horizontal="center"/>
    </xf>
    <xf numFmtId="0" fontId="0" fillId="0" borderId="53" xfId="0" applyBorder="1" applyAlignment="1">
      <alignment horizontal="center"/>
    </xf>
    <xf numFmtId="1" fontId="0" fillId="0" borderId="1" xfId="0" applyNumberForma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5" borderId="1" xfId="0" applyFill="1" applyBorder="1" applyAlignment="1">
      <alignment horizontal="center"/>
    </xf>
    <xf numFmtId="1" fontId="0" fillId="5" borderId="1" xfId="0" applyNumberFormat="1" applyFill="1" applyBorder="1" applyAlignment="1">
      <alignment horizontal="center"/>
    </xf>
    <xf numFmtId="9" fontId="0" fillId="5" borderId="1" xfId="6" applyFont="1" applyFill="1" applyBorder="1" applyAlignment="1">
      <alignment horizontal="center"/>
    </xf>
    <xf numFmtId="2" fontId="0" fillId="5" borderId="1" xfId="0" applyNumberFormat="1" applyFill="1" applyBorder="1" applyAlignment="1">
      <alignment horizontal="center"/>
    </xf>
    <xf numFmtId="0" fontId="0" fillId="0" borderId="1" xfId="0" applyBorder="1" applyAlignment="1">
      <alignment horizontal="center"/>
    </xf>
    <xf numFmtId="9" fontId="0" fillId="0" borderId="1" xfId="6" applyFont="1" applyBorder="1" applyAlignment="1">
      <alignment horizontal="center"/>
    </xf>
    <xf numFmtId="1" fontId="0" fillId="0" borderId="1" xfId="5" applyNumberFormat="1" applyFont="1" applyBorder="1" applyAlignment="1">
      <alignment horizontal="center"/>
    </xf>
    <xf numFmtId="2" fontId="0" fillId="0" borderId="1" xfId="0" applyNumberFormat="1" applyBorder="1" applyAlignment="1">
      <alignment horizontal="center"/>
    </xf>
    <xf numFmtId="1" fontId="0" fillId="5" borderId="1" xfId="5" applyNumberFormat="1" applyFont="1" applyFill="1" applyBorder="1" applyAlignment="1">
      <alignment horizontal="center"/>
    </xf>
    <xf numFmtId="1" fontId="0" fillId="0" borderId="1" xfId="0" applyNumberFormat="1" applyBorder="1" applyAlignment="1">
      <alignment horizontal="center"/>
    </xf>
  </cellXfs>
  <cellStyles count="9">
    <cellStyle name="Comma" xfId="5" builtinId="3"/>
    <cellStyle name="Hyperlink" xfId="7" builtinId="8"/>
    <cellStyle name="Normal" xfId="0" builtinId="0"/>
    <cellStyle name="Normal 2" xfId="1" xr:uid="{A50A545A-D8DC-9547-A4E8-0BA278F8C432}"/>
    <cellStyle name="Normal 2 2" xfId="3" xr:uid="{9C685A1A-81E1-744B-9A51-ACB662C05A13}"/>
    <cellStyle name="Normal 2 3" xfId="4" xr:uid="{5C94433A-57FD-954D-BFDE-7A6CBCE6DDFF}"/>
    <cellStyle name="Normal 3" xfId="2" xr:uid="{E1A25F02-070C-2748-A8B6-4E455365F510}"/>
    <cellStyle name="Normal 4" xfId="8" xr:uid="{DF314D4A-0545-4277-96A4-5A3C926E4CC7}"/>
    <cellStyle name="Percent" xfId="6" builtinId="5"/>
  </cellStyles>
  <dxfs count="2">
    <dxf>
      <font>
        <color rgb="FF9C0006"/>
      </font>
      <fill>
        <patternFill>
          <bgColor rgb="FFFFC7CE"/>
        </patternFill>
      </fill>
    </dxf>
    <dxf>
      <font>
        <b/>
        <i val="0"/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externalLink" Target="externalLinks/externalLink1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xiaodanchen\Dropbox%20(USD)\Climate%20Planning\Benefit-Cost%20Analysis%20General\PV%20and%20Electric%20water%20heaters\2022%20ACC%20Electric%20Model%20v1b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ropdowns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77577B-CE3D-49D6-BEF2-C3667F52779D}">
  <dimension ref="A2:K28"/>
  <sheetViews>
    <sheetView workbookViewId="0">
      <selection activeCell="F5" sqref="F5"/>
    </sheetView>
  </sheetViews>
  <sheetFormatPr defaultRowHeight="15" x14ac:dyDescent="0.25"/>
  <cols>
    <col min="3" max="3" width="10.5703125" bestFit="1" customWidth="1"/>
    <col min="4" max="4" width="15.7109375" customWidth="1"/>
    <col min="5" max="6" width="10.7109375" customWidth="1"/>
    <col min="8" max="8" width="8.85546875" bestFit="1" customWidth="1"/>
  </cols>
  <sheetData>
    <row r="2" spans="1:10" ht="105" x14ac:dyDescent="0.25">
      <c r="B2" s="4" t="s">
        <v>0</v>
      </c>
      <c r="C2" s="4" t="s">
        <v>1</v>
      </c>
      <c r="D2" s="4" t="s">
        <v>2</v>
      </c>
      <c r="E2" s="4" t="s">
        <v>3</v>
      </c>
      <c r="F2" s="4" t="s">
        <v>4</v>
      </c>
      <c r="H2" s="10"/>
    </row>
    <row r="3" spans="1:10" x14ac:dyDescent="0.25">
      <c r="B3" s="5">
        <v>2025</v>
      </c>
      <c r="C3" s="6">
        <v>0</v>
      </c>
      <c r="D3" s="6">
        <v>0</v>
      </c>
      <c r="E3" s="6">
        <v>0</v>
      </c>
      <c r="F3" s="6">
        <v>0</v>
      </c>
      <c r="H3" s="11"/>
      <c r="J3" s="1" t="s">
        <v>5</v>
      </c>
    </row>
    <row r="4" spans="1:10" x14ac:dyDescent="0.25">
      <c r="B4" s="5">
        <v>2026</v>
      </c>
      <c r="C4" s="6">
        <v>0</v>
      </c>
      <c r="D4" s="6">
        <v>0</v>
      </c>
      <c r="E4" s="6">
        <v>0</v>
      </c>
      <c r="F4" s="6">
        <v>0</v>
      </c>
      <c r="H4" s="11"/>
      <c r="J4" t="s">
        <v>6</v>
      </c>
    </row>
    <row r="5" spans="1:10" x14ac:dyDescent="0.25">
      <c r="A5" t="s">
        <v>7</v>
      </c>
      <c r="B5" s="5">
        <v>2027</v>
      </c>
      <c r="C5" s="9">
        <f>GHG_Calculations!G25*10*24*365</f>
        <v>1303272.118179346</v>
      </c>
      <c r="D5" s="9">
        <f>GHG_Calculations!O25</f>
        <v>15278688.372559741</v>
      </c>
      <c r="E5" s="6">
        <v>0</v>
      </c>
      <c r="F5" s="12">
        <f>GHG_Calculations!T25</f>
        <v>-4924.9936535358283</v>
      </c>
      <c r="H5" s="11"/>
      <c r="J5" t="s">
        <v>8</v>
      </c>
    </row>
    <row r="6" spans="1:10" x14ac:dyDescent="0.25">
      <c r="B6" s="5">
        <v>2028</v>
      </c>
      <c r="C6" s="9">
        <f>GHG_Calculations!G26*10*24*365</f>
        <v>1333972.8</v>
      </c>
      <c r="D6" s="9">
        <f>GHG_Calculations!O26</f>
        <v>15638602.579132475</v>
      </c>
      <c r="E6" s="6">
        <v>0</v>
      </c>
      <c r="F6" s="12">
        <f>GHG_Calculations!T26</f>
        <v>-5613.6701597965875</v>
      </c>
      <c r="H6" s="11"/>
      <c r="J6" t="s">
        <v>9</v>
      </c>
    </row>
    <row r="7" spans="1:10" x14ac:dyDescent="0.25">
      <c r="B7" s="5">
        <v>2029</v>
      </c>
      <c r="C7" s="9">
        <f>GHG_Calculations!G27*10*24*365</f>
        <v>1333972.8</v>
      </c>
      <c r="D7" s="9">
        <f>GHG_Calculations!O27</f>
        <v>15638602.579132475</v>
      </c>
      <c r="E7" s="6">
        <v>0</v>
      </c>
      <c r="F7" s="12">
        <f>GHG_Calculations!T27</f>
        <v>-5509.865773177451</v>
      </c>
      <c r="H7" s="11"/>
      <c r="J7" t="s">
        <v>10</v>
      </c>
    </row>
    <row r="8" spans="1:10" x14ac:dyDescent="0.25">
      <c r="B8" s="5">
        <v>2030</v>
      </c>
      <c r="C8" s="9">
        <f>GHG_Calculations!G28*10*24*365</f>
        <v>1333972.8</v>
      </c>
      <c r="D8" s="9">
        <f>GHG_Calculations!O28</f>
        <v>15638602.579132475</v>
      </c>
      <c r="E8" s="6">
        <v>0</v>
      </c>
      <c r="F8" s="12">
        <f>GHG_Calculations!T28</f>
        <v>-5406.0613865583164</v>
      </c>
      <c r="H8" s="11"/>
    </row>
    <row r="9" spans="1:10" x14ac:dyDescent="0.25">
      <c r="B9" s="5">
        <v>2031</v>
      </c>
      <c r="C9" s="9">
        <f>GHG_Calculations!G29*10*24*365</f>
        <v>1333972.8</v>
      </c>
      <c r="D9" s="9">
        <f>GHG_Calculations!O29</f>
        <v>15638602.579132475</v>
      </c>
      <c r="E9" s="6">
        <v>0</v>
      </c>
      <c r="F9" s="12">
        <f>GHG_Calculations!T29</f>
        <v>-5245.3320137286883</v>
      </c>
      <c r="H9" s="11"/>
    </row>
    <row r="10" spans="1:10" x14ac:dyDescent="0.25">
      <c r="B10" s="5">
        <v>2032</v>
      </c>
      <c r="C10" s="9">
        <f>GHG_Calculations!G30*10*24*365</f>
        <v>1333972.8</v>
      </c>
      <c r="D10" s="9">
        <f>GHG_Calculations!O30</f>
        <v>15638602.579132475</v>
      </c>
      <c r="E10" s="6">
        <v>0</v>
      </c>
      <c r="F10" s="12">
        <f>GHG_Calculations!T30</f>
        <v>-5084.6026408990601</v>
      </c>
      <c r="H10" s="11"/>
    </row>
    <row r="11" spans="1:10" x14ac:dyDescent="0.25">
      <c r="B11" s="5">
        <v>2033</v>
      </c>
      <c r="C11" s="9">
        <f>GHG_Calculations!G31*10*24*365</f>
        <v>1333972.8</v>
      </c>
      <c r="D11" s="9">
        <f>GHG_Calculations!O31</f>
        <v>15638602.579132475</v>
      </c>
      <c r="E11" s="6">
        <v>0</v>
      </c>
      <c r="F11" s="12">
        <f>GHG_Calculations!T31</f>
        <v>-4923.8732680694302</v>
      </c>
      <c r="H11" s="11"/>
    </row>
    <row r="12" spans="1:10" x14ac:dyDescent="0.25">
      <c r="B12" s="5">
        <v>2034</v>
      </c>
      <c r="C12" s="9">
        <f>GHG_Calculations!G32*10*24*365</f>
        <v>1333972.8</v>
      </c>
      <c r="D12" s="9">
        <f>GHG_Calculations!O32</f>
        <v>15638602.579132475</v>
      </c>
      <c r="E12" s="6">
        <v>0</v>
      </c>
      <c r="F12" s="12">
        <f>GHG_Calculations!T32</f>
        <v>-4763.1438952398021</v>
      </c>
      <c r="H12" s="11"/>
    </row>
    <row r="13" spans="1:10" x14ac:dyDescent="0.25">
      <c r="B13" s="5">
        <v>2035</v>
      </c>
      <c r="C13" s="9">
        <f>GHG_Calculations!G33*10*24*365</f>
        <v>1333972.8</v>
      </c>
      <c r="D13" s="9">
        <f>GHG_Calculations!O33</f>
        <v>15638602.579132475</v>
      </c>
      <c r="E13" s="6">
        <v>0</v>
      </c>
      <c r="F13" s="12">
        <f>GHG_Calculations!T33</f>
        <v>-4602.414522410174</v>
      </c>
      <c r="H13" s="11"/>
    </row>
    <row r="14" spans="1:10" x14ac:dyDescent="0.25">
      <c r="B14" s="5">
        <v>2036</v>
      </c>
      <c r="C14" s="9">
        <f>GHG_Calculations!G34*10*24*365</f>
        <v>1333972.8</v>
      </c>
      <c r="D14" s="9">
        <f>GHG_Calculations!O34</f>
        <v>15638602.579132475</v>
      </c>
      <c r="E14" s="6">
        <v>0</v>
      </c>
      <c r="F14" s="12">
        <f>GHG_Calculations!T34</f>
        <v>-4441.6851495805449</v>
      </c>
      <c r="H14" s="11"/>
    </row>
    <row r="15" spans="1:10" x14ac:dyDescent="0.25">
      <c r="B15" s="5">
        <v>2037</v>
      </c>
      <c r="C15" s="9">
        <f>GHG_Calculations!G35*10*24*365</f>
        <v>1333972.8</v>
      </c>
      <c r="D15" s="9">
        <f>GHG_Calculations!O35</f>
        <v>15638602.579132475</v>
      </c>
      <c r="E15" s="6">
        <v>0</v>
      </c>
      <c r="F15" s="12">
        <f>GHG_Calculations!T35</f>
        <v>-4280.9557767509159</v>
      </c>
      <c r="H15" s="11"/>
    </row>
    <row r="16" spans="1:10" x14ac:dyDescent="0.25">
      <c r="B16" s="5">
        <v>2038</v>
      </c>
      <c r="C16" s="9">
        <f>GHG_Calculations!G36*10*24*365</f>
        <v>1333972.8</v>
      </c>
      <c r="D16" s="9">
        <f>GHG_Calculations!O36</f>
        <v>15638602.579132475</v>
      </c>
      <c r="E16" s="6">
        <v>0</v>
      </c>
      <c r="F16" s="12">
        <f>GHG_Calculations!T36</f>
        <v>-4120.2264039212878</v>
      </c>
      <c r="H16" s="11"/>
    </row>
    <row r="17" spans="2:11" x14ac:dyDescent="0.25">
      <c r="B17" s="5">
        <v>2039</v>
      </c>
      <c r="C17" s="9">
        <f>GHG_Calculations!G37*10*24*365</f>
        <v>1333972.8</v>
      </c>
      <c r="D17" s="9">
        <f>GHG_Calculations!O37</f>
        <v>15638602.579132475</v>
      </c>
      <c r="E17" s="6">
        <v>0</v>
      </c>
      <c r="F17" s="12">
        <f>GHG_Calculations!T37</f>
        <v>-3959.4970310916588</v>
      </c>
      <c r="H17" s="11"/>
    </row>
    <row r="18" spans="2:11" x14ac:dyDescent="0.25">
      <c r="B18" s="5">
        <v>2040</v>
      </c>
      <c r="C18" s="9">
        <f>GHG_Calculations!G38*10*24*365</f>
        <v>1400198.4</v>
      </c>
      <c r="D18" s="9">
        <f>GHG_Calculations!O38</f>
        <v>16414987.104337633</v>
      </c>
      <c r="E18" s="6">
        <v>0</v>
      </c>
      <c r="F18" s="12">
        <f>GHG_Calculations!T38</f>
        <v>-3541.3352552719375</v>
      </c>
      <c r="H18" s="11"/>
    </row>
    <row r="19" spans="2:11" x14ac:dyDescent="0.25">
      <c r="B19" s="5">
        <v>2041</v>
      </c>
      <c r="C19" s="9">
        <f>GHG_Calculations!G39*10*24*365</f>
        <v>1400198.4</v>
      </c>
      <c r="D19" s="9">
        <f>GHG_Calculations!O39</f>
        <v>16414987.104337633</v>
      </c>
      <c r="E19" s="6">
        <v>0</v>
      </c>
      <c r="F19" s="12">
        <f>GHG_Calculations!T39</f>
        <v>-3372.6264100323274</v>
      </c>
      <c r="H19" s="11"/>
    </row>
    <row r="20" spans="2:11" x14ac:dyDescent="0.25">
      <c r="B20" s="5">
        <v>2042</v>
      </c>
      <c r="C20" s="9">
        <f>GHG_Calculations!G40*10*24*365</f>
        <v>1400198.4</v>
      </c>
      <c r="D20" s="9">
        <f>GHG_Calculations!O40</f>
        <v>16414987.104337633</v>
      </c>
      <c r="E20" s="6">
        <v>0</v>
      </c>
      <c r="F20" s="12">
        <f>GHG_Calculations!T40</f>
        <v>-3203.9175647927168</v>
      </c>
      <c r="H20" s="11"/>
      <c r="K20" s="13"/>
    </row>
    <row r="21" spans="2:11" x14ac:dyDescent="0.25">
      <c r="B21" s="5">
        <v>2043</v>
      </c>
      <c r="C21" s="9">
        <f>GHG_Calculations!G41*10*24*365</f>
        <v>1400198.4</v>
      </c>
      <c r="D21" s="9">
        <f>GHG_Calculations!O41</f>
        <v>16414987.104337633</v>
      </c>
      <c r="E21" s="6">
        <v>0</v>
      </c>
      <c r="F21" s="12">
        <f>GHG_Calculations!T41</f>
        <v>-3035.2087195531067</v>
      </c>
      <c r="H21" s="11"/>
    </row>
    <row r="22" spans="2:11" x14ac:dyDescent="0.25">
      <c r="B22" s="5">
        <v>2044</v>
      </c>
      <c r="C22" s="9">
        <f>GHG_Calculations!G42*10*24*365</f>
        <v>1400198.4</v>
      </c>
      <c r="D22" s="9">
        <f>GHG_Calculations!O42</f>
        <v>16414987.104337633</v>
      </c>
      <c r="E22" s="6">
        <v>0</v>
      </c>
      <c r="F22" s="12">
        <f>GHG_Calculations!T42</f>
        <v>-2866.4998743134965</v>
      </c>
      <c r="H22" s="11"/>
    </row>
    <row r="23" spans="2:11" x14ac:dyDescent="0.25">
      <c r="B23" s="5">
        <v>2045</v>
      </c>
      <c r="C23" s="9">
        <f>GHG_Calculations!G43*10*24*365</f>
        <v>1400198.4</v>
      </c>
      <c r="D23" s="9">
        <f>GHG_Calculations!O43</f>
        <v>16414987.104337633</v>
      </c>
      <c r="E23" s="6">
        <v>0</v>
      </c>
      <c r="F23" s="12">
        <f>GHG_Calculations!T43</f>
        <v>-2697.7910290738814</v>
      </c>
      <c r="H23" s="11"/>
    </row>
    <row r="24" spans="2:11" x14ac:dyDescent="0.25">
      <c r="B24" s="5">
        <v>2046</v>
      </c>
      <c r="C24" s="9">
        <f>GHG_Calculations!G44*10*24*365</f>
        <v>1400198.4</v>
      </c>
      <c r="D24" s="9">
        <f>GHG_Calculations!O44</f>
        <v>16414987.104337633</v>
      </c>
      <c r="E24" s="6">
        <v>0</v>
      </c>
      <c r="F24" s="12">
        <f>GHG_Calculations!T44</f>
        <v>-2697.7910290738814</v>
      </c>
      <c r="H24" s="11"/>
    </row>
    <row r="25" spans="2:11" x14ac:dyDescent="0.25">
      <c r="B25" s="5">
        <v>2047</v>
      </c>
      <c r="C25" s="9">
        <f>GHG_Calculations!G45*10*24*365</f>
        <v>1400198.4</v>
      </c>
      <c r="D25" s="9">
        <f>GHG_Calculations!O45</f>
        <v>16414987.104337633</v>
      </c>
      <c r="E25" s="6">
        <v>0</v>
      </c>
      <c r="F25" s="12">
        <f>GHG_Calculations!T45</f>
        <v>-2697.7910290738814</v>
      </c>
      <c r="H25" s="11"/>
    </row>
    <row r="26" spans="2:11" x14ac:dyDescent="0.25">
      <c r="B26" s="5">
        <v>2048</v>
      </c>
      <c r="C26" s="9">
        <f>GHG_Calculations!G46*10*24*365</f>
        <v>1400198.4</v>
      </c>
      <c r="D26" s="9">
        <f>GHG_Calculations!O46</f>
        <v>16414987.104337633</v>
      </c>
      <c r="E26" s="6">
        <v>0</v>
      </c>
      <c r="F26" s="12">
        <f>GHG_Calculations!T46</f>
        <v>-2697.7910290738814</v>
      </c>
      <c r="H26" s="11"/>
    </row>
    <row r="27" spans="2:11" x14ac:dyDescent="0.25">
      <c r="B27" s="5">
        <v>2049</v>
      </c>
      <c r="C27" s="9">
        <f>GHG_Calculations!G47*10*24*365</f>
        <v>1400198.4</v>
      </c>
      <c r="D27" s="9">
        <f>GHG_Calculations!O47</f>
        <v>16414987.104337633</v>
      </c>
      <c r="E27" s="6">
        <v>0</v>
      </c>
      <c r="F27" s="12">
        <f>GHG_Calculations!T47</f>
        <v>-2697.7910290738814</v>
      </c>
      <c r="H27" s="11"/>
    </row>
    <row r="28" spans="2:11" x14ac:dyDescent="0.25">
      <c r="B28" s="5">
        <v>2050</v>
      </c>
      <c r="C28" s="9">
        <f>GHG_Calculations!G48*10*24*365</f>
        <v>1586260.8</v>
      </c>
      <c r="D28" s="9">
        <f>GHG_Calculations!O48</f>
        <v>18596257.913247362</v>
      </c>
      <c r="E28" s="6">
        <v>0</v>
      </c>
      <c r="F28" s="12">
        <f>GHG_Calculations!T48</f>
        <v>-2329.3597828894722</v>
      </c>
      <c r="H28" s="1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DEF6B3-FCFD-4902-8FD1-EE6C99F4E4C7}">
  <dimension ref="B1:AT54"/>
  <sheetViews>
    <sheetView topLeftCell="A14" zoomScaleNormal="100" workbookViewId="0">
      <pane xSplit="2" topLeftCell="C1" activePane="topRight" state="frozen"/>
      <selection activeCell="H41" sqref="H41"/>
      <selection pane="topRight" activeCell="J18" sqref="J18"/>
    </sheetView>
  </sheetViews>
  <sheetFormatPr defaultColWidth="9.140625" defaultRowHeight="12.75" x14ac:dyDescent="0.2"/>
  <cols>
    <col min="1" max="1" width="9.140625" style="14"/>
    <col min="2" max="2" width="11.5703125" style="14" customWidth="1"/>
    <col min="3" max="3" width="11.85546875" style="14" bestFit="1" customWidth="1"/>
    <col min="4" max="4" width="27.42578125" style="14" customWidth="1"/>
    <col min="5" max="5" width="34.28515625" style="14" customWidth="1"/>
    <col min="6" max="6" width="17.85546875" style="14" bestFit="1" customWidth="1"/>
    <col min="7" max="7" width="17.5703125" style="31" bestFit="1" customWidth="1"/>
    <col min="8" max="8" width="16.85546875" style="14" bestFit="1" customWidth="1"/>
    <col min="9" max="9" width="12.7109375" style="14" bestFit="1" customWidth="1"/>
    <col min="10" max="10" width="18.42578125" style="14" bestFit="1" customWidth="1"/>
    <col min="11" max="11" width="13.85546875" style="14" bestFit="1" customWidth="1"/>
    <col min="12" max="13" width="13.7109375" style="14" bestFit="1" customWidth="1"/>
    <col min="14" max="14" width="13.85546875" style="14" customWidth="1"/>
    <col min="15" max="15" width="21.140625" style="31" customWidth="1"/>
    <col min="16" max="16" width="13.85546875" style="31" bestFit="1" customWidth="1"/>
    <col min="17" max="17" width="21.28515625" style="31" customWidth="1"/>
    <col min="18" max="19" width="19.5703125" style="31" customWidth="1"/>
    <col min="20" max="20" width="13.5703125" style="31" bestFit="1" customWidth="1"/>
    <col min="21" max="21" width="9.7109375" style="31" customWidth="1"/>
    <col min="22" max="22" width="9" style="31" customWidth="1"/>
    <col min="23" max="23" width="14.140625" style="31" customWidth="1"/>
    <col min="24" max="24" width="18.7109375" style="31" customWidth="1"/>
    <col min="25" max="25" width="10.7109375" style="31" customWidth="1"/>
    <col min="26" max="26" width="64.28515625" style="31" bestFit="1" customWidth="1"/>
    <col min="27" max="27" width="11.7109375" style="31" customWidth="1"/>
    <col min="28" max="28" width="9.7109375" style="31" customWidth="1"/>
    <col min="29" max="29" width="9" style="31" customWidth="1"/>
    <col min="30" max="30" width="9.42578125" style="31" customWidth="1"/>
    <col min="31" max="31" width="9" style="31" customWidth="1"/>
    <col min="32" max="33" width="9.5703125" style="31" customWidth="1"/>
    <col min="34" max="34" width="9.7109375" style="31" customWidth="1"/>
    <col min="35" max="35" width="8.7109375" style="31" customWidth="1"/>
    <col min="36" max="36" width="11.5703125" style="31" customWidth="1"/>
    <col min="37" max="37" width="10" style="31" customWidth="1"/>
    <col min="38" max="38" width="9.28515625" style="31" customWidth="1"/>
    <col min="39" max="39" width="9" style="14" customWidth="1"/>
    <col min="40" max="40" width="8.5703125" style="14" customWidth="1"/>
    <col min="41" max="41" width="9.5703125" style="14" customWidth="1"/>
    <col min="42" max="42" width="9.7109375" style="14" customWidth="1"/>
    <col min="43" max="43" width="9.140625" style="14" customWidth="1"/>
    <col min="44" max="44" width="8.28515625" style="14" customWidth="1"/>
    <col min="45" max="45" width="8.42578125" style="14" customWidth="1"/>
    <col min="46" max="46" width="39.140625" style="14" customWidth="1"/>
    <col min="47" max="47" width="37.5703125" style="14" customWidth="1"/>
    <col min="48" max="48" width="29.85546875" style="14" customWidth="1"/>
    <col min="49" max="49" width="40" style="14" customWidth="1"/>
    <col min="50" max="16384" width="9.140625" style="14"/>
  </cols>
  <sheetData>
    <row r="1" spans="2:12" s="15" customFormat="1" ht="15.75" thickBot="1" x14ac:dyDescent="0.25">
      <c r="B1" s="14"/>
      <c r="F1" s="16"/>
      <c r="G1" s="16"/>
      <c r="H1" s="16"/>
    </row>
    <row r="2" spans="2:12" ht="15.75" thickBot="1" x14ac:dyDescent="0.3">
      <c r="D2" s="125" t="s">
        <v>11</v>
      </c>
      <c r="E2" s="126"/>
      <c r="F2" s="17" t="s">
        <v>12</v>
      </c>
      <c r="G2" s="18" t="s">
        <v>13</v>
      </c>
      <c r="H2" s="18" t="s">
        <v>16</v>
      </c>
      <c r="J2" s="19"/>
    </row>
    <row r="3" spans="2:12" ht="15" x14ac:dyDescent="0.25">
      <c r="D3" s="130" t="s">
        <v>17</v>
      </c>
      <c r="E3" s="20" t="s">
        <v>18</v>
      </c>
      <c r="F3" s="99">
        <v>0.5</v>
      </c>
      <c r="G3" s="21"/>
      <c r="H3" s="100" t="s">
        <v>19</v>
      </c>
      <c r="J3" s="22"/>
    </row>
    <row r="4" spans="2:12" ht="45.75" thickBot="1" x14ac:dyDescent="0.3">
      <c r="D4" s="131"/>
      <c r="E4" s="23" t="s">
        <v>20</v>
      </c>
      <c r="F4" s="24">
        <v>0.255848661904434</v>
      </c>
      <c r="G4" s="25" t="s">
        <v>21</v>
      </c>
      <c r="H4" s="101" t="s">
        <v>22</v>
      </c>
      <c r="J4" s="22"/>
      <c r="K4" s="26"/>
      <c r="L4" s="26"/>
    </row>
    <row r="5" spans="2:12" ht="30" x14ac:dyDescent="0.25">
      <c r="D5" s="130" t="s">
        <v>23</v>
      </c>
      <c r="E5" s="27" t="s">
        <v>24</v>
      </c>
      <c r="F5" s="88">
        <v>110</v>
      </c>
      <c r="G5" s="21" t="s">
        <v>25</v>
      </c>
      <c r="H5" s="100" t="s">
        <v>26</v>
      </c>
      <c r="J5" s="22"/>
      <c r="K5" s="26"/>
      <c r="L5" s="26"/>
    </row>
    <row r="6" spans="2:12" ht="30" x14ac:dyDescent="0.25">
      <c r="D6" s="132"/>
      <c r="E6" s="16" t="s">
        <v>27</v>
      </c>
      <c r="F6" s="89">
        <v>0</v>
      </c>
      <c r="G6" s="28" t="s">
        <v>25</v>
      </c>
      <c r="H6" s="102" t="s">
        <v>26</v>
      </c>
      <c r="J6" s="22"/>
      <c r="K6" s="26"/>
      <c r="L6" s="26"/>
    </row>
    <row r="7" spans="2:12" ht="30" x14ac:dyDescent="0.2">
      <c r="D7" s="132"/>
      <c r="E7" s="16" t="s">
        <v>28</v>
      </c>
      <c r="F7" s="89">
        <v>0</v>
      </c>
      <c r="G7" s="28" t="s">
        <v>25</v>
      </c>
      <c r="H7" s="102" t="s">
        <v>26</v>
      </c>
      <c r="J7" s="26"/>
      <c r="K7" s="26"/>
      <c r="L7" s="26"/>
    </row>
    <row r="8" spans="2:12" ht="18" customHeight="1" x14ac:dyDescent="0.2">
      <c r="D8" s="132"/>
      <c r="E8" s="16" t="s">
        <v>29</v>
      </c>
      <c r="F8" s="89">
        <v>24</v>
      </c>
      <c r="G8" s="28" t="s">
        <v>30</v>
      </c>
      <c r="H8" s="102" t="s">
        <v>19</v>
      </c>
      <c r="J8" s="26"/>
      <c r="K8" s="26"/>
      <c r="L8" s="26"/>
    </row>
    <row r="9" spans="2:12" ht="15" x14ac:dyDescent="0.2">
      <c r="D9" s="132"/>
      <c r="E9" s="16" t="s">
        <v>31</v>
      </c>
      <c r="F9" s="32">
        <v>0.9</v>
      </c>
      <c r="G9" s="28"/>
      <c r="H9" s="102" t="s">
        <v>19</v>
      </c>
      <c r="J9" s="26"/>
      <c r="K9" s="26"/>
      <c r="L9" s="26"/>
    </row>
    <row r="10" spans="2:12" ht="15" x14ac:dyDescent="0.2">
      <c r="D10" s="132"/>
      <c r="E10" s="16" t="s">
        <v>32</v>
      </c>
      <c r="F10" s="89">
        <f>F8*F9*365</f>
        <v>7884.0000000000009</v>
      </c>
      <c r="G10" s="28" t="s">
        <v>30</v>
      </c>
      <c r="H10" s="102" t="s">
        <v>33</v>
      </c>
      <c r="J10" s="26"/>
      <c r="K10" s="26"/>
      <c r="L10" s="26"/>
    </row>
    <row r="11" spans="2:12" ht="75" x14ac:dyDescent="0.2">
      <c r="D11" s="132"/>
      <c r="E11" s="16" t="s">
        <v>34</v>
      </c>
      <c r="F11" s="89">
        <v>600</v>
      </c>
      <c r="G11" s="28" t="s">
        <v>35</v>
      </c>
      <c r="H11" s="102" t="s">
        <v>36</v>
      </c>
    </row>
    <row r="12" spans="2:12" ht="15" x14ac:dyDescent="0.2">
      <c r="D12" s="132"/>
      <c r="E12" s="16" t="s">
        <v>37</v>
      </c>
      <c r="F12" s="29">
        <f>1560*0.00341214163312794/0.4</f>
        <v>13.307352369198965</v>
      </c>
      <c r="G12" s="28" t="s">
        <v>38</v>
      </c>
      <c r="H12" s="102" t="s">
        <v>33</v>
      </c>
    </row>
    <row r="13" spans="2:12" ht="15" x14ac:dyDescent="0.2">
      <c r="D13" s="131"/>
      <c r="E13" s="30" t="s">
        <v>39</v>
      </c>
      <c r="F13" s="24">
        <f>1200*0.00341214163312794/0.4</f>
        <v>10.23642489938382</v>
      </c>
      <c r="G13" s="25" t="s">
        <v>38</v>
      </c>
      <c r="H13" s="102" t="s">
        <v>33</v>
      </c>
    </row>
    <row r="14" spans="2:12" ht="15.75" thickBot="1" x14ac:dyDescent="0.25">
      <c r="D14" s="88" t="s">
        <v>40</v>
      </c>
      <c r="E14" s="27" t="s">
        <v>41</v>
      </c>
      <c r="F14" s="99">
        <v>0.4</v>
      </c>
      <c r="G14" s="21"/>
      <c r="H14" s="100" t="s">
        <v>42</v>
      </c>
      <c r="K14" s="16"/>
    </row>
    <row r="15" spans="2:12" ht="15" x14ac:dyDescent="0.2">
      <c r="D15" s="137" t="s">
        <v>43</v>
      </c>
      <c r="E15" s="82" t="s">
        <v>44</v>
      </c>
      <c r="F15" s="90">
        <v>3</v>
      </c>
      <c r="G15" s="83"/>
      <c r="H15" s="103" t="s">
        <v>19</v>
      </c>
    </row>
    <row r="16" spans="2:12" ht="30" x14ac:dyDescent="0.2">
      <c r="C16" s="16"/>
      <c r="D16" s="138"/>
      <c r="E16" s="16" t="s">
        <v>45</v>
      </c>
      <c r="F16" s="91">
        <v>1.6</v>
      </c>
      <c r="G16" s="84" t="s">
        <v>46</v>
      </c>
      <c r="H16" s="104" t="s">
        <v>47</v>
      </c>
    </row>
    <row r="17" spans="2:46" ht="15" x14ac:dyDescent="0.2">
      <c r="D17" s="138"/>
      <c r="E17" s="16" t="s">
        <v>45</v>
      </c>
      <c r="F17" s="91">
        <f>F16*1000000*24*365/F11</f>
        <v>23360000</v>
      </c>
      <c r="G17" s="84" t="s">
        <v>48</v>
      </c>
      <c r="H17" s="104" t="s">
        <v>33</v>
      </c>
    </row>
    <row r="18" spans="2:46" ht="165" x14ac:dyDescent="0.25">
      <c r="D18" s="138"/>
      <c r="E18" s="81" t="s">
        <v>49</v>
      </c>
      <c r="F18" s="91">
        <v>52.33</v>
      </c>
      <c r="G18" s="106" t="s">
        <v>50</v>
      </c>
      <c r="H18" s="107" t="s">
        <v>51</v>
      </c>
    </row>
    <row r="19" spans="2:46" s="15" customFormat="1" ht="15.75" customHeight="1" x14ac:dyDescent="0.25">
      <c r="B19" s="14"/>
      <c r="D19" s="138"/>
      <c r="E19" s="81" t="s">
        <v>49</v>
      </c>
      <c r="F19" s="87">
        <f>F18*2.205</f>
        <v>115.38764999999999</v>
      </c>
      <c r="G19" s="106" t="s">
        <v>52</v>
      </c>
      <c r="H19" s="107" t="s">
        <v>33</v>
      </c>
    </row>
    <row r="20" spans="2:46" s="15" customFormat="1" ht="15.75" thickBot="1" x14ac:dyDescent="0.25">
      <c r="B20" s="14"/>
      <c r="D20" s="139"/>
      <c r="E20" s="85" t="s">
        <v>53</v>
      </c>
      <c r="F20" s="98">
        <f>1-F9</f>
        <v>9.9999999999999978E-2</v>
      </c>
      <c r="G20" s="86"/>
      <c r="H20" s="105" t="s">
        <v>19</v>
      </c>
    </row>
    <row r="21" spans="2:46" ht="13.5" thickBot="1" x14ac:dyDescent="0.25">
      <c r="C21" s="33"/>
      <c r="D21" s="33"/>
      <c r="E21" s="33"/>
      <c r="F21" s="33"/>
      <c r="G21" s="33"/>
      <c r="H21" s="34"/>
      <c r="I21" s="33"/>
      <c r="J21" s="33"/>
      <c r="K21" s="33"/>
      <c r="L21" s="33"/>
      <c r="M21" s="33"/>
      <c r="N21" s="33"/>
      <c r="O21" s="33"/>
      <c r="P21" s="33"/>
      <c r="Q21" s="35"/>
      <c r="R21" s="35"/>
      <c r="S21" s="35"/>
      <c r="T21" s="36"/>
      <c r="U21" s="36"/>
      <c r="V21" s="36"/>
      <c r="W21" s="35"/>
      <c r="X21" s="35"/>
      <c r="Y21" s="35"/>
      <c r="Z21" s="35"/>
      <c r="AA21" s="35"/>
      <c r="AB21" s="37"/>
      <c r="AC21" s="37"/>
      <c r="AD21" s="37"/>
      <c r="AE21" s="37"/>
      <c r="AF21" s="37"/>
      <c r="AG21" s="37"/>
      <c r="AH21" s="37"/>
      <c r="AI21" s="37"/>
      <c r="AJ21" s="37"/>
      <c r="AK21" s="37"/>
      <c r="AL21" s="38"/>
      <c r="AM21" s="38"/>
      <c r="AN21" s="38"/>
      <c r="AO21" s="38"/>
      <c r="AP21" s="38"/>
      <c r="AQ21" s="38"/>
      <c r="AR21" s="38"/>
      <c r="AS21" s="38"/>
      <c r="AT21" s="38"/>
    </row>
    <row r="22" spans="2:46" ht="15" customHeight="1" x14ac:dyDescent="0.25">
      <c r="B22" s="127" t="s">
        <v>0</v>
      </c>
      <c r="C22" s="140" t="s">
        <v>17</v>
      </c>
      <c r="D22" s="140"/>
      <c r="E22" s="141"/>
      <c r="F22" s="142" t="s">
        <v>23</v>
      </c>
      <c r="G22" s="143"/>
      <c r="H22" s="143"/>
      <c r="I22" s="143"/>
      <c r="J22" s="143"/>
      <c r="K22" s="143"/>
      <c r="L22" s="143"/>
      <c r="M22" s="143"/>
      <c r="N22" s="144"/>
      <c r="O22" s="142" t="s">
        <v>40</v>
      </c>
      <c r="P22" s="143"/>
      <c r="Q22" s="143"/>
      <c r="R22" s="135" t="s">
        <v>43</v>
      </c>
      <c r="S22" s="136"/>
      <c r="T22" s="94" t="s">
        <v>54</v>
      </c>
      <c r="U22" s="36"/>
      <c r="V22" s="36"/>
      <c r="W22" s="35"/>
      <c r="X22" s="35"/>
      <c r="Y22" s="35"/>
      <c r="Z22" s="35"/>
      <c r="AA22" s="35"/>
      <c r="AB22" s="37"/>
      <c r="AC22" s="37"/>
      <c r="AD22" s="37"/>
      <c r="AE22" s="37"/>
      <c r="AF22" s="37"/>
      <c r="AG22" s="37"/>
      <c r="AH22" s="37"/>
      <c r="AI22" s="37"/>
      <c r="AJ22" s="37"/>
      <c r="AK22" s="37"/>
      <c r="AL22" s="38"/>
      <c r="AM22" s="38"/>
      <c r="AN22" s="38"/>
      <c r="AO22" s="38"/>
      <c r="AP22" s="38"/>
      <c r="AQ22" s="38"/>
      <c r="AR22" s="38"/>
      <c r="AS22" s="38"/>
      <c r="AT22" s="38"/>
    </row>
    <row r="23" spans="2:46" ht="45" x14ac:dyDescent="0.25">
      <c r="B23" s="128"/>
      <c r="C23" s="39" t="s">
        <v>55</v>
      </c>
      <c r="D23" s="39" t="s">
        <v>56</v>
      </c>
      <c r="E23" s="40" t="s">
        <v>57</v>
      </c>
      <c r="F23" s="41" t="s">
        <v>58</v>
      </c>
      <c r="G23" s="39" t="s">
        <v>59</v>
      </c>
      <c r="H23" s="39" t="s">
        <v>60</v>
      </c>
      <c r="I23" s="39" t="s">
        <v>61</v>
      </c>
      <c r="J23" s="39" t="s">
        <v>62</v>
      </c>
      <c r="K23" s="39" t="s">
        <v>63</v>
      </c>
      <c r="L23" s="39" t="s">
        <v>64</v>
      </c>
      <c r="M23" s="39" t="s">
        <v>65</v>
      </c>
      <c r="N23" s="40" t="s">
        <v>66</v>
      </c>
      <c r="O23" s="42" t="s">
        <v>67</v>
      </c>
      <c r="P23" s="43" t="s">
        <v>68</v>
      </c>
      <c r="Q23" s="43" t="s">
        <v>69</v>
      </c>
      <c r="R23" s="92" t="s">
        <v>70</v>
      </c>
      <c r="S23" s="43" t="s">
        <v>71</v>
      </c>
      <c r="T23" s="133" t="s">
        <v>15</v>
      </c>
      <c r="U23" s="36"/>
      <c r="V23" s="36"/>
      <c r="W23" s="35"/>
      <c r="X23" s="35"/>
      <c r="Y23" s="35"/>
      <c r="Z23" s="35"/>
      <c r="AA23" s="35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8"/>
      <c r="AM23" s="38"/>
      <c r="AN23" s="38"/>
      <c r="AO23" s="38"/>
      <c r="AP23" s="38"/>
      <c r="AQ23" s="38"/>
      <c r="AR23" s="38"/>
      <c r="AS23" s="38"/>
      <c r="AT23" s="38"/>
    </row>
    <row r="24" spans="2:46" ht="15" customHeight="1" x14ac:dyDescent="0.2">
      <c r="B24" s="129"/>
      <c r="C24" s="44" t="s">
        <v>72</v>
      </c>
      <c r="D24" s="44" t="s">
        <v>73</v>
      </c>
      <c r="E24" s="25" t="s">
        <v>74</v>
      </c>
      <c r="F24" s="122" t="s">
        <v>75</v>
      </c>
      <c r="G24" s="79" t="s">
        <v>38</v>
      </c>
      <c r="H24" s="79" t="s">
        <v>76</v>
      </c>
      <c r="I24" s="79" t="s">
        <v>76</v>
      </c>
      <c r="J24" s="79" t="s">
        <v>38</v>
      </c>
      <c r="K24" s="79" t="s">
        <v>77</v>
      </c>
      <c r="L24" s="79" t="s">
        <v>77</v>
      </c>
      <c r="M24" s="79" t="s">
        <v>77</v>
      </c>
      <c r="N24" s="28" t="s">
        <v>15</v>
      </c>
      <c r="O24" s="123" t="s">
        <v>78</v>
      </c>
      <c r="P24" s="3" t="s">
        <v>14</v>
      </c>
      <c r="Q24" s="124" t="s">
        <v>15</v>
      </c>
      <c r="R24" s="93" t="s">
        <v>15</v>
      </c>
      <c r="S24" s="45" t="s">
        <v>15</v>
      </c>
      <c r="T24" s="134"/>
      <c r="U24" s="16"/>
      <c r="V24" s="16"/>
      <c r="W24" s="16"/>
      <c r="X24" s="16"/>
      <c r="Y24" s="16"/>
      <c r="Z24" s="16"/>
      <c r="AA24" s="16"/>
      <c r="AB24" s="16"/>
      <c r="AC24" s="16"/>
      <c r="AD24" s="16"/>
      <c r="AE24" s="16"/>
      <c r="AF24" s="46"/>
      <c r="AG24" s="46"/>
      <c r="AH24" s="46"/>
      <c r="AI24" s="46"/>
      <c r="AJ24" s="46"/>
      <c r="AK24" s="46"/>
      <c r="AL24" s="46"/>
      <c r="AM24" s="46"/>
      <c r="AN24" s="46"/>
      <c r="AO24" s="46"/>
      <c r="AP24" s="46"/>
      <c r="AQ24" s="46"/>
      <c r="AR24" s="46"/>
      <c r="AS24" s="46"/>
      <c r="AT24" s="46"/>
    </row>
    <row r="25" spans="2:46" ht="15" x14ac:dyDescent="0.2">
      <c r="B25" s="47">
        <v>2027</v>
      </c>
      <c r="C25" s="48">
        <f>'First Year Ramp Up'!C19/0.12/2000</f>
        <v>131.41746778450926</v>
      </c>
      <c r="D25" s="49">
        <f>C25*$F$3</f>
        <v>65.708733892254628</v>
      </c>
      <c r="E25" s="16">
        <f>D25*$F$4*365</f>
        <v>6136.1944492452758</v>
      </c>
      <c r="F25" s="108">
        <f>'First Year Ramp Up'!C23</f>
        <v>413.26487765707316</v>
      </c>
      <c r="G25" s="109">
        <f>F25*$F$11*60/1000000</f>
        <v>14.877535595654635</v>
      </c>
      <c r="H25" s="82">
        <v>2</v>
      </c>
      <c r="I25" s="82">
        <v>0</v>
      </c>
      <c r="J25" s="82">
        <f>((H25*$F$13)+(I25*$F$12))*$F$9</f>
        <v>18.425564818890876</v>
      </c>
      <c r="K25" s="82">
        <f>MIN($G25,$J25)*$F$5*$F$10/2000</f>
        <v>6451.1969849877632</v>
      </c>
      <c r="L25" s="82">
        <f>$G25*$F$6*$F$10/2000</f>
        <v>0</v>
      </c>
      <c r="M25" s="82">
        <f t="shared" ref="M25:M48" si="0">$G25*$F$7*$F$10/2000</f>
        <v>0</v>
      </c>
      <c r="N25" s="110">
        <f>(K25*0.907)+(L25*28*0.907)+(M25*265*0.907)</f>
        <v>5851.2356653839015</v>
      </c>
      <c r="O25" s="111">
        <f t="shared" ref="O25:O48" si="1">MIN(G25,J25)*1000000*365*24/3412*$F$14</f>
        <v>15278688.372559741</v>
      </c>
      <c r="P25" s="112">
        <v>383.84440000000001</v>
      </c>
      <c r="Q25" s="113">
        <f>O25/1000*P25/2205</f>
        <v>2659.7002136744536</v>
      </c>
      <c r="R25" s="120">
        <f>$F$15*$F$16*$F$19*24*365/2205</f>
        <v>2200.3718400000002</v>
      </c>
      <c r="S25" s="80">
        <f>$F$15*$F$16*$F$19*24*365/2205*($F$20)</f>
        <v>220.03718399999997</v>
      </c>
      <c r="T25" s="95">
        <f>N25+S25-E25-Q25-R25</f>
        <v>-4924.9936535358283</v>
      </c>
      <c r="U25" s="16"/>
      <c r="V25" s="16"/>
      <c r="W25" s="16"/>
      <c r="X25" s="16"/>
      <c r="Y25" s="16"/>
      <c r="Z25" s="14"/>
      <c r="AA25" s="14"/>
      <c r="AB25" s="14"/>
      <c r="AC25" s="14"/>
      <c r="AD25" s="14"/>
      <c r="AE25" s="14"/>
    </row>
    <row r="26" spans="2:46" ht="15" x14ac:dyDescent="0.2">
      <c r="B26" s="47">
        <v>2028</v>
      </c>
      <c r="C26" s="47">
        <f>36000/0.12/2000</f>
        <v>150</v>
      </c>
      <c r="D26" s="49">
        <f t="shared" ref="D26:D48" si="2">C26*$F$3</f>
        <v>75</v>
      </c>
      <c r="E26" s="16">
        <f t="shared" ref="E26:E48" si="3">D26*$F$4*365</f>
        <v>7003.8571196338817</v>
      </c>
      <c r="F26" s="114">
        <v>423</v>
      </c>
      <c r="G26" s="16">
        <f t="shared" ref="G26:G48" si="4">F26*$F$11*60/1000000</f>
        <v>15.228</v>
      </c>
      <c r="H26" s="16">
        <v>2</v>
      </c>
      <c r="I26" s="16">
        <v>0</v>
      </c>
      <c r="J26" s="16">
        <f t="shared" ref="J26:J48" si="5">((H26*$F$13)+(I26*$F$12))*$F$9</f>
        <v>18.425564818890876</v>
      </c>
      <c r="K26" s="16">
        <f t="shared" ref="K26:K48" si="6">MIN($G26,$J26)*$F$5*$F$10/2000</f>
        <v>6603.16536</v>
      </c>
      <c r="L26" s="16">
        <f t="shared" ref="L26:L48" si="7">$G26*$F$6*$F$10/2000</f>
        <v>0</v>
      </c>
      <c r="M26" s="16">
        <f t="shared" si="0"/>
        <v>0</v>
      </c>
      <c r="N26" s="50">
        <f t="shared" ref="N26:N48" si="8">(K26*0.907)+(L26*28*0.907)+(M26*265*0.907)</f>
        <v>5989.0709815199998</v>
      </c>
      <c r="O26" s="51">
        <f t="shared" si="1"/>
        <v>15638602.579132475</v>
      </c>
      <c r="P26" s="80">
        <v>369.20826666666665</v>
      </c>
      <c r="Q26" s="115">
        <f t="shared" ref="Q26:Q48" si="9">O26/1000*P26/2205</f>
        <v>2618.5493656827048</v>
      </c>
      <c r="R26" s="120">
        <f t="shared" ref="R26:R48" si="10">$F$15*$F$16*$F$19*24*365/2205</f>
        <v>2200.3718400000002</v>
      </c>
      <c r="S26" s="80">
        <f t="shared" ref="S26:S48" si="11">$F$15*$F$16*$F$19*24*365/2205*($F$20)</f>
        <v>220.03718399999997</v>
      </c>
      <c r="T26" s="95">
        <f t="shared" ref="T26:T48" si="12">N26+S26-E26-Q26-R26</f>
        <v>-5613.6701597965875</v>
      </c>
      <c r="U26" s="16"/>
      <c r="V26" s="16"/>
      <c r="W26" s="16"/>
      <c r="X26" s="16"/>
      <c r="Y26" s="16"/>
      <c r="Z26" s="14"/>
      <c r="AA26" s="14"/>
      <c r="AB26" s="14"/>
      <c r="AC26" s="14"/>
      <c r="AD26" s="14"/>
      <c r="AE26" s="14"/>
    </row>
    <row r="27" spans="2:46" ht="15" x14ac:dyDescent="0.2">
      <c r="B27" s="47">
        <v>2029</v>
      </c>
      <c r="C27" s="47">
        <f t="shared" ref="C27:C47" si="13">36000/0.12/2000</f>
        <v>150</v>
      </c>
      <c r="D27" s="49">
        <f t="shared" si="2"/>
        <v>75</v>
      </c>
      <c r="E27" s="16">
        <f t="shared" si="3"/>
        <v>7003.8571196338817</v>
      </c>
      <c r="F27" s="114">
        <v>423</v>
      </c>
      <c r="G27" s="16">
        <f t="shared" si="4"/>
        <v>15.228</v>
      </c>
      <c r="H27" s="16">
        <v>2</v>
      </c>
      <c r="I27" s="16">
        <v>0</v>
      </c>
      <c r="J27" s="16">
        <f t="shared" si="5"/>
        <v>18.425564818890876</v>
      </c>
      <c r="K27" s="16">
        <f t="shared" si="6"/>
        <v>6603.16536</v>
      </c>
      <c r="L27" s="16">
        <f t="shared" si="7"/>
        <v>0</v>
      </c>
      <c r="M27" s="16">
        <f t="shared" si="0"/>
        <v>0</v>
      </c>
      <c r="N27" s="50">
        <f t="shared" si="8"/>
        <v>5989.0709815199998</v>
      </c>
      <c r="O27" s="51">
        <f t="shared" si="1"/>
        <v>15638602.579132475</v>
      </c>
      <c r="P27" s="80">
        <v>354.57213333333328</v>
      </c>
      <c r="Q27" s="115">
        <f t="shared" si="9"/>
        <v>2514.7449790635692</v>
      </c>
      <c r="R27" s="120">
        <f t="shared" si="10"/>
        <v>2200.3718400000002</v>
      </c>
      <c r="S27" s="80">
        <f t="shared" si="11"/>
        <v>220.03718399999997</v>
      </c>
      <c r="T27" s="95">
        <f t="shared" si="12"/>
        <v>-5509.865773177451</v>
      </c>
      <c r="U27" s="16"/>
      <c r="V27" s="16"/>
      <c r="W27" s="16"/>
      <c r="X27" s="16"/>
      <c r="Y27" s="16"/>
      <c r="Z27" s="14"/>
      <c r="AA27" s="14"/>
      <c r="AB27" s="14"/>
      <c r="AC27" s="14"/>
      <c r="AD27" s="14"/>
      <c r="AE27" s="14"/>
    </row>
    <row r="28" spans="2:46" ht="15" x14ac:dyDescent="0.2">
      <c r="B28" s="47">
        <v>2030</v>
      </c>
      <c r="C28" s="47">
        <f t="shared" si="13"/>
        <v>150</v>
      </c>
      <c r="D28" s="49">
        <f t="shared" si="2"/>
        <v>75</v>
      </c>
      <c r="E28" s="16">
        <f>D28*$F$4*365</f>
        <v>7003.8571196338817</v>
      </c>
      <c r="F28" s="114">
        <v>423</v>
      </c>
      <c r="G28" s="16">
        <f t="shared" si="4"/>
        <v>15.228</v>
      </c>
      <c r="H28" s="16">
        <v>2</v>
      </c>
      <c r="I28" s="16">
        <v>0</v>
      </c>
      <c r="J28" s="16">
        <f t="shared" si="5"/>
        <v>18.425564818890876</v>
      </c>
      <c r="K28" s="16">
        <f t="shared" si="6"/>
        <v>6603.16536</v>
      </c>
      <c r="L28" s="16">
        <f t="shared" si="7"/>
        <v>0</v>
      </c>
      <c r="M28" s="16">
        <f t="shared" si="0"/>
        <v>0</v>
      </c>
      <c r="N28" s="50">
        <f t="shared" si="8"/>
        <v>5989.0709815199998</v>
      </c>
      <c r="O28" s="51">
        <f t="shared" si="1"/>
        <v>15638602.579132475</v>
      </c>
      <c r="P28" s="80">
        <v>339.93600000000004</v>
      </c>
      <c r="Q28" s="115">
        <f t="shared" si="9"/>
        <v>2410.9405924444341</v>
      </c>
      <c r="R28" s="120">
        <f t="shared" si="10"/>
        <v>2200.3718400000002</v>
      </c>
      <c r="S28" s="80">
        <f t="shared" si="11"/>
        <v>220.03718399999997</v>
      </c>
      <c r="T28" s="95">
        <f t="shared" si="12"/>
        <v>-5406.0613865583164</v>
      </c>
      <c r="U28" s="16"/>
      <c r="V28" s="16"/>
      <c r="W28" s="16"/>
      <c r="X28" s="16"/>
      <c r="Y28" s="16"/>
      <c r="Z28" s="14"/>
      <c r="AA28" s="14"/>
      <c r="AB28" s="14"/>
      <c r="AC28" s="14"/>
      <c r="AD28" s="14"/>
      <c r="AE28" s="14"/>
    </row>
    <row r="29" spans="2:46" ht="15" x14ac:dyDescent="0.2">
      <c r="B29" s="47">
        <v>2031</v>
      </c>
      <c r="C29" s="47">
        <f t="shared" si="13"/>
        <v>150</v>
      </c>
      <c r="D29" s="49">
        <f>C29*$F$3</f>
        <v>75</v>
      </c>
      <c r="E29" s="16">
        <f>D29*$F$4*365</f>
        <v>7003.8571196338817</v>
      </c>
      <c r="F29" s="114">
        <v>423</v>
      </c>
      <c r="G29" s="16">
        <f>F29*$F$11*60/1000000</f>
        <v>15.228</v>
      </c>
      <c r="H29" s="16">
        <v>2</v>
      </c>
      <c r="I29" s="16">
        <v>0</v>
      </c>
      <c r="J29" s="16">
        <f t="shared" si="5"/>
        <v>18.425564818890876</v>
      </c>
      <c r="K29" s="16">
        <f t="shared" si="6"/>
        <v>6603.16536</v>
      </c>
      <c r="L29" s="16">
        <f t="shared" si="7"/>
        <v>0</v>
      </c>
      <c r="M29" s="16">
        <f t="shared" si="0"/>
        <v>0</v>
      </c>
      <c r="N29" s="50">
        <f t="shared" si="8"/>
        <v>5989.0709815199998</v>
      </c>
      <c r="O29" s="51">
        <f t="shared" si="1"/>
        <v>15638602.579132475</v>
      </c>
      <c r="P29" s="80">
        <v>317.2736000000001</v>
      </c>
      <c r="Q29" s="115">
        <f t="shared" si="9"/>
        <v>2250.2112196148059</v>
      </c>
      <c r="R29" s="120">
        <f t="shared" si="10"/>
        <v>2200.3718400000002</v>
      </c>
      <c r="S29" s="80">
        <f t="shared" si="11"/>
        <v>220.03718399999997</v>
      </c>
      <c r="T29" s="95">
        <f t="shared" si="12"/>
        <v>-5245.3320137286883</v>
      </c>
      <c r="U29" s="16"/>
      <c r="V29" s="16"/>
      <c r="W29" s="16"/>
      <c r="X29" s="16"/>
      <c r="Y29" s="16"/>
      <c r="Z29" s="14"/>
      <c r="AA29" s="14"/>
      <c r="AB29" s="14"/>
      <c r="AC29" s="14"/>
      <c r="AD29" s="14"/>
      <c r="AE29" s="14"/>
    </row>
    <row r="30" spans="2:46" ht="15" x14ac:dyDescent="0.2">
      <c r="B30" s="47">
        <v>2032</v>
      </c>
      <c r="C30" s="47">
        <f t="shared" si="13"/>
        <v>150</v>
      </c>
      <c r="D30" s="49">
        <f t="shared" si="2"/>
        <v>75</v>
      </c>
      <c r="E30" s="16">
        <f t="shared" si="3"/>
        <v>7003.8571196338817</v>
      </c>
      <c r="F30" s="114">
        <v>423</v>
      </c>
      <c r="G30" s="16">
        <f t="shared" si="4"/>
        <v>15.228</v>
      </c>
      <c r="H30" s="16">
        <v>2</v>
      </c>
      <c r="I30" s="16">
        <v>0</v>
      </c>
      <c r="J30" s="16">
        <f t="shared" si="5"/>
        <v>18.425564818890876</v>
      </c>
      <c r="K30" s="16">
        <f t="shared" si="6"/>
        <v>6603.16536</v>
      </c>
      <c r="L30" s="16">
        <f t="shared" si="7"/>
        <v>0</v>
      </c>
      <c r="M30" s="16">
        <f t="shared" si="0"/>
        <v>0</v>
      </c>
      <c r="N30" s="50">
        <f t="shared" si="8"/>
        <v>5989.0709815199998</v>
      </c>
      <c r="O30" s="51">
        <f t="shared" si="1"/>
        <v>15638602.579132475</v>
      </c>
      <c r="P30" s="80">
        <v>294.61120000000017</v>
      </c>
      <c r="Q30" s="115">
        <f t="shared" si="9"/>
        <v>2089.4818467851774</v>
      </c>
      <c r="R30" s="120">
        <f t="shared" si="10"/>
        <v>2200.3718400000002</v>
      </c>
      <c r="S30" s="80">
        <f t="shared" si="11"/>
        <v>220.03718399999997</v>
      </c>
      <c r="T30" s="95">
        <f t="shared" si="12"/>
        <v>-5084.6026408990601</v>
      </c>
      <c r="U30" s="16"/>
      <c r="V30" s="16"/>
      <c r="W30" s="16"/>
      <c r="X30" s="16"/>
      <c r="Y30" s="16"/>
      <c r="Z30" s="14"/>
      <c r="AA30" s="14"/>
      <c r="AB30" s="14"/>
      <c r="AC30" s="14"/>
      <c r="AD30" s="14"/>
      <c r="AE30" s="14"/>
    </row>
    <row r="31" spans="2:46" ht="15" x14ac:dyDescent="0.2">
      <c r="B31" s="47">
        <v>2033</v>
      </c>
      <c r="C31" s="47">
        <f t="shared" si="13"/>
        <v>150</v>
      </c>
      <c r="D31" s="49">
        <f t="shared" si="2"/>
        <v>75</v>
      </c>
      <c r="E31" s="16">
        <f t="shared" si="3"/>
        <v>7003.8571196338817</v>
      </c>
      <c r="F31" s="114">
        <v>423</v>
      </c>
      <c r="G31" s="16">
        <f t="shared" si="4"/>
        <v>15.228</v>
      </c>
      <c r="H31" s="16">
        <v>2</v>
      </c>
      <c r="I31" s="16">
        <v>0</v>
      </c>
      <c r="J31" s="16">
        <f t="shared" si="5"/>
        <v>18.425564818890876</v>
      </c>
      <c r="K31" s="16">
        <f t="shared" si="6"/>
        <v>6603.16536</v>
      </c>
      <c r="L31" s="16">
        <f t="shared" si="7"/>
        <v>0</v>
      </c>
      <c r="M31" s="16">
        <f t="shared" si="0"/>
        <v>0</v>
      </c>
      <c r="N31" s="50">
        <f t="shared" si="8"/>
        <v>5989.0709815199998</v>
      </c>
      <c r="O31" s="51">
        <f t="shared" si="1"/>
        <v>15638602.579132475</v>
      </c>
      <c r="P31" s="80">
        <v>271.94880000000012</v>
      </c>
      <c r="Q31" s="115">
        <f t="shared" si="9"/>
        <v>1928.7524739555483</v>
      </c>
      <c r="R31" s="120">
        <f t="shared" si="10"/>
        <v>2200.3718400000002</v>
      </c>
      <c r="S31" s="80">
        <f t="shared" si="11"/>
        <v>220.03718399999997</v>
      </c>
      <c r="T31" s="95">
        <f t="shared" si="12"/>
        <v>-4923.8732680694302</v>
      </c>
      <c r="U31" s="16"/>
      <c r="V31" s="16"/>
      <c r="W31" s="16"/>
      <c r="X31" s="16"/>
      <c r="Y31" s="16"/>
      <c r="Z31" s="14"/>
      <c r="AA31" s="14"/>
      <c r="AB31" s="14"/>
      <c r="AC31" s="14"/>
      <c r="AD31" s="14"/>
      <c r="AE31" s="14"/>
    </row>
    <row r="32" spans="2:46" ht="15" x14ac:dyDescent="0.2">
      <c r="B32" s="47">
        <v>2034</v>
      </c>
      <c r="C32" s="47">
        <f t="shared" si="13"/>
        <v>150</v>
      </c>
      <c r="D32" s="49">
        <f t="shared" si="2"/>
        <v>75</v>
      </c>
      <c r="E32" s="16">
        <f t="shared" si="3"/>
        <v>7003.8571196338817</v>
      </c>
      <c r="F32" s="114">
        <v>423</v>
      </c>
      <c r="G32" s="16">
        <f t="shared" si="4"/>
        <v>15.228</v>
      </c>
      <c r="H32" s="16">
        <v>2</v>
      </c>
      <c r="I32" s="16">
        <v>0</v>
      </c>
      <c r="J32" s="16">
        <f t="shared" si="5"/>
        <v>18.425564818890876</v>
      </c>
      <c r="K32" s="16">
        <f t="shared" si="6"/>
        <v>6603.16536</v>
      </c>
      <c r="L32" s="16">
        <f t="shared" si="7"/>
        <v>0</v>
      </c>
      <c r="M32" s="16">
        <f t="shared" si="0"/>
        <v>0</v>
      </c>
      <c r="N32" s="50">
        <f t="shared" si="8"/>
        <v>5989.0709815199998</v>
      </c>
      <c r="O32" s="51">
        <f t="shared" si="1"/>
        <v>15638602.579132475</v>
      </c>
      <c r="P32" s="80">
        <v>249.28640000000019</v>
      </c>
      <c r="Q32" s="115">
        <f t="shared" si="9"/>
        <v>1768.0231011259195</v>
      </c>
      <c r="R32" s="120">
        <f t="shared" si="10"/>
        <v>2200.3718400000002</v>
      </c>
      <c r="S32" s="80">
        <f t="shared" si="11"/>
        <v>220.03718399999997</v>
      </c>
      <c r="T32" s="95">
        <f t="shared" si="12"/>
        <v>-4763.1438952398021</v>
      </c>
      <c r="U32" s="16"/>
      <c r="V32" s="16"/>
      <c r="W32" s="16"/>
      <c r="X32" s="16"/>
      <c r="Y32" s="16"/>
      <c r="Z32" s="14"/>
      <c r="AA32" s="14"/>
      <c r="AB32" s="14"/>
      <c r="AC32" s="14"/>
      <c r="AD32" s="14"/>
      <c r="AE32" s="14"/>
    </row>
    <row r="33" spans="2:31" ht="15" x14ac:dyDescent="0.2">
      <c r="B33" s="47">
        <v>2035</v>
      </c>
      <c r="C33" s="47">
        <f>36000/0.12/2000</f>
        <v>150</v>
      </c>
      <c r="D33" s="49">
        <f t="shared" si="2"/>
        <v>75</v>
      </c>
      <c r="E33" s="16">
        <f t="shared" si="3"/>
        <v>7003.8571196338817</v>
      </c>
      <c r="F33" s="114">
        <v>423</v>
      </c>
      <c r="G33" s="16">
        <f t="shared" si="4"/>
        <v>15.228</v>
      </c>
      <c r="H33" s="16">
        <v>2</v>
      </c>
      <c r="I33" s="16">
        <v>0</v>
      </c>
      <c r="J33" s="16">
        <f t="shared" si="5"/>
        <v>18.425564818890876</v>
      </c>
      <c r="K33" s="16">
        <f t="shared" si="6"/>
        <v>6603.16536</v>
      </c>
      <c r="L33" s="16">
        <f t="shared" si="7"/>
        <v>0</v>
      </c>
      <c r="M33" s="16">
        <f t="shared" si="0"/>
        <v>0</v>
      </c>
      <c r="N33" s="50">
        <f t="shared" si="8"/>
        <v>5989.0709815199998</v>
      </c>
      <c r="O33" s="51">
        <f t="shared" si="1"/>
        <v>15638602.579132475</v>
      </c>
      <c r="P33" s="80">
        <v>226.62400000000025</v>
      </c>
      <c r="Q33" s="115">
        <f t="shared" si="9"/>
        <v>1607.2937282962912</v>
      </c>
      <c r="R33" s="120">
        <f t="shared" si="10"/>
        <v>2200.3718400000002</v>
      </c>
      <c r="S33" s="80">
        <f t="shared" si="11"/>
        <v>220.03718399999997</v>
      </c>
      <c r="T33" s="95">
        <f t="shared" si="12"/>
        <v>-4602.414522410174</v>
      </c>
      <c r="U33" s="16"/>
      <c r="V33" s="16"/>
      <c r="W33" s="16"/>
      <c r="X33" s="16"/>
      <c r="Y33" s="16"/>
      <c r="Z33" s="14"/>
      <c r="AA33" s="14"/>
      <c r="AB33" s="14"/>
      <c r="AC33" s="14"/>
      <c r="AD33" s="14"/>
      <c r="AE33" s="14"/>
    </row>
    <row r="34" spans="2:31" ht="15" x14ac:dyDescent="0.2">
      <c r="B34" s="47">
        <v>2036</v>
      </c>
      <c r="C34" s="47">
        <f t="shared" si="13"/>
        <v>150</v>
      </c>
      <c r="D34" s="49">
        <f t="shared" si="2"/>
        <v>75</v>
      </c>
      <c r="E34" s="16">
        <f t="shared" si="3"/>
        <v>7003.8571196338817</v>
      </c>
      <c r="F34" s="114">
        <v>423</v>
      </c>
      <c r="G34" s="16">
        <f t="shared" si="4"/>
        <v>15.228</v>
      </c>
      <c r="H34" s="16">
        <v>2</v>
      </c>
      <c r="I34" s="16">
        <v>0</v>
      </c>
      <c r="J34" s="16">
        <f t="shared" si="5"/>
        <v>18.425564818890876</v>
      </c>
      <c r="K34" s="16">
        <f t="shared" si="6"/>
        <v>6603.16536</v>
      </c>
      <c r="L34" s="16">
        <f t="shared" si="7"/>
        <v>0</v>
      </c>
      <c r="M34" s="16">
        <f t="shared" si="0"/>
        <v>0</v>
      </c>
      <c r="N34" s="50">
        <f t="shared" si="8"/>
        <v>5989.0709815199998</v>
      </c>
      <c r="O34" s="51">
        <f t="shared" si="1"/>
        <v>15638602.579132475</v>
      </c>
      <c r="P34" s="80">
        <v>203.96160000000032</v>
      </c>
      <c r="Q34" s="115">
        <f t="shared" si="9"/>
        <v>1446.5643554666626</v>
      </c>
      <c r="R34" s="120">
        <f t="shared" si="10"/>
        <v>2200.3718400000002</v>
      </c>
      <c r="S34" s="80">
        <f t="shared" si="11"/>
        <v>220.03718399999997</v>
      </c>
      <c r="T34" s="95">
        <f t="shared" si="12"/>
        <v>-4441.6851495805449</v>
      </c>
      <c r="U34" s="16"/>
      <c r="V34" s="16"/>
      <c r="W34" s="16"/>
      <c r="X34" s="16"/>
      <c r="Y34" s="16"/>
      <c r="Z34" s="14"/>
      <c r="AA34" s="14"/>
      <c r="AB34" s="14"/>
      <c r="AC34" s="14"/>
      <c r="AD34" s="14"/>
      <c r="AE34" s="14"/>
    </row>
    <row r="35" spans="2:31" ht="15" x14ac:dyDescent="0.2">
      <c r="B35" s="47">
        <v>2037</v>
      </c>
      <c r="C35" s="47">
        <f t="shared" si="13"/>
        <v>150</v>
      </c>
      <c r="D35" s="49">
        <f>C35*$F$3</f>
        <v>75</v>
      </c>
      <c r="E35" s="16">
        <f t="shared" si="3"/>
        <v>7003.8571196338817</v>
      </c>
      <c r="F35" s="114">
        <v>423</v>
      </c>
      <c r="G35" s="16">
        <f t="shared" si="4"/>
        <v>15.228</v>
      </c>
      <c r="H35" s="16">
        <v>2</v>
      </c>
      <c r="I35" s="16">
        <v>0</v>
      </c>
      <c r="J35" s="16">
        <f t="shared" si="5"/>
        <v>18.425564818890876</v>
      </c>
      <c r="K35" s="16">
        <f t="shared" si="6"/>
        <v>6603.16536</v>
      </c>
      <c r="L35" s="16">
        <f t="shared" si="7"/>
        <v>0</v>
      </c>
      <c r="M35" s="16">
        <f t="shared" si="0"/>
        <v>0</v>
      </c>
      <c r="N35" s="50">
        <f t="shared" si="8"/>
        <v>5989.0709815199998</v>
      </c>
      <c r="O35" s="51">
        <f t="shared" si="1"/>
        <v>15638602.579132475</v>
      </c>
      <c r="P35" s="80">
        <v>181.29920000000027</v>
      </c>
      <c r="Q35" s="115">
        <f t="shared" si="9"/>
        <v>1285.8349826370334</v>
      </c>
      <c r="R35" s="120">
        <f t="shared" si="10"/>
        <v>2200.3718400000002</v>
      </c>
      <c r="S35" s="80">
        <f t="shared" si="11"/>
        <v>220.03718399999997</v>
      </c>
      <c r="T35" s="95">
        <f t="shared" si="12"/>
        <v>-4280.9557767509159</v>
      </c>
      <c r="U35" s="16"/>
      <c r="V35" s="16"/>
      <c r="W35" s="16"/>
      <c r="X35" s="16"/>
      <c r="Y35" s="16"/>
      <c r="Z35" s="14"/>
      <c r="AA35" s="14"/>
      <c r="AB35" s="14"/>
      <c r="AC35" s="14"/>
      <c r="AD35" s="14"/>
      <c r="AE35" s="14"/>
    </row>
    <row r="36" spans="2:31" ht="15" x14ac:dyDescent="0.2">
      <c r="B36" s="47">
        <v>2038</v>
      </c>
      <c r="C36" s="47">
        <f t="shared" si="13"/>
        <v>150</v>
      </c>
      <c r="D36" s="49">
        <f t="shared" si="2"/>
        <v>75</v>
      </c>
      <c r="E36" s="16">
        <f t="shared" si="3"/>
        <v>7003.8571196338817</v>
      </c>
      <c r="F36" s="114">
        <v>423</v>
      </c>
      <c r="G36" s="16">
        <f t="shared" si="4"/>
        <v>15.228</v>
      </c>
      <c r="H36" s="16">
        <v>2</v>
      </c>
      <c r="I36" s="16">
        <v>0</v>
      </c>
      <c r="J36" s="16">
        <f t="shared" si="5"/>
        <v>18.425564818890876</v>
      </c>
      <c r="K36" s="16">
        <f t="shared" si="6"/>
        <v>6603.16536</v>
      </c>
      <c r="L36" s="16">
        <f t="shared" si="7"/>
        <v>0</v>
      </c>
      <c r="M36" s="16">
        <f t="shared" si="0"/>
        <v>0</v>
      </c>
      <c r="N36" s="50">
        <f t="shared" si="8"/>
        <v>5989.0709815199998</v>
      </c>
      <c r="O36" s="51">
        <f t="shared" si="1"/>
        <v>15638602.579132475</v>
      </c>
      <c r="P36" s="80">
        <v>158.63680000000033</v>
      </c>
      <c r="Q36" s="115">
        <f t="shared" si="9"/>
        <v>1125.105609807405</v>
      </c>
      <c r="R36" s="120">
        <f t="shared" si="10"/>
        <v>2200.3718400000002</v>
      </c>
      <c r="S36" s="80">
        <f t="shared" si="11"/>
        <v>220.03718399999997</v>
      </c>
      <c r="T36" s="95">
        <f t="shared" si="12"/>
        <v>-4120.2264039212878</v>
      </c>
      <c r="U36" s="16"/>
      <c r="V36" s="16"/>
      <c r="W36" s="16"/>
      <c r="X36" s="16"/>
      <c r="Y36" s="16"/>
      <c r="Z36" s="14"/>
      <c r="AA36" s="14"/>
      <c r="AB36" s="14"/>
      <c r="AC36" s="14"/>
      <c r="AD36" s="14"/>
      <c r="AE36" s="14"/>
    </row>
    <row r="37" spans="2:31" ht="15" x14ac:dyDescent="0.2">
      <c r="B37" s="47">
        <v>2039</v>
      </c>
      <c r="C37" s="47">
        <f t="shared" si="13"/>
        <v>150</v>
      </c>
      <c r="D37" s="49">
        <f t="shared" si="2"/>
        <v>75</v>
      </c>
      <c r="E37" s="16">
        <f t="shared" si="3"/>
        <v>7003.8571196338817</v>
      </c>
      <c r="F37" s="114">
        <v>423</v>
      </c>
      <c r="G37" s="16">
        <f t="shared" si="4"/>
        <v>15.228</v>
      </c>
      <c r="H37" s="16">
        <v>2</v>
      </c>
      <c r="I37" s="16">
        <v>0</v>
      </c>
      <c r="J37" s="16">
        <f t="shared" si="5"/>
        <v>18.425564818890876</v>
      </c>
      <c r="K37" s="16">
        <f t="shared" si="6"/>
        <v>6603.16536</v>
      </c>
      <c r="L37" s="16">
        <f t="shared" si="7"/>
        <v>0</v>
      </c>
      <c r="M37" s="16">
        <f t="shared" si="0"/>
        <v>0</v>
      </c>
      <c r="N37" s="50">
        <f t="shared" si="8"/>
        <v>5989.0709815199998</v>
      </c>
      <c r="O37" s="51">
        <f t="shared" si="1"/>
        <v>15638602.579132475</v>
      </c>
      <c r="P37" s="80">
        <v>135.9744000000004</v>
      </c>
      <c r="Q37" s="115">
        <f t="shared" si="9"/>
        <v>964.37623697777644</v>
      </c>
      <c r="R37" s="120">
        <f t="shared" si="10"/>
        <v>2200.3718400000002</v>
      </c>
      <c r="S37" s="80">
        <f t="shared" si="11"/>
        <v>220.03718399999997</v>
      </c>
      <c r="T37" s="95">
        <f t="shared" si="12"/>
        <v>-3959.4970310916588</v>
      </c>
      <c r="U37" s="16"/>
      <c r="V37" s="16"/>
      <c r="W37" s="16"/>
      <c r="X37" s="16"/>
      <c r="Y37" s="16"/>
      <c r="Z37" s="14"/>
      <c r="AA37" s="14"/>
      <c r="AB37" s="14"/>
      <c r="AC37" s="14"/>
      <c r="AD37" s="14"/>
      <c r="AE37" s="14"/>
    </row>
    <row r="38" spans="2:31" ht="15" x14ac:dyDescent="0.2">
      <c r="B38" s="47">
        <v>2040</v>
      </c>
      <c r="C38" s="47">
        <f>36000/0.12/2000</f>
        <v>150</v>
      </c>
      <c r="D38" s="49">
        <f t="shared" si="2"/>
        <v>75</v>
      </c>
      <c r="E38" s="16">
        <f t="shared" si="3"/>
        <v>7003.8571196338817</v>
      </c>
      <c r="F38" s="114">
        <v>444</v>
      </c>
      <c r="G38" s="16">
        <f t="shared" si="4"/>
        <v>15.984</v>
      </c>
      <c r="H38" s="16">
        <v>2</v>
      </c>
      <c r="I38" s="16">
        <v>0</v>
      </c>
      <c r="J38" s="16">
        <f t="shared" si="5"/>
        <v>18.425564818890876</v>
      </c>
      <c r="K38" s="16">
        <f t="shared" si="6"/>
        <v>6930.9820800000007</v>
      </c>
      <c r="L38" s="16">
        <f t="shared" si="7"/>
        <v>0</v>
      </c>
      <c r="M38" s="16">
        <f t="shared" si="0"/>
        <v>0</v>
      </c>
      <c r="N38" s="50">
        <f t="shared" si="8"/>
        <v>6286.4007465600007</v>
      </c>
      <c r="O38" s="51">
        <f t="shared" si="1"/>
        <v>16414987.104337633</v>
      </c>
      <c r="P38" s="80">
        <v>113.31200000000047</v>
      </c>
      <c r="Q38" s="115">
        <f t="shared" si="9"/>
        <v>843.54422619805598</v>
      </c>
      <c r="R38" s="120">
        <f t="shared" si="10"/>
        <v>2200.3718400000002</v>
      </c>
      <c r="S38" s="80">
        <f t="shared" si="11"/>
        <v>220.03718399999997</v>
      </c>
      <c r="T38" s="95">
        <f t="shared" si="12"/>
        <v>-3541.3352552719375</v>
      </c>
      <c r="U38" s="16"/>
      <c r="V38" s="16"/>
      <c r="W38" s="16"/>
      <c r="X38" s="16"/>
      <c r="Y38" s="16"/>
      <c r="Z38" s="14"/>
      <c r="AA38" s="14"/>
      <c r="AB38" s="14"/>
      <c r="AC38" s="14"/>
      <c r="AD38" s="14"/>
      <c r="AE38" s="14"/>
    </row>
    <row r="39" spans="2:31" ht="15" x14ac:dyDescent="0.2">
      <c r="B39" s="47">
        <v>2041</v>
      </c>
      <c r="C39" s="47">
        <f t="shared" si="13"/>
        <v>150</v>
      </c>
      <c r="D39" s="49">
        <f t="shared" si="2"/>
        <v>75</v>
      </c>
      <c r="E39" s="16">
        <f t="shared" si="3"/>
        <v>7003.8571196338817</v>
      </c>
      <c r="F39" s="114">
        <v>444</v>
      </c>
      <c r="G39" s="16">
        <f t="shared" si="4"/>
        <v>15.984</v>
      </c>
      <c r="H39" s="16">
        <v>2</v>
      </c>
      <c r="I39" s="16">
        <v>0</v>
      </c>
      <c r="J39" s="16">
        <f t="shared" si="5"/>
        <v>18.425564818890876</v>
      </c>
      <c r="K39" s="16">
        <f t="shared" si="6"/>
        <v>6930.9820800000007</v>
      </c>
      <c r="L39" s="16">
        <f t="shared" si="7"/>
        <v>0</v>
      </c>
      <c r="M39" s="16">
        <f t="shared" si="0"/>
        <v>0</v>
      </c>
      <c r="N39" s="50">
        <f t="shared" si="8"/>
        <v>6286.4007465600007</v>
      </c>
      <c r="O39" s="51">
        <f t="shared" si="1"/>
        <v>16414987.104337633</v>
      </c>
      <c r="P39" s="80">
        <v>90.649600000000532</v>
      </c>
      <c r="Q39" s="115">
        <f t="shared" si="9"/>
        <v>674.83538095844597</v>
      </c>
      <c r="R39" s="120">
        <f t="shared" si="10"/>
        <v>2200.3718400000002</v>
      </c>
      <c r="S39" s="80">
        <f t="shared" si="11"/>
        <v>220.03718399999997</v>
      </c>
      <c r="T39" s="95">
        <f t="shared" si="12"/>
        <v>-3372.6264100323274</v>
      </c>
      <c r="U39" s="16"/>
      <c r="V39" s="16"/>
      <c r="W39" s="16"/>
      <c r="X39" s="16"/>
      <c r="Y39" s="16"/>
      <c r="Z39" s="14"/>
      <c r="AA39" s="14"/>
      <c r="AB39" s="14"/>
      <c r="AC39" s="14"/>
      <c r="AD39" s="14"/>
      <c r="AE39" s="14"/>
    </row>
    <row r="40" spans="2:31" ht="15" x14ac:dyDescent="0.2">
      <c r="B40" s="47">
        <v>2042</v>
      </c>
      <c r="C40" s="47">
        <f t="shared" si="13"/>
        <v>150</v>
      </c>
      <c r="D40" s="49">
        <f t="shared" si="2"/>
        <v>75</v>
      </c>
      <c r="E40" s="16">
        <f t="shared" si="3"/>
        <v>7003.8571196338817</v>
      </c>
      <c r="F40" s="114">
        <v>444</v>
      </c>
      <c r="G40" s="16">
        <f t="shared" si="4"/>
        <v>15.984</v>
      </c>
      <c r="H40" s="16">
        <v>2</v>
      </c>
      <c r="I40" s="16">
        <v>0</v>
      </c>
      <c r="J40" s="16">
        <f t="shared" si="5"/>
        <v>18.425564818890876</v>
      </c>
      <c r="K40" s="16">
        <f t="shared" si="6"/>
        <v>6930.9820800000007</v>
      </c>
      <c r="L40" s="16">
        <f t="shared" si="7"/>
        <v>0</v>
      </c>
      <c r="M40" s="16">
        <f t="shared" si="0"/>
        <v>0</v>
      </c>
      <c r="N40" s="50">
        <f t="shared" si="8"/>
        <v>6286.4007465600007</v>
      </c>
      <c r="O40" s="51">
        <f t="shared" si="1"/>
        <v>16414987.104337633</v>
      </c>
      <c r="P40" s="80">
        <v>67.987200000000485</v>
      </c>
      <c r="Q40" s="115">
        <f t="shared" si="9"/>
        <v>506.12653571883516</v>
      </c>
      <c r="R40" s="120">
        <f t="shared" si="10"/>
        <v>2200.3718400000002</v>
      </c>
      <c r="S40" s="80">
        <f t="shared" si="11"/>
        <v>220.03718399999997</v>
      </c>
      <c r="T40" s="95">
        <f t="shared" si="12"/>
        <v>-3203.9175647927168</v>
      </c>
      <c r="U40" s="16"/>
      <c r="V40" s="16"/>
      <c r="W40" s="16"/>
      <c r="X40" s="16"/>
      <c r="Y40" s="16"/>
      <c r="Z40" s="14"/>
      <c r="AA40" s="14"/>
      <c r="AB40" s="14"/>
      <c r="AC40" s="14"/>
      <c r="AD40" s="14"/>
      <c r="AE40" s="14"/>
    </row>
    <row r="41" spans="2:31" ht="15" x14ac:dyDescent="0.2">
      <c r="B41" s="47">
        <v>2043</v>
      </c>
      <c r="C41" s="47">
        <f t="shared" si="13"/>
        <v>150</v>
      </c>
      <c r="D41" s="49">
        <f t="shared" si="2"/>
        <v>75</v>
      </c>
      <c r="E41" s="16">
        <f t="shared" si="3"/>
        <v>7003.8571196338817</v>
      </c>
      <c r="F41" s="114">
        <v>444</v>
      </c>
      <c r="G41" s="16">
        <f t="shared" si="4"/>
        <v>15.984</v>
      </c>
      <c r="H41" s="16">
        <v>2</v>
      </c>
      <c r="I41" s="16">
        <v>0</v>
      </c>
      <c r="J41" s="16">
        <f t="shared" si="5"/>
        <v>18.425564818890876</v>
      </c>
      <c r="K41" s="16">
        <f t="shared" si="6"/>
        <v>6930.9820800000007</v>
      </c>
      <c r="L41" s="16">
        <f t="shared" si="7"/>
        <v>0</v>
      </c>
      <c r="M41" s="16">
        <f t="shared" si="0"/>
        <v>0</v>
      </c>
      <c r="N41" s="50">
        <f t="shared" si="8"/>
        <v>6286.4007465600007</v>
      </c>
      <c r="O41" s="51">
        <f t="shared" si="1"/>
        <v>16414987.104337633</v>
      </c>
      <c r="P41" s="80">
        <v>45.32480000000055</v>
      </c>
      <c r="Q41" s="115">
        <f t="shared" si="9"/>
        <v>337.41769047922514</v>
      </c>
      <c r="R41" s="120">
        <f t="shared" si="10"/>
        <v>2200.3718400000002</v>
      </c>
      <c r="S41" s="80">
        <f t="shared" si="11"/>
        <v>220.03718399999997</v>
      </c>
      <c r="T41" s="95">
        <f t="shared" si="12"/>
        <v>-3035.2087195531067</v>
      </c>
      <c r="U41" s="16"/>
      <c r="V41" s="16"/>
      <c r="W41" s="16"/>
      <c r="X41" s="16"/>
      <c r="Y41" s="16"/>
      <c r="Z41" s="14"/>
      <c r="AA41" s="14"/>
      <c r="AB41" s="14"/>
      <c r="AC41" s="14"/>
      <c r="AD41" s="14"/>
      <c r="AE41" s="14"/>
    </row>
    <row r="42" spans="2:31" ht="15" x14ac:dyDescent="0.2">
      <c r="B42" s="47">
        <v>2044</v>
      </c>
      <c r="C42" s="47">
        <f t="shared" si="13"/>
        <v>150</v>
      </c>
      <c r="D42" s="49">
        <f t="shared" si="2"/>
        <v>75</v>
      </c>
      <c r="E42" s="16">
        <f t="shared" si="3"/>
        <v>7003.8571196338817</v>
      </c>
      <c r="F42" s="114">
        <v>444</v>
      </c>
      <c r="G42" s="16">
        <f t="shared" si="4"/>
        <v>15.984</v>
      </c>
      <c r="H42" s="16">
        <v>2</v>
      </c>
      <c r="I42" s="16">
        <v>0</v>
      </c>
      <c r="J42" s="16">
        <f t="shared" si="5"/>
        <v>18.425564818890876</v>
      </c>
      <c r="K42" s="16">
        <f t="shared" si="6"/>
        <v>6930.9820800000007</v>
      </c>
      <c r="L42" s="16">
        <f t="shared" si="7"/>
        <v>0</v>
      </c>
      <c r="M42" s="16">
        <f t="shared" si="0"/>
        <v>0</v>
      </c>
      <c r="N42" s="50">
        <f t="shared" si="8"/>
        <v>6286.4007465600007</v>
      </c>
      <c r="O42" s="51">
        <f t="shared" si="1"/>
        <v>16414987.104337633</v>
      </c>
      <c r="P42" s="80">
        <v>22.662400000000616</v>
      </c>
      <c r="Q42" s="115">
        <f t="shared" si="9"/>
        <v>168.7088452396151</v>
      </c>
      <c r="R42" s="120">
        <f t="shared" si="10"/>
        <v>2200.3718400000002</v>
      </c>
      <c r="S42" s="80">
        <f t="shared" si="11"/>
        <v>220.03718399999997</v>
      </c>
      <c r="T42" s="95">
        <f t="shared" si="12"/>
        <v>-2866.4998743134965</v>
      </c>
      <c r="U42" s="16"/>
      <c r="V42" s="16"/>
      <c r="W42" s="16"/>
      <c r="X42" s="16"/>
      <c r="Y42" s="16"/>
      <c r="Z42" s="14"/>
      <c r="AA42" s="14"/>
      <c r="AB42" s="14"/>
      <c r="AC42" s="14"/>
      <c r="AD42" s="14"/>
      <c r="AE42" s="14"/>
    </row>
    <row r="43" spans="2:31" ht="15" x14ac:dyDescent="0.2">
      <c r="B43" s="47">
        <v>2045</v>
      </c>
      <c r="C43" s="47">
        <f t="shared" si="13"/>
        <v>150</v>
      </c>
      <c r="D43" s="49">
        <f t="shared" si="2"/>
        <v>75</v>
      </c>
      <c r="E43" s="16">
        <f t="shared" si="3"/>
        <v>7003.8571196338817</v>
      </c>
      <c r="F43" s="114">
        <v>444</v>
      </c>
      <c r="G43" s="16">
        <f t="shared" si="4"/>
        <v>15.984</v>
      </c>
      <c r="H43" s="16">
        <v>2</v>
      </c>
      <c r="I43" s="16">
        <v>0</v>
      </c>
      <c r="J43" s="16">
        <f t="shared" si="5"/>
        <v>18.425564818890876</v>
      </c>
      <c r="K43" s="16">
        <f t="shared" si="6"/>
        <v>6930.9820800000007</v>
      </c>
      <c r="L43" s="16">
        <f t="shared" si="7"/>
        <v>0</v>
      </c>
      <c r="M43" s="16">
        <f t="shared" si="0"/>
        <v>0</v>
      </c>
      <c r="N43" s="50">
        <f t="shared" si="8"/>
        <v>6286.4007465600007</v>
      </c>
      <c r="O43" s="51">
        <f t="shared" si="1"/>
        <v>16414987.104337633</v>
      </c>
      <c r="P43" s="80">
        <v>0</v>
      </c>
      <c r="Q43" s="115">
        <f t="shared" si="9"/>
        <v>0</v>
      </c>
      <c r="R43" s="120">
        <f t="shared" si="10"/>
        <v>2200.3718400000002</v>
      </c>
      <c r="S43" s="80">
        <f t="shared" si="11"/>
        <v>220.03718399999997</v>
      </c>
      <c r="T43" s="95">
        <f t="shared" si="12"/>
        <v>-2697.7910290738814</v>
      </c>
      <c r="U43" s="16"/>
      <c r="V43" s="16"/>
      <c r="W43" s="16"/>
      <c r="X43" s="16"/>
      <c r="Y43" s="16"/>
      <c r="Z43" s="14"/>
      <c r="AA43" s="14"/>
      <c r="AB43" s="14"/>
      <c r="AC43" s="14"/>
      <c r="AD43" s="14"/>
      <c r="AE43" s="14"/>
    </row>
    <row r="44" spans="2:31" ht="15" x14ac:dyDescent="0.2">
      <c r="B44" s="47">
        <v>2046</v>
      </c>
      <c r="C44" s="47">
        <f t="shared" si="13"/>
        <v>150</v>
      </c>
      <c r="D44" s="49">
        <f t="shared" si="2"/>
        <v>75</v>
      </c>
      <c r="E44" s="16">
        <f t="shared" si="3"/>
        <v>7003.8571196338817</v>
      </c>
      <c r="F44" s="114">
        <v>444</v>
      </c>
      <c r="G44" s="16">
        <f t="shared" si="4"/>
        <v>15.984</v>
      </c>
      <c r="H44" s="16">
        <v>2</v>
      </c>
      <c r="I44" s="16">
        <v>0</v>
      </c>
      <c r="J44" s="16">
        <f t="shared" si="5"/>
        <v>18.425564818890876</v>
      </c>
      <c r="K44" s="16">
        <f t="shared" si="6"/>
        <v>6930.9820800000007</v>
      </c>
      <c r="L44" s="16">
        <f t="shared" si="7"/>
        <v>0</v>
      </c>
      <c r="M44" s="16">
        <f t="shared" si="0"/>
        <v>0</v>
      </c>
      <c r="N44" s="50">
        <f t="shared" si="8"/>
        <v>6286.4007465600007</v>
      </c>
      <c r="O44" s="51">
        <f t="shared" si="1"/>
        <v>16414987.104337633</v>
      </c>
      <c r="P44" s="80">
        <v>0</v>
      </c>
      <c r="Q44" s="115">
        <f t="shared" si="9"/>
        <v>0</v>
      </c>
      <c r="R44" s="120">
        <f t="shared" si="10"/>
        <v>2200.3718400000002</v>
      </c>
      <c r="S44" s="80">
        <f t="shared" si="11"/>
        <v>220.03718399999997</v>
      </c>
      <c r="T44" s="95">
        <f t="shared" si="12"/>
        <v>-2697.7910290738814</v>
      </c>
      <c r="U44" s="16"/>
      <c r="V44" s="16"/>
      <c r="W44" s="16"/>
      <c r="X44" s="16"/>
      <c r="Y44" s="16"/>
      <c r="Z44" s="16"/>
      <c r="AA44" s="16"/>
      <c r="AB44" s="16"/>
      <c r="AC44" s="16"/>
      <c r="AD44" s="16"/>
      <c r="AE44" s="16"/>
    </row>
    <row r="45" spans="2:31" ht="15" x14ac:dyDescent="0.2">
      <c r="B45" s="47">
        <v>2047</v>
      </c>
      <c r="C45" s="47">
        <f t="shared" si="13"/>
        <v>150</v>
      </c>
      <c r="D45" s="49">
        <f t="shared" si="2"/>
        <v>75</v>
      </c>
      <c r="E45" s="16">
        <f t="shared" si="3"/>
        <v>7003.8571196338817</v>
      </c>
      <c r="F45" s="114">
        <v>444</v>
      </c>
      <c r="G45" s="16">
        <f t="shared" si="4"/>
        <v>15.984</v>
      </c>
      <c r="H45" s="16">
        <v>2</v>
      </c>
      <c r="I45" s="16">
        <v>0</v>
      </c>
      <c r="J45" s="16">
        <f t="shared" si="5"/>
        <v>18.425564818890876</v>
      </c>
      <c r="K45" s="16">
        <f t="shared" si="6"/>
        <v>6930.9820800000007</v>
      </c>
      <c r="L45" s="16">
        <f t="shared" si="7"/>
        <v>0</v>
      </c>
      <c r="M45" s="16">
        <f t="shared" si="0"/>
        <v>0</v>
      </c>
      <c r="N45" s="50">
        <f t="shared" si="8"/>
        <v>6286.4007465600007</v>
      </c>
      <c r="O45" s="51">
        <f t="shared" si="1"/>
        <v>16414987.104337633</v>
      </c>
      <c r="P45" s="80">
        <v>0</v>
      </c>
      <c r="Q45" s="115">
        <f t="shared" si="9"/>
        <v>0</v>
      </c>
      <c r="R45" s="120">
        <f t="shared" si="10"/>
        <v>2200.3718400000002</v>
      </c>
      <c r="S45" s="80">
        <f t="shared" si="11"/>
        <v>220.03718399999997</v>
      </c>
      <c r="T45" s="95">
        <f t="shared" si="12"/>
        <v>-2697.7910290738814</v>
      </c>
      <c r="U45" s="16"/>
      <c r="V45" s="16"/>
      <c r="W45" s="16"/>
      <c r="X45" s="16"/>
      <c r="Y45" s="16"/>
      <c r="Z45" s="16"/>
      <c r="AA45" s="16"/>
      <c r="AB45" s="16"/>
      <c r="AC45" s="16"/>
      <c r="AD45" s="16"/>
      <c r="AE45" s="16"/>
    </row>
    <row r="46" spans="2:31" ht="15" x14ac:dyDescent="0.2">
      <c r="B46" s="47">
        <v>2048</v>
      </c>
      <c r="C46" s="47">
        <f t="shared" si="13"/>
        <v>150</v>
      </c>
      <c r="D46" s="49">
        <f t="shared" si="2"/>
        <v>75</v>
      </c>
      <c r="E46" s="16">
        <f t="shared" si="3"/>
        <v>7003.8571196338817</v>
      </c>
      <c r="F46" s="114">
        <v>444</v>
      </c>
      <c r="G46" s="16">
        <f t="shared" si="4"/>
        <v>15.984</v>
      </c>
      <c r="H46" s="16">
        <v>2</v>
      </c>
      <c r="I46" s="16">
        <v>0</v>
      </c>
      <c r="J46" s="16">
        <f t="shared" si="5"/>
        <v>18.425564818890876</v>
      </c>
      <c r="K46" s="16">
        <f t="shared" si="6"/>
        <v>6930.9820800000007</v>
      </c>
      <c r="L46" s="16">
        <f t="shared" si="7"/>
        <v>0</v>
      </c>
      <c r="M46" s="16">
        <f t="shared" si="0"/>
        <v>0</v>
      </c>
      <c r="N46" s="50">
        <f t="shared" si="8"/>
        <v>6286.4007465600007</v>
      </c>
      <c r="O46" s="51">
        <f t="shared" si="1"/>
        <v>16414987.104337633</v>
      </c>
      <c r="P46" s="80">
        <v>0</v>
      </c>
      <c r="Q46" s="115">
        <f t="shared" si="9"/>
        <v>0</v>
      </c>
      <c r="R46" s="120">
        <f t="shared" si="10"/>
        <v>2200.3718400000002</v>
      </c>
      <c r="S46" s="80">
        <f t="shared" si="11"/>
        <v>220.03718399999997</v>
      </c>
      <c r="T46" s="95">
        <f t="shared" si="12"/>
        <v>-2697.7910290738814</v>
      </c>
      <c r="U46" s="16"/>
      <c r="V46" s="16"/>
      <c r="W46" s="16"/>
      <c r="X46" s="16"/>
      <c r="Y46" s="16"/>
      <c r="Z46" s="16"/>
      <c r="AA46" s="16"/>
      <c r="AB46" s="16"/>
      <c r="AC46" s="16"/>
      <c r="AD46" s="16"/>
      <c r="AE46" s="16"/>
    </row>
    <row r="47" spans="2:31" ht="15" x14ac:dyDescent="0.2">
      <c r="B47" s="47">
        <v>2049</v>
      </c>
      <c r="C47" s="47">
        <f t="shared" si="13"/>
        <v>150</v>
      </c>
      <c r="D47" s="49">
        <f t="shared" si="2"/>
        <v>75</v>
      </c>
      <c r="E47" s="16">
        <f t="shared" si="3"/>
        <v>7003.8571196338817</v>
      </c>
      <c r="F47" s="114">
        <v>444</v>
      </c>
      <c r="G47" s="16">
        <f t="shared" si="4"/>
        <v>15.984</v>
      </c>
      <c r="H47" s="16">
        <v>2</v>
      </c>
      <c r="I47" s="16">
        <v>0</v>
      </c>
      <c r="J47" s="16">
        <f t="shared" si="5"/>
        <v>18.425564818890876</v>
      </c>
      <c r="K47" s="16">
        <f t="shared" si="6"/>
        <v>6930.9820800000007</v>
      </c>
      <c r="L47" s="16">
        <f t="shared" si="7"/>
        <v>0</v>
      </c>
      <c r="M47" s="16">
        <f t="shared" si="0"/>
        <v>0</v>
      </c>
      <c r="N47" s="50">
        <f t="shared" si="8"/>
        <v>6286.4007465600007</v>
      </c>
      <c r="O47" s="51">
        <f t="shared" si="1"/>
        <v>16414987.104337633</v>
      </c>
      <c r="P47" s="80">
        <v>0</v>
      </c>
      <c r="Q47" s="115">
        <f t="shared" si="9"/>
        <v>0</v>
      </c>
      <c r="R47" s="120">
        <f t="shared" si="10"/>
        <v>2200.3718400000002</v>
      </c>
      <c r="S47" s="80">
        <f t="shared" si="11"/>
        <v>220.03718399999997</v>
      </c>
      <c r="T47" s="95">
        <f t="shared" si="12"/>
        <v>-2697.7910290738814</v>
      </c>
      <c r="U47" s="16"/>
      <c r="V47" s="16"/>
      <c r="W47" s="16"/>
      <c r="X47" s="16"/>
      <c r="Y47" s="16"/>
      <c r="Z47" s="16"/>
      <c r="AA47" s="16"/>
      <c r="AB47" s="16"/>
      <c r="AC47" s="16"/>
      <c r="AD47" s="16"/>
      <c r="AE47" s="16"/>
    </row>
    <row r="48" spans="2:31" ht="15" x14ac:dyDescent="0.2">
      <c r="B48" s="52">
        <v>2050</v>
      </c>
      <c r="C48" s="52">
        <f>38400/0.12/2000</f>
        <v>160</v>
      </c>
      <c r="D48" s="53">
        <f t="shared" si="2"/>
        <v>80</v>
      </c>
      <c r="E48" s="30">
        <f t="shared" si="3"/>
        <v>7470.7809276094731</v>
      </c>
      <c r="F48" s="116">
        <v>503</v>
      </c>
      <c r="G48" s="85">
        <f t="shared" si="4"/>
        <v>18.108000000000001</v>
      </c>
      <c r="H48" s="85">
        <v>2</v>
      </c>
      <c r="I48" s="85">
        <v>0</v>
      </c>
      <c r="J48" s="85">
        <f t="shared" si="5"/>
        <v>18.425564818890876</v>
      </c>
      <c r="K48" s="85">
        <f t="shared" si="6"/>
        <v>7851.990960000001</v>
      </c>
      <c r="L48" s="85">
        <f t="shared" si="7"/>
        <v>0</v>
      </c>
      <c r="M48" s="85">
        <f t="shared" si="0"/>
        <v>0</v>
      </c>
      <c r="N48" s="117">
        <f t="shared" si="8"/>
        <v>7121.7558007200014</v>
      </c>
      <c r="O48" s="118">
        <f t="shared" si="1"/>
        <v>18596257.913247362</v>
      </c>
      <c r="P48" s="97">
        <v>0</v>
      </c>
      <c r="Q48" s="119">
        <f t="shared" si="9"/>
        <v>0</v>
      </c>
      <c r="R48" s="121">
        <f t="shared" si="10"/>
        <v>2200.3718400000002</v>
      </c>
      <c r="S48" s="97">
        <f t="shared" si="11"/>
        <v>220.03718399999997</v>
      </c>
      <c r="T48" s="96">
        <f t="shared" si="12"/>
        <v>-2329.3597828894722</v>
      </c>
      <c r="U48" s="16"/>
      <c r="V48" s="16"/>
      <c r="W48" s="16"/>
      <c r="X48" s="16"/>
      <c r="Y48" s="16"/>
      <c r="Z48" s="16"/>
      <c r="AA48" s="16"/>
      <c r="AB48" s="16"/>
      <c r="AC48" s="16"/>
      <c r="AD48" s="16"/>
      <c r="AE48" s="16"/>
    </row>
    <row r="49" spans="3:31" ht="15" x14ac:dyDescent="0.2">
      <c r="C49" s="16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  <c r="P49" s="16"/>
      <c r="Q49" s="16"/>
      <c r="R49" s="16"/>
      <c r="S49" s="16"/>
      <c r="T49" s="16"/>
      <c r="U49" s="16"/>
      <c r="V49" s="16"/>
      <c r="W49" s="16"/>
      <c r="X49" s="16"/>
      <c r="Y49" s="16"/>
      <c r="Z49" s="16"/>
      <c r="AA49" s="16"/>
      <c r="AB49" s="16"/>
      <c r="AC49" s="16"/>
      <c r="AD49" s="16"/>
      <c r="AE49" s="16"/>
    </row>
    <row r="54" spans="3:31" ht="15" x14ac:dyDescent="0.25">
      <c r="K54" s="54"/>
    </row>
  </sheetData>
  <mergeCells count="10">
    <mergeCell ref="B22:B24"/>
    <mergeCell ref="C22:E22"/>
    <mergeCell ref="F22:N22"/>
    <mergeCell ref="O22:Q22"/>
    <mergeCell ref="D2:E2"/>
    <mergeCell ref="D3:D4"/>
    <mergeCell ref="D5:D13"/>
    <mergeCell ref="T23:T24"/>
    <mergeCell ref="R22:S22"/>
    <mergeCell ref="D15:D20"/>
  </mergeCells>
  <conditionalFormatting sqref="K54">
    <cfRule type="containsText" dxfId="1" priority="1" stopIfTrue="1" operator="containsText" text="INPUT ERROR">
      <formula>NOT(ISERROR(SEARCH("INPUT ERROR",K54)))</formula>
    </cfRule>
  </conditionalFormatting>
  <printOptions horizontalCentered="1"/>
  <pageMargins left="0.45" right="0.45" top="0.5" bottom="0.5" header="0.3" footer="0.3"/>
  <pageSetup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10BEC4-7165-4C29-9E90-13E13C60F687}">
  <dimension ref="B1:L33"/>
  <sheetViews>
    <sheetView showGridLines="0" zoomScale="120" zoomScaleNormal="120" workbookViewId="0">
      <selection activeCell="J29" sqref="J29"/>
    </sheetView>
  </sheetViews>
  <sheetFormatPr defaultColWidth="24.85546875" defaultRowHeight="15" x14ac:dyDescent="0.25"/>
  <cols>
    <col min="1" max="1" width="7.42578125" customWidth="1"/>
    <col min="2" max="2" width="21.42578125" style="145" customWidth="1"/>
    <col min="3" max="3" width="17.7109375" style="145" customWidth="1"/>
    <col min="4" max="4" width="16.140625" style="145" customWidth="1"/>
    <col min="5" max="5" width="19.42578125" style="147" customWidth="1"/>
    <col min="6" max="6" width="19.28515625" style="145" customWidth="1"/>
    <col min="7" max="7" width="16" customWidth="1"/>
  </cols>
  <sheetData>
    <row r="1" spans="2:12" x14ac:dyDescent="0.25">
      <c r="C1" s="146"/>
    </row>
    <row r="2" spans="2:12" x14ac:dyDescent="0.25">
      <c r="B2" s="148" t="s">
        <v>131</v>
      </c>
      <c r="C2" s="149"/>
      <c r="D2" s="150"/>
      <c r="E2" s="151"/>
      <c r="F2" s="152"/>
    </row>
    <row r="3" spans="2:12" s="155" customFormat="1" ht="48.95" customHeight="1" x14ac:dyDescent="0.25">
      <c r="B3" s="8" t="s">
        <v>0</v>
      </c>
      <c r="C3" s="8" t="s">
        <v>132</v>
      </c>
      <c r="D3" s="8" t="s">
        <v>133</v>
      </c>
      <c r="E3" s="153" t="s">
        <v>134</v>
      </c>
      <c r="F3" s="8" t="s">
        <v>135</v>
      </c>
      <c r="G3" s="154"/>
      <c r="K3" s="154"/>
      <c r="L3" s="154"/>
    </row>
    <row r="4" spans="2:12" x14ac:dyDescent="0.25">
      <c r="B4" s="156">
        <v>2021</v>
      </c>
      <c r="C4" s="157">
        <v>471.66171435793837</v>
      </c>
      <c r="D4" s="158">
        <v>0.44500000000000001</v>
      </c>
      <c r="E4" s="157">
        <v>471.66171435793837</v>
      </c>
      <c r="F4" s="159">
        <v>0.21394198033904599</v>
      </c>
      <c r="G4" s="72"/>
    </row>
    <row r="5" spans="2:12" x14ac:dyDescent="0.25">
      <c r="B5" s="160">
        <v>2022</v>
      </c>
      <c r="C5" s="160"/>
      <c r="D5" s="161">
        <v>0.4622222222222222</v>
      </c>
      <c r="E5" s="162">
        <v>457.0250666666667</v>
      </c>
      <c r="F5" s="163">
        <v>0.20730291403946668</v>
      </c>
      <c r="G5" s="72"/>
    </row>
    <row r="6" spans="2:12" x14ac:dyDescent="0.25">
      <c r="B6" s="160">
        <v>2023</v>
      </c>
      <c r="C6" s="160"/>
      <c r="D6" s="161">
        <v>0.4794444444444444</v>
      </c>
      <c r="E6" s="162">
        <v>442.3889333333334</v>
      </c>
      <c r="F6" s="163">
        <v>0.20066408104853334</v>
      </c>
      <c r="G6" s="72"/>
    </row>
    <row r="7" spans="2:12" x14ac:dyDescent="0.25">
      <c r="B7" s="160">
        <v>2024</v>
      </c>
      <c r="C7" s="160"/>
      <c r="D7" s="161">
        <v>0.49666666666666659</v>
      </c>
      <c r="E7" s="162">
        <v>427.75280000000009</v>
      </c>
      <c r="F7" s="163">
        <v>0.19402524805760005</v>
      </c>
      <c r="G7" s="72"/>
    </row>
    <row r="8" spans="2:12" x14ac:dyDescent="0.25">
      <c r="B8" s="160">
        <v>2025</v>
      </c>
      <c r="C8" s="160"/>
      <c r="D8" s="161">
        <v>0.51388888888888884</v>
      </c>
      <c r="E8" s="162">
        <v>413.11666666666673</v>
      </c>
      <c r="F8" s="163">
        <v>0.1873864150666667</v>
      </c>
      <c r="G8" s="72"/>
    </row>
    <row r="9" spans="2:12" x14ac:dyDescent="0.25">
      <c r="B9" s="160">
        <v>2026</v>
      </c>
      <c r="C9" s="160"/>
      <c r="D9" s="161">
        <v>0.53111111111111109</v>
      </c>
      <c r="E9" s="162">
        <v>398.48053333333337</v>
      </c>
      <c r="F9" s="163">
        <v>0.18074758207573333</v>
      </c>
      <c r="G9" s="72"/>
    </row>
    <row r="10" spans="2:12" x14ac:dyDescent="0.25">
      <c r="B10" s="160">
        <v>2027</v>
      </c>
      <c r="C10" s="160"/>
      <c r="D10" s="161">
        <v>0.54833333333333334</v>
      </c>
      <c r="E10" s="162">
        <v>383.84440000000001</v>
      </c>
      <c r="F10" s="163">
        <v>0.17410874908480001</v>
      </c>
      <c r="G10" s="72"/>
    </row>
    <row r="11" spans="2:12" x14ac:dyDescent="0.25">
      <c r="B11" s="160">
        <v>2028</v>
      </c>
      <c r="C11" s="160"/>
      <c r="D11" s="161">
        <v>0.56555555555555559</v>
      </c>
      <c r="E11" s="162">
        <v>369.20826666666665</v>
      </c>
      <c r="F11" s="163">
        <v>0.16746991609386666</v>
      </c>
      <c r="G11" s="72"/>
    </row>
    <row r="12" spans="2:12" x14ac:dyDescent="0.25">
      <c r="B12" s="160">
        <v>2029</v>
      </c>
      <c r="C12" s="160"/>
      <c r="D12" s="161">
        <v>0.58277777777777784</v>
      </c>
      <c r="E12" s="162">
        <v>354.57213333333328</v>
      </c>
      <c r="F12" s="163">
        <v>0.16083108310293331</v>
      </c>
      <c r="G12" s="72"/>
    </row>
    <row r="13" spans="2:12" x14ac:dyDescent="0.25">
      <c r="B13" s="156">
        <v>2030</v>
      </c>
      <c r="C13" s="156"/>
      <c r="D13" s="158">
        <v>0.6</v>
      </c>
      <c r="E13" s="164">
        <v>339.93600000000004</v>
      </c>
      <c r="F13" s="159">
        <v>0.15419225011200002</v>
      </c>
      <c r="G13" s="72"/>
    </row>
    <row r="14" spans="2:12" x14ac:dyDescent="0.25">
      <c r="B14" s="160">
        <v>2031</v>
      </c>
      <c r="C14" s="160"/>
      <c r="D14" s="161">
        <v>0.62666666666666659</v>
      </c>
      <c r="E14" s="162">
        <v>317.2736000000001</v>
      </c>
      <c r="F14" s="163">
        <v>0.14391276677120005</v>
      </c>
      <c r="G14" s="72"/>
    </row>
    <row r="15" spans="2:12" x14ac:dyDescent="0.25">
      <c r="B15" s="160">
        <v>2032</v>
      </c>
      <c r="C15" s="160"/>
      <c r="D15" s="161">
        <v>0.65333333333333321</v>
      </c>
      <c r="E15" s="162">
        <v>294.61120000000017</v>
      </c>
      <c r="F15" s="163">
        <v>0.13363328343040007</v>
      </c>
      <c r="G15" s="72"/>
    </row>
    <row r="16" spans="2:12" x14ac:dyDescent="0.25">
      <c r="B16" s="160">
        <v>2033</v>
      </c>
      <c r="C16" s="160"/>
      <c r="D16" s="161">
        <v>0.67999999999999983</v>
      </c>
      <c r="E16" s="162">
        <v>271.94880000000012</v>
      </c>
      <c r="F16" s="163">
        <v>0.12335380008960006</v>
      </c>
      <c r="G16" s="72"/>
    </row>
    <row r="17" spans="2:7" x14ac:dyDescent="0.25">
      <c r="B17" s="160">
        <v>2034</v>
      </c>
      <c r="C17" s="160"/>
      <c r="D17" s="161">
        <v>0.70666666666666644</v>
      </c>
      <c r="E17" s="162">
        <v>249.28640000000019</v>
      </c>
      <c r="F17" s="163">
        <v>0.11307431674880009</v>
      </c>
      <c r="G17" s="72"/>
    </row>
    <row r="18" spans="2:7" x14ac:dyDescent="0.25">
      <c r="B18" s="160">
        <v>2035</v>
      </c>
      <c r="C18" s="160"/>
      <c r="D18" s="161">
        <v>0.73333333333333306</v>
      </c>
      <c r="E18" s="162">
        <v>226.62400000000025</v>
      </c>
      <c r="F18" s="163">
        <v>0.10279483340800012</v>
      </c>
      <c r="G18" s="72"/>
    </row>
    <row r="19" spans="2:7" x14ac:dyDescent="0.25">
      <c r="B19" s="160">
        <v>2036</v>
      </c>
      <c r="C19" s="160"/>
      <c r="D19" s="161">
        <v>0.75999999999999968</v>
      </c>
      <c r="E19" s="162">
        <v>203.96160000000032</v>
      </c>
      <c r="F19" s="163">
        <v>9.2515350067200144E-2</v>
      </c>
      <c r="G19" s="72"/>
    </row>
    <row r="20" spans="2:7" x14ac:dyDescent="0.25">
      <c r="B20" s="160">
        <v>2037</v>
      </c>
      <c r="C20" s="160"/>
      <c r="D20" s="161">
        <v>0.78666666666666629</v>
      </c>
      <c r="E20" s="162">
        <v>181.29920000000027</v>
      </c>
      <c r="F20" s="163">
        <v>8.2235866726400125E-2</v>
      </c>
      <c r="G20" s="72"/>
    </row>
    <row r="21" spans="2:7" x14ac:dyDescent="0.25">
      <c r="B21" s="160">
        <v>2038</v>
      </c>
      <c r="C21" s="160"/>
      <c r="D21" s="161">
        <v>0.81333333333333291</v>
      </c>
      <c r="E21" s="162">
        <v>158.63680000000033</v>
      </c>
      <c r="F21" s="163">
        <v>7.1956383385600148E-2</v>
      </c>
      <c r="G21" s="72"/>
    </row>
    <row r="22" spans="2:7" x14ac:dyDescent="0.25">
      <c r="B22" s="160">
        <v>2039</v>
      </c>
      <c r="C22" s="160"/>
      <c r="D22" s="161">
        <v>0.83999999999999952</v>
      </c>
      <c r="E22" s="162">
        <v>135.9744000000004</v>
      </c>
      <c r="F22" s="163">
        <v>6.1676900044800177E-2</v>
      </c>
      <c r="G22" s="72"/>
    </row>
    <row r="23" spans="2:7" x14ac:dyDescent="0.25">
      <c r="B23" s="160">
        <v>2040</v>
      </c>
      <c r="C23" s="160"/>
      <c r="D23" s="161">
        <v>0.86666666666666614</v>
      </c>
      <c r="E23" s="162">
        <v>113.31200000000047</v>
      </c>
      <c r="F23" s="163">
        <v>5.1397416704000214E-2</v>
      </c>
      <c r="G23" s="72"/>
    </row>
    <row r="24" spans="2:7" x14ac:dyDescent="0.25">
      <c r="B24" s="160">
        <v>2041</v>
      </c>
      <c r="C24" s="160"/>
      <c r="D24" s="161">
        <v>0.89333333333333276</v>
      </c>
      <c r="E24" s="162">
        <v>90.649600000000532</v>
      </c>
      <c r="F24" s="163">
        <v>4.1117933363200243E-2</v>
      </c>
      <c r="G24" s="72"/>
    </row>
    <row r="25" spans="2:7" x14ac:dyDescent="0.25">
      <c r="B25" s="160">
        <v>2042</v>
      </c>
      <c r="C25" s="160"/>
      <c r="D25" s="161">
        <v>0.91999999999999937</v>
      </c>
      <c r="E25" s="162">
        <v>67.987200000000485</v>
      </c>
      <c r="F25" s="163">
        <v>3.083845002240022E-2</v>
      </c>
      <c r="G25" s="72"/>
    </row>
    <row r="26" spans="2:7" x14ac:dyDescent="0.25">
      <c r="B26" s="160">
        <v>2043</v>
      </c>
      <c r="C26" s="160"/>
      <c r="D26" s="161">
        <v>0.94666666666666599</v>
      </c>
      <c r="E26" s="162">
        <v>45.32480000000055</v>
      </c>
      <c r="F26" s="163">
        <v>2.055896668160025E-2</v>
      </c>
      <c r="G26" s="72"/>
    </row>
    <row r="27" spans="2:7" x14ac:dyDescent="0.25">
      <c r="B27" s="160">
        <v>2044</v>
      </c>
      <c r="C27" s="160"/>
      <c r="D27" s="161">
        <v>0.97333333333333261</v>
      </c>
      <c r="E27" s="162">
        <v>22.662400000000616</v>
      </c>
      <c r="F27" s="163">
        <v>1.0279483340800279E-2</v>
      </c>
      <c r="G27" s="72"/>
    </row>
    <row r="28" spans="2:7" x14ac:dyDescent="0.25">
      <c r="B28" s="156">
        <v>2045</v>
      </c>
      <c r="C28" s="156">
        <v>0</v>
      </c>
      <c r="D28" s="158">
        <v>1</v>
      </c>
      <c r="E28" s="164">
        <v>0</v>
      </c>
      <c r="F28" s="159">
        <v>0</v>
      </c>
    </row>
    <row r="29" spans="2:7" x14ac:dyDescent="0.25">
      <c r="B29" s="160">
        <v>2046</v>
      </c>
      <c r="C29" s="160"/>
      <c r="D29" s="161">
        <v>1</v>
      </c>
      <c r="E29" s="165">
        <v>0</v>
      </c>
      <c r="F29" s="160">
        <v>0</v>
      </c>
    </row>
    <row r="30" spans="2:7" x14ac:dyDescent="0.25">
      <c r="B30" s="160">
        <v>2047</v>
      </c>
      <c r="C30" s="160"/>
      <c r="D30" s="161">
        <v>1</v>
      </c>
      <c r="E30" s="165">
        <v>0</v>
      </c>
      <c r="F30" s="160">
        <v>0</v>
      </c>
    </row>
    <row r="31" spans="2:7" x14ac:dyDescent="0.25">
      <c r="B31" s="160">
        <v>2048</v>
      </c>
      <c r="C31" s="160"/>
      <c r="D31" s="161">
        <v>1</v>
      </c>
      <c r="E31" s="165">
        <v>0</v>
      </c>
      <c r="F31" s="160">
        <v>0</v>
      </c>
    </row>
    <row r="32" spans="2:7" x14ac:dyDescent="0.25">
      <c r="B32" s="160">
        <v>2049</v>
      </c>
      <c r="C32" s="160"/>
      <c r="D32" s="161">
        <v>1</v>
      </c>
      <c r="E32" s="165">
        <v>0</v>
      </c>
      <c r="F32" s="160">
        <v>0</v>
      </c>
    </row>
    <row r="33" spans="2:6" x14ac:dyDescent="0.25">
      <c r="B33" s="160">
        <v>2050</v>
      </c>
      <c r="C33" s="160"/>
      <c r="D33" s="161">
        <v>1</v>
      </c>
      <c r="E33" s="165">
        <v>0</v>
      </c>
      <c r="F33" s="160">
        <v>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70AB0A-56D2-4400-9A1E-081B8BD46D52}">
  <dimension ref="B2:V32"/>
  <sheetViews>
    <sheetView tabSelected="1" zoomScaleNormal="100" workbookViewId="0">
      <selection activeCell="H41" sqref="H41"/>
    </sheetView>
  </sheetViews>
  <sheetFormatPr defaultRowHeight="15" x14ac:dyDescent="0.25"/>
  <cols>
    <col min="2" max="2" width="45.85546875" bestFit="1" customWidth="1"/>
    <col min="3" max="3" width="17.85546875" bestFit="1" customWidth="1"/>
    <col min="5" max="5" width="38.140625" bestFit="1" customWidth="1"/>
    <col min="6" max="14" width="12.5703125" bestFit="1" customWidth="1"/>
    <col min="18" max="18" width="19.42578125" bestFit="1" customWidth="1"/>
  </cols>
  <sheetData>
    <row r="2" spans="2:22" ht="15.75" thickBot="1" x14ac:dyDescent="0.3">
      <c r="F2" t="s">
        <v>79</v>
      </c>
      <c r="G2" t="s">
        <v>80</v>
      </c>
      <c r="H2" t="s">
        <v>81</v>
      </c>
      <c r="I2" t="s">
        <v>82</v>
      </c>
      <c r="J2" t="s">
        <v>83</v>
      </c>
      <c r="K2" t="s">
        <v>84</v>
      </c>
      <c r="L2" t="s">
        <v>85</v>
      </c>
      <c r="M2" t="s">
        <v>86</v>
      </c>
      <c r="N2" t="s">
        <v>87</v>
      </c>
      <c r="O2" t="s">
        <v>88</v>
      </c>
      <c r="P2" t="s">
        <v>89</v>
      </c>
    </row>
    <row r="3" spans="2:22" x14ac:dyDescent="0.25">
      <c r="B3" t="s">
        <v>90</v>
      </c>
      <c r="E3" s="55" t="s">
        <v>91</v>
      </c>
      <c r="F3" s="56">
        <v>29540</v>
      </c>
      <c r="G3" s="56">
        <v>29540</v>
      </c>
      <c r="H3" s="56">
        <v>29540</v>
      </c>
      <c r="I3" s="56">
        <v>29540</v>
      </c>
      <c r="J3" s="56">
        <v>29540</v>
      </c>
      <c r="K3" s="56">
        <v>29540</v>
      </c>
      <c r="L3" s="56">
        <v>29540</v>
      </c>
      <c r="M3" s="56">
        <v>29540</v>
      </c>
      <c r="N3" s="56">
        <v>29540</v>
      </c>
      <c r="O3" s="56">
        <v>29540</v>
      </c>
      <c r="P3" s="56">
        <v>29540</v>
      </c>
    </row>
    <row r="4" spans="2:22" ht="17.25" x14ac:dyDescent="0.25">
      <c r="B4" t="s">
        <v>92</v>
      </c>
      <c r="C4" s="57">
        <v>0.1</v>
      </c>
      <c r="E4" s="58" t="s">
        <v>93</v>
      </c>
      <c r="F4" s="59">
        <v>0.03</v>
      </c>
      <c r="G4" s="59">
        <v>0.03</v>
      </c>
      <c r="H4" s="59">
        <v>0.03</v>
      </c>
      <c r="I4" s="59">
        <v>0.03</v>
      </c>
      <c r="J4" s="59">
        <v>0.03</v>
      </c>
      <c r="K4" s="59">
        <v>0.03</v>
      </c>
      <c r="L4" s="59">
        <v>0.03</v>
      </c>
      <c r="M4" s="59">
        <v>0.03</v>
      </c>
      <c r="N4" s="59">
        <v>0.03</v>
      </c>
      <c r="O4" s="59">
        <v>0.03</v>
      </c>
      <c r="P4" s="59">
        <v>0.03</v>
      </c>
    </row>
    <row r="5" spans="2:22" x14ac:dyDescent="0.25">
      <c r="B5" t="s">
        <v>94</v>
      </c>
      <c r="C5" s="60">
        <v>0.1178854</v>
      </c>
      <c r="E5" s="58" t="s">
        <v>95</v>
      </c>
      <c r="F5" s="61">
        <v>0.8</v>
      </c>
      <c r="G5" s="61">
        <v>0.8</v>
      </c>
      <c r="H5" s="61">
        <v>0.8</v>
      </c>
      <c r="I5" s="61">
        <v>0.8</v>
      </c>
      <c r="J5" s="61">
        <v>0.8</v>
      </c>
      <c r="K5" s="61">
        <v>0.8</v>
      </c>
      <c r="L5" s="61">
        <v>0.8</v>
      </c>
      <c r="M5" s="61">
        <v>0.8</v>
      </c>
      <c r="N5" s="61">
        <v>0.8</v>
      </c>
      <c r="O5" s="61">
        <v>0.8</v>
      </c>
      <c r="P5" s="61">
        <v>0.8</v>
      </c>
    </row>
    <row r="6" spans="2:22" x14ac:dyDescent="0.25">
      <c r="B6" t="s">
        <v>96</v>
      </c>
      <c r="C6">
        <v>9.3000000000000007</v>
      </c>
      <c r="E6" s="58" t="s">
        <v>97</v>
      </c>
      <c r="F6" s="62">
        <v>23632</v>
      </c>
      <c r="G6" s="62">
        <v>23632</v>
      </c>
      <c r="H6" s="62">
        <v>23632</v>
      </c>
      <c r="I6" s="62">
        <v>23632</v>
      </c>
      <c r="J6" s="62">
        <v>23632</v>
      </c>
      <c r="K6" s="62">
        <v>23632</v>
      </c>
      <c r="L6" s="62">
        <v>23632</v>
      </c>
      <c r="M6" s="62">
        <v>23632</v>
      </c>
      <c r="N6" s="62">
        <v>23632</v>
      </c>
      <c r="O6" s="62">
        <v>23632</v>
      </c>
      <c r="P6" s="62">
        <v>23632</v>
      </c>
    </row>
    <row r="7" spans="2:22" x14ac:dyDescent="0.25">
      <c r="B7" t="s">
        <v>98</v>
      </c>
      <c r="C7">
        <v>4.7</v>
      </c>
      <c r="E7" s="63" t="s">
        <v>99</v>
      </c>
      <c r="F7" s="64">
        <v>118066</v>
      </c>
      <c r="G7" s="64">
        <v>118066</v>
      </c>
      <c r="H7" s="64">
        <v>118066</v>
      </c>
      <c r="I7" s="64">
        <v>118066</v>
      </c>
      <c r="J7" s="64">
        <v>118066</v>
      </c>
      <c r="K7" s="64">
        <v>118066</v>
      </c>
      <c r="L7" s="64">
        <v>118066</v>
      </c>
      <c r="M7" s="64">
        <v>118066</v>
      </c>
      <c r="N7" s="64">
        <v>118066</v>
      </c>
      <c r="O7" s="64">
        <v>118066</v>
      </c>
      <c r="P7" s="64">
        <v>118066</v>
      </c>
    </row>
    <row r="8" spans="2:22" x14ac:dyDescent="0.25">
      <c r="B8" t="s">
        <v>100</v>
      </c>
      <c r="C8">
        <v>11.8</v>
      </c>
      <c r="E8" s="58" t="s">
        <v>101</v>
      </c>
      <c r="F8" s="65">
        <v>13210</v>
      </c>
      <c r="G8" s="65">
        <v>13210</v>
      </c>
      <c r="H8" s="65">
        <v>13210</v>
      </c>
      <c r="I8" s="65">
        <v>13210</v>
      </c>
      <c r="J8" s="65">
        <v>13210</v>
      </c>
      <c r="K8" s="65">
        <v>13210</v>
      </c>
      <c r="L8" s="65">
        <v>13210</v>
      </c>
      <c r="M8" s="65">
        <v>13210</v>
      </c>
      <c r="N8" s="65">
        <v>13210</v>
      </c>
      <c r="O8" s="65">
        <v>13210</v>
      </c>
      <c r="P8" s="65">
        <v>13210</v>
      </c>
    </row>
    <row r="9" spans="2:22" x14ac:dyDescent="0.25">
      <c r="E9" s="58" t="s">
        <v>102</v>
      </c>
      <c r="F9" s="61">
        <v>0.05</v>
      </c>
      <c r="G9" s="61">
        <v>0.05</v>
      </c>
      <c r="H9" s="61">
        <v>0.05</v>
      </c>
      <c r="I9" s="61">
        <v>0.05</v>
      </c>
      <c r="J9" s="61">
        <v>0.05</v>
      </c>
      <c r="K9" s="61">
        <v>0.05</v>
      </c>
      <c r="L9" s="61">
        <v>0.05</v>
      </c>
      <c r="M9" s="61">
        <v>0.05</v>
      </c>
      <c r="N9" s="61">
        <v>0.05</v>
      </c>
      <c r="O9" s="61">
        <v>0.05</v>
      </c>
      <c r="P9" s="61">
        <v>0.05</v>
      </c>
    </row>
    <row r="10" spans="2:22" x14ac:dyDescent="0.25">
      <c r="E10" s="58" t="s">
        <v>103</v>
      </c>
      <c r="F10" s="61">
        <v>0.83</v>
      </c>
      <c r="G10" s="61">
        <v>0.83</v>
      </c>
      <c r="H10" s="61">
        <v>0.83</v>
      </c>
      <c r="I10" s="61">
        <v>0.83</v>
      </c>
      <c r="J10" s="61">
        <v>0.83</v>
      </c>
      <c r="K10" s="61">
        <v>0.83</v>
      </c>
      <c r="L10" s="61">
        <v>0.83</v>
      </c>
      <c r="M10" s="61">
        <v>0.83</v>
      </c>
      <c r="N10" s="61">
        <v>0.83</v>
      </c>
      <c r="O10" s="61">
        <v>0.83</v>
      </c>
      <c r="P10" s="61">
        <v>0.83</v>
      </c>
      <c r="V10" s="66"/>
    </row>
    <row r="11" spans="2:22" x14ac:dyDescent="0.25">
      <c r="E11" s="58" t="s">
        <v>104</v>
      </c>
      <c r="F11" s="65">
        <v>10964</v>
      </c>
      <c r="G11" s="65">
        <v>10964</v>
      </c>
      <c r="H11" s="65">
        <v>10964</v>
      </c>
      <c r="I11" s="65">
        <v>10964</v>
      </c>
      <c r="J11" s="65">
        <v>10964</v>
      </c>
      <c r="K11" s="65">
        <v>10964</v>
      </c>
      <c r="L11" s="65">
        <v>10964</v>
      </c>
      <c r="M11" s="65">
        <v>10964</v>
      </c>
      <c r="N11" s="65">
        <v>10964</v>
      </c>
      <c r="O11" s="65">
        <v>10964</v>
      </c>
      <c r="P11" s="65">
        <v>10964</v>
      </c>
    </row>
    <row r="12" spans="2:22" ht="15.75" thickBot="1" x14ac:dyDescent="0.3">
      <c r="E12" s="58" t="s">
        <v>105</v>
      </c>
      <c r="F12" s="67">
        <v>31679</v>
      </c>
      <c r="G12" s="67">
        <v>31679</v>
      </c>
      <c r="H12" s="67">
        <v>31679</v>
      </c>
      <c r="I12" s="67">
        <v>31679</v>
      </c>
      <c r="J12" s="67">
        <v>31679</v>
      </c>
      <c r="K12" s="67">
        <v>31679</v>
      </c>
      <c r="L12" s="67">
        <v>31679</v>
      </c>
      <c r="M12" s="67">
        <v>31679</v>
      </c>
      <c r="N12" s="67">
        <v>31679</v>
      </c>
      <c r="O12" s="67">
        <v>31679</v>
      </c>
      <c r="P12" s="67">
        <v>31679</v>
      </c>
    </row>
    <row r="13" spans="2:22" x14ac:dyDescent="0.25">
      <c r="E13" s="55" t="s">
        <v>106</v>
      </c>
      <c r="F13" s="56">
        <f t="shared" ref="F13:P13" si="0">F3+F8</f>
        <v>42750</v>
      </c>
      <c r="G13" s="56">
        <f t="shared" si="0"/>
        <v>42750</v>
      </c>
      <c r="H13" s="56">
        <f t="shared" si="0"/>
        <v>42750</v>
      </c>
      <c r="I13" s="56">
        <f t="shared" si="0"/>
        <v>42750</v>
      </c>
      <c r="J13" s="56">
        <f t="shared" si="0"/>
        <v>42750</v>
      </c>
      <c r="K13" s="56">
        <f t="shared" si="0"/>
        <v>42750</v>
      </c>
      <c r="L13" s="56">
        <f t="shared" si="0"/>
        <v>42750</v>
      </c>
      <c r="M13" s="56">
        <f t="shared" si="0"/>
        <v>42750</v>
      </c>
      <c r="N13" s="56">
        <f t="shared" si="0"/>
        <v>42750</v>
      </c>
      <c r="O13" s="56">
        <f t="shared" si="0"/>
        <v>42750</v>
      </c>
      <c r="P13" s="56">
        <f t="shared" si="0"/>
        <v>42750</v>
      </c>
    </row>
    <row r="14" spans="2:22" x14ac:dyDescent="0.25">
      <c r="E14" s="58" t="s">
        <v>107</v>
      </c>
      <c r="F14" s="68">
        <f>F13/F17/8.34</f>
        <v>3.4230854322852444E-2</v>
      </c>
      <c r="G14" s="68">
        <f t="shared" ref="G14:P14" si="1">G13/G17/8.34</f>
        <v>3.4230854322852444E-2</v>
      </c>
      <c r="H14" s="68">
        <f t="shared" si="1"/>
        <v>3.4230854322852444E-2</v>
      </c>
      <c r="I14" s="68">
        <f t="shared" si="1"/>
        <v>3.4230854322852444E-2</v>
      </c>
      <c r="J14" s="68">
        <f t="shared" si="1"/>
        <v>3.4230854322852444E-2</v>
      </c>
      <c r="K14" s="68">
        <f t="shared" si="1"/>
        <v>3.4230854322852444E-2</v>
      </c>
      <c r="L14" s="68">
        <f t="shared" si="1"/>
        <v>3.4230854322852444E-2</v>
      </c>
      <c r="M14" s="68">
        <f t="shared" si="1"/>
        <v>3.4230854322852444E-2</v>
      </c>
      <c r="N14" s="68">
        <f t="shared" si="1"/>
        <v>3.4230854322852444E-2</v>
      </c>
      <c r="O14" s="68">
        <f t="shared" si="1"/>
        <v>3.4230854322852444E-2</v>
      </c>
      <c r="P14" s="68">
        <f t="shared" si="1"/>
        <v>3.4230854322852444E-2</v>
      </c>
    </row>
    <row r="15" spans="2:22" x14ac:dyDescent="0.25">
      <c r="E15" s="58" t="s">
        <v>108</v>
      </c>
      <c r="F15" s="61">
        <f>F16/F13</f>
        <v>0.8092631578947368</v>
      </c>
      <c r="G15" s="61">
        <f t="shared" ref="G15:P15" si="2">G16/G13</f>
        <v>0.8092631578947368</v>
      </c>
      <c r="H15" s="61">
        <f t="shared" si="2"/>
        <v>0.8092631578947368</v>
      </c>
      <c r="I15" s="61">
        <f t="shared" si="2"/>
        <v>0.8092631578947368</v>
      </c>
      <c r="J15" s="61">
        <f t="shared" si="2"/>
        <v>0.8092631578947368</v>
      </c>
      <c r="K15" s="61">
        <f t="shared" si="2"/>
        <v>0.8092631578947368</v>
      </c>
      <c r="L15" s="61">
        <f t="shared" si="2"/>
        <v>0.8092631578947368</v>
      </c>
      <c r="M15" s="61">
        <f t="shared" si="2"/>
        <v>0.8092631578947368</v>
      </c>
      <c r="N15" s="61">
        <f t="shared" si="2"/>
        <v>0.8092631578947368</v>
      </c>
      <c r="O15" s="61">
        <f t="shared" si="2"/>
        <v>0.8092631578947368</v>
      </c>
      <c r="P15" s="61">
        <f t="shared" si="2"/>
        <v>0.8092631578947368</v>
      </c>
    </row>
    <row r="16" spans="2:22" x14ac:dyDescent="0.25">
      <c r="E16" s="58" t="s">
        <v>109</v>
      </c>
      <c r="F16" s="65">
        <f t="shared" ref="F16:P17" si="3">F6+F11</f>
        <v>34596</v>
      </c>
      <c r="G16" s="65">
        <f t="shared" si="3"/>
        <v>34596</v>
      </c>
      <c r="H16" s="65">
        <f t="shared" si="3"/>
        <v>34596</v>
      </c>
      <c r="I16" s="65">
        <f t="shared" si="3"/>
        <v>34596</v>
      </c>
      <c r="J16" s="65">
        <f t="shared" si="3"/>
        <v>34596</v>
      </c>
      <c r="K16" s="65">
        <f t="shared" si="3"/>
        <v>34596</v>
      </c>
      <c r="L16" s="65">
        <f t="shared" si="3"/>
        <v>34596</v>
      </c>
      <c r="M16" s="65">
        <f t="shared" si="3"/>
        <v>34596</v>
      </c>
      <c r="N16" s="65">
        <f t="shared" si="3"/>
        <v>34596</v>
      </c>
      <c r="O16" s="65">
        <f t="shared" si="3"/>
        <v>34596</v>
      </c>
      <c r="P16" s="65">
        <f t="shared" si="3"/>
        <v>34596</v>
      </c>
    </row>
    <row r="17" spans="2:16" ht="15.75" thickBot="1" x14ac:dyDescent="0.3">
      <c r="E17" s="69" t="s">
        <v>110</v>
      </c>
      <c r="F17" s="67">
        <f t="shared" si="3"/>
        <v>149745</v>
      </c>
      <c r="G17" s="67">
        <f t="shared" si="3"/>
        <v>149745</v>
      </c>
      <c r="H17" s="67">
        <f t="shared" si="3"/>
        <v>149745</v>
      </c>
      <c r="I17" s="67">
        <f t="shared" si="3"/>
        <v>149745</v>
      </c>
      <c r="J17" s="67">
        <f t="shared" si="3"/>
        <v>149745</v>
      </c>
      <c r="K17" s="67">
        <f t="shared" si="3"/>
        <v>149745</v>
      </c>
      <c r="L17" s="67">
        <f t="shared" si="3"/>
        <v>149745</v>
      </c>
      <c r="M17" s="67">
        <f t="shared" si="3"/>
        <v>149745</v>
      </c>
      <c r="N17" s="67">
        <f t="shared" si="3"/>
        <v>149745</v>
      </c>
      <c r="O17" s="67">
        <f t="shared" si="3"/>
        <v>149745</v>
      </c>
      <c r="P17" s="67">
        <f t="shared" si="3"/>
        <v>149745</v>
      </c>
    </row>
    <row r="18" spans="2:16" x14ac:dyDescent="0.25">
      <c r="B18" t="s">
        <v>111</v>
      </c>
      <c r="C18" s="70">
        <f>(SUM(G18:P18)+((52-COUNT(G18:P18))*P18))*7</f>
        <v>11512170.177923013</v>
      </c>
      <c r="E18" s="55" t="s">
        <v>112</v>
      </c>
      <c r="F18" s="71">
        <v>0</v>
      </c>
      <c r="G18" s="71">
        <v>3980.4222170804487</v>
      </c>
      <c r="H18" s="71">
        <v>8360.2137241379278</v>
      </c>
      <c r="I18" s="71">
        <v>13175.760532183913</v>
      </c>
      <c r="J18" s="71">
        <v>18473.027144827585</v>
      </c>
      <c r="K18" s="71">
        <v>24299.937579310339</v>
      </c>
      <c r="L18" s="71">
        <v>30706.37850574714</v>
      </c>
      <c r="M18" s="71">
        <v>33600</v>
      </c>
      <c r="N18" s="71">
        <v>33600</v>
      </c>
      <c r="O18" s="71">
        <v>33600</v>
      </c>
      <c r="P18" s="71">
        <v>33600</v>
      </c>
    </row>
    <row r="19" spans="2:16" x14ac:dyDescent="0.25">
      <c r="B19" t="s">
        <v>113</v>
      </c>
      <c r="C19" s="70">
        <f>C18/365</f>
        <v>31540.192268282226</v>
      </c>
      <c r="E19" s="58" t="s">
        <v>114</v>
      </c>
      <c r="F19" s="61">
        <v>0.12</v>
      </c>
      <c r="G19" s="61">
        <v>0.12</v>
      </c>
      <c r="H19" s="61">
        <v>0.12</v>
      </c>
      <c r="I19" s="61">
        <v>0.12</v>
      </c>
      <c r="J19" s="61">
        <v>0.12</v>
      </c>
      <c r="K19" s="61">
        <v>0.12</v>
      </c>
      <c r="L19" s="61">
        <v>0.12</v>
      </c>
      <c r="M19" s="61">
        <v>0.12</v>
      </c>
      <c r="N19" s="61">
        <v>0.12</v>
      </c>
      <c r="O19" s="61">
        <v>0.12</v>
      </c>
      <c r="P19" s="61">
        <v>0.12</v>
      </c>
    </row>
    <row r="20" spans="2:16" x14ac:dyDescent="0.25">
      <c r="B20" t="s">
        <v>115</v>
      </c>
      <c r="C20" s="72">
        <f>F3*F5*C6/(24*60)</f>
        <v>152.62333333333333</v>
      </c>
      <c r="E20" s="58" t="s">
        <v>116</v>
      </c>
      <c r="F20" s="61">
        <v>0.87</v>
      </c>
      <c r="G20" s="61">
        <v>0.87</v>
      </c>
      <c r="H20" s="61">
        <v>0.87</v>
      </c>
      <c r="I20" s="61">
        <v>0.87</v>
      </c>
      <c r="J20" s="61">
        <v>0.87</v>
      </c>
      <c r="K20" s="61">
        <v>0.87</v>
      </c>
      <c r="L20" s="61">
        <v>0.87</v>
      </c>
      <c r="M20" s="61">
        <v>0.87</v>
      </c>
      <c r="N20" s="61">
        <v>0.87</v>
      </c>
      <c r="O20" s="61">
        <v>0.87</v>
      </c>
      <c r="P20" s="61">
        <v>0.87</v>
      </c>
    </row>
    <row r="21" spans="2:16" x14ac:dyDescent="0.25">
      <c r="B21" t="s">
        <v>117</v>
      </c>
      <c r="C21" s="72">
        <f>F8*F10*C7/(24*60)</f>
        <v>35.786256944444446</v>
      </c>
      <c r="E21" s="58" t="s">
        <v>118</v>
      </c>
      <c r="F21" s="65">
        <f>F20*F18</f>
        <v>0</v>
      </c>
      <c r="G21" s="65">
        <f>G20*G18</f>
        <v>3462.9673288599902</v>
      </c>
      <c r="H21" s="65">
        <f t="shared" ref="H21:P21" si="4">H20*H18</f>
        <v>7273.3859399999974</v>
      </c>
      <c r="I21" s="65">
        <f t="shared" si="4"/>
        <v>11462.911663000004</v>
      </c>
      <c r="J21" s="65">
        <f t="shared" si="4"/>
        <v>16071.533615999999</v>
      </c>
      <c r="K21" s="65">
        <f t="shared" si="4"/>
        <v>21140.945693999995</v>
      </c>
      <c r="L21" s="65">
        <f t="shared" si="4"/>
        <v>26714.54930000001</v>
      </c>
      <c r="M21" s="65">
        <f t="shared" si="4"/>
        <v>29232</v>
      </c>
      <c r="N21" s="65">
        <f t="shared" si="4"/>
        <v>29232</v>
      </c>
      <c r="O21" s="65">
        <f t="shared" si="4"/>
        <v>29232</v>
      </c>
      <c r="P21" s="65">
        <f t="shared" si="4"/>
        <v>29232</v>
      </c>
    </row>
    <row r="22" spans="2:16" x14ac:dyDescent="0.25">
      <c r="B22" t="s">
        <v>119</v>
      </c>
      <c r="C22" s="72">
        <f>C19*F20*C8/(24*60)</f>
        <v>224.85528737929539</v>
      </c>
      <c r="E22" s="58" t="s">
        <v>120</v>
      </c>
      <c r="F22" s="73">
        <f>F21/(F21+F16)</f>
        <v>0</v>
      </c>
      <c r="G22" s="73">
        <f>G21/(G21+G16)</f>
        <v>9.0989524201673055E-2</v>
      </c>
      <c r="H22" s="73">
        <f t="shared" ref="H22:P22" si="5">H21/(H21+H16)</f>
        <v>0.17371608818010761</v>
      </c>
      <c r="I22" s="73">
        <f t="shared" si="5"/>
        <v>0.24887500049655706</v>
      </c>
      <c r="J22" s="73">
        <f t="shared" si="5"/>
        <v>0.31719589387956443</v>
      </c>
      <c r="K22" s="73">
        <f t="shared" si="5"/>
        <v>0.3792986040186947</v>
      </c>
      <c r="L22" s="73">
        <f t="shared" si="5"/>
        <v>0.43572516646821174</v>
      </c>
      <c r="M22" s="73">
        <f t="shared" si="5"/>
        <v>0.45798082346305696</v>
      </c>
      <c r="N22" s="73">
        <f t="shared" si="5"/>
        <v>0.45798082346305696</v>
      </c>
      <c r="O22" s="73">
        <f t="shared" si="5"/>
        <v>0.45798082346305696</v>
      </c>
      <c r="P22" s="73">
        <f t="shared" si="5"/>
        <v>0.45798082346305696</v>
      </c>
    </row>
    <row r="23" spans="2:16" ht="15.75" thickBot="1" x14ac:dyDescent="0.3">
      <c r="B23" t="s">
        <v>121</v>
      </c>
      <c r="C23" s="72">
        <f>SUM(C20:C22)</f>
        <v>413.26487765707316</v>
      </c>
      <c r="E23" s="69" t="s">
        <v>122</v>
      </c>
      <c r="F23" s="67">
        <f>F18/F19/8.34</f>
        <v>0</v>
      </c>
      <c r="G23" s="67">
        <f>G18/G19/8.34</f>
        <v>3977.2404247406566</v>
      </c>
      <c r="H23" s="67">
        <f t="shared" ref="H23:P23" si="6">H18/H19/8.34</f>
        <v>8353.5308994183943</v>
      </c>
      <c r="I23" s="67">
        <f t="shared" si="6"/>
        <v>13165.22834950431</v>
      </c>
      <c r="J23" s="67">
        <f t="shared" si="6"/>
        <v>18458.260536398469</v>
      </c>
      <c r="K23" s="67">
        <f t="shared" si="6"/>
        <v>24280.51316877532</v>
      </c>
      <c r="L23" s="67">
        <f t="shared" si="6"/>
        <v>30681.83303931569</v>
      </c>
      <c r="M23" s="67">
        <f t="shared" si="6"/>
        <v>33573.141486810549</v>
      </c>
      <c r="N23" s="67">
        <f t="shared" si="6"/>
        <v>33573.141486810549</v>
      </c>
      <c r="O23" s="67">
        <f t="shared" si="6"/>
        <v>33573.141486810549</v>
      </c>
      <c r="P23" s="67">
        <f t="shared" si="6"/>
        <v>33573.141486810549</v>
      </c>
    </row>
    <row r="24" spans="2:16" x14ac:dyDescent="0.25">
      <c r="E24" s="55" t="s">
        <v>123</v>
      </c>
      <c r="F24" s="56">
        <f>F13+F18</f>
        <v>42750</v>
      </c>
      <c r="G24" s="56">
        <f>G13+G18</f>
        <v>46730.42221708045</v>
      </c>
      <c r="H24" s="56">
        <f t="shared" ref="H24:P24" si="7">H13+H18</f>
        <v>51110.213724137924</v>
      </c>
      <c r="I24" s="56">
        <f t="shared" si="7"/>
        <v>55925.760532183915</v>
      </c>
      <c r="J24" s="56">
        <f t="shared" si="7"/>
        <v>61223.027144827589</v>
      </c>
      <c r="K24" s="56">
        <f t="shared" si="7"/>
        <v>67049.937579310339</v>
      </c>
      <c r="L24" s="56">
        <f>L13+L18</f>
        <v>73456.37850574714</v>
      </c>
      <c r="M24" s="56">
        <f t="shared" si="7"/>
        <v>76350</v>
      </c>
      <c r="N24" s="56">
        <f t="shared" si="7"/>
        <v>76350</v>
      </c>
      <c r="O24" s="56">
        <f t="shared" si="7"/>
        <v>76350</v>
      </c>
      <c r="P24" s="56">
        <f t="shared" si="7"/>
        <v>76350</v>
      </c>
    </row>
    <row r="25" spans="2:16" x14ac:dyDescent="0.25">
      <c r="E25" s="58" t="s">
        <v>124</v>
      </c>
      <c r="F25" s="68">
        <f>(F13+F18)/((F17+F23)*8.34)</f>
        <v>3.4230854322852444E-2</v>
      </c>
      <c r="G25" s="68">
        <f>(G13+G18)/((G17+G23)*8.34)</f>
        <v>3.6449951002942987E-2</v>
      </c>
      <c r="H25" s="68">
        <f t="shared" ref="H25:P25" si="8">(H13+H18)/((H17+H23)*8.34)</f>
        <v>3.8762681434431283E-2</v>
      </c>
      <c r="I25" s="68">
        <f t="shared" si="8"/>
        <v>4.1162097373835402E-2</v>
      </c>
      <c r="J25" s="68">
        <f t="shared" si="8"/>
        <v>4.3642974110806955E-2</v>
      </c>
      <c r="K25" s="68">
        <f t="shared" si="8"/>
        <v>4.619759892925334E-2</v>
      </c>
      <c r="L25" s="68">
        <f t="shared" si="8"/>
        <v>4.8816016425750751E-2</v>
      </c>
      <c r="M25" s="68">
        <f t="shared" si="8"/>
        <v>4.993873593057057E-2</v>
      </c>
      <c r="N25" s="68">
        <f t="shared" si="8"/>
        <v>4.993873593057057E-2</v>
      </c>
      <c r="O25" s="68">
        <f t="shared" si="8"/>
        <v>4.993873593057057E-2</v>
      </c>
      <c r="P25" s="68">
        <f t="shared" si="8"/>
        <v>4.993873593057057E-2</v>
      </c>
    </row>
    <row r="26" spans="2:16" x14ac:dyDescent="0.25">
      <c r="E26" s="58" t="s">
        <v>125</v>
      </c>
      <c r="F26" s="74">
        <f>(F16+F21)/(F13+F18)</f>
        <v>0.8092631578947368</v>
      </c>
      <c r="G26" s="74">
        <f>(G16+G21)/(G13+G18)</f>
        <v>0.81443662443411535</v>
      </c>
      <c r="H26" s="74">
        <f t="shared" ref="H26:P26" si="9">(H16+H21)/(H13+H18)</f>
        <v>0.81919802108411577</v>
      </c>
      <c r="I26" s="74">
        <f t="shared" si="9"/>
        <v>0.82357237925256688</v>
      </c>
      <c r="J26" s="74">
        <f t="shared" si="9"/>
        <v>0.82758948681420486</v>
      </c>
      <c r="K26" s="74">
        <f t="shared" si="9"/>
        <v>0.83127513173403456</v>
      </c>
      <c r="L26" s="74">
        <f t="shared" si="9"/>
        <v>0.83465249100461913</v>
      </c>
      <c r="M26" s="74">
        <f t="shared" si="9"/>
        <v>0.83599214145383105</v>
      </c>
      <c r="N26" s="74">
        <f t="shared" si="9"/>
        <v>0.83599214145383105</v>
      </c>
      <c r="O26" s="74">
        <f t="shared" si="9"/>
        <v>0.83599214145383105</v>
      </c>
      <c r="P26" s="75">
        <f t="shared" si="9"/>
        <v>0.83599214145383105</v>
      </c>
    </row>
    <row r="27" spans="2:16" x14ac:dyDescent="0.25">
      <c r="E27" s="58" t="s">
        <v>126</v>
      </c>
      <c r="F27" s="65">
        <f>F13*F15</f>
        <v>34596</v>
      </c>
      <c r="G27" s="65">
        <f>G24*G26</f>
        <v>38058.967328859988</v>
      </c>
      <c r="H27" s="65">
        <f t="shared" ref="H27:P27" si="10">H24*H26</f>
        <v>41869.38594</v>
      </c>
      <c r="I27" s="65">
        <f t="shared" si="10"/>
        <v>46058.911663000006</v>
      </c>
      <c r="J27" s="65">
        <f t="shared" si="10"/>
        <v>50667.533616000001</v>
      </c>
      <c r="K27" s="65">
        <f t="shared" si="10"/>
        <v>55736.945693999995</v>
      </c>
      <c r="L27" s="65">
        <f t="shared" si="10"/>
        <v>61310.549300000013</v>
      </c>
      <c r="M27" s="65">
        <f t="shared" si="10"/>
        <v>63828</v>
      </c>
      <c r="N27" s="65">
        <f t="shared" si="10"/>
        <v>63828</v>
      </c>
      <c r="O27" s="65">
        <f t="shared" si="10"/>
        <v>63828</v>
      </c>
      <c r="P27" s="65">
        <f t="shared" si="10"/>
        <v>63828</v>
      </c>
    </row>
    <row r="28" spans="2:16" ht="15.75" thickBot="1" x14ac:dyDescent="0.3">
      <c r="E28" s="69" t="s">
        <v>127</v>
      </c>
      <c r="F28" s="67">
        <f>F24/F25/8.34</f>
        <v>149745</v>
      </c>
      <c r="G28" s="67">
        <f>G24/G25/8.34</f>
        <v>153722.24042474065</v>
      </c>
      <c r="H28" s="67">
        <f t="shared" ref="H28:P28" si="11">H24/H25/8.34</f>
        <v>158098.5308994184</v>
      </c>
      <c r="I28" s="67">
        <f t="shared" si="11"/>
        <v>162910.22834950432</v>
      </c>
      <c r="J28" s="67">
        <f t="shared" si="11"/>
        <v>168203.26053639848</v>
      </c>
      <c r="K28" s="67">
        <f t="shared" si="11"/>
        <v>174025.51316877533</v>
      </c>
      <c r="L28" s="67">
        <f t="shared" si="11"/>
        <v>180426.83303931568</v>
      </c>
      <c r="M28" s="67">
        <f t="shared" si="11"/>
        <v>183318.14148681055</v>
      </c>
      <c r="N28" s="67">
        <f t="shared" si="11"/>
        <v>183318.14148681055</v>
      </c>
      <c r="O28" s="67">
        <f t="shared" si="11"/>
        <v>183318.14148681055</v>
      </c>
      <c r="P28" s="67">
        <f t="shared" si="11"/>
        <v>183318.14148681055</v>
      </c>
    </row>
    <row r="29" spans="2:16" x14ac:dyDescent="0.25">
      <c r="E29" s="7" t="s">
        <v>128</v>
      </c>
      <c r="F29" s="64">
        <v>541444</v>
      </c>
      <c r="G29" s="64">
        <v>541444</v>
      </c>
      <c r="H29" s="64">
        <v>541444</v>
      </c>
      <c r="I29" s="64">
        <v>541444</v>
      </c>
      <c r="J29" s="64">
        <v>541444</v>
      </c>
      <c r="K29" s="64">
        <v>541444</v>
      </c>
      <c r="L29" s="64">
        <v>541444</v>
      </c>
      <c r="M29" s="64">
        <v>541444</v>
      </c>
      <c r="N29" s="64">
        <v>541444</v>
      </c>
      <c r="O29" s="64">
        <v>541444</v>
      </c>
      <c r="P29" s="64">
        <v>541444</v>
      </c>
    </row>
    <row r="30" spans="2:16" x14ac:dyDescent="0.25">
      <c r="E30" s="76" t="s">
        <v>129</v>
      </c>
      <c r="F30" s="77">
        <f>F27/F29</f>
        <v>6.389580455227134E-2</v>
      </c>
      <c r="G30" s="78">
        <f>G27/G29</f>
        <v>7.0291604171179273E-2</v>
      </c>
      <c r="H30" s="78">
        <f>H27/H29</f>
        <v>7.7329116104343204E-2</v>
      </c>
      <c r="I30" s="78">
        <f t="shared" ref="I30:P30" si="12">I27/I29</f>
        <v>8.5066805917140109E-2</v>
      </c>
      <c r="J30" s="78">
        <f t="shared" si="12"/>
        <v>9.357853003450034E-2</v>
      </c>
      <c r="K30" s="78">
        <f t="shared" si="12"/>
        <v>0.1029412934560176</v>
      </c>
      <c r="L30" s="78">
        <f t="shared" si="12"/>
        <v>0.1132352548001271</v>
      </c>
      <c r="M30" s="78">
        <f t="shared" si="12"/>
        <v>0.11788476739976803</v>
      </c>
      <c r="N30" s="78">
        <f t="shared" si="12"/>
        <v>0.11788476739976803</v>
      </c>
      <c r="O30" s="78">
        <f t="shared" si="12"/>
        <v>0.11788476739976803</v>
      </c>
      <c r="P30" s="78">
        <f t="shared" si="12"/>
        <v>0.11788476739976803</v>
      </c>
    </row>
    <row r="32" spans="2:16" x14ac:dyDescent="0.25">
      <c r="E32" s="2" t="s">
        <v>130</v>
      </c>
      <c r="F32" s="78">
        <f>F30+(F30*$C$4)</f>
        <v>7.028538500749848E-2</v>
      </c>
      <c r="G32" s="78">
        <f t="shared" ref="G32:P32" si="13">G30+(G30*$C$4)</f>
        <v>7.7320764588297203E-2</v>
      </c>
      <c r="H32" s="78">
        <f t="shared" si="13"/>
        <v>8.5062027714777527E-2</v>
      </c>
      <c r="I32" s="78">
        <f t="shared" si="13"/>
        <v>9.3573486508854123E-2</v>
      </c>
      <c r="J32" s="78">
        <f t="shared" si="13"/>
        <v>0.10293638303795037</v>
      </c>
      <c r="K32" s="78">
        <f t="shared" si="13"/>
        <v>0.11323542280161936</v>
      </c>
      <c r="L32" s="78">
        <f t="shared" si="13"/>
        <v>0.12455878028013981</v>
      </c>
      <c r="M32" s="78">
        <f t="shared" si="13"/>
        <v>0.12967324413974482</v>
      </c>
      <c r="N32" s="78">
        <f t="shared" si="13"/>
        <v>0.12967324413974482</v>
      </c>
      <c r="O32" s="78">
        <f t="shared" si="13"/>
        <v>0.12967324413974482</v>
      </c>
      <c r="P32" s="78">
        <f t="shared" si="13"/>
        <v>0.12967324413974482</v>
      </c>
    </row>
  </sheetData>
  <conditionalFormatting sqref="F32:P32">
    <cfRule type="cellIs" dxfId="0" priority="1" operator="greaterThan">
      <formula>$C$5</formula>
    </cfRule>
  </conditionalFormatting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944bb4-3987-40fa-8956-f6ce5bb9a0ae">
      <Terms xmlns="http://schemas.microsoft.com/office/infopath/2007/PartnerControls"/>
    </lcf76f155ced4ddcb4097134ff3c332f>
    <TaxCatchAll xmlns="33a5170e-f272-45a3-845a-cfcfa1c0caa7" xsi:nil="true"/>
    <SharedWithUsers xmlns="33a5170e-f272-45a3-845a-cfcfa1c0caa7">
      <UserInfo>
        <DisplayName>Karen Jassoy</DisplayName>
        <AccountId>58</AccountId>
        <AccountType/>
      </UserInfo>
      <UserInfo>
        <DisplayName>Tim Suydam</DisplayName>
        <AccountId>57</AccountId>
        <AccountType/>
      </UserInfo>
    </SharedWithUsers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B74377973B1834BB8EDBA0F0FE380FB" ma:contentTypeVersion="15" ma:contentTypeDescription="Create a new document." ma:contentTypeScope="" ma:versionID="bf64e034492ffbde72794ba525bb610d">
  <xsd:schema xmlns:xsd="http://www.w3.org/2001/XMLSchema" xmlns:xs="http://www.w3.org/2001/XMLSchema" xmlns:p="http://schemas.microsoft.com/office/2006/metadata/properties" xmlns:ns2="e4944bb4-3987-40fa-8956-f6ce5bb9a0ae" xmlns:ns3="33a5170e-f272-45a3-845a-cfcfa1c0caa7" targetNamespace="http://schemas.microsoft.com/office/2006/metadata/properties" ma:root="true" ma:fieldsID="5c797ac9fe2de094f9290ac287311bc8" ns2:_="" ns3:_="">
    <xsd:import namespace="e4944bb4-3987-40fa-8956-f6ce5bb9a0ae"/>
    <xsd:import namespace="33a5170e-f272-45a3-845a-cfcfa1c0caa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bjectDetectorVersions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944bb4-3987-40fa-8956-f6ce5bb9a0a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Image Tags" ma:readOnly="false" ma:fieldId="{5cf76f15-5ced-4ddc-b409-7134ff3c332f}" ma:taxonomyMulti="true" ma:sspId="ba5ed0c1-9ba2-46f7-bbb1-23350fbab1e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3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Location" ma:index="15" nillable="true" ma:displayName="Location" ma:indexed="true" ma:internalName="MediaServiceLocatio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3a5170e-f272-45a3-845a-cfcfa1c0caa7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32eba2e4-5bdd-4fad-b861-a30ff53f1df4}" ma:internalName="TaxCatchAll" ma:showField="CatchAllData" ma:web="33a5170e-f272-45a3-845a-cfcfa1c0caa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63679CB-37DD-4E08-A5DD-5C277AC86634}">
  <ds:schemaRefs>
    <ds:schemaRef ds:uri="33a5170e-f272-45a3-845a-cfcfa1c0caa7"/>
    <ds:schemaRef ds:uri="http://purl.org/dc/terms/"/>
    <ds:schemaRef ds:uri="http://www.w3.org/XML/1998/namespace"/>
    <ds:schemaRef ds:uri="http://purl.org/dc/dcmitype/"/>
    <ds:schemaRef ds:uri="http://schemas.openxmlformats.org/package/2006/metadata/core-properties"/>
    <ds:schemaRef ds:uri="http://schemas.microsoft.com/office/2006/metadata/properties"/>
    <ds:schemaRef ds:uri="http://schemas.microsoft.com/office/2006/documentManagement/types"/>
    <ds:schemaRef ds:uri="http://schemas.microsoft.com/office/infopath/2007/PartnerControls"/>
    <ds:schemaRef ds:uri="e4944bb4-3987-40fa-8956-f6ce5bb9a0ae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B6454271-6604-4CD3-91CC-EDB7BC9B884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4944bb4-3987-40fa-8956-f6ce5bb9a0ae"/>
    <ds:schemaRef ds:uri="33a5170e-f272-45a3-845a-cfcfa1c0caa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3C5334E7-687D-4D59-AA03-62DE7B47999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5" baseType="lpstr">
      <vt:lpstr>Summary</vt:lpstr>
      <vt:lpstr>GHG_Calculations</vt:lpstr>
      <vt:lpstr>CZ10</vt:lpstr>
      <vt:lpstr>First Year Ramp Up</vt:lpstr>
      <vt:lpstr>GHG_Calculations!Print_Titles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Scott Anders</dc:creator>
  <cp:keywords/>
  <dc:description/>
  <cp:lastModifiedBy>Tim Suydam</cp:lastModifiedBy>
  <cp:revision/>
  <dcterms:created xsi:type="dcterms:W3CDTF">2024-01-11T21:16:42Z</dcterms:created>
  <dcterms:modified xsi:type="dcterms:W3CDTF">2024-04-01T21:26:36Z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0x010100BB74377973B1834BB8EDBA0F0FE380FB</vt:lpwstr>
  </property>
  <property fmtid="{D5CDD505-2E9C-101B-9397-08002B2CF9AE}" pid="3" name="MediaServiceImageTags">
    <vt:lpwstr/>
  </property>
  <property fmtid="{D5CDD505-2E9C-101B-9397-08002B2CF9AE}" pid="4" name="_dlc_DocIdItemGuid">
    <vt:lpwstr>cf400ef9-1848-440b-b193-45daefc2f1d5</vt:lpwstr>
  </property>
</Properties>
</file>