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wsbeng.sharepoint.com/sites/MuniSustainability/Shared Documents/General/Proposals and projects/Fargo/CPRG Grant 2024/Application Materials/Final Submission Docs/"/>
    </mc:Choice>
  </mc:AlternateContent>
  <xr:revisionPtr revIDLastSave="884" documentId="8_{78316631-753C-4129-89D9-0523EE851D92}" xr6:coauthVersionLast="47" xr6:coauthVersionMax="47" xr10:uidLastSave="{D0B8DEEE-BFBD-4070-8682-5F38EF08A48B}"/>
  <bookViews>
    <workbookView xWindow="-120" yWindow="-120" windowWidth="29040" windowHeight="15840" xr2:uid="{00000000-000D-0000-FFFF-FFFF00000000}"/>
  </bookViews>
  <sheets>
    <sheet name="Sheet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8" i="1" l="1"/>
  <c r="H29" i="1"/>
  <c r="H11" i="1"/>
  <c r="F17" i="1"/>
  <c r="D17" i="1"/>
  <c r="E31" i="1"/>
  <c r="D31" i="1"/>
  <c r="E43" i="1"/>
  <c r="D43" i="1"/>
  <c r="E42" i="1"/>
  <c r="D42" i="1"/>
  <c r="E37" i="1"/>
  <c r="D37" i="1"/>
  <c r="E36" i="1"/>
  <c r="D36" i="1"/>
  <c r="E35" i="1"/>
  <c r="D35" i="1"/>
  <c r="E26" i="1"/>
  <c r="H26" i="1" s="1"/>
  <c r="D26" i="1"/>
  <c r="F29" i="1"/>
  <c r="D5" i="1" l="1"/>
  <c r="D13" i="1" s="1"/>
  <c r="H42" i="1"/>
  <c r="D41" i="1"/>
  <c r="E40" i="1"/>
  <c r="D40" i="1"/>
  <c r="H35" i="1"/>
  <c r="E34" i="1"/>
  <c r="D34" i="1"/>
  <c r="D8" i="1"/>
  <c r="E8" i="1" s="1"/>
  <c r="F8" i="1" s="1"/>
  <c r="F16" i="1" s="1"/>
  <c r="D6" i="1"/>
  <c r="E6" i="1" s="1"/>
  <c r="F27" i="1"/>
  <c r="F28" i="1" s="1"/>
  <c r="E27" i="1"/>
  <c r="E28" i="1" s="1"/>
  <c r="D27" i="1"/>
  <c r="D28" i="1" s="1"/>
  <c r="E20" i="1"/>
  <c r="D20" i="1"/>
  <c r="D21" i="1"/>
  <c r="E21" i="1"/>
  <c r="E25" i="1"/>
  <c r="D25" i="1"/>
  <c r="E24" i="1"/>
  <c r="D24" i="1"/>
  <c r="D23" i="1"/>
  <c r="H23" i="1" s="1"/>
  <c r="E22" i="1"/>
  <c r="D22" i="1"/>
  <c r="D9" i="1"/>
  <c r="E9" i="1" s="1"/>
  <c r="D29" i="1" l="1"/>
  <c r="E29" i="1"/>
  <c r="H40" i="1"/>
  <c r="E5" i="1"/>
  <c r="F5" i="1" s="1"/>
  <c r="F6" i="1"/>
  <c r="H6" i="1" s="1"/>
  <c r="G8" i="1"/>
  <c r="H24" i="1"/>
  <c r="G27" i="1"/>
  <c r="H21" i="1"/>
  <c r="H22" i="1"/>
  <c r="D11" i="1"/>
  <c r="H9" i="1"/>
  <c r="D14" i="1"/>
  <c r="E16" i="1"/>
  <c r="D16" i="1"/>
  <c r="D7" i="1"/>
  <c r="D10" i="1" s="1"/>
  <c r="H36" i="1"/>
  <c r="H37" i="1"/>
  <c r="F32" i="1"/>
  <c r="E32" i="1"/>
  <c r="D32" i="1"/>
  <c r="F50" i="1"/>
  <c r="E50" i="1"/>
  <c r="D50" i="1"/>
  <c r="F47" i="1"/>
  <c r="E47" i="1"/>
  <c r="D47" i="1"/>
  <c r="F44" i="1"/>
  <c r="E44" i="1"/>
  <c r="D44" i="1"/>
  <c r="F38" i="1"/>
  <c r="E38" i="1"/>
  <c r="D38" i="1"/>
  <c r="H49" i="1"/>
  <c r="H46" i="1"/>
  <c r="H43" i="1"/>
  <c r="H41" i="1"/>
  <c r="H34" i="1"/>
  <c r="H31" i="1"/>
  <c r="H25" i="1"/>
  <c r="H20" i="1"/>
  <c r="H44" i="1" l="1"/>
  <c r="F13" i="1"/>
  <c r="F14" i="1"/>
  <c r="F18" i="1" s="1"/>
  <c r="F11" i="1"/>
  <c r="F52" i="1" s="1"/>
  <c r="D18" i="1"/>
  <c r="D52" i="1" s="1"/>
  <c r="E13" i="1"/>
  <c r="G16" i="1"/>
  <c r="D15" i="1"/>
  <c r="D51" i="1" s="1"/>
  <c r="E7" i="1"/>
  <c r="E15" i="1" s="1"/>
  <c r="H38" i="1"/>
  <c r="H47" i="1"/>
  <c r="H32" i="1"/>
  <c r="H50" i="1"/>
  <c r="G13" i="1" l="1"/>
  <c r="E17" i="1"/>
  <c r="G5" i="1"/>
  <c r="E10" i="1"/>
  <c r="E51" i="1" s="1"/>
  <c r="E11" i="1"/>
  <c r="E14" i="1"/>
  <c r="F7" i="1"/>
  <c r="F15" i="1" l="1"/>
  <c r="F10" i="1"/>
  <c r="F51" i="1" s="1"/>
  <c r="E18" i="1"/>
  <c r="E52" i="1" s="1"/>
  <c r="H14" i="1"/>
  <c r="H18" i="1" s="1"/>
  <c r="H52" i="1" s="1"/>
  <c r="G7" i="1"/>
  <c r="G10" i="1" s="1"/>
  <c r="G15" i="1" l="1"/>
  <c r="G17" i="1" s="1"/>
  <c r="G51" i="1" s="1"/>
</calcChain>
</file>

<file path=xl/sharedStrings.xml><?xml version="1.0" encoding="utf-8"?>
<sst xmlns="http://schemas.openxmlformats.org/spreadsheetml/2006/main" count="85" uniqueCount="62">
  <si>
    <t>Categories</t>
  </si>
  <si>
    <t>Line Item &amp; Itemized Costs</t>
  </si>
  <si>
    <t>Year 1</t>
  </si>
  <si>
    <t>Year 2</t>
  </si>
  <si>
    <t>Total EPA Funding</t>
  </si>
  <si>
    <t>FRINGE BENEFITS</t>
  </si>
  <si>
    <t>TRAVEL</t>
  </si>
  <si>
    <t>PERSONNEL</t>
  </si>
  <si>
    <t>EQUIPMENT</t>
  </si>
  <si>
    <t xml:space="preserve">SUPPLIES </t>
  </si>
  <si>
    <t xml:space="preserve">CONTRACTUAL </t>
  </si>
  <si>
    <t xml:space="preserve">OTHER </t>
  </si>
  <si>
    <t>INDIRECT COSTS</t>
  </si>
  <si>
    <t>Total City Funding</t>
  </si>
  <si>
    <t>Transportation Division Manager @ $78.97/hr, 0.1 FTE, with 3% salary increases</t>
  </si>
  <si>
    <t>Street Lighting Project Manager @ $47.74/yr, 0.25 FTE, with 3% salary increases</t>
  </si>
  <si>
    <t>TOTAL PERSONNEL - CITY</t>
  </si>
  <si>
    <t>TOTAL PERSONNEL - EPA</t>
  </si>
  <si>
    <t>-</t>
  </si>
  <si>
    <t>Energy Efficiency Data Management</t>
  </si>
  <si>
    <t>Communcations Project Manager Benefits @ 41% of salary</t>
  </si>
  <si>
    <t>Transportation Division Manager @ 41% of salary</t>
  </si>
  <si>
    <t>Street Lighting Project Manager @ 41% of salary</t>
  </si>
  <si>
    <t>TOTAL FRINGE - CITY</t>
  </si>
  <si>
    <t>TOTAL FRINGE - EPA</t>
  </si>
  <si>
    <t>Flights for consultant @ $500/trip for 4 trips or 2 people, 2 trips</t>
  </si>
  <si>
    <t>TOTAL TRAVEL - CITY</t>
  </si>
  <si>
    <t>TOTAL TRAVEL - EPA</t>
  </si>
  <si>
    <t>Finance</t>
  </si>
  <si>
    <t>Finance Manager Benefits @ 41% of salary</t>
  </si>
  <si>
    <t>TOTAL EQUIPMENT - EPA</t>
  </si>
  <si>
    <t xml:space="preserve">Public Outreach Consultant @ $150/hr, 6 hrs/wk for 2 years </t>
  </si>
  <si>
    <t>Public Outreach Support Staff @ lump sum of $17,500 annually for 2 years</t>
  </si>
  <si>
    <t>N/A</t>
  </si>
  <si>
    <t>TOTAL SUPPLIES - EPA</t>
  </si>
  <si>
    <t>TOTAL CONTRACTUAL - EPA</t>
  </si>
  <si>
    <t>TOTAL OTHER - EPA</t>
  </si>
  <si>
    <t>TOTAL INDIRECT - EPA</t>
  </si>
  <si>
    <t>Printing costs for  30,000 postcards/flyer per year for 2 years @ $0.20 per postcard/flyer</t>
  </si>
  <si>
    <t>Communications Project Manager @ $74,922/yr, 1 FTE, with 3% annual salary increase for a 2.5-year contract</t>
  </si>
  <si>
    <r>
      <rPr>
        <sz val="10"/>
        <rFont val="Calibri"/>
        <family val="2"/>
        <scheme val="minor"/>
      </rPr>
      <t>Finance Manager @</t>
    </r>
    <r>
      <rPr>
        <b/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$47.64/hr, 0.1 FTE, with 3% salary increases</t>
    </r>
  </si>
  <si>
    <r>
      <t>400 new 250/400W fixtures @</t>
    </r>
    <r>
      <rPr>
        <b/>
        <sz val="11"/>
        <color rgb="FFFF0000"/>
        <rFont val="Calibri"/>
        <family val="2"/>
        <scheme val="minor"/>
      </rPr>
      <t xml:space="preserve"> </t>
    </r>
    <r>
      <rPr>
        <sz val="11"/>
        <rFont val="Calibri"/>
        <family val="2"/>
        <scheme val="minor"/>
      </rPr>
      <t>$400/</t>
    </r>
    <r>
      <rPr>
        <sz val="11"/>
        <color theme="1"/>
        <rFont val="Calibri"/>
        <family val="2"/>
        <scheme val="minor"/>
      </rPr>
      <t>fixture</t>
    </r>
  </si>
  <si>
    <r>
      <t xml:space="preserve">350 new 100/150W fixtures @ </t>
    </r>
    <r>
      <rPr>
        <sz val="11"/>
        <rFont val="Calibri"/>
        <family val="2"/>
        <scheme val="minor"/>
      </rPr>
      <t>$600</t>
    </r>
    <r>
      <rPr>
        <sz val="11"/>
        <color theme="1"/>
        <rFont val="Calibri"/>
        <family val="2"/>
        <scheme val="minor"/>
      </rPr>
      <t>/fixture</t>
    </r>
  </si>
  <si>
    <r>
      <t xml:space="preserve">3134 LED bulbs @ </t>
    </r>
    <r>
      <rPr>
        <sz val="11"/>
        <rFont val="Calibri"/>
        <family val="2"/>
        <scheme val="minor"/>
      </rPr>
      <t>$50</t>
    </r>
    <r>
      <rPr>
        <sz val="11"/>
        <color theme="1"/>
        <rFont val="Calibri"/>
        <family val="2"/>
        <scheme val="minor"/>
      </rPr>
      <t>/bulb</t>
    </r>
  </si>
  <si>
    <r>
      <t>Part-Time Data Manager @ $22.00/hr for 20 hr/wk for</t>
    </r>
    <r>
      <rPr>
        <b/>
        <sz val="10"/>
        <color theme="1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1.5-year</t>
    </r>
    <r>
      <rPr>
        <sz val="10"/>
        <color theme="1"/>
        <rFont val="Calibri"/>
        <family val="2"/>
        <scheme val="minor"/>
      </rPr>
      <t xml:space="preserve"> contract</t>
    </r>
  </si>
  <si>
    <t>Communication Project Manager travel @ 0.67/mi at 15 mi/wk for 2 years</t>
  </si>
  <si>
    <t>Consultant local milage around Fargo @ $0.67/mi at 10 mi/wk for 2 yrs</t>
  </si>
  <si>
    <t>Milage to Fargo for out of town consultant @ $0.67/mi at 250 mi quarterly for 2 years</t>
  </si>
  <si>
    <t>Hotel for contractors on travel @ $200/night and 8 nights/yr for 2 years</t>
  </si>
  <si>
    <t>Meal stipends for contractors on travel $50/day for 8 days/yr over 2 years</t>
  </si>
  <si>
    <t>Construction Project inspection @ $0.67/mi for 2000 miles</t>
  </si>
  <si>
    <r>
      <t>2 Apprentice Electricians/yr for 2 years @</t>
    </r>
    <r>
      <rPr>
        <b/>
        <sz val="11"/>
        <color rgb="FFFF0000"/>
        <rFont val="Calibri"/>
        <family val="2"/>
        <scheme val="minor"/>
      </rPr>
      <t xml:space="preserve"> </t>
    </r>
    <r>
      <rPr>
        <sz val="11"/>
        <rFont val="Calibri"/>
        <family val="2"/>
        <scheme val="minor"/>
      </rPr>
      <t>$50.00/hr, 40 hrs/wk, 40 wks/yr, 2 years</t>
    </r>
  </si>
  <si>
    <r>
      <t>2 Journeymen/yr for 2 years @</t>
    </r>
    <r>
      <rPr>
        <sz val="11"/>
        <rFont val="Calibri"/>
        <family val="2"/>
        <scheme val="minor"/>
      </rPr>
      <t xml:space="preserve"> $80.00/hr, 40 hrs/wk, 40 wks/yr, 2 years</t>
    </r>
  </si>
  <si>
    <t>Two bucket trucks with a 60’ boom @ $125/hr, 8 hrs/day, 40 wks/yr for 2 years project</t>
  </si>
  <si>
    <t>TOTAL CITY FUNDING FOR LED STREETLIGHT COMMUNITY RESILIENCE PROJET</t>
  </si>
  <si>
    <t>TOTAL EPA FUNDING FOR LED STREETLIGHT COMMUNITY RESILIENCE PROJET</t>
  </si>
  <si>
    <t>Community Outreach</t>
  </si>
  <si>
    <t>LED Street Light Replacement</t>
  </si>
  <si>
    <t>Electrical Contractor travel @ $0.67/mi for 2 trucks, 250 mi/wk, 40 wks/yr for 2 year project</t>
  </si>
  <si>
    <t>Year 3</t>
  </si>
  <si>
    <t>Appendix C: Budget Spreadsheet</t>
  </si>
  <si>
    <t>Fargo LED Street Light Community Resilience Project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</si>
</sst>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164" formatCode="&quot;$&quot;#,##0.00"/>
    <numFmt numFmtId="165" formatCode="&quot;$&quot;#,##0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u/>
      <sz val="11"/>
      <color theme="10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1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4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3" fillId="0" borderId="0" applyNumberFormat="0" applyFill="0" applyBorder="0" applyAlignment="0" applyProtection="0"/>
  </cellStyleXfs>
  <cellXfs count="133">
    <xf numFmtId="0" fontId="0" fillId="0" borderId="0" xfId="0"/>
    <xf numFmtId="0" fontId="2" fillId="2" borderId="3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 wrapText="1"/>
    </xf>
    <xf numFmtId="0" fontId="4" fillId="0" borderId="0" xfId="2" applyFont="1" applyFill="1" applyBorder="1" applyAlignment="1">
      <alignment vertical="center"/>
    </xf>
    <xf numFmtId="0" fontId="2" fillId="0" borderId="0" xfId="0" applyFont="1" applyAlignment="1">
      <alignment vertical="center" wrapText="1"/>
    </xf>
    <xf numFmtId="0" fontId="0" fillId="0" borderId="0" xfId="0" applyAlignment="1">
      <alignment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0" fontId="2" fillId="4" borderId="5" xfId="0" applyFont="1" applyFill="1" applyBorder="1" applyAlignment="1">
      <alignment vertical="center" wrapText="1"/>
    </xf>
    <xf numFmtId="0" fontId="0" fillId="0" borderId="0" xfId="0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4" borderId="3" xfId="0" applyFill="1" applyBorder="1" applyAlignment="1">
      <alignment horizontal="center" vertical="center"/>
    </xf>
    <xf numFmtId="0" fontId="0" fillId="0" borderId="7" xfId="0" applyBorder="1" applyAlignment="1">
      <alignment vertical="center" wrapText="1"/>
    </xf>
    <xf numFmtId="0" fontId="0" fillId="0" borderId="9" xfId="0" applyBorder="1" applyAlignment="1">
      <alignment vertical="center" wrapText="1"/>
    </xf>
    <xf numFmtId="0" fontId="0" fillId="0" borderId="9" xfId="0" applyBorder="1" applyAlignment="1">
      <alignment wrapText="1"/>
    </xf>
    <xf numFmtId="0" fontId="0" fillId="0" borderId="10" xfId="0" applyBorder="1" applyAlignment="1">
      <alignment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36" xfId="0" applyFont="1" applyBorder="1" applyAlignment="1">
      <alignment vertical="center" wrapText="1"/>
    </xf>
    <xf numFmtId="0" fontId="6" fillId="0" borderId="20" xfId="0" applyFont="1" applyBorder="1" applyAlignment="1">
      <alignment horizontal="center" vertical="center" wrapText="1"/>
    </xf>
    <xf numFmtId="0" fontId="6" fillId="0" borderId="22" xfId="0" applyFont="1" applyBorder="1" applyAlignment="1">
      <alignment vertical="center" wrapText="1"/>
    </xf>
    <xf numFmtId="0" fontId="8" fillId="0" borderId="7" xfId="0" applyFont="1" applyBorder="1" applyAlignment="1">
      <alignment vertical="center" wrapText="1"/>
    </xf>
    <xf numFmtId="0" fontId="0" fillId="0" borderId="6" xfId="0" applyBorder="1" applyAlignment="1">
      <alignment horizontal="center" vertical="center" wrapText="1"/>
    </xf>
    <xf numFmtId="0" fontId="0" fillId="0" borderId="36" xfId="0" applyBorder="1" applyAlignment="1">
      <alignment vertical="center" wrapText="1"/>
    </xf>
    <xf numFmtId="0" fontId="0" fillId="0" borderId="19" xfId="0" applyBorder="1" applyAlignment="1">
      <alignment vertical="center" wrapText="1"/>
    </xf>
    <xf numFmtId="0" fontId="10" fillId="0" borderId="0" xfId="0" applyFont="1" applyAlignment="1">
      <alignment vertical="center" wrapText="1"/>
    </xf>
    <xf numFmtId="0" fontId="5" fillId="0" borderId="0" xfId="0" applyFont="1" applyAlignment="1">
      <alignment wrapText="1"/>
    </xf>
    <xf numFmtId="0" fontId="5" fillId="0" borderId="0" xfId="0" applyFont="1"/>
    <xf numFmtId="0" fontId="6" fillId="0" borderId="12" xfId="0" applyFont="1" applyBorder="1" applyAlignment="1">
      <alignment horizontal="center" vertical="center" wrapText="1"/>
    </xf>
    <xf numFmtId="164" fontId="5" fillId="0" borderId="0" xfId="0" applyNumberFormat="1" applyFont="1" applyAlignment="1">
      <alignment wrapText="1"/>
    </xf>
    <xf numFmtId="165" fontId="0" fillId="0" borderId="0" xfId="0" applyNumberFormat="1"/>
    <xf numFmtId="165" fontId="2" fillId="2" borderId="3" xfId="0" applyNumberFormat="1" applyFont="1" applyFill="1" applyBorder="1" applyAlignment="1">
      <alignment horizontal="center" vertical="center"/>
    </xf>
    <xf numFmtId="165" fontId="2" fillId="2" borderId="4" xfId="0" applyNumberFormat="1" applyFont="1" applyFill="1" applyBorder="1" applyAlignment="1">
      <alignment horizontal="center" vertical="center"/>
    </xf>
    <xf numFmtId="165" fontId="2" fillId="2" borderId="26" xfId="0" applyNumberFormat="1" applyFont="1" applyFill="1" applyBorder="1" applyAlignment="1">
      <alignment horizontal="center" vertical="center"/>
    </xf>
    <xf numFmtId="165" fontId="2" fillId="2" borderId="30" xfId="0" applyNumberFormat="1" applyFont="1" applyFill="1" applyBorder="1" applyAlignment="1">
      <alignment horizontal="center" vertical="center" wrapText="1"/>
    </xf>
    <xf numFmtId="165" fontId="2" fillId="2" borderId="5" xfId="0" applyNumberFormat="1" applyFont="1" applyFill="1" applyBorder="1" applyAlignment="1">
      <alignment horizontal="center" vertical="center" wrapText="1"/>
    </xf>
    <xf numFmtId="165" fontId="9" fillId="0" borderId="6" xfId="1" applyNumberFormat="1" applyFont="1" applyFill="1" applyBorder="1"/>
    <xf numFmtId="165" fontId="9" fillId="0" borderId="15" xfId="1" applyNumberFormat="1" applyFont="1" applyFill="1" applyBorder="1"/>
    <xf numFmtId="165" fontId="9" fillId="0" borderId="7" xfId="1" applyNumberFormat="1" applyFont="1" applyFill="1" applyBorder="1"/>
    <xf numFmtId="165" fontId="6" fillId="0" borderId="6" xfId="1" applyNumberFormat="1" applyFont="1" applyFill="1" applyBorder="1"/>
    <xf numFmtId="165" fontId="0" fillId="0" borderId="7" xfId="1" applyNumberFormat="1" applyFont="1" applyBorder="1"/>
    <xf numFmtId="165" fontId="6" fillId="0" borderId="12" xfId="1" applyNumberFormat="1" applyFont="1" applyFill="1" applyBorder="1"/>
    <xf numFmtId="165" fontId="6" fillId="0" borderId="2" xfId="1" applyNumberFormat="1" applyFont="1" applyFill="1" applyBorder="1"/>
    <xf numFmtId="165" fontId="6" fillId="0" borderId="33" xfId="1" applyNumberFormat="1" applyFont="1" applyFill="1" applyBorder="1"/>
    <xf numFmtId="165" fontId="0" fillId="0" borderId="36" xfId="1" applyNumberFormat="1" applyFont="1" applyBorder="1"/>
    <xf numFmtId="165" fontId="6" fillId="0" borderId="36" xfId="1" applyNumberFormat="1" applyFont="1" applyFill="1" applyBorder="1"/>
    <xf numFmtId="165" fontId="0" fillId="0" borderId="9" xfId="1" applyNumberFormat="1" applyFont="1" applyBorder="1"/>
    <xf numFmtId="165" fontId="6" fillId="0" borderId="20" xfId="1" applyNumberFormat="1" applyFont="1" applyFill="1" applyBorder="1"/>
    <xf numFmtId="165" fontId="6" fillId="0" borderId="21" xfId="1" applyNumberFormat="1" applyFont="1" applyFill="1" applyBorder="1"/>
    <xf numFmtId="165" fontId="6" fillId="0" borderId="22" xfId="1" applyNumberFormat="1" applyFont="1" applyFill="1" applyBorder="1"/>
    <xf numFmtId="165" fontId="6" fillId="0" borderId="24" xfId="1" applyNumberFormat="1" applyFont="1" applyFill="1" applyBorder="1"/>
    <xf numFmtId="165" fontId="0" fillId="0" borderId="10" xfId="1" applyNumberFormat="1" applyFont="1" applyBorder="1"/>
    <xf numFmtId="165" fontId="2" fillId="3" borderId="3" xfId="1" applyNumberFormat="1" applyFont="1" applyFill="1" applyBorder="1"/>
    <xf numFmtId="165" fontId="2" fillId="3" borderId="4" xfId="1" applyNumberFormat="1" applyFont="1" applyFill="1" applyBorder="1"/>
    <xf numFmtId="165" fontId="2" fillId="3" borderId="26" xfId="1" applyNumberFormat="1" applyFont="1" applyFill="1" applyBorder="1"/>
    <xf numFmtId="165" fontId="2" fillId="3" borderId="30" xfId="1" applyNumberFormat="1" applyFont="1" applyFill="1" applyBorder="1"/>
    <xf numFmtId="165" fontId="2" fillId="3" borderId="5" xfId="1" applyNumberFormat="1" applyFont="1" applyFill="1" applyBorder="1" applyAlignment="1">
      <alignment horizontal="center"/>
    </xf>
    <xf numFmtId="165" fontId="2" fillId="3" borderId="30" xfId="1" applyNumberFormat="1" applyFont="1" applyFill="1" applyBorder="1" applyAlignment="1">
      <alignment horizontal="center"/>
    </xf>
    <xf numFmtId="165" fontId="2" fillId="3" borderId="5" xfId="1" applyNumberFormat="1" applyFont="1" applyFill="1" applyBorder="1"/>
    <xf numFmtId="165" fontId="0" fillId="0" borderId="41" xfId="1" applyNumberFormat="1" applyFont="1" applyFill="1" applyBorder="1"/>
    <xf numFmtId="165" fontId="0" fillId="0" borderId="42" xfId="1" applyNumberFormat="1" applyFont="1" applyFill="1" applyBorder="1"/>
    <xf numFmtId="165" fontId="0" fillId="0" borderId="43" xfId="1" applyNumberFormat="1" applyFont="1" applyFill="1" applyBorder="1"/>
    <xf numFmtId="165" fontId="0" fillId="0" borderId="23" xfId="1" applyNumberFormat="1" applyFont="1" applyFill="1" applyBorder="1"/>
    <xf numFmtId="165" fontId="0" fillId="0" borderId="44" xfId="1" applyNumberFormat="1" applyFont="1" applyBorder="1"/>
    <xf numFmtId="165" fontId="0" fillId="0" borderId="38" xfId="1" applyNumberFormat="1" applyFont="1" applyFill="1" applyBorder="1"/>
    <xf numFmtId="165" fontId="0" fillId="0" borderId="1" xfId="1" applyNumberFormat="1" applyFont="1" applyFill="1" applyBorder="1"/>
    <xf numFmtId="165" fontId="0" fillId="0" borderId="8" xfId="1" applyNumberFormat="1" applyFont="1" applyFill="1" applyBorder="1"/>
    <xf numFmtId="165" fontId="0" fillId="0" borderId="14" xfId="1" applyNumberFormat="1" applyFont="1" applyFill="1" applyBorder="1"/>
    <xf numFmtId="165" fontId="0" fillId="0" borderId="25" xfId="1" applyNumberFormat="1" applyFont="1" applyFill="1" applyBorder="1"/>
    <xf numFmtId="165" fontId="0" fillId="0" borderId="11" xfId="1" applyNumberFormat="1" applyFont="1" applyFill="1" applyBorder="1"/>
    <xf numFmtId="165" fontId="0" fillId="0" borderId="18" xfId="1" applyNumberFormat="1" applyFont="1" applyFill="1" applyBorder="1"/>
    <xf numFmtId="165" fontId="0" fillId="0" borderId="34" xfId="1" applyNumberFormat="1" applyFont="1" applyFill="1" applyBorder="1"/>
    <xf numFmtId="165" fontId="0" fillId="0" borderId="37" xfId="1" applyNumberFormat="1" applyFont="1" applyFill="1" applyBorder="1"/>
    <xf numFmtId="165" fontId="0" fillId="0" borderId="2" xfId="1" applyNumberFormat="1" applyFont="1" applyFill="1" applyBorder="1"/>
    <xf numFmtId="165" fontId="0" fillId="0" borderId="27" xfId="1" applyNumberFormat="1" applyFont="1" applyFill="1" applyBorder="1"/>
    <xf numFmtId="165" fontId="0" fillId="0" borderId="32" xfId="1" applyNumberFormat="1" applyFont="1" applyFill="1" applyBorder="1"/>
    <xf numFmtId="165" fontId="0" fillId="0" borderId="13" xfId="1" applyNumberFormat="1" applyFont="1" applyFill="1" applyBorder="1"/>
    <xf numFmtId="165" fontId="0" fillId="0" borderId="33" xfId="1" applyNumberFormat="1" applyFont="1" applyFill="1" applyBorder="1"/>
    <xf numFmtId="165" fontId="0" fillId="0" borderId="39" xfId="1" applyNumberFormat="1" applyFont="1" applyFill="1" applyBorder="1"/>
    <xf numFmtId="165" fontId="0" fillId="0" borderId="16" xfId="1" applyNumberFormat="1" applyFont="1" applyFill="1" applyBorder="1"/>
    <xf numFmtId="165" fontId="0" fillId="0" borderId="35" xfId="1" applyNumberFormat="1" applyFont="1" applyFill="1" applyBorder="1"/>
    <xf numFmtId="165" fontId="0" fillId="0" borderId="6" xfId="1" applyNumberFormat="1" applyFont="1" applyFill="1" applyBorder="1"/>
    <xf numFmtId="165" fontId="0" fillId="0" borderId="15" xfId="1" applyNumberFormat="1" applyFont="1" applyFill="1" applyBorder="1"/>
    <xf numFmtId="165" fontId="0" fillId="0" borderId="45" xfId="1" applyNumberFormat="1" applyFont="1" applyFill="1" applyBorder="1"/>
    <xf numFmtId="165" fontId="2" fillId="4" borderId="3" xfId="1" applyNumberFormat="1" applyFont="1" applyFill="1" applyBorder="1"/>
    <xf numFmtId="165" fontId="2" fillId="4" borderId="4" xfId="1" applyNumberFormat="1" applyFont="1" applyFill="1" applyBorder="1"/>
    <xf numFmtId="165" fontId="2" fillId="4" borderId="5" xfId="1" applyNumberFormat="1" applyFont="1" applyFill="1" applyBorder="1"/>
    <xf numFmtId="165" fontId="11" fillId="0" borderId="10" xfId="1" applyNumberFormat="1" applyFont="1" applyBorder="1"/>
    <xf numFmtId="0" fontId="0" fillId="0" borderId="19" xfId="0" applyBorder="1" applyAlignment="1">
      <alignment wrapText="1"/>
    </xf>
    <xf numFmtId="165" fontId="0" fillId="0" borderId="46" xfId="1" applyNumberFormat="1" applyFont="1" applyFill="1" applyBorder="1"/>
    <xf numFmtId="165" fontId="0" fillId="0" borderId="19" xfId="1" applyNumberFormat="1" applyFont="1" applyFill="1" applyBorder="1"/>
    <xf numFmtId="165" fontId="0" fillId="0" borderId="12" xfId="1" applyNumberFormat="1" applyFont="1" applyFill="1" applyBorder="1"/>
    <xf numFmtId="165" fontId="0" fillId="0" borderId="17" xfId="1" applyNumberFormat="1" applyFont="1" applyFill="1" applyBorder="1"/>
    <xf numFmtId="165" fontId="11" fillId="0" borderId="9" xfId="1" applyNumberFormat="1" applyFont="1" applyBorder="1"/>
    <xf numFmtId="165" fontId="11" fillId="0" borderId="10" xfId="1" applyNumberFormat="1" applyFont="1" applyFill="1" applyBorder="1"/>
    <xf numFmtId="165" fontId="2" fillId="4" borderId="26" xfId="1" applyNumberFormat="1" applyFont="1" applyFill="1" applyBorder="1" applyAlignment="1">
      <alignment horizontal="center"/>
    </xf>
    <xf numFmtId="165" fontId="2" fillId="4" borderId="5" xfId="1" applyNumberFormat="1" applyFont="1" applyFill="1" applyBorder="1" applyAlignment="1">
      <alignment horizontal="center"/>
    </xf>
    <xf numFmtId="165" fontId="2" fillId="3" borderId="30" xfId="1" applyNumberFormat="1" applyFont="1" applyFill="1" applyBorder="1" applyAlignment="1">
      <alignment horizontal="right"/>
    </xf>
    <xf numFmtId="165" fontId="5" fillId="0" borderId="0" xfId="0" applyNumberFormat="1" applyFont="1"/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42" xfId="0" applyFont="1" applyBorder="1" applyAlignment="1">
      <alignment horizontal="left" vertical="center"/>
    </xf>
    <xf numFmtId="0" fontId="2" fillId="0" borderId="43" xfId="0" applyFont="1" applyBorder="1" applyAlignment="1">
      <alignment horizontal="left" vertical="center"/>
    </xf>
    <xf numFmtId="0" fontId="2" fillId="0" borderId="44" xfId="0" applyFont="1" applyBorder="1" applyAlignment="1">
      <alignment horizontal="left" vertical="center"/>
    </xf>
    <xf numFmtId="0" fontId="2" fillId="4" borderId="3" xfId="0" applyFont="1" applyFill="1" applyBorder="1" applyAlignment="1">
      <alignment horizontal="center"/>
    </xf>
    <xf numFmtId="0" fontId="2" fillId="4" borderId="4" xfId="0" applyFont="1" applyFill="1" applyBorder="1" applyAlignment="1">
      <alignment horizontal="center"/>
    </xf>
    <xf numFmtId="0" fontId="2" fillId="4" borderId="26" xfId="0" applyFont="1" applyFill="1" applyBorder="1" applyAlignment="1">
      <alignment horizontal="center"/>
    </xf>
    <xf numFmtId="0" fontId="2" fillId="4" borderId="5" xfId="0" applyFont="1" applyFill="1" applyBorder="1" applyAlignment="1">
      <alignment horizontal="center"/>
    </xf>
    <xf numFmtId="0" fontId="2" fillId="0" borderId="20" xfId="0" applyFont="1" applyBorder="1" applyAlignment="1">
      <alignment horizontal="left" vertical="center" wrapText="1"/>
    </xf>
    <xf numFmtId="0" fontId="2" fillId="0" borderId="21" xfId="0" applyFont="1" applyBorder="1" applyAlignment="1">
      <alignment horizontal="left" vertical="center" wrapText="1"/>
    </xf>
    <xf numFmtId="0" fontId="2" fillId="0" borderId="28" xfId="0" applyFont="1" applyBorder="1" applyAlignment="1">
      <alignment horizontal="left" vertical="center" wrapText="1"/>
    </xf>
    <xf numFmtId="0" fontId="2" fillId="0" borderId="22" xfId="0" applyFont="1" applyBorder="1" applyAlignment="1">
      <alignment horizontal="left" vertical="center" wrapText="1"/>
    </xf>
    <xf numFmtId="0" fontId="2" fillId="0" borderId="20" xfId="0" applyFont="1" applyBorder="1" applyAlignment="1">
      <alignment horizontal="left"/>
    </xf>
    <xf numFmtId="0" fontId="2" fillId="0" borderId="21" xfId="0" applyFont="1" applyBorder="1" applyAlignment="1">
      <alignment horizontal="left"/>
    </xf>
    <xf numFmtId="0" fontId="2" fillId="0" borderId="28" xfId="0" applyFont="1" applyBorder="1" applyAlignment="1">
      <alignment horizontal="left"/>
    </xf>
    <xf numFmtId="0" fontId="2" fillId="0" borderId="22" xfId="0" applyFont="1" applyBorder="1" applyAlignment="1">
      <alignment horizontal="left"/>
    </xf>
    <xf numFmtId="0" fontId="2" fillId="0" borderId="20" xfId="0" applyFont="1" applyBorder="1" applyAlignment="1">
      <alignment horizontal="left" vertical="center"/>
    </xf>
    <xf numFmtId="0" fontId="2" fillId="0" borderId="21" xfId="0" applyFont="1" applyBorder="1" applyAlignment="1">
      <alignment horizontal="left" vertical="center"/>
    </xf>
    <xf numFmtId="0" fontId="2" fillId="0" borderId="28" xfId="0" applyFont="1" applyBorder="1" applyAlignment="1">
      <alignment horizontal="left" vertical="center"/>
    </xf>
    <xf numFmtId="0" fontId="2" fillId="0" borderId="22" xfId="0" applyFont="1" applyBorder="1" applyAlignment="1">
      <alignment horizontal="left" vertical="center"/>
    </xf>
    <xf numFmtId="0" fontId="6" fillId="0" borderId="17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2" fillId="3" borderId="30" xfId="0" applyFont="1" applyFill="1" applyBorder="1" applyAlignment="1">
      <alignment horizontal="center" wrapText="1"/>
    </xf>
    <xf numFmtId="0" fontId="2" fillId="3" borderId="31" xfId="0" applyFont="1" applyFill="1" applyBorder="1" applyAlignment="1">
      <alignment horizontal="center" wrapText="1"/>
    </xf>
    <xf numFmtId="0" fontId="0" fillId="0" borderId="17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2" fillId="3" borderId="30" xfId="0" applyFont="1" applyFill="1" applyBorder="1" applyAlignment="1">
      <alignment horizontal="center" vertical="center"/>
    </xf>
    <xf numFmtId="0" fontId="2" fillId="3" borderId="31" xfId="0" applyFont="1" applyFill="1" applyBorder="1" applyAlignment="1">
      <alignment horizontal="center" vertical="center"/>
    </xf>
    <xf numFmtId="0" fontId="2" fillId="3" borderId="30" xfId="0" applyFont="1" applyFill="1" applyBorder="1" applyAlignment="1">
      <alignment horizontal="center" vertical="center" wrapText="1"/>
    </xf>
    <xf numFmtId="0" fontId="2" fillId="3" borderId="31" xfId="0" applyFont="1" applyFill="1" applyBorder="1" applyAlignment="1">
      <alignment horizontal="center" vertical="center" wrapText="1"/>
    </xf>
    <xf numFmtId="0" fontId="0" fillId="0" borderId="47" xfId="0" applyBorder="1" applyAlignment="1">
      <alignment horizontal="left" vertical="center" wrapText="1"/>
    </xf>
    <xf numFmtId="0" fontId="0" fillId="0" borderId="40" xfId="0" applyBorder="1" applyAlignment="1">
      <alignment horizontal="center" vertical="center" wrapText="1"/>
    </xf>
    <xf numFmtId="0" fontId="0" fillId="0" borderId="29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</cellXfs>
  <cellStyles count="3">
    <cellStyle name="Currency" xfId="1" builtinId="4"/>
    <cellStyle name="Hyperlink" xfId="2" builtinId="8"/>
    <cellStyle name="Normal" xfId="0" builtinId="0"/>
  </cellStyles>
  <dxfs count="0"/>
  <tableStyles count="0" defaultTableStyle="TableStyleMedium2" defaultPivotStyle="PivotStyleMedium9"/>
  <colors>
    <mruColors>
      <color rgb="FFFAAF3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P52"/>
  <sheetViews>
    <sheetView tabSelected="1" topLeftCell="A43" zoomScale="130" zoomScaleNormal="130" workbookViewId="0">
      <selection activeCell="G56" sqref="G56"/>
    </sheetView>
  </sheetViews>
  <sheetFormatPr defaultRowHeight="15" x14ac:dyDescent="0.25"/>
  <cols>
    <col min="2" max="2" width="12.42578125" style="9" customWidth="1"/>
    <col min="3" max="3" width="20.140625" style="7" customWidth="1"/>
    <col min="4" max="5" width="12" style="29" bestFit="1" customWidth="1"/>
    <col min="6" max="6" width="10.7109375" style="29" customWidth="1"/>
    <col min="7" max="7" width="12.85546875" style="29" customWidth="1"/>
    <col min="8" max="8" width="13.5703125" style="29" customWidth="1"/>
    <col min="9" max="9" width="10.85546875" bestFit="1" customWidth="1"/>
    <col min="10" max="10" width="13" customWidth="1"/>
    <col min="11" max="11" width="11.5703125" customWidth="1"/>
    <col min="12" max="12" width="10.28515625" customWidth="1"/>
    <col min="15" max="15" width="12.5703125" bestFit="1" customWidth="1"/>
  </cols>
  <sheetData>
    <row r="1" spans="2:16" ht="15.75" thickBot="1" x14ac:dyDescent="0.3">
      <c r="B1" s="129" t="s">
        <v>60</v>
      </c>
      <c r="C1" s="129"/>
      <c r="J1" s="4"/>
      <c r="K1" s="4"/>
      <c r="L1" s="4"/>
      <c r="M1" s="3"/>
      <c r="N1" s="3"/>
    </row>
    <row r="2" spans="2:16" ht="15.75" thickBot="1" x14ac:dyDescent="0.3">
      <c r="B2" s="103" t="s">
        <v>61</v>
      </c>
      <c r="C2" s="104"/>
      <c r="D2" s="104"/>
      <c r="E2" s="104"/>
      <c r="F2" s="104"/>
      <c r="G2" s="105"/>
      <c r="H2" s="106"/>
    </row>
    <row r="3" spans="2:16" ht="30.75" customHeight="1" thickBot="1" x14ac:dyDescent="0.3">
      <c r="B3" s="1" t="s">
        <v>0</v>
      </c>
      <c r="C3" s="2" t="s">
        <v>1</v>
      </c>
      <c r="D3" s="30" t="s">
        <v>2</v>
      </c>
      <c r="E3" s="31" t="s">
        <v>3</v>
      </c>
      <c r="F3" s="32" t="s">
        <v>59</v>
      </c>
      <c r="G3" s="33" t="s">
        <v>13</v>
      </c>
      <c r="H3" s="34" t="s">
        <v>4</v>
      </c>
      <c r="J3" s="24"/>
      <c r="K3" s="4"/>
      <c r="L3" s="4"/>
      <c r="M3" s="3"/>
      <c r="N3" s="3"/>
    </row>
    <row r="4" spans="2:16" ht="15.75" thickBot="1" x14ac:dyDescent="0.3">
      <c r="B4" s="98" t="s">
        <v>7</v>
      </c>
      <c r="C4" s="99"/>
      <c r="D4" s="100"/>
      <c r="E4" s="100"/>
      <c r="F4" s="100"/>
      <c r="G4" s="101"/>
      <c r="H4" s="102"/>
      <c r="J4" s="24"/>
      <c r="K4" s="24"/>
      <c r="L4" s="4"/>
      <c r="M4" s="4"/>
      <c r="N4" s="4"/>
      <c r="O4" s="4"/>
      <c r="P4" s="4"/>
    </row>
    <row r="5" spans="2:16" ht="63" customHeight="1" x14ac:dyDescent="0.25">
      <c r="B5" s="16" t="s">
        <v>28</v>
      </c>
      <c r="C5" s="20" t="s">
        <v>40</v>
      </c>
      <c r="D5" s="35">
        <f>2080*47.74*0.1*1</f>
        <v>9929.92</v>
      </c>
      <c r="E5" s="36">
        <f>D5*1.03</f>
        <v>10227.8176</v>
      </c>
      <c r="F5" s="37">
        <f>E5*1.03*0.5</f>
        <v>5267.3260639999999</v>
      </c>
      <c r="G5" s="38">
        <f>SUM(D5:F5)</f>
        <v>25425.063664000001</v>
      </c>
      <c r="H5" s="39">
        <v>0</v>
      </c>
      <c r="J5" s="25"/>
      <c r="K5" s="25"/>
      <c r="L5" s="5"/>
      <c r="M5" s="5"/>
      <c r="N5" s="5"/>
      <c r="O5" s="5"/>
      <c r="P5" s="5"/>
    </row>
    <row r="6" spans="2:16" ht="65.25" customHeight="1" x14ac:dyDescent="0.25">
      <c r="B6" s="27" t="s">
        <v>56</v>
      </c>
      <c r="C6" s="17" t="s">
        <v>39</v>
      </c>
      <c r="D6" s="40">
        <f>74922</f>
        <v>74922</v>
      </c>
      <c r="E6" s="41">
        <f>D6*1.03</f>
        <v>77169.66</v>
      </c>
      <c r="F6" s="41">
        <f>E6*1.03*0.5</f>
        <v>39742.374900000003</v>
      </c>
      <c r="G6" s="42">
        <v>0</v>
      </c>
      <c r="H6" s="43">
        <f>SUM(D6:F6)</f>
        <v>191834.0349</v>
      </c>
      <c r="J6" s="28"/>
      <c r="K6" s="5"/>
      <c r="L6" s="5"/>
      <c r="M6" s="5"/>
      <c r="N6" s="5"/>
      <c r="O6" s="5"/>
      <c r="P6" s="5"/>
    </row>
    <row r="7" spans="2:16" ht="51" x14ac:dyDescent="0.25">
      <c r="B7" s="119" t="s">
        <v>57</v>
      </c>
      <c r="C7" s="17" t="s">
        <v>14</v>
      </c>
      <c r="D7" s="40">
        <f>2080*78.97*0.1*1</f>
        <v>16425.760000000002</v>
      </c>
      <c r="E7" s="41">
        <f>D7*1.03</f>
        <v>16918.532800000001</v>
      </c>
      <c r="F7" s="44">
        <f>E7*1.03*0.5</f>
        <v>8713.0443919999998</v>
      </c>
      <c r="G7" s="42">
        <f>SUM(D7:F7)</f>
        <v>42057.337192000006</v>
      </c>
      <c r="H7" s="45">
        <v>0</v>
      </c>
      <c r="J7" s="5"/>
      <c r="K7" s="5"/>
      <c r="L7" s="5"/>
      <c r="M7" s="5"/>
      <c r="N7" s="5"/>
      <c r="O7" s="5"/>
      <c r="P7" s="5"/>
    </row>
    <row r="8" spans="2:16" ht="50.25" customHeight="1" x14ac:dyDescent="0.25">
      <c r="B8" s="120"/>
      <c r="C8" s="17" t="s">
        <v>15</v>
      </c>
      <c r="D8" s="40">
        <f>2080*47.74*0.25*1</f>
        <v>24824.799999999999</v>
      </c>
      <c r="E8" s="41">
        <f>D8*1.03</f>
        <v>25569.544000000002</v>
      </c>
      <c r="F8" s="44">
        <f>E8*1.03*0.5</f>
        <v>13168.315160000002</v>
      </c>
      <c r="G8" s="42">
        <f>SUM(D8:F8)</f>
        <v>63562.659159999996</v>
      </c>
      <c r="H8" s="45">
        <v>0</v>
      </c>
      <c r="J8" s="5"/>
      <c r="K8" s="5"/>
      <c r="L8" s="5"/>
      <c r="M8" s="5"/>
      <c r="N8" s="5"/>
      <c r="O8" s="5"/>
      <c r="P8" s="5"/>
    </row>
    <row r="9" spans="2:16" ht="63" customHeight="1" thickBot="1" x14ac:dyDescent="0.3">
      <c r="B9" s="18" t="s">
        <v>19</v>
      </c>
      <c r="C9" s="19" t="s">
        <v>44</v>
      </c>
      <c r="D9" s="46">
        <f>22*20*52</f>
        <v>22880</v>
      </c>
      <c r="E9" s="47">
        <f>D9*1.03*0.5</f>
        <v>11783.2</v>
      </c>
      <c r="F9" s="48">
        <v>0</v>
      </c>
      <c r="G9" s="49">
        <v>0</v>
      </c>
      <c r="H9" s="50">
        <f>SUM(D9:F9)</f>
        <v>34663.199999999997</v>
      </c>
      <c r="J9" s="25"/>
      <c r="K9" s="25"/>
      <c r="L9" s="5"/>
      <c r="M9" s="5"/>
      <c r="N9" s="5"/>
      <c r="O9" s="5"/>
      <c r="P9" s="5"/>
    </row>
    <row r="10" spans="2:16" ht="15.75" thickBot="1" x14ac:dyDescent="0.3">
      <c r="B10" s="121" t="s">
        <v>16</v>
      </c>
      <c r="C10" s="122"/>
      <c r="D10" s="51">
        <f>SUM(D5,D7:D8)</f>
        <v>51180.479999999996</v>
      </c>
      <c r="E10" s="52">
        <f>SUM(E5,E7:E8)</f>
        <v>52715.894400000005</v>
      </c>
      <c r="F10" s="53">
        <f>SUM(F5,F7:F8)</f>
        <v>27148.685616000002</v>
      </c>
      <c r="G10" s="54">
        <f>SUM(G5:G9)</f>
        <v>131045.060016</v>
      </c>
      <c r="H10" s="55" t="s">
        <v>18</v>
      </c>
    </row>
    <row r="11" spans="2:16" ht="15.75" thickBot="1" x14ac:dyDescent="0.3">
      <c r="B11" s="121" t="s">
        <v>17</v>
      </c>
      <c r="C11" s="122"/>
      <c r="D11" s="51">
        <f>SUM(D6,D9)</f>
        <v>97802</v>
      </c>
      <c r="E11" s="52">
        <f>SUM(E6,E9)</f>
        <v>88952.86</v>
      </c>
      <c r="F11" s="53">
        <f>SUM(F6,F9)</f>
        <v>39742.374900000003</v>
      </c>
      <c r="G11" s="56" t="s">
        <v>18</v>
      </c>
      <c r="H11" s="57">
        <f>SUM(H5:H9)</f>
        <v>226497.23489999998</v>
      </c>
    </row>
    <row r="12" spans="2:16" ht="15" customHeight="1" thickBot="1" x14ac:dyDescent="0.3">
      <c r="B12" s="107" t="s">
        <v>5</v>
      </c>
      <c r="C12" s="108"/>
      <c r="D12" s="108"/>
      <c r="E12" s="108"/>
      <c r="F12" s="108"/>
      <c r="G12" s="109"/>
      <c r="H12" s="110"/>
    </row>
    <row r="13" spans="2:16" ht="45" x14ac:dyDescent="0.25">
      <c r="B13" s="21" t="s">
        <v>28</v>
      </c>
      <c r="C13" s="12" t="s">
        <v>29</v>
      </c>
      <c r="D13" s="58">
        <f>D5*0.41</f>
        <v>4071.2671999999998</v>
      </c>
      <c r="E13" s="59">
        <f>E5*0.41</f>
        <v>4193.4052160000001</v>
      </c>
      <c r="F13" s="60">
        <f>F5*0.41</f>
        <v>2159.6036862399997</v>
      </c>
      <c r="G13" s="61">
        <f>SUM(D13:F13)</f>
        <v>10424.276102239999</v>
      </c>
      <c r="H13" s="62">
        <v>0</v>
      </c>
    </row>
    <row r="14" spans="2:16" ht="60" x14ac:dyDescent="0.25">
      <c r="B14" s="27" t="s">
        <v>56</v>
      </c>
      <c r="C14" s="22" t="s">
        <v>20</v>
      </c>
      <c r="D14" s="63">
        <f t="shared" ref="D14:E16" si="0">D6*0.41</f>
        <v>30718.019999999997</v>
      </c>
      <c r="E14" s="64">
        <f t="shared" si="0"/>
        <v>31639.560600000001</v>
      </c>
      <c r="F14" s="64">
        <f>F6*0.41</f>
        <v>16294.373709</v>
      </c>
      <c r="G14" s="65">
        <v>0</v>
      </c>
      <c r="H14" s="45">
        <f>SUM(D14:F14)</f>
        <v>78651.954308999993</v>
      </c>
    </row>
    <row r="15" spans="2:16" ht="54.75" customHeight="1" x14ac:dyDescent="0.25">
      <c r="B15" s="123" t="s">
        <v>57</v>
      </c>
      <c r="C15" s="13" t="s">
        <v>21</v>
      </c>
      <c r="D15" s="63">
        <f t="shared" si="0"/>
        <v>6734.5616</v>
      </c>
      <c r="E15" s="64">
        <f t="shared" si="0"/>
        <v>6936.5984479999997</v>
      </c>
      <c r="F15" s="66">
        <f>F7*0.41</f>
        <v>3572.3482007199996</v>
      </c>
      <c r="G15" s="67">
        <f>SUM(D15:F15)</f>
        <v>17243.508248719998</v>
      </c>
      <c r="H15" s="45">
        <v>0</v>
      </c>
    </row>
    <row r="16" spans="2:16" ht="45.75" thickBot="1" x14ac:dyDescent="0.3">
      <c r="B16" s="124"/>
      <c r="C16" s="15" t="s">
        <v>22</v>
      </c>
      <c r="D16" s="63">
        <f t="shared" si="0"/>
        <v>10178.168</v>
      </c>
      <c r="E16" s="68">
        <f t="shared" si="0"/>
        <v>10483.51304</v>
      </c>
      <c r="F16" s="69">
        <f>F8*0.41</f>
        <v>5399.0092156000001</v>
      </c>
      <c r="G16" s="70">
        <f>SUM(D16:F16)</f>
        <v>26060.690255599999</v>
      </c>
      <c r="H16" s="50">
        <v>0</v>
      </c>
    </row>
    <row r="17" spans="2:10" ht="15.75" thickBot="1" x14ac:dyDescent="0.3">
      <c r="B17" s="125" t="s">
        <v>23</v>
      </c>
      <c r="C17" s="126"/>
      <c r="D17" s="51">
        <f>SUM(D13,D15:D16)</f>
        <v>20983.996800000001</v>
      </c>
      <c r="E17" s="52">
        <f>SUM(E13,E15:E16)</f>
        <v>21613.516704000001</v>
      </c>
      <c r="F17" s="53">
        <f>SUM(F13,F15:F16)</f>
        <v>11130.961102559999</v>
      </c>
      <c r="G17" s="54">
        <f>SUM(G13:G16)</f>
        <v>53728.474606559997</v>
      </c>
      <c r="H17" s="55" t="s">
        <v>18</v>
      </c>
      <c r="I17" s="6"/>
    </row>
    <row r="18" spans="2:10" ht="15.75" thickBot="1" x14ac:dyDescent="0.3">
      <c r="B18" s="127" t="s">
        <v>24</v>
      </c>
      <c r="C18" s="128"/>
      <c r="D18" s="51">
        <f>D14</f>
        <v>30718.019999999997</v>
      </c>
      <c r="E18" s="52">
        <f>E14</f>
        <v>31639.560600000001</v>
      </c>
      <c r="F18" s="53">
        <f>F14</f>
        <v>16294.373709</v>
      </c>
      <c r="G18" s="56" t="s">
        <v>18</v>
      </c>
      <c r="H18" s="57">
        <f>SUM(H13:H16)</f>
        <v>78651.954308999993</v>
      </c>
      <c r="I18" s="6"/>
    </row>
    <row r="19" spans="2:10" ht="15.75" thickBot="1" x14ac:dyDescent="0.3">
      <c r="B19" s="115" t="s">
        <v>6</v>
      </c>
      <c r="C19" s="116"/>
      <c r="D19" s="116"/>
      <c r="E19" s="116"/>
      <c r="F19" s="116"/>
      <c r="G19" s="117"/>
      <c r="H19" s="118"/>
    </row>
    <row r="20" spans="2:10" ht="60" x14ac:dyDescent="0.25">
      <c r="B20" s="130" t="s">
        <v>56</v>
      </c>
      <c r="C20" s="12" t="s">
        <v>45</v>
      </c>
      <c r="D20" s="71">
        <f>0.67*15*52</f>
        <v>522.6</v>
      </c>
      <c r="E20" s="72">
        <f>0.67*15*52</f>
        <v>522.6</v>
      </c>
      <c r="F20" s="73">
        <v>0</v>
      </c>
      <c r="G20" s="74">
        <v>0</v>
      </c>
      <c r="H20" s="39">
        <f>SUM(D20:F20)</f>
        <v>1045.2</v>
      </c>
    </row>
    <row r="21" spans="2:10" ht="60" x14ac:dyDescent="0.25">
      <c r="B21" s="131"/>
      <c r="C21" s="13" t="s">
        <v>46</v>
      </c>
      <c r="D21" s="71">
        <f>0.67*10*52</f>
        <v>348.40000000000003</v>
      </c>
      <c r="E21" s="72">
        <f>0.67*10*52</f>
        <v>348.40000000000003</v>
      </c>
      <c r="F21" s="75">
        <v>0</v>
      </c>
      <c r="G21" s="76">
        <v>0</v>
      </c>
      <c r="H21" s="45">
        <f t="shared" ref="H21:H24" si="1">SUM(D21:F21)</f>
        <v>696.80000000000007</v>
      </c>
    </row>
    <row r="22" spans="2:10" ht="75" x14ac:dyDescent="0.25">
      <c r="B22" s="131"/>
      <c r="C22" s="14" t="s">
        <v>47</v>
      </c>
      <c r="D22" s="71">
        <f>0.67*250*4</f>
        <v>670</v>
      </c>
      <c r="E22" s="72">
        <f>0.67*250*4</f>
        <v>670</v>
      </c>
      <c r="F22" s="75">
        <v>0</v>
      </c>
      <c r="G22" s="76">
        <v>0</v>
      </c>
      <c r="H22" s="45">
        <f t="shared" si="1"/>
        <v>1340</v>
      </c>
    </row>
    <row r="23" spans="2:10" ht="60" customHeight="1" x14ac:dyDescent="0.25">
      <c r="B23" s="131"/>
      <c r="C23" s="14" t="s">
        <v>25</v>
      </c>
      <c r="D23" s="71">
        <f>1000</f>
        <v>1000</v>
      </c>
      <c r="E23" s="72">
        <v>1000</v>
      </c>
      <c r="F23" s="75">
        <v>0</v>
      </c>
      <c r="G23" s="76">
        <v>0</v>
      </c>
      <c r="H23" s="45">
        <f t="shared" si="1"/>
        <v>2000</v>
      </c>
    </row>
    <row r="24" spans="2:10" ht="62.25" customHeight="1" x14ac:dyDescent="0.25">
      <c r="B24" s="131"/>
      <c r="C24" s="14" t="s">
        <v>48</v>
      </c>
      <c r="D24" s="71">
        <f>200*8</f>
        <v>1600</v>
      </c>
      <c r="E24" s="72">
        <f>200*8</f>
        <v>1600</v>
      </c>
      <c r="F24" s="75">
        <v>0</v>
      </c>
      <c r="G24" s="76">
        <v>0</v>
      </c>
      <c r="H24" s="45">
        <f t="shared" si="1"/>
        <v>3200</v>
      </c>
    </row>
    <row r="25" spans="2:10" ht="60" x14ac:dyDescent="0.25">
      <c r="B25" s="132"/>
      <c r="C25" s="14" t="s">
        <v>49</v>
      </c>
      <c r="D25" s="63">
        <f>50*8</f>
        <v>400</v>
      </c>
      <c r="E25" s="64">
        <f>50*8</f>
        <v>400</v>
      </c>
      <c r="F25" s="66">
        <v>0</v>
      </c>
      <c r="G25" s="67">
        <v>0</v>
      </c>
      <c r="H25" s="45">
        <f>SUM(D25:F25)</f>
        <v>800</v>
      </c>
      <c r="J25" s="29"/>
    </row>
    <row r="26" spans="2:10" ht="75" x14ac:dyDescent="0.25">
      <c r="B26" s="123" t="s">
        <v>57</v>
      </c>
      <c r="C26" s="87" t="s">
        <v>58</v>
      </c>
      <c r="D26" s="88">
        <f>2*250*40*0.67</f>
        <v>13400</v>
      </c>
      <c r="E26" s="68">
        <f>2*250*40*0.67</f>
        <v>13400</v>
      </c>
      <c r="F26" s="69">
        <v>0</v>
      </c>
      <c r="G26" s="82">
        <v>0</v>
      </c>
      <c r="H26" s="89">
        <f>SUM(D26:F26)</f>
        <v>26800</v>
      </c>
    </row>
    <row r="27" spans="2:10" ht="60.75" thickBot="1" x14ac:dyDescent="0.3">
      <c r="B27" s="124"/>
      <c r="C27" s="15" t="s">
        <v>50</v>
      </c>
      <c r="D27" s="77">
        <f>2000/5*2*0.67</f>
        <v>536</v>
      </c>
      <c r="E27" s="78">
        <f>2000/5*2*0.67</f>
        <v>536</v>
      </c>
      <c r="F27" s="79">
        <f>2000/5*0.67</f>
        <v>268</v>
      </c>
      <c r="G27" s="70">
        <f>SUM(D27:F27)</f>
        <v>1340</v>
      </c>
      <c r="H27" s="86">
        <v>0</v>
      </c>
    </row>
    <row r="28" spans="2:10" ht="15.75" thickBot="1" x14ac:dyDescent="0.3">
      <c r="B28" s="127" t="s">
        <v>26</v>
      </c>
      <c r="C28" s="128"/>
      <c r="D28" s="51">
        <f>D27</f>
        <v>536</v>
      </c>
      <c r="E28" s="52">
        <f>E27</f>
        <v>536</v>
      </c>
      <c r="F28" s="53">
        <f>F27</f>
        <v>268</v>
      </c>
      <c r="G28" s="96">
        <f>SUM(G20:G27)</f>
        <v>1340</v>
      </c>
      <c r="H28" s="55" t="s">
        <v>18</v>
      </c>
    </row>
    <row r="29" spans="2:10" ht="15.75" thickBot="1" x14ac:dyDescent="0.3">
      <c r="B29" s="127" t="s">
        <v>27</v>
      </c>
      <c r="C29" s="128"/>
      <c r="D29" s="51">
        <f>SUM(D20:D26)</f>
        <v>17941</v>
      </c>
      <c r="E29" s="52">
        <f>SUM(E20:E26)</f>
        <v>17941</v>
      </c>
      <c r="F29" s="53">
        <f>SUM(F20:F26)</f>
        <v>0</v>
      </c>
      <c r="G29" s="56" t="s">
        <v>18</v>
      </c>
      <c r="H29" s="57">
        <f>SUM(H20:H27)</f>
        <v>35882</v>
      </c>
    </row>
    <row r="30" spans="2:10" ht="15.75" thickBot="1" x14ac:dyDescent="0.3">
      <c r="B30" s="111" t="s">
        <v>8</v>
      </c>
      <c r="C30" s="112"/>
      <c r="D30" s="112"/>
      <c r="E30" s="112"/>
      <c r="F30" s="112"/>
      <c r="G30" s="113"/>
      <c r="H30" s="114"/>
    </row>
    <row r="31" spans="2:10" ht="75.75" thickBot="1" x14ac:dyDescent="0.3">
      <c r="B31" s="21" t="s">
        <v>57</v>
      </c>
      <c r="C31" s="12" t="s">
        <v>53</v>
      </c>
      <c r="D31" s="80">
        <f>2*125*8*5*40</f>
        <v>400000</v>
      </c>
      <c r="E31" s="81">
        <f>2*125*8*5*40</f>
        <v>400000</v>
      </c>
      <c r="F31" s="73">
        <v>0</v>
      </c>
      <c r="G31" s="74">
        <v>0</v>
      </c>
      <c r="H31" s="39">
        <f>SUM(D31:F31)</f>
        <v>800000</v>
      </c>
    </row>
    <row r="32" spans="2:10" ht="15.75" thickBot="1" x14ac:dyDescent="0.3">
      <c r="B32" s="125" t="s">
        <v>30</v>
      </c>
      <c r="C32" s="126"/>
      <c r="D32" s="51">
        <f>SUM(D31:D31)</f>
        <v>400000</v>
      </c>
      <c r="E32" s="52">
        <f>SUM(E31:E31)</f>
        <v>400000</v>
      </c>
      <c r="F32" s="53">
        <f>SUM(F31:F31)</f>
        <v>0</v>
      </c>
      <c r="G32" s="56" t="s">
        <v>18</v>
      </c>
      <c r="H32" s="57">
        <f>SUM(H31:H31)</f>
        <v>800000</v>
      </c>
    </row>
    <row r="33" spans="2:11" ht="15.75" thickBot="1" x14ac:dyDescent="0.3">
      <c r="B33" s="111" t="s">
        <v>9</v>
      </c>
      <c r="C33" s="112"/>
      <c r="D33" s="112"/>
      <c r="E33" s="112"/>
      <c r="F33" s="112"/>
      <c r="G33" s="113"/>
      <c r="H33" s="114"/>
    </row>
    <row r="34" spans="2:11" ht="90" x14ac:dyDescent="0.25">
      <c r="B34" s="27" t="s">
        <v>56</v>
      </c>
      <c r="C34" s="12" t="s">
        <v>38</v>
      </c>
      <c r="D34" s="80">
        <f>0.2*30000</f>
        <v>6000</v>
      </c>
      <c r="E34" s="81">
        <f>0.2*30000</f>
        <v>6000</v>
      </c>
      <c r="F34" s="73">
        <v>0</v>
      </c>
      <c r="G34" s="74">
        <v>0</v>
      </c>
      <c r="H34" s="39">
        <f>SUM(D34:F34)</f>
        <v>12000</v>
      </c>
    </row>
    <row r="35" spans="2:11" ht="45" x14ac:dyDescent="0.25">
      <c r="B35" s="123" t="s">
        <v>57</v>
      </c>
      <c r="C35" s="22" t="s">
        <v>41</v>
      </c>
      <c r="D35" s="90">
        <f>200*400</f>
        <v>80000</v>
      </c>
      <c r="E35" s="72">
        <f>200*400</f>
        <v>80000</v>
      </c>
      <c r="F35" s="75">
        <v>0</v>
      </c>
      <c r="G35" s="76">
        <v>0</v>
      </c>
      <c r="H35" s="45">
        <f>SUM(D35:F35)</f>
        <v>160000</v>
      </c>
      <c r="J35" s="97"/>
      <c r="K35" s="26"/>
    </row>
    <row r="36" spans="2:11" ht="45" x14ac:dyDescent="0.25">
      <c r="B36" s="131"/>
      <c r="C36" s="22" t="s">
        <v>42</v>
      </c>
      <c r="D36" s="90">
        <f>600*350/2</f>
        <v>105000</v>
      </c>
      <c r="E36" s="72">
        <f>600*350/2</f>
        <v>105000</v>
      </c>
      <c r="F36" s="75">
        <v>0</v>
      </c>
      <c r="G36" s="76">
        <v>0</v>
      </c>
      <c r="H36" s="45">
        <f t="shared" ref="H36:H37" si="2">SUM(D36:F36)</f>
        <v>210000</v>
      </c>
      <c r="J36" s="26"/>
      <c r="K36" s="26"/>
    </row>
    <row r="37" spans="2:11" ht="30" customHeight="1" thickBot="1" x14ac:dyDescent="0.3">
      <c r="B37" s="132"/>
      <c r="C37" s="22" t="s">
        <v>43</v>
      </c>
      <c r="D37" s="90">
        <f>50*3134/2</f>
        <v>78350</v>
      </c>
      <c r="E37" s="72">
        <f>50*3134/2</f>
        <v>78350</v>
      </c>
      <c r="F37" s="75">
        <v>0</v>
      </c>
      <c r="G37" s="76">
        <v>0</v>
      </c>
      <c r="H37" s="45">
        <f t="shared" si="2"/>
        <v>156700</v>
      </c>
      <c r="J37" s="26"/>
      <c r="K37" s="26"/>
    </row>
    <row r="38" spans="2:11" ht="15.75" thickBot="1" x14ac:dyDescent="0.3">
      <c r="B38" s="127" t="s">
        <v>34</v>
      </c>
      <c r="C38" s="128"/>
      <c r="D38" s="51">
        <f>SUM(D34:D37)</f>
        <v>269350</v>
      </c>
      <c r="E38" s="52">
        <f>SUM(E34:E37)</f>
        <v>269350</v>
      </c>
      <c r="F38" s="52">
        <f>SUM(F34:F37)</f>
        <v>0</v>
      </c>
      <c r="G38" s="56" t="s">
        <v>18</v>
      </c>
      <c r="H38" s="57">
        <f>SUM(H34:H37)</f>
        <v>538700</v>
      </c>
    </row>
    <row r="39" spans="2:11" ht="15.75" thickBot="1" x14ac:dyDescent="0.3">
      <c r="B39" s="111" t="s">
        <v>10</v>
      </c>
      <c r="C39" s="112"/>
      <c r="D39" s="112"/>
      <c r="E39" s="112"/>
      <c r="F39" s="112"/>
      <c r="G39" s="113"/>
      <c r="H39" s="114"/>
    </row>
    <row r="40" spans="2:11" ht="60" x14ac:dyDescent="0.25">
      <c r="B40" s="130" t="s">
        <v>56</v>
      </c>
      <c r="C40" s="12" t="s">
        <v>31</v>
      </c>
      <c r="D40" s="80">
        <f>150*6*52</f>
        <v>46800</v>
      </c>
      <c r="E40" s="81">
        <f>150*6*52</f>
        <v>46800</v>
      </c>
      <c r="F40" s="73">
        <v>0</v>
      </c>
      <c r="G40" s="74">
        <v>0</v>
      </c>
      <c r="H40" s="39">
        <f>SUM(D40:F40)</f>
        <v>93600</v>
      </c>
      <c r="J40" s="29"/>
    </row>
    <row r="41" spans="2:11" ht="60" x14ac:dyDescent="0.25">
      <c r="B41" s="132"/>
      <c r="C41" s="13" t="s">
        <v>32</v>
      </c>
      <c r="D41" s="65">
        <f>17500</f>
        <v>17500</v>
      </c>
      <c r="E41" s="64">
        <v>17500</v>
      </c>
      <c r="F41" s="66">
        <v>0</v>
      </c>
      <c r="G41" s="67">
        <v>0</v>
      </c>
      <c r="H41" s="45">
        <f>SUM(D41:F41)</f>
        <v>35000</v>
      </c>
      <c r="J41" s="29"/>
    </row>
    <row r="42" spans="2:11" ht="60" x14ac:dyDescent="0.25">
      <c r="B42" s="123" t="s">
        <v>57</v>
      </c>
      <c r="C42" s="23" t="s">
        <v>52</v>
      </c>
      <c r="D42" s="91">
        <f>2*80*40*40</f>
        <v>256000</v>
      </c>
      <c r="E42" s="68">
        <f>2*80*40*40</f>
        <v>256000</v>
      </c>
      <c r="F42" s="69">
        <v>0</v>
      </c>
      <c r="G42" s="82">
        <v>0</v>
      </c>
      <c r="H42" s="92">
        <f>SUM(D42:F42)</f>
        <v>512000</v>
      </c>
      <c r="I42" s="29"/>
      <c r="J42" s="26"/>
      <c r="K42" s="26"/>
    </row>
    <row r="43" spans="2:11" ht="75.75" thickBot="1" x14ac:dyDescent="0.3">
      <c r="B43" s="124"/>
      <c r="C43" s="15" t="s">
        <v>51</v>
      </c>
      <c r="D43" s="91">
        <f>2*50*40*40</f>
        <v>160000</v>
      </c>
      <c r="E43" s="68">
        <f>2*50*40*40</f>
        <v>160000</v>
      </c>
      <c r="F43" s="69">
        <v>0</v>
      </c>
      <c r="G43" s="70">
        <v>0</v>
      </c>
      <c r="H43" s="93">
        <f>SUM(D43:F43)</f>
        <v>320000</v>
      </c>
      <c r="J43" s="97"/>
      <c r="K43" s="26"/>
    </row>
    <row r="44" spans="2:11" ht="15.75" customHeight="1" thickBot="1" x14ac:dyDescent="0.3">
      <c r="B44" s="127" t="s">
        <v>35</v>
      </c>
      <c r="C44" s="128"/>
      <c r="D44" s="51">
        <f>SUM(D40:D43)</f>
        <v>480300</v>
      </c>
      <c r="E44" s="52">
        <f>SUM(E40:E43)</f>
        <v>480300</v>
      </c>
      <c r="F44" s="52">
        <f>SUM(F40:F43)</f>
        <v>0</v>
      </c>
      <c r="G44" s="56" t="s">
        <v>18</v>
      </c>
      <c r="H44" s="57">
        <f>SUM(H40:H43)</f>
        <v>960600</v>
      </c>
    </row>
    <row r="45" spans="2:11" ht="15.75" thickBot="1" x14ac:dyDescent="0.3">
      <c r="B45" s="111" t="s">
        <v>11</v>
      </c>
      <c r="C45" s="112"/>
      <c r="D45" s="112"/>
      <c r="E45" s="112"/>
      <c r="F45" s="112"/>
      <c r="G45" s="113"/>
      <c r="H45" s="114"/>
    </row>
    <row r="46" spans="2:11" ht="30" customHeight="1" thickBot="1" x14ac:dyDescent="0.3">
      <c r="B46" s="10"/>
      <c r="C46" s="12" t="s">
        <v>33</v>
      </c>
      <c r="D46" s="80">
        <v>0</v>
      </c>
      <c r="E46" s="81">
        <v>0</v>
      </c>
      <c r="F46" s="81">
        <v>0</v>
      </c>
      <c r="G46" s="73">
        <v>0</v>
      </c>
      <c r="H46" s="39">
        <f>SUM(D46:F46)</f>
        <v>0</v>
      </c>
    </row>
    <row r="47" spans="2:11" ht="15.75" thickBot="1" x14ac:dyDescent="0.3">
      <c r="B47" s="127" t="s">
        <v>36</v>
      </c>
      <c r="C47" s="128"/>
      <c r="D47" s="51">
        <f>SUM(D46:D46)</f>
        <v>0</v>
      </c>
      <c r="E47" s="52">
        <f>SUM(E46:E46)</f>
        <v>0</v>
      </c>
      <c r="F47" s="52">
        <f>SUM(F46:F46)</f>
        <v>0</v>
      </c>
      <c r="G47" s="56" t="s">
        <v>18</v>
      </c>
      <c r="H47" s="57">
        <f>SUM(H46:H46)</f>
        <v>0</v>
      </c>
    </row>
    <row r="48" spans="2:11" ht="15.75" thickBot="1" x14ac:dyDescent="0.3">
      <c r="B48" s="111" t="s">
        <v>12</v>
      </c>
      <c r="C48" s="112"/>
      <c r="D48" s="112"/>
      <c r="E48" s="112"/>
      <c r="F48" s="112"/>
      <c r="G48" s="113"/>
      <c r="H48" s="114"/>
    </row>
    <row r="49" spans="2:8" ht="30" customHeight="1" thickBot="1" x14ac:dyDescent="0.3">
      <c r="B49" s="10"/>
      <c r="C49" s="12" t="s">
        <v>33</v>
      </c>
      <c r="D49" s="80">
        <v>0</v>
      </c>
      <c r="E49" s="81">
        <v>0</v>
      </c>
      <c r="F49" s="81">
        <v>0</v>
      </c>
      <c r="G49" s="73">
        <v>0</v>
      </c>
      <c r="H49" s="39">
        <f>SUM(D49:F49)</f>
        <v>0</v>
      </c>
    </row>
    <row r="50" spans="2:8" ht="15.75" thickBot="1" x14ac:dyDescent="0.3">
      <c r="B50" s="127" t="s">
        <v>37</v>
      </c>
      <c r="C50" s="128"/>
      <c r="D50" s="51">
        <f>SUM(D49:D49)</f>
        <v>0</v>
      </c>
      <c r="E50" s="52">
        <f>SUM(E49:E49)</f>
        <v>0</v>
      </c>
      <c r="F50" s="52">
        <f>SUM(F49:F49)</f>
        <v>0</v>
      </c>
      <c r="G50" s="56" t="s">
        <v>18</v>
      </c>
      <c r="H50" s="57">
        <f>SUM(H49:H49)</f>
        <v>0</v>
      </c>
    </row>
    <row r="51" spans="2:8" ht="60.75" thickBot="1" x14ac:dyDescent="0.3">
      <c r="B51" s="11"/>
      <c r="C51" s="8" t="s">
        <v>54</v>
      </c>
      <c r="D51" s="83">
        <f>SUM(D10,D17,D28)</f>
        <v>72700.476800000004</v>
      </c>
      <c r="E51" s="84">
        <f>SUM(E10,E17,E28)</f>
        <v>74865.411103999999</v>
      </c>
      <c r="F51" s="84">
        <f>SUM(F10,F17,F28)</f>
        <v>38547.646718560005</v>
      </c>
      <c r="G51" s="94">
        <f>SUM(G10,G17,G28)</f>
        <v>186113.53462255999</v>
      </c>
      <c r="H51" s="95" t="s">
        <v>18</v>
      </c>
    </row>
    <row r="52" spans="2:8" ht="60.75" thickBot="1" x14ac:dyDescent="0.3">
      <c r="B52" s="11"/>
      <c r="C52" s="8" t="s">
        <v>55</v>
      </c>
      <c r="D52" s="83">
        <f>SUM(D11,D18,D29,D32,D38,D44,D47,D50)</f>
        <v>1296111.02</v>
      </c>
      <c r="E52" s="84">
        <f>SUM(E11,E18,E29,E32,E38,E44,E47,E50)</f>
        <v>1288183.4206000001</v>
      </c>
      <c r="F52" s="84">
        <f>SUM(F11,F18,F29,F32,F38,F44,F47,F50)</f>
        <v>56036.748609000002</v>
      </c>
      <c r="G52" s="94" t="s">
        <v>18</v>
      </c>
      <c r="H52" s="85">
        <f>SUM(H11,H18,H29,H32,H38,H44,H47,H50)</f>
        <v>2640331.1892090002</v>
      </c>
    </row>
  </sheetData>
  <mergeCells count="28">
    <mergeCell ref="B1:C1"/>
    <mergeCell ref="B50:C50"/>
    <mergeCell ref="B20:B25"/>
    <mergeCell ref="B28:C28"/>
    <mergeCell ref="B29:C29"/>
    <mergeCell ref="B32:C32"/>
    <mergeCell ref="B35:B37"/>
    <mergeCell ref="B39:H39"/>
    <mergeCell ref="B45:H45"/>
    <mergeCell ref="B48:H48"/>
    <mergeCell ref="B40:B41"/>
    <mergeCell ref="B42:B43"/>
    <mergeCell ref="B38:C38"/>
    <mergeCell ref="B44:C44"/>
    <mergeCell ref="B47:C47"/>
    <mergeCell ref="B26:B27"/>
    <mergeCell ref="B4:H4"/>
    <mergeCell ref="B2:H2"/>
    <mergeCell ref="B12:H12"/>
    <mergeCell ref="B30:H30"/>
    <mergeCell ref="B33:H33"/>
    <mergeCell ref="B19:H19"/>
    <mergeCell ref="B7:B8"/>
    <mergeCell ref="B10:C10"/>
    <mergeCell ref="B11:C11"/>
    <mergeCell ref="B15:B16"/>
    <mergeCell ref="B17:C17"/>
    <mergeCell ref="B18:C18"/>
  </mergeCells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6864DA668A7CF4C91DB6BBC9C5D1479" ma:contentTypeVersion="16" ma:contentTypeDescription="Create a new document." ma:contentTypeScope="" ma:versionID="198640cab3764b764ca6f3fa6448c08c">
  <xsd:schema xmlns:xsd="http://www.w3.org/2001/XMLSchema" xmlns:xs="http://www.w3.org/2001/XMLSchema" xmlns:p="http://schemas.microsoft.com/office/2006/metadata/properties" xmlns:ns2="85a0bd8b-9bd7-40a4-bef4-9d3f9936022d" xmlns:ns3="d4193766-a4c8-46b9-929a-7cf60acffae0" xmlns:ns4="4df49046-9e21-4a20-9e05-a8499394263e" targetNamespace="http://schemas.microsoft.com/office/2006/metadata/properties" ma:root="true" ma:fieldsID="240fcc19b50c22205e7169f8def55377" ns2:_="" ns3:_="" ns4:_="">
    <xsd:import namespace="85a0bd8b-9bd7-40a4-bef4-9d3f9936022d"/>
    <xsd:import namespace="d4193766-a4c8-46b9-929a-7cf60acffae0"/>
    <xsd:import namespace="4df49046-9e21-4a20-9e05-a8499394263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4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a0bd8b-9bd7-40a4-bef4-9d3f9936022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15" nillable="true" ma:taxonomy="true" ma:internalName="lcf76f155ced4ddcb4097134ff3c332f" ma:taxonomyFieldName="MediaServiceImageTags" ma:displayName="Image Tags" ma:readOnly="false" ma:fieldId="{5cf76f15-5ced-4ddc-b409-7134ff3c332f}" ma:taxonomyMulti="true" ma:sspId="4977b52c-c935-4ef2-a32e-c25e2e7ab9e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  <xsd:element name="MediaServiceObjectDetectorVersions" ma:index="2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4193766-a4c8-46b9-929a-7cf60acffae0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df49046-9e21-4a20-9e05-a8499394263e" elementFormDefault="qualified">
    <xsd:import namespace="http://schemas.microsoft.com/office/2006/documentManagement/types"/>
    <xsd:import namespace="http://schemas.microsoft.com/office/infopath/2007/PartnerControls"/>
    <xsd:element name="TaxCatchAll" ma:index="16" nillable="true" ma:displayName="Taxonomy Catch All Column" ma:hidden="true" ma:list="{2f17cbd2-b83f-41ef-b22c-68db6a2473ae}" ma:internalName="TaxCatchAll" ma:showField="CatchAllData" ma:web="d4193766-a4c8-46b9-929a-7cf60acffae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df49046-9e21-4a20-9e05-a8499394263e" xsi:nil="true"/>
    <lcf76f155ced4ddcb4097134ff3c332f xmlns="85a0bd8b-9bd7-40a4-bef4-9d3f9936022d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56CB285-2CB2-4986-937C-2CB85A2ECD9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5a0bd8b-9bd7-40a4-bef4-9d3f9936022d"/>
    <ds:schemaRef ds:uri="d4193766-a4c8-46b9-929a-7cf60acffae0"/>
    <ds:schemaRef ds:uri="4df49046-9e21-4a20-9e05-a849939426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26FDC73C-5E1E-4169-A417-85BA7369CF9D}">
  <ds:schemaRefs>
    <ds:schemaRef ds:uri="http://purl.org/dc/dcmitype/"/>
    <ds:schemaRef ds:uri="http://purl.org/dc/elements/1.1/"/>
    <ds:schemaRef ds:uri="4df49046-9e21-4a20-9e05-a8499394263e"/>
    <ds:schemaRef ds:uri="http://purl.org/dc/terms/"/>
    <ds:schemaRef ds:uri="d4193766-a4c8-46b9-929a-7cf60acffae0"/>
    <ds:schemaRef ds:uri="85a0bd8b-9bd7-40a4-bef4-9d3f9936022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schemas.microsoft.com/office/2006/metadata/propertie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B4DBEA7E-7CFA-44B3-AC24-F89E6833D2C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Hannah Delker</dc:creator>
  <cp:keywords/>
  <dc:description/>
  <cp:lastModifiedBy>Hannah Delker</cp:lastModifiedBy>
  <cp:revision/>
  <dcterms:created xsi:type="dcterms:W3CDTF">2024-03-12T13:46:30Z</dcterms:created>
  <dcterms:modified xsi:type="dcterms:W3CDTF">2024-03-28T19:38:59Z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0x010100C6864DA668A7CF4C91DB6BBC9C5D1479</vt:lpwstr>
  </property>
  <property fmtid="{D5CDD505-2E9C-101B-9397-08002B2CF9AE}" pid="3" name="MediaServiceImageTags">
    <vt:lpwstr/>
  </property>
</Properties>
</file>