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/>
  <mc:AlternateContent xmlns:mc="http://schemas.openxmlformats.org/markup-compatibility/2006">
    <mc:Choice Requires="x15">
      <x15ac:absPath xmlns:x15ac="http://schemas.microsoft.com/office/spreadsheetml/2010/11/ac" url="F:\Planning\Andrew Young\Grant Applications\2024 EPA GHG Reduction\Goddard\Submission\"/>
    </mc:Choice>
  </mc:AlternateContent>
  <xr:revisionPtr revIDLastSave="0" documentId="8_{65D3AFF3-28E5-473A-A418-2B8B8406D8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HG Emission Reductions" sheetId="1" r:id="rId1"/>
    <sheet name="Notes" sheetId="2" r:id="rId2"/>
    <sheet name="Notes Cont.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3" i="1" l="1"/>
  <c r="N3" i="1" l="1"/>
  <c r="P3" i="1"/>
  <c r="P20" i="1"/>
  <c r="Q26" i="1"/>
  <c r="F25" i="2" l="1"/>
  <c r="C5" i="1"/>
  <c r="J4" i="1"/>
  <c r="I4" i="1"/>
  <c r="K4" i="1" s="1"/>
  <c r="Q24" i="1"/>
  <c r="Q25" i="1" s="1"/>
  <c r="W22" i="1"/>
  <c r="W21" i="1"/>
  <c r="V21" i="1"/>
  <c r="Q20" i="1"/>
  <c r="Q18" i="1"/>
  <c r="P18" i="1"/>
  <c r="Q11" i="1"/>
  <c r="P11" i="1"/>
  <c r="Q3" i="1"/>
  <c r="T18" i="1"/>
  <c r="O20" i="1"/>
  <c r="W16" i="1"/>
  <c r="W17" i="1"/>
  <c r="W18" i="1"/>
  <c r="W19" i="1"/>
  <c r="V19" i="1"/>
  <c r="V16" i="1"/>
  <c r="V17" i="1"/>
  <c r="V18" i="1"/>
  <c r="U21" i="1"/>
  <c r="K4" i="2"/>
  <c r="L4" i="2" s="1"/>
  <c r="F5" i="2"/>
  <c r="C19" i="1"/>
  <c r="I19" i="1" s="1"/>
  <c r="G20" i="3"/>
  <c r="C13" i="1"/>
  <c r="J13" i="1" s="1"/>
  <c r="C12" i="1"/>
  <c r="I12" i="1" s="1"/>
  <c r="D11" i="3"/>
  <c r="D12" i="3"/>
  <c r="D13" i="3"/>
  <c r="D14" i="3"/>
  <c r="F11" i="3"/>
  <c r="I11" i="3"/>
  <c r="E24" i="3"/>
  <c r="E25" i="3"/>
  <c r="E26" i="3"/>
  <c r="C27" i="3"/>
  <c r="D24" i="3" s="1"/>
  <c r="D27" i="3" s="1"/>
  <c r="D26" i="3"/>
  <c r="D25" i="3"/>
  <c r="W5" i="1"/>
  <c r="W6" i="1"/>
  <c r="W7" i="1"/>
  <c r="W8" i="1"/>
  <c r="W9" i="1"/>
  <c r="W10" i="1"/>
  <c r="W11" i="1"/>
  <c r="W12" i="1"/>
  <c r="W13" i="1"/>
  <c r="W14" i="1"/>
  <c r="W4" i="1"/>
  <c r="V5" i="1"/>
  <c r="V6" i="1"/>
  <c r="V7" i="1"/>
  <c r="V8" i="1"/>
  <c r="V9" i="1"/>
  <c r="V10" i="1"/>
  <c r="V11" i="1"/>
  <c r="V12" i="1"/>
  <c r="V13" i="1"/>
  <c r="V14" i="1"/>
  <c r="V4" i="1"/>
  <c r="G25" i="2"/>
  <c r="H25" i="2" s="1"/>
  <c r="H5" i="1"/>
  <c r="H6" i="1"/>
  <c r="H4" i="1"/>
  <c r="C8" i="1"/>
  <c r="C7" i="1"/>
  <c r="C6" i="1"/>
  <c r="C4" i="1"/>
  <c r="D20" i="3"/>
  <c r="E20" i="3"/>
  <c r="C20" i="3"/>
  <c r="J6" i="2"/>
  <c r="E10" i="3"/>
  <c r="H10" i="3"/>
  <c r="C10" i="3"/>
  <c r="E5" i="3"/>
  <c r="H5" i="3"/>
  <c r="C5" i="3"/>
  <c r="I7" i="2"/>
  <c r="J4" i="2" s="1"/>
  <c r="E5" i="2"/>
  <c r="E6" i="2"/>
  <c r="J4" i="3"/>
  <c r="D4" i="2"/>
  <c r="C4" i="2"/>
  <c r="E4" i="2" s="1"/>
  <c r="F6" i="2" s="1"/>
  <c r="F8" i="2" s="1"/>
  <c r="J3" i="3"/>
  <c r="S4" i="1" l="1"/>
  <c r="J19" i="1"/>
  <c r="N18" i="1"/>
  <c r="K19" i="1"/>
  <c r="S19" i="1" s="1"/>
  <c r="T19" i="1" s="1"/>
  <c r="C14" i="1"/>
  <c r="I13" i="1"/>
  <c r="K13" i="1" s="1"/>
  <c r="C15" i="1"/>
  <c r="J12" i="1"/>
  <c r="K12" i="1" s="1"/>
  <c r="J5" i="1"/>
  <c r="K8" i="1"/>
  <c r="J6" i="1"/>
  <c r="I5" i="1"/>
  <c r="K7" i="1"/>
  <c r="I6" i="1"/>
  <c r="K6" i="2"/>
  <c r="L6" i="2" s="1"/>
  <c r="J5" i="2"/>
  <c r="K5" i="2" s="1"/>
  <c r="L5" i="2" s="1"/>
  <c r="J5" i="3"/>
  <c r="S13" i="1" l="1"/>
  <c r="T13" i="1" s="1"/>
  <c r="T4" i="1"/>
  <c r="S12" i="1"/>
  <c r="T12" i="1" s="1"/>
  <c r="K5" i="1"/>
  <c r="I14" i="1"/>
  <c r="J14" i="1"/>
  <c r="K6" i="1"/>
  <c r="S6" i="1" s="1"/>
  <c r="T6" i="1" s="1"/>
  <c r="K7" i="2"/>
  <c r="J7" i="2"/>
  <c r="L7" i="2"/>
  <c r="S5" i="1" l="1"/>
  <c r="T5" i="1" s="1"/>
  <c r="K14" i="1"/>
  <c r="S14" i="1" l="1"/>
  <c r="T14" i="1" s="1"/>
  <c r="N11" i="1"/>
  <c r="F20" i="3"/>
  <c r="F18" i="3"/>
  <c r="F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Vieyra, Baylee</author>
  </authors>
  <commentList>
    <comment ref="M1" authorId="0" shapeId="0" xr:uid="{9B83834A-0911-4603-AFFF-E75E7139ADA9}">
      <text>
        <r>
          <rPr>
            <b/>
            <sz val="9"/>
            <color indexed="81"/>
            <rFont val="Tahoma"/>
            <charset val="1"/>
          </rPr>
          <t>Vieyra, Baylee:</t>
        </r>
        <r>
          <rPr>
            <sz val="9"/>
            <color indexed="81"/>
            <rFont val="Tahoma"/>
            <charset val="1"/>
          </rPr>
          <t xml:space="preserve">
https://www.energy.gov/eere/vehicles/fact-861-february-23-2015-idle-fuel-consumption-selected-gasoline-and-diesel-vehicles
</t>
        </r>
      </text>
    </comment>
    <comment ref="O1" authorId="0" shapeId="0" xr:uid="{36DECFD6-913E-4A56-82E8-4F43FD5BC76A}">
      <text>
        <r>
          <rPr>
            <b/>
            <sz val="9"/>
            <color indexed="81"/>
            <rFont val="Tahoma"/>
            <charset val="1"/>
          </rPr>
          <t>Vieyra, Baylee:</t>
        </r>
        <r>
          <rPr>
            <sz val="9"/>
            <color indexed="81"/>
            <rFont val="Tahoma"/>
            <charset val="1"/>
          </rPr>
          <t xml:space="preserve">
https://www.epa.gov/energy/greenhouse-gases-equivalencies-calculator-calculations-and-references
</t>
        </r>
      </text>
    </comment>
  </commentList>
</comments>
</file>

<file path=xl/sharedStrings.xml><?xml version="1.0" encoding="utf-8"?>
<sst xmlns="http://schemas.openxmlformats.org/spreadsheetml/2006/main" count="142" uniqueCount="103">
  <si>
    <t>Average Delay In Seconds</t>
  </si>
  <si>
    <t>Average Trip Distance</t>
  </si>
  <si>
    <t>Vehicle Miles Reduced</t>
  </si>
  <si>
    <t xml:space="preserve">183rd Traveling South </t>
  </si>
  <si>
    <t>E/W Stoplight Traffic</t>
  </si>
  <si>
    <t>To WalMart</t>
  </si>
  <si>
    <t>To Genesis</t>
  </si>
  <si>
    <t>Toward MacArthur</t>
  </si>
  <si>
    <t>Stoplight Traffic</t>
  </si>
  <si>
    <t>199th Traveling South</t>
  </si>
  <si>
    <t>199th Traveling North</t>
  </si>
  <si>
    <t>To Restaurants</t>
  </si>
  <si>
    <t>To Neighborhoods</t>
  </si>
  <si>
    <t>AM Peak</t>
  </si>
  <si>
    <t>PM Peak</t>
  </si>
  <si>
    <t>183rd heading south</t>
  </si>
  <si>
    <t>Total Heding south</t>
  </si>
  <si>
    <t>199th South</t>
  </si>
  <si>
    <t>Heading to Shops/genesis</t>
  </si>
  <si>
    <t>AM</t>
  </si>
  <si>
    <t xml:space="preserve">PM </t>
  </si>
  <si>
    <t>Kellogg Dr</t>
  </si>
  <si>
    <t>PM</t>
  </si>
  <si>
    <t>Sum</t>
  </si>
  <si>
    <t>Crossing Kellogg</t>
  </si>
  <si>
    <t>Rate</t>
  </si>
  <si>
    <t>From West (right turn)</t>
  </si>
  <si>
    <t>From East (left turn)</t>
  </si>
  <si>
    <t>Total</t>
  </si>
  <si>
    <t>From Table "Trip Generation" on Page 53</t>
  </si>
  <si>
    <t>199th North</t>
  </si>
  <si>
    <t>Continues South</t>
  </si>
  <si>
    <t>Turn onto Kellogg Dr</t>
  </si>
  <si>
    <t>Turn South onto Goddard Rd</t>
  </si>
  <si>
    <t>Daily Trips</t>
  </si>
  <si>
    <t>Lodging</t>
  </si>
  <si>
    <t>Dining</t>
  </si>
  <si>
    <t>Athletic Club (genesis)</t>
  </si>
  <si>
    <t>Totals</t>
  </si>
  <si>
    <t>%</t>
  </si>
  <si>
    <t>number of trips based on traffic study</t>
  </si>
  <si>
    <t>Rate of Trips</t>
  </si>
  <si>
    <t>Total Driving South</t>
  </si>
  <si>
    <t>From East (Right Turn)</t>
  </si>
  <si>
    <t>From West (Left Turn)</t>
  </si>
  <si>
    <t>Heading to south</t>
  </si>
  <si>
    <t>To Genesis, Restaurant, Shops</t>
  </si>
  <si>
    <t>Estimated Towards MacArthur</t>
  </si>
  <si>
    <t>Estimated Heading to Walmart</t>
  </si>
  <si>
    <t>To Hotel</t>
  </si>
  <si>
    <t>Go West</t>
  </si>
  <si>
    <t>Daily Traffic Counts</t>
  </si>
  <si>
    <t>Total Trips Reduced Per Year</t>
  </si>
  <si>
    <t>2025-2030</t>
  </si>
  <si>
    <t>2025-2050</t>
  </si>
  <si>
    <t>Large Sedan</t>
  </si>
  <si>
    <t>Gas</t>
  </si>
  <si>
    <t>-</t>
  </si>
  <si>
    <t>Compact Sedan</t>
  </si>
  <si>
    <t>Diesel</t>
  </si>
  <si>
    <t>Medium Heavy Truck</t>
  </si>
  <si>
    <t>19,700-26,000</t>
  </si>
  <si>
    <t>Delivery Truck</t>
  </si>
  <si>
    <t>Tow Truck</t>
  </si>
  <si>
    <t>23,000-33,000</t>
  </si>
  <si>
    <t>Transit Bus</t>
  </si>
  <si>
    <t>Combination Truck</t>
  </si>
  <si>
    <t>Bucket Truck</t>
  </si>
  <si>
    <t>Tractor-Semitrailer</t>
  </si>
  <si>
    <t>HICLE TYPE</t>
  </si>
  <si>
    <t>FUEL TYPE</t>
  </si>
  <si>
    <t>ENGINE SIZE
(LITER)</t>
  </si>
  <si>
    <t>GROSS VEHICLE WEIGHT
(GVW) (LBS)</t>
  </si>
  <si>
    <t>IDLING FUEL USE
(GAL/HR WITH NO LOAD)</t>
  </si>
  <si>
    <t>G/h</t>
  </si>
  <si>
    <t>G/m</t>
  </si>
  <si>
    <t>G/s</t>
  </si>
  <si>
    <t>Gal/Second</t>
  </si>
  <si>
    <t>Vehicle Miles Gallons of Gas Reduced</t>
  </si>
  <si>
    <t>Vehicle Miles GHG Emissions Equivalency (Metric Tons) per Year</t>
  </si>
  <si>
    <t xml:space="preserve">Idling Time Calculation </t>
  </si>
  <si>
    <t>Idling Gallons of Gas Reduced per year</t>
  </si>
  <si>
    <t>Idling Emissions Reduced per year</t>
  </si>
  <si>
    <t>average consumption (G/S)  x number of trips per year taken x number of cars crossing kellog x time</t>
  </si>
  <si>
    <t>Genesis</t>
  </si>
  <si>
    <t>Restaurants</t>
  </si>
  <si>
    <t>Hotel</t>
  </si>
  <si>
    <t>Traffic Study Trips</t>
  </si>
  <si>
    <t>To Parks</t>
  </si>
  <si>
    <t>To Downtown/Parks/Library</t>
  </si>
  <si>
    <t>Yearly</t>
  </si>
  <si>
    <t>Destination Rate</t>
  </si>
  <si>
    <t>Rate of Travel by Walking</t>
  </si>
  <si>
    <t>Rate of Travel by Biking</t>
  </si>
  <si>
    <t>Commuters Likely to Walk</t>
  </si>
  <si>
    <t>Commuters Likely to Bike</t>
  </si>
  <si>
    <t>Trips Reduced via Walking</t>
  </si>
  <si>
    <t>Trips Reduced via Biking</t>
  </si>
  <si>
    <t>Weather</t>
  </si>
  <si>
    <t>Both 2025-2050</t>
  </si>
  <si>
    <t>Both 2025 - 2030</t>
  </si>
  <si>
    <t>Idling 2025-2050</t>
  </si>
  <si>
    <t>Idling 2025-2030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</si>
</sst>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000000000"/>
    <numFmt numFmtId="167" formatCode="_(* #,##0_);_(* \(#,##0\);_(* &quot;-&quot;????????????_);_(@_)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4"/>
      <color rgb="FF292929"/>
      <name val="Karla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164" fontId="0" fillId="0" borderId="0" xfId="1" applyNumberFormat="1" applyFont="1" applyAlignment="1">
      <alignment horizontal="center"/>
    </xf>
    <xf numFmtId="9" fontId="0" fillId="0" borderId="0" xfId="0" applyNumberFormat="1"/>
    <xf numFmtId="165" fontId="0" fillId="0" borderId="0" xfId="0" applyNumberFormat="1"/>
    <xf numFmtId="9" fontId="0" fillId="0" borderId="0" xfId="2" applyFont="1"/>
    <xf numFmtId="165" fontId="0" fillId="0" borderId="0" xfId="2" applyNumberFormat="1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0" fontId="0" fillId="0" borderId="0" xfId="0" applyNumberFormat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9" fontId="0" fillId="0" borderId="5" xfId="0" applyNumberFormat="1" applyBorder="1"/>
    <xf numFmtId="10" fontId="0" fillId="0" borderId="8" xfId="0" applyNumberFormat="1" applyBorder="1"/>
    <xf numFmtId="9" fontId="0" fillId="0" borderId="0" xfId="2" applyFont="1" applyAlignment="1">
      <alignment horizontal="center"/>
    </xf>
    <xf numFmtId="2" fontId="0" fillId="0" borderId="0" xfId="2" applyNumberFormat="1" applyFont="1" applyAlignment="1">
      <alignment horizontal="center"/>
    </xf>
    <xf numFmtId="2" fontId="0" fillId="0" borderId="0" xfId="2" applyNumberFormat="1" applyFont="1"/>
    <xf numFmtId="0" fontId="0" fillId="0" borderId="0" xfId="2" applyNumberFormat="1" applyFont="1"/>
    <xf numFmtId="43" fontId="0" fillId="0" borderId="0" xfId="2" applyNumberFormat="1" applyFont="1"/>
    <xf numFmtId="43" fontId="0" fillId="0" borderId="0" xfId="0" applyNumberFormat="1"/>
    <xf numFmtId="0" fontId="3" fillId="2" borderId="0" xfId="0" applyFont="1" applyFill="1" applyAlignment="1">
      <alignment wrapText="1"/>
    </xf>
    <xf numFmtId="0" fontId="3" fillId="2" borderId="0" xfId="0" quotePrefix="1" applyFont="1" applyFill="1" applyAlignment="1">
      <alignment wrapText="1"/>
    </xf>
    <xf numFmtId="0" fontId="3" fillId="3" borderId="0" xfId="0" applyFont="1" applyFill="1" applyAlignment="1">
      <alignment wrapText="1"/>
    </xf>
    <xf numFmtId="0" fontId="3" fillId="3" borderId="0" xfId="0" quotePrefix="1" applyFont="1" applyFill="1" applyAlignment="1">
      <alignment wrapText="1"/>
    </xf>
    <xf numFmtId="16" fontId="3" fillId="3" borderId="0" xfId="0" applyNumberFormat="1" applyFont="1" applyFill="1" applyAlignment="1">
      <alignment wrapText="1"/>
    </xf>
    <xf numFmtId="3" fontId="3" fillId="2" borderId="0" xfId="0" applyNumberFormat="1" applyFont="1" applyFill="1" applyAlignment="1">
      <alignment wrapText="1"/>
    </xf>
    <xf numFmtId="3" fontId="3" fillId="3" borderId="0" xfId="0" applyNumberFormat="1" applyFont="1" applyFill="1" applyAlignment="1">
      <alignment wrapText="1"/>
    </xf>
    <xf numFmtId="16" fontId="3" fillId="2" borderId="0" xfId="0" applyNumberFormat="1" applyFont="1" applyFill="1" applyAlignment="1">
      <alignment wrapText="1"/>
    </xf>
    <xf numFmtId="166" fontId="0" fillId="0" borderId="0" xfId="0" applyNumberFormat="1"/>
    <xf numFmtId="167" fontId="0" fillId="4" borderId="0" xfId="0" applyNumberFormat="1" applyFill="1"/>
    <xf numFmtId="43" fontId="0" fillId="4" borderId="0" xfId="0" applyNumberFormat="1" applyFill="1"/>
    <xf numFmtId="165" fontId="0" fillId="0" borderId="0" xfId="2" applyNumberFormat="1" applyFont="1" applyAlignment="1">
      <alignment horizontal="center"/>
    </xf>
    <xf numFmtId="43" fontId="0" fillId="0" borderId="0" xfId="1" applyFont="1"/>
    <xf numFmtId="164" fontId="0" fillId="4" borderId="0" xfId="1" applyNumberFormat="1" applyFont="1" applyFill="1"/>
    <xf numFmtId="4" fontId="0" fillId="4" borderId="0" xfId="0" applyNumberFormat="1" applyFill="1"/>
    <xf numFmtId="43" fontId="2" fillId="0" borderId="0" xfId="0" applyNumberFormat="1" applyFont="1"/>
    <xf numFmtId="165" fontId="0" fillId="0" borderId="0" xfId="0" applyNumberFormat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2" fillId="0" borderId="0" xfId="1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9" fontId="2" fillId="0" borderId="0" xfId="2" applyFont="1" applyAlignment="1">
      <alignment horizontal="center" wrapText="1"/>
    </xf>
    <xf numFmtId="0" fontId="2" fillId="0" borderId="0" xfId="2" applyNumberFormat="1" applyFont="1" applyAlignment="1">
      <alignment horizontal="center" wrapText="1"/>
    </xf>
    <xf numFmtId="43" fontId="2" fillId="0" borderId="0" xfId="1" applyFont="1"/>
    <xf numFmtId="165" fontId="2" fillId="0" borderId="0" xfId="2" applyNumberFormat="1" applyFont="1" applyAlignment="1">
      <alignment horizontal="center" wrapText="1"/>
    </xf>
    <xf numFmtId="10" fontId="2" fillId="0" borderId="0" xfId="2" applyNumberFormat="1" applyFont="1" applyAlignment="1">
      <alignment horizontal="center" wrapText="1"/>
    </xf>
    <xf numFmtId="10" fontId="0" fillId="0" borderId="0" xfId="2" applyNumberFormat="1" applyFont="1"/>
    <xf numFmtId="10" fontId="2" fillId="0" borderId="0" xfId="0" applyNumberFormat="1" applyFont="1" applyAlignment="1">
      <alignment horizontal="center" wrapText="1"/>
    </xf>
    <xf numFmtId="166" fontId="0" fillId="0" borderId="0" xfId="0" applyNumberFormat="1" applyAlignment="1">
      <alignment horizontal="center"/>
    </xf>
    <xf numFmtId="0" fontId="6" fillId="0" borderId="17" xfId="0" applyFont="1" applyBorder="1"/>
    <xf numFmtId="43" fontId="6" fillId="0" borderId="18" xfId="0" applyNumberFormat="1" applyFont="1" applyBorder="1"/>
    <xf numFmtId="0" fontId="6" fillId="0" borderId="19" xfId="0" applyFont="1" applyBorder="1" applyAlignment="1">
      <alignment horizontal="right"/>
    </xf>
    <xf numFmtId="43" fontId="6" fillId="0" borderId="20" xfId="0" applyNumberFormat="1" applyFont="1" applyBorder="1"/>
    <xf numFmtId="0" fontId="6" fillId="0" borderId="19" xfId="0" applyFont="1" applyBorder="1"/>
    <xf numFmtId="0" fontId="6" fillId="0" borderId="21" xfId="0" applyFont="1" applyBorder="1"/>
    <xf numFmtId="43" fontId="6" fillId="0" borderId="22" xfId="0" applyNumberFormat="1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6"/>
  <sheetViews>
    <sheetView tabSelected="1" workbookViewId="0">
      <selection activeCell="D24" sqref="D24"/>
    </sheetView>
  </sheetViews>
  <sheetFormatPr defaultRowHeight="14.25"/>
  <cols>
    <col min="1" max="1" width="25.25" bestFit="1" customWidth="1"/>
    <col min="2" max="2" width="10.375" style="36" customWidth="1"/>
    <col min="3" max="3" width="10.75" style="1" customWidth="1"/>
    <col min="4" max="4" width="10.5" style="59" customWidth="1"/>
    <col min="5" max="5" width="8.75" style="13" bestFit="1" customWidth="1"/>
    <col min="6" max="6" width="11.375" style="59" customWidth="1"/>
    <col min="7" max="7" width="8.75" style="59" bestFit="1" customWidth="1"/>
    <col min="8" max="8" width="10.375" style="4" bestFit="1" customWidth="1"/>
    <col min="9" max="9" width="10.25" style="22" bestFit="1" customWidth="1"/>
    <col min="10" max="10" width="9.375" style="22" bestFit="1" customWidth="1"/>
    <col min="11" max="11" width="10.25" bestFit="1" customWidth="1"/>
    <col min="12" max="12" width="8.5" bestFit="1" customWidth="1"/>
    <col min="13" max="13" width="14.625" customWidth="1"/>
    <col min="14" max="15" width="15.25" customWidth="1"/>
    <col min="16" max="17" width="15.125" bestFit="1" customWidth="1"/>
    <col min="18" max="18" width="8.75" bestFit="1" customWidth="1"/>
    <col min="19" max="19" width="11.125" bestFit="1" customWidth="1"/>
    <col min="20" max="20" width="9.75" customWidth="1"/>
    <col min="21" max="21" width="13.125" customWidth="1"/>
    <col min="22" max="23" width="9.625" bestFit="1" customWidth="1"/>
  </cols>
  <sheetData>
    <row r="1" spans="1:23" s="53" customFormat="1" ht="90">
      <c r="B1" s="57" t="s">
        <v>91</v>
      </c>
      <c r="C1" s="51" t="s">
        <v>51</v>
      </c>
      <c r="D1" s="58" t="s">
        <v>94</v>
      </c>
      <c r="E1" s="60" t="s">
        <v>92</v>
      </c>
      <c r="F1" s="58" t="s">
        <v>95</v>
      </c>
      <c r="G1" s="58" t="s">
        <v>93</v>
      </c>
      <c r="H1" s="54" t="s">
        <v>98</v>
      </c>
      <c r="I1" s="55" t="s">
        <v>96</v>
      </c>
      <c r="J1" s="55" t="s">
        <v>97</v>
      </c>
      <c r="K1" s="52" t="s">
        <v>52</v>
      </c>
      <c r="L1" s="52" t="s">
        <v>0</v>
      </c>
      <c r="M1" s="52" t="s">
        <v>77</v>
      </c>
      <c r="N1" s="52" t="s">
        <v>81</v>
      </c>
      <c r="O1" s="52" t="s">
        <v>82</v>
      </c>
      <c r="P1" s="52" t="s">
        <v>53</v>
      </c>
      <c r="Q1" s="52" t="s">
        <v>54</v>
      </c>
      <c r="R1" s="52" t="s">
        <v>1</v>
      </c>
      <c r="S1" s="52" t="s">
        <v>2</v>
      </c>
      <c r="T1" s="52" t="s">
        <v>78</v>
      </c>
      <c r="U1" s="52" t="s">
        <v>79</v>
      </c>
      <c r="V1" s="52" t="s">
        <v>53</v>
      </c>
      <c r="W1" s="52" t="s">
        <v>54</v>
      </c>
    </row>
    <row r="2" spans="1:23" ht="15">
      <c r="A2" s="6" t="s">
        <v>3</v>
      </c>
      <c r="C2" s="1">
        <v>3492</v>
      </c>
      <c r="H2" s="4">
        <v>0.62</v>
      </c>
      <c r="M2" s="33">
        <v>1.6237373737373699E-4</v>
      </c>
      <c r="N2" s="61" t="s">
        <v>90</v>
      </c>
    </row>
    <row r="3" spans="1:23">
      <c r="A3" t="s">
        <v>4</v>
      </c>
      <c r="C3" s="1">
        <v>19594</v>
      </c>
      <c r="L3">
        <v>60.2</v>
      </c>
      <c r="N3" s="34">
        <f>M2*SUM(K4:K6)*(C3*H4)*L3</f>
        <v>1951617945.5073056</v>
      </c>
      <c r="O3" s="35">
        <v>16769623</v>
      </c>
      <c r="P3" s="35">
        <f>O3*5</f>
        <v>83848115</v>
      </c>
      <c r="Q3" s="35">
        <f>O3*25</f>
        <v>419240575</v>
      </c>
    </row>
    <row r="4" spans="1:23">
      <c r="A4" t="s">
        <v>5</v>
      </c>
      <c r="B4" s="36">
        <v>0.4</v>
      </c>
      <c r="C4" s="1">
        <f>SUM(C2*B4)</f>
        <v>1396.8000000000002</v>
      </c>
      <c r="D4" s="59">
        <v>0.25969999999999999</v>
      </c>
      <c r="E4" s="13">
        <v>8.5999999999999993E-2</v>
      </c>
      <c r="F4" s="59">
        <v>0.1202</v>
      </c>
      <c r="G4" s="59">
        <v>2.1870000000000001E-2</v>
      </c>
      <c r="H4" s="21">
        <f>365*62%</f>
        <v>226.3</v>
      </c>
      <c r="I4" s="23">
        <f>C4*D4*E4*H4</f>
        <v>7059.7477097279998</v>
      </c>
      <c r="J4" s="23">
        <f>C4*F4*G4*H4</f>
        <v>830.94452570016017</v>
      </c>
      <c r="K4" s="24">
        <f>SUM(I4:J4)</f>
        <v>7890.6922354281596</v>
      </c>
      <c r="L4" s="2"/>
      <c r="M4" s="2"/>
      <c r="N4" s="2"/>
      <c r="O4" s="2"/>
      <c r="P4" s="2"/>
      <c r="Q4" s="2"/>
      <c r="R4">
        <v>1.4</v>
      </c>
      <c r="S4" s="24">
        <f>R4*K4</f>
        <v>11046.969129599423</v>
      </c>
      <c r="T4" s="24">
        <f>S4/22.9</f>
        <v>482.40039867246395</v>
      </c>
      <c r="U4">
        <v>4.0999999999999996</v>
      </c>
      <c r="V4">
        <f t="shared" ref="V4:V14" si="0">U4*5</f>
        <v>20.5</v>
      </c>
      <c r="W4">
        <f t="shared" ref="W4:W14" si="1">U4*25</f>
        <v>102.49999999999999</v>
      </c>
    </row>
    <row r="5" spans="1:23">
      <c r="A5" t="s">
        <v>11</v>
      </c>
      <c r="B5" s="36">
        <v>0.31159999999999999</v>
      </c>
      <c r="C5" s="1">
        <f>B5*C2</f>
        <v>1088.1071999999999</v>
      </c>
      <c r="D5" s="59">
        <v>0.25969999999999999</v>
      </c>
      <c r="E5" s="13">
        <v>0.28810000000000002</v>
      </c>
      <c r="F5" s="59">
        <v>0.1202</v>
      </c>
      <c r="G5" s="59">
        <v>8.3599999999999994E-2</v>
      </c>
      <c r="H5" s="21">
        <f>365*62%</f>
        <v>226.3</v>
      </c>
      <c r="I5" s="23">
        <f>C5*D5*E5*H5</f>
        <v>18423.470610691678</v>
      </c>
      <c r="J5" s="23">
        <f>C5*F5*G5*H5</f>
        <v>2474.3833410840193</v>
      </c>
      <c r="K5" s="24">
        <f t="shared" ref="K4:K14" si="2">SUM(I5:J5)</f>
        <v>20897.853951775698</v>
      </c>
      <c r="L5" s="2"/>
      <c r="M5" s="2"/>
      <c r="N5" s="2"/>
      <c r="O5" s="2"/>
      <c r="P5" s="2"/>
      <c r="Q5" s="2"/>
      <c r="R5">
        <v>1.4</v>
      </c>
      <c r="S5" s="24">
        <f>R5*K5</f>
        <v>29256.995532485977</v>
      </c>
      <c r="T5" s="24">
        <f>S5/22.9</f>
        <v>1277.5980581871606</v>
      </c>
      <c r="U5">
        <v>11</v>
      </c>
      <c r="V5">
        <f t="shared" si="0"/>
        <v>55</v>
      </c>
      <c r="W5">
        <f t="shared" si="1"/>
        <v>275</v>
      </c>
    </row>
    <row r="6" spans="1:23">
      <c r="A6" t="s">
        <v>6</v>
      </c>
      <c r="B6" s="36">
        <v>0.16420000000000001</v>
      </c>
      <c r="C6" s="1">
        <f>B6*C2</f>
        <v>573.38640000000009</v>
      </c>
      <c r="D6" s="59">
        <v>0.25969999999999999</v>
      </c>
      <c r="E6" s="13">
        <v>0.40699999999999997</v>
      </c>
      <c r="F6" s="59">
        <v>0.1202</v>
      </c>
      <c r="G6" s="59">
        <v>0.1618</v>
      </c>
      <c r="H6" s="21">
        <f>365*62%</f>
        <v>226.3</v>
      </c>
      <c r="I6" s="23">
        <f>C6*D6*E6*H6</f>
        <v>13715.07859280513</v>
      </c>
      <c r="J6" s="23">
        <f>C6*F6*G6*H6</f>
        <v>2523.5675060825956</v>
      </c>
      <c r="K6" s="24">
        <f t="shared" si="2"/>
        <v>16238.646098887726</v>
      </c>
      <c r="L6" s="2"/>
      <c r="M6" s="2"/>
      <c r="N6" s="2"/>
      <c r="O6" s="2"/>
      <c r="P6" s="2"/>
      <c r="Q6" s="2"/>
      <c r="R6">
        <v>1.5</v>
      </c>
      <c r="S6" s="24">
        <f>R6*K6</f>
        <v>24357.969148331591</v>
      </c>
      <c r="T6" s="24">
        <f>S6/22.9</f>
        <v>1063.666775036314</v>
      </c>
      <c r="U6">
        <v>9.1</v>
      </c>
      <c r="V6">
        <f t="shared" si="0"/>
        <v>45.5</v>
      </c>
      <c r="W6">
        <f t="shared" si="1"/>
        <v>227.5</v>
      </c>
    </row>
    <row r="7" spans="1:23">
      <c r="A7" t="s">
        <v>49</v>
      </c>
      <c r="B7" s="36">
        <v>9.3899999999999997E-2</v>
      </c>
      <c r="C7" s="1">
        <f>B7*C2</f>
        <v>327.89879999999999</v>
      </c>
      <c r="I7" s="23"/>
      <c r="J7" s="23"/>
      <c r="K7" s="24">
        <f t="shared" si="2"/>
        <v>0</v>
      </c>
      <c r="L7" s="2"/>
      <c r="M7" s="2"/>
      <c r="N7" s="2"/>
      <c r="O7" s="2"/>
      <c r="P7" s="2"/>
      <c r="Q7" s="2"/>
      <c r="S7" s="24"/>
      <c r="T7" s="24"/>
      <c r="U7" s="24"/>
      <c r="V7">
        <f t="shared" si="0"/>
        <v>0</v>
      </c>
      <c r="W7">
        <f t="shared" si="1"/>
        <v>0</v>
      </c>
    </row>
    <row r="8" spans="1:23">
      <c r="A8" t="s">
        <v>7</v>
      </c>
      <c r="B8" s="36">
        <v>0.03</v>
      </c>
      <c r="C8" s="1">
        <f>C2*B8</f>
        <v>104.75999999999999</v>
      </c>
      <c r="I8" s="23"/>
      <c r="J8" s="23"/>
      <c r="K8" s="24">
        <f t="shared" si="2"/>
        <v>0</v>
      </c>
      <c r="L8" s="2"/>
      <c r="M8" s="2"/>
      <c r="N8" s="2"/>
      <c r="O8" s="2"/>
      <c r="P8" s="2"/>
      <c r="Q8" s="2"/>
      <c r="S8" s="24"/>
      <c r="T8" s="24"/>
      <c r="U8" s="24"/>
      <c r="V8">
        <f t="shared" si="0"/>
        <v>0</v>
      </c>
      <c r="W8">
        <f t="shared" si="1"/>
        <v>0</v>
      </c>
    </row>
    <row r="9" spans="1:23">
      <c r="I9" s="23"/>
      <c r="J9" s="23"/>
      <c r="K9" s="24"/>
      <c r="S9" s="24"/>
      <c r="T9" s="24"/>
      <c r="U9" s="24"/>
      <c r="V9">
        <f t="shared" si="0"/>
        <v>0</v>
      </c>
      <c r="W9">
        <f t="shared" si="1"/>
        <v>0</v>
      </c>
    </row>
    <row r="10" spans="1:23" ht="15">
      <c r="A10" s="6" t="s">
        <v>9</v>
      </c>
      <c r="C10" s="1">
        <v>2049</v>
      </c>
      <c r="I10" s="23"/>
      <c r="J10" s="23"/>
      <c r="K10" s="24"/>
      <c r="S10" s="24"/>
      <c r="T10" s="24"/>
      <c r="U10" s="24"/>
      <c r="V10">
        <f t="shared" si="0"/>
        <v>0</v>
      </c>
      <c r="W10">
        <f t="shared" si="1"/>
        <v>0</v>
      </c>
    </row>
    <row r="11" spans="1:23">
      <c r="A11" t="s">
        <v>8</v>
      </c>
      <c r="C11" s="1">
        <v>16148</v>
      </c>
      <c r="I11" s="23"/>
      <c r="J11" s="23"/>
      <c r="K11" s="24"/>
      <c r="L11">
        <v>37.9</v>
      </c>
      <c r="N11" s="38">
        <f>M2*SUM(K12:K14)*(C11*H12)*L11</f>
        <v>1884250895.4874158</v>
      </c>
      <c r="O11" s="39">
        <v>16197080</v>
      </c>
      <c r="P11" s="39">
        <f>O11*5</f>
        <v>80985400</v>
      </c>
      <c r="Q11" s="39">
        <f>O11*25</f>
        <v>404927000</v>
      </c>
      <c r="S11" s="24"/>
      <c r="T11" s="24"/>
      <c r="U11" s="24"/>
      <c r="V11">
        <f t="shared" si="0"/>
        <v>0</v>
      </c>
      <c r="W11">
        <f t="shared" si="1"/>
        <v>0</v>
      </c>
    </row>
    <row r="12" spans="1:23">
      <c r="A12" t="s">
        <v>6</v>
      </c>
      <c r="B12" s="36">
        <v>0.123</v>
      </c>
      <c r="C12" s="1">
        <f>C10*B12</f>
        <v>252.02699999999999</v>
      </c>
      <c r="D12" s="59">
        <v>0.25969999999999999</v>
      </c>
      <c r="E12" s="13">
        <v>0.40699999999999997</v>
      </c>
      <c r="F12" s="59">
        <v>0.1202</v>
      </c>
      <c r="G12" s="59">
        <v>0.1618</v>
      </c>
      <c r="H12" s="21">
        <v>226.3</v>
      </c>
      <c r="I12" s="23">
        <f>C12*D12*E12*H12</f>
        <v>6028.3433867787899</v>
      </c>
      <c r="J12" s="23">
        <f>C12*F12*G12*H12</f>
        <v>1109.2121261604361</v>
      </c>
      <c r="K12" s="24">
        <f t="shared" si="2"/>
        <v>7137.555512939226</v>
      </c>
      <c r="R12">
        <v>1.5</v>
      </c>
      <c r="S12" s="24">
        <f>R12*K12</f>
        <v>10706.333269408839</v>
      </c>
      <c r="T12" s="24">
        <f>S12/22.9</f>
        <v>467.52547027986196</v>
      </c>
      <c r="U12" s="24">
        <v>4</v>
      </c>
      <c r="V12">
        <f t="shared" si="0"/>
        <v>20</v>
      </c>
      <c r="W12">
        <f t="shared" si="1"/>
        <v>100</v>
      </c>
    </row>
    <row r="13" spans="1:23">
      <c r="A13" t="s">
        <v>11</v>
      </c>
      <c r="B13" s="36">
        <v>0.23400000000000001</v>
      </c>
      <c r="C13" s="1">
        <f t="shared" ref="C13:C15" si="3">C11*B13</f>
        <v>3778.6320000000001</v>
      </c>
      <c r="D13" s="59">
        <v>0.25969999999999999</v>
      </c>
      <c r="E13" s="13">
        <v>0.28810000000000002</v>
      </c>
      <c r="F13" s="59">
        <v>0.1202</v>
      </c>
      <c r="G13" s="59">
        <v>8.3599999999999994E-2</v>
      </c>
      <c r="H13" s="21">
        <v>226.3</v>
      </c>
      <c r="I13" s="23">
        <f>C13*D13*E13*H13</f>
        <v>63978.545129210717</v>
      </c>
      <c r="J13" s="23">
        <f>C13*F13*G13*H13</f>
        <v>8592.7049034203519</v>
      </c>
      <c r="K13" s="24">
        <f t="shared" si="2"/>
        <v>72571.250032631069</v>
      </c>
      <c r="R13">
        <v>1.4</v>
      </c>
      <c r="S13" s="24">
        <f>R13*K13</f>
        <v>101599.7500456835</v>
      </c>
      <c r="T13" s="24">
        <f>S13/22.9</f>
        <v>4436.6703076717686</v>
      </c>
      <c r="U13" s="24">
        <v>43.7</v>
      </c>
      <c r="V13">
        <f t="shared" si="0"/>
        <v>218.5</v>
      </c>
      <c r="W13">
        <f t="shared" si="1"/>
        <v>1092.5</v>
      </c>
    </row>
    <row r="14" spans="1:23">
      <c r="A14" t="s">
        <v>89</v>
      </c>
      <c r="B14" s="36">
        <v>0.57099999999999995</v>
      </c>
      <c r="C14" s="1">
        <f t="shared" si="3"/>
        <v>143.90741699999998</v>
      </c>
      <c r="D14" s="59">
        <v>0.25969999999999999</v>
      </c>
      <c r="E14" s="13">
        <v>0.40739999999999998</v>
      </c>
      <c r="F14" s="59">
        <v>0.1202</v>
      </c>
      <c r="G14" s="59">
        <v>0.1618</v>
      </c>
      <c r="H14" s="21">
        <v>226.3</v>
      </c>
      <c r="I14" s="23">
        <f>C14*D14*E14*H14</f>
        <v>3445.567055741451</v>
      </c>
      <c r="J14" s="23">
        <f>C14*F14*G14*H14</f>
        <v>633.3601240376089</v>
      </c>
      <c r="K14" s="24">
        <f t="shared" si="2"/>
        <v>4078.9271797790598</v>
      </c>
      <c r="R14">
        <v>1.3</v>
      </c>
      <c r="S14" s="24">
        <f>R14*K14</f>
        <v>5302.6053337127778</v>
      </c>
      <c r="T14" s="24">
        <f>S14/22.9</f>
        <v>231.55481806606019</v>
      </c>
      <c r="U14" s="24">
        <v>2</v>
      </c>
      <c r="V14">
        <f t="shared" si="0"/>
        <v>10</v>
      </c>
      <c r="W14">
        <f t="shared" si="1"/>
        <v>50</v>
      </c>
    </row>
    <row r="15" spans="1:23">
      <c r="A15" t="s">
        <v>49</v>
      </c>
      <c r="B15" s="36">
        <v>7.0000000000000007E-2</v>
      </c>
      <c r="C15" s="1">
        <f t="shared" si="3"/>
        <v>264.50424000000004</v>
      </c>
      <c r="H15" s="21"/>
      <c r="I15" s="23"/>
      <c r="J15" s="23"/>
      <c r="K15" s="24"/>
      <c r="L15" s="2"/>
      <c r="M15" s="2"/>
      <c r="N15" s="2"/>
      <c r="O15" s="2"/>
      <c r="P15" s="2"/>
      <c r="Q15" s="2"/>
      <c r="S15" s="24"/>
      <c r="T15" s="24"/>
      <c r="U15" s="24"/>
    </row>
    <row r="16" spans="1:23">
      <c r="H16" s="21"/>
      <c r="I16" s="23"/>
      <c r="J16" s="23"/>
      <c r="K16" s="24"/>
      <c r="S16" s="24"/>
      <c r="T16" s="24"/>
      <c r="V16">
        <f>U16*5</f>
        <v>0</v>
      </c>
      <c r="W16">
        <f>U16*25</f>
        <v>0</v>
      </c>
    </row>
    <row r="17" spans="1:23" ht="15">
      <c r="A17" s="6" t="s">
        <v>10</v>
      </c>
      <c r="C17" s="1">
        <v>3321</v>
      </c>
      <c r="H17" s="21"/>
      <c r="I17" s="23"/>
      <c r="J17" s="23"/>
      <c r="K17" s="24"/>
      <c r="S17" s="24"/>
      <c r="T17" s="24"/>
      <c r="V17">
        <f>U17*5</f>
        <v>0</v>
      </c>
      <c r="W17">
        <f>U17*25</f>
        <v>0</v>
      </c>
    </row>
    <row r="18" spans="1:23">
      <c r="A18" t="s">
        <v>8</v>
      </c>
      <c r="C18" s="1">
        <v>16148</v>
      </c>
      <c r="H18" s="21"/>
      <c r="I18" s="23"/>
      <c r="J18" s="23"/>
      <c r="K18" s="24"/>
      <c r="L18">
        <v>37.9</v>
      </c>
      <c r="N18" s="35">
        <f>M2*C19*(C18*H19)*L18</f>
        <v>35101447.426439829</v>
      </c>
      <c r="O18" s="39">
        <v>311947</v>
      </c>
      <c r="P18" s="39">
        <f>O18*5</f>
        <v>1559735</v>
      </c>
      <c r="Q18" s="39">
        <f>O18*25</f>
        <v>7798675</v>
      </c>
      <c r="S18" s="24"/>
      <c r="T18" s="24">
        <f>S18/22.9</f>
        <v>0</v>
      </c>
      <c r="V18">
        <f>U18*5</f>
        <v>0</v>
      </c>
      <c r="W18">
        <f>U18*25</f>
        <v>0</v>
      </c>
    </row>
    <row r="19" spans="1:23">
      <c r="A19" t="s">
        <v>12</v>
      </c>
      <c r="B19" s="36">
        <v>0.47</v>
      </c>
      <c r="C19" s="1">
        <f>C17*B19</f>
        <v>1560.87</v>
      </c>
      <c r="D19" s="59">
        <v>0.25969999999999999</v>
      </c>
      <c r="E19" s="13">
        <v>0.28810000000000002</v>
      </c>
      <c r="F19" s="59">
        <v>0.1202</v>
      </c>
      <c r="G19" s="59">
        <v>8.3599999999999994E-2</v>
      </c>
      <c r="H19" s="21">
        <v>226.3</v>
      </c>
      <c r="I19" s="23">
        <f t="shared" ref="I19" si="4">C19*D19*E19*H19</f>
        <v>26428.133709721169</v>
      </c>
      <c r="J19" s="23">
        <f t="shared" ref="J19" si="5">C19*F19*G19*H19</f>
        <v>3549.4579262023199</v>
      </c>
      <c r="K19" s="24">
        <f t="shared" ref="K19" si="6">SUM(I19:J19)</f>
        <v>29977.591635923491</v>
      </c>
      <c r="R19">
        <v>1.4</v>
      </c>
      <c r="S19" s="24">
        <f>R19*K19</f>
        <v>41968.628290292887</v>
      </c>
      <c r="T19" s="24">
        <f>S19/22.9</f>
        <v>1832.6911917158468</v>
      </c>
      <c r="U19">
        <v>15.4</v>
      </c>
      <c r="V19">
        <f>U19*5</f>
        <v>77</v>
      </c>
      <c r="W19">
        <f>U19*25</f>
        <v>385</v>
      </c>
    </row>
    <row r="20" spans="1:23" ht="15">
      <c r="O20" s="40">
        <f>SUM(O3,O11,O18)</f>
        <v>33278650</v>
      </c>
      <c r="P20" s="40">
        <f>SUM(P3,P11,P18)</f>
        <v>166393250</v>
      </c>
      <c r="Q20" s="40">
        <f>SUM(Q3,Q11,Q18)</f>
        <v>831966250</v>
      </c>
      <c r="S20" s="24"/>
    </row>
    <row r="21" spans="1:23" ht="15">
      <c r="U21" s="6">
        <f>SUM(U4:U20)</f>
        <v>89.300000000000011</v>
      </c>
      <c r="V21" s="6">
        <f>SUM(V4:V20)</f>
        <v>446.5</v>
      </c>
      <c r="W21" s="6">
        <f>SUM(W4:W20)</f>
        <v>2232.5</v>
      </c>
    </row>
    <row r="22" spans="1:23" ht="15.75" thickBot="1">
      <c r="V22" s="6" t="s">
        <v>54</v>
      </c>
      <c r="W22" s="56">
        <f>SUM(V21:W21)</f>
        <v>2679</v>
      </c>
    </row>
    <row r="23" spans="1:23" ht="15">
      <c r="P23" s="62" t="s">
        <v>102</v>
      </c>
      <c r="Q23" s="63">
        <f>P20</f>
        <v>166393250</v>
      </c>
    </row>
    <row r="24" spans="1:23" ht="15">
      <c r="P24" s="64" t="s">
        <v>101</v>
      </c>
      <c r="Q24" s="65">
        <f>SUM(P20:Q20)</f>
        <v>998359500</v>
      </c>
    </row>
    <row r="25" spans="1:23" ht="15">
      <c r="P25" s="66" t="s">
        <v>99</v>
      </c>
      <c r="Q25" s="65">
        <f>SUM(Q24,W22)</f>
        <v>998362179</v>
      </c>
    </row>
    <row r="26" spans="1:23" ht="15.75" thickBot="1">
      <c r="P26" s="67" t="s">
        <v>100</v>
      </c>
      <c r="Q26" s="68">
        <f>V21+P20</f>
        <v>166393696.5</v>
      </c>
    </row>
  </sheetData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9E5C3-E931-4284-8D4A-38DC8A6AC01E}">
  <dimension ref="B1:L29"/>
  <sheetViews>
    <sheetView zoomScaleNormal="100" workbookViewId="0">
      <selection activeCell="K17" sqref="K17"/>
    </sheetView>
  </sheetViews>
  <sheetFormatPr defaultRowHeight="14.25"/>
  <cols>
    <col min="2" max="2" width="25.125" bestFit="1" customWidth="1"/>
    <col min="5" max="5" width="9.5" bestFit="1" customWidth="1"/>
    <col min="7" max="7" width="12" bestFit="1" customWidth="1"/>
    <col min="8" max="8" width="33.5" bestFit="1" customWidth="1"/>
    <col min="11" max="11" width="30.75" bestFit="1" customWidth="1"/>
    <col min="12" max="12" width="12" bestFit="1" customWidth="1"/>
  </cols>
  <sheetData>
    <row r="1" spans="2:12" ht="15" thickBot="1"/>
    <row r="2" spans="2:12">
      <c r="B2" s="8" t="s">
        <v>15</v>
      </c>
      <c r="C2" s="9"/>
      <c r="D2" s="9"/>
      <c r="E2" s="9"/>
      <c r="F2" s="10"/>
      <c r="H2" s="8" t="s">
        <v>29</v>
      </c>
      <c r="I2" s="9"/>
      <c r="J2" s="9"/>
      <c r="K2" s="9"/>
      <c r="L2" s="10"/>
    </row>
    <row r="3" spans="2:12">
      <c r="B3" s="11"/>
      <c r="C3" t="s">
        <v>13</v>
      </c>
      <c r="D3" t="s">
        <v>14</v>
      </c>
      <c r="E3" t="s">
        <v>23</v>
      </c>
      <c r="F3" s="12" t="s">
        <v>25</v>
      </c>
      <c r="H3" s="11"/>
      <c r="I3" t="s">
        <v>34</v>
      </c>
      <c r="J3" t="s">
        <v>39</v>
      </c>
      <c r="K3" t="s">
        <v>40</v>
      </c>
      <c r="L3" s="12" t="s">
        <v>41</v>
      </c>
    </row>
    <row r="4" spans="2:12">
      <c r="B4" s="11" t="s">
        <v>16</v>
      </c>
      <c r="C4">
        <f>SUM(C5:C6)</f>
        <v>453</v>
      </c>
      <c r="D4">
        <f>SUM(D5:D6)</f>
        <v>586</v>
      </c>
      <c r="E4">
        <f>SUM(C4:D4)</f>
        <v>1039</v>
      </c>
      <c r="F4" s="12"/>
      <c r="H4" s="11" t="s">
        <v>35</v>
      </c>
      <c r="I4">
        <v>1230</v>
      </c>
      <c r="J4" s="13">
        <f>I4/I7</f>
        <v>0.16487935656836461</v>
      </c>
      <c r="K4">
        <f>E5*J4</f>
        <v>97.608579088471856</v>
      </c>
      <c r="L4" s="14">
        <f>K4/E4</f>
        <v>9.3944734445112477E-2</v>
      </c>
    </row>
    <row r="5" spans="2:12">
      <c r="B5" s="11" t="s">
        <v>18</v>
      </c>
      <c r="C5">
        <v>215</v>
      </c>
      <c r="D5">
        <v>377</v>
      </c>
      <c r="E5">
        <f>SUM(C5:D5)</f>
        <v>592</v>
      </c>
      <c r="F5" s="14">
        <f>E5/E4</f>
        <v>0.56977863330125122</v>
      </c>
      <c r="H5" s="11" t="s">
        <v>36</v>
      </c>
      <c r="I5">
        <v>4080</v>
      </c>
      <c r="J5" s="13">
        <f>I5/I7</f>
        <v>0.54691689008042899</v>
      </c>
      <c r="K5">
        <f>E5*J5</f>
        <v>323.77479892761397</v>
      </c>
      <c r="L5" s="14">
        <f>K5/E4</f>
        <v>0.31162155815939746</v>
      </c>
    </row>
    <row r="6" spans="2:12">
      <c r="B6" s="11" t="s">
        <v>45</v>
      </c>
      <c r="C6">
        <v>238</v>
      </c>
      <c r="D6">
        <v>209</v>
      </c>
      <c r="E6">
        <f>SUM(C6:D6)</f>
        <v>447</v>
      </c>
      <c r="F6" s="14">
        <f>E6/E4</f>
        <v>0.43022136669874878</v>
      </c>
      <c r="H6" s="11" t="s">
        <v>37</v>
      </c>
      <c r="I6">
        <v>2150</v>
      </c>
      <c r="J6" s="13">
        <f>I6/I7</f>
        <v>0.28820375335120646</v>
      </c>
      <c r="K6">
        <f>J6*E5</f>
        <v>170.61662198391423</v>
      </c>
      <c r="L6" s="14">
        <f>K6/E4</f>
        <v>0.16421234069674132</v>
      </c>
    </row>
    <row r="7" spans="2:12" ht="15" thickBot="1">
      <c r="B7" s="11" t="s">
        <v>47</v>
      </c>
      <c r="F7" s="17">
        <v>0.03</v>
      </c>
      <c r="H7" s="15" t="s">
        <v>23</v>
      </c>
      <c r="I7" s="16">
        <f>SUM(I4:I6)</f>
        <v>7460</v>
      </c>
      <c r="J7" s="16">
        <f>SUM(J4:J6)</f>
        <v>1</v>
      </c>
      <c r="K7" s="16">
        <f>SUM(K4:K6)</f>
        <v>592</v>
      </c>
      <c r="L7" s="18">
        <f>SUM(L4:L6)</f>
        <v>0.56977863330125122</v>
      </c>
    </row>
    <row r="8" spans="2:12" ht="15" thickBot="1">
      <c r="B8" s="15" t="s">
        <v>48</v>
      </c>
      <c r="C8" s="16"/>
      <c r="D8" s="16"/>
      <c r="E8" s="16"/>
      <c r="F8" s="18">
        <f>F6-F7</f>
        <v>0.40022136669874875</v>
      </c>
    </row>
    <row r="12" spans="2:12" ht="141.75">
      <c r="B12" s="25" t="s">
        <v>69</v>
      </c>
      <c r="C12" s="25" t="s">
        <v>70</v>
      </c>
      <c r="D12" s="25" t="s">
        <v>71</v>
      </c>
      <c r="E12" s="25" t="s">
        <v>72</v>
      </c>
      <c r="F12" s="25" t="s">
        <v>73</v>
      </c>
    </row>
    <row r="13" spans="2:12" ht="20.25">
      <c r="B13" s="25" t="s">
        <v>58</v>
      </c>
      <c r="C13" s="25" t="s">
        <v>56</v>
      </c>
      <c r="D13" s="25">
        <v>2</v>
      </c>
      <c r="E13" s="26" t="s">
        <v>57</v>
      </c>
      <c r="F13" s="25">
        <v>0.16</v>
      </c>
    </row>
    <row r="14" spans="2:12" ht="20.25">
      <c r="B14" s="27" t="s">
        <v>55</v>
      </c>
      <c r="C14" s="27" t="s">
        <v>56</v>
      </c>
      <c r="D14" s="27">
        <v>4.5999999999999996</v>
      </c>
      <c r="E14" s="28" t="s">
        <v>57</v>
      </c>
      <c r="F14" s="27">
        <v>0.39</v>
      </c>
    </row>
    <row r="15" spans="2:12" ht="20.25">
      <c r="B15" s="25" t="s">
        <v>58</v>
      </c>
      <c r="C15" s="25" t="s">
        <v>59</v>
      </c>
      <c r="D15" s="25">
        <v>2</v>
      </c>
      <c r="E15" s="26" t="s">
        <v>57</v>
      </c>
      <c r="F15" s="25">
        <v>0.17</v>
      </c>
    </row>
    <row r="16" spans="2:12" ht="40.5">
      <c r="B16" s="27" t="s">
        <v>60</v>
      </c>
      <c r="C16" s="27" t="s">
        <v>56</v>
      </c>
      <c r="D16" s="29">
        <v>45419</v>
      </c>
      <c r="E16" s="27" t="s">
        <v>61</v>
      </c>
      <c r="F16" s="27">
        <v>0.84</v>
      </c>
    </row>
    <row r="17" spans="2:8" ht="20.25">
      <c r="B17" s="25" t="s">
        <v>62</v>
      </c>
      <c r="C17" s="25" t="s">
        <v>59</v>
      </c>
      <c r="D17" s="26" t="s">
        <v>57</v>
      </c>
      <c r="E17" s="30">
        <v>19500</v>
      </c>
      <c r="F17" s="25">
        <v>0.84</v>
      </c>
    </row>
    <row r="18" spans="2:8" ht="20.25">
      <c r="B18" s="27" t="s">
        <v>63</v>
      </c>
      <c r="C18" s="27" t="s">
        <v>59</v>
      </c>
      <c r="D18" s="28" t="s">
        <v>57</v>
      </c>
      <c r="E18" s="31">
        <v>26000</v>
      </c>
      <c r="F18" s="27">
        <v>0.59</v>
      </c>
    </row>
    <row r="19" spans="2:8" ht="40.5">
      <c r="B19" s="25" t="s">
        <v>60</v>
      </c>
      <c r="C19" s="25" t="s">
        <v>59</v>
      </c>
      <c r="D19" s="32">
        <v>45453</v>
      </c>
      <c r="E19" s="25" t="s">
        <v>64</v>
      </c>
      <c r="F19" s="25">
        <v>0.44</v>
      </c>
    </row>
    <row r="20" spans="2:8" ht="20.25">
      <c r="B20" s="27" t="s">
        <v>65</v>
      </c>
      <c r="C20" s="27" t="s">
        <v>59</v>
      </c>
      <c r="D20" s="28" t="s">
        <v>57</v>
      </c>
      <c r="E20" s="31">
        <v>30000</v>
      </c>
      <c r="F20" s="27">
        <v>0.97</v>
      </c>
    </row>
    <row r="21" spans="2:8" ht="20.25">
      <c r="B21" s="25" t="s">
        <v>66</v>
      </c>
      <c r="C21" s="25" t="s">
        <v>59</v>
      </c>
      <c r="D21" s="26" t="s">
        <v>57</v>
      </c>
      <c r="E21" s="30">
        <v>32000</v>
      </c>
      <c r="F21" s="25">
        <v>0.49</v>
      </c>
    </row>
    <row r="22" spans="2:8" ht="20.25">
      <c r="B22" s="27" t="s">
        <v>67</v>
      </c>
      <c r="C22" s="27" t="s">
        <v>59</v>
      </c>
      <c r="D22" s="28" t="s">
        <v>57</v>
      </c>
      <c r="E22" s="31">
        <v>37000</v>
      </c>
      <c r="F22" s="27">
        <v>0.9</v>
      </c>
    </row>
    <row r="23" spans="2:8" ht="20.25">
      <c r="B23" s="25" t="s">
        <v>68</v>
      </c>
      <c r="C23" s="25" t="s">
        <v>59</v>
      </c>
      <c r="D23" s="26" t="s">
        <v>57</v>
      </c>
      <c r="E23" s="30">
        <v>80000</v>
      </c>
      <c r="F23" s="25">
        <v>0.64</v>
      </c>
    </row>
    <row r="24" spans="2:8" ht="20.25">
      <c r="B24" s="25"/>
      <c r="C24" s="25"/>
      <c r="D24" s="26"/>
      <c r="E24" s="30"/>
      <c r="F24" s="25" t="s">
        <v>74</v>
      </c>
      <c r="G24" t="s">
        <v>75</v>
      </c>
      <c r="H24" t="s">
        <v>76</v>
      </c>
    </row>
    <row r="25" spans="2:8">
      <c r="F25">
        <f>AVERAGE(F13:F23)</f>
        <v>0.58454545454545448</v>
      </c>
      <c r="G25">
        <f>F25/60</f>
        <v>9.7424242424242417E-3</v>
      </c>
      <c r="H25">
        <f>G25/60</f>
        <v>1.6237373737373737E-4</v>
      </c>
    </row>
    <row r="28" spans="2:8">
      <c r="B28" t="s">
        <v>80</v>
      </c>
    </row>
    <row r="29" spans="2:8">
      <c r="B29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AA57E-F627-45C4-B0B8-FEAD0E5532BF}">
  <dimension ref="B2:J27"/>
  <sheetViews>
    <sheetView zoomScale="85" workbookViewId="0">
      <selection activeCell="I32" sqref="I32"/>
    </sheetView>
  </sheetViews>
  <sheetFormatPr defaultRowHeight="14.25"/>
  <cols>
    <col min="2" max="2" width="10.5" bestFit="1" customWidth="1"/>
    <col min="3" max="3" width="25.625" bestFit="1" customWidth="1"/>
    <col min="4" max="4" width="25.625" style="5" customWidth="1"/>
    <col min="5" max="5" width="18.5" bestFit="1" customWidth="1"/>
    <col min="6" max="6" width="18.5" style="4" customWidth="1"/>
    <col min="7" max="7" width="18.5" style="21" customWidth="1"/>
    <col min="8" max="8" width="23.5" bestFit="1" customWidth="1"/>
    <col min="9" max="9" width="23.5" style="4" customWidth="1"/>
    <col min="10" max="10" width="15.625" bestFit="1" customWidth="1"/>
  </cols>
  <sheetData>
    <row r="2" spans="2:10">
      <c r="B2" s="7" t="s">
        <v>17</v>
      </c>
      <c r="C2" s="7" t="s">
        <v>24</v>
      </c>
      <c r="D2" s="36"/>
      <c r="E2" s="7" t="s">
        <v>26</v>
      </c>
      <c r="F2" s="19"/>
      <c r="G2" s="20"/>
      <c r="H2" s="7" t="s">
        <v>27</v>
      </c>
      <c r="I2" s="19"/>
      <c r="J2" s="7" t="s">
        <v>42</v>
      </c>
    </row>
    <row r="3" spans="2:10">
      <c r="B3" s="7" t="s">
        <v>19</v>
      </c>
      <c r="C3">
        <v>86</v>
      </c>
      <c r="E3">
        <v>162</v>
      </c>
      <c r="H3">
        <v>117</v>
      </c>
      <c r="J3">
        <f>SUM(C3:H3)</f>
        <v>365</v>
      </c>
    </row>
    <row r="4" spans="2:10">
      <c r="B4" s="7" t="s">
        <v>20</v>
      </c>
      <c r="C4">
        <v>74</v>
      </c>
      <c r="E4">
        <v>157</v>
      </c>
      <c r="H4">
        <v>132</v>
      </c>
      <c r="J4">
        <f>SUM(C4:H4)</f>
        <v>363</v>
      </c>
    </row>
    <row r="5" spans="2:10" ht="15">
      <c r="B5" s="7" t="s">
        <v>38</v>
      </c>
      <c r="C5">
        <f>SUM(C3:C4)</f>
        <v>160</v>
      </c>
      <c r="E5">
        <f t="shared" ref="E5:H5" si="0">SUM(E3:E4)</f>
        <v>319</v>
      </c>
      <c r="H5">
        <f t="shared" si="0"/>
        <v>249</v>
      </c>
      <c r="J5" s="6">
        <f>SUM(C5,E5,H5)</f>
        <v>728</v>
      </c>
    </row>
    <row r="6" spans="2:10">
      <c r="B6" s="7"/>
    </row>
    <row r="7" spans="2:10">
      <c r="B7" s="7" t="s">
        <v>21</v>
      </c>
      <c r="C7" s="7" t="s">
        <v>32</v>
      </c>
      <c r="D7" s="36"/>
      <c r="E7" t="s">
        <v>31</v>
      </c>
      <c r="G7" s="21" t="s">
        <v>50</v>
      </c>
      <c r="H7" t="s">
        <v>33</v>
      </c>
    </row>
    <row r="8" spans="2:10">
      <c r="B8" s="7" t="s">
        <v>19</v>
      </c>
      <c r="C8">
        <v>143</v>
      </c>
      <c r="E8">
        <v>210</v>
      </c>
      <c r="G8" s="4"/>
      <c r="H8">
        <v>22</v>
      </c>
    </row>
    <row r="9" spans="2:10">
      <c r="B9" s="7" t="s">
        <v>22</v>
      </c>
      <c r="C9">
        <v>168</v>
      </c>
      <c r="E9">
        <v>150</v>
      </c>
      <c r="H9">
        <v>33</v>
      </c>
    </row>
    <row r="10" spans="2:10">
      <c r="B10" s="7"/>
      <c r="C10">
        <f>SUM(C8:C9)</f>
        <v>311</v>
      </c>
      <c r="E10">
        <f t="shared" ref="E10:H10" si="1">SUM(E8:E9)</f>
        <v>360</v>
      </c>
      <c r="H10">
        <f t="shared" si="1"/>
        <v>55</v>
      </c>
    </row>
    <row r="11" spans="2:10">
      <c r="B11" s="7"/>
      <c r="C11" t="s">
        <v>46</v>
      </c>
      <c r="D11" s="5">
        <f>C10/J5</f>
        <v>0.42719780219780218</v>
      </c>
      <c r="E11" t="s">
        <v>88</v>
      </c>
      <c r="F11" s="5">
        <f>E10/J5</f>
        <v>0.49450549450549453</v>
      </c>
      <c r="H11" t="s">
        <v>88</v>
      </c>
      <c r="I11" s="5">
        <f>H10/J5</f>
        <v>7.5549450549450545E-2</v>
      </c>
    </row>
    <row r="12" spans="2:10">
      <c r="B12" s="7"/>
      <c r="C12" t="s">
        <v>84</v>
      </c>
      <c r="D12" s="5">
        <f>E26/J5</f>
        <v>0.12312001001679286</v>
      </c>
    </row>
    <row r="13" spans="2:10">
      <c r="B13" s="7"/>
      <c r="C13" t="s">
        <v>85</v>
      </c>
      <c r="D13" s="5">
        <f>E25/J5</f>
        <v>0.23364169342721622</v>
      </c>
    </row>
    <row r="14" spans="2:10">
      <c r="B14" s="7"/>
      <c r="C14" t="s">
        <v>86</v>
      </c>
      <c r="D14" s="5">
        <f>E24/J5</f>
        <v>7.0436098753793114E-2</v>
      </c>
    </row>
    <row r="15" spans="2:10">
      <c r="B15" s="7"/>
    </row>
    <row r="16" spans="2:10">
      <c r="B16" s="7"/>
    </row>
    <row r="17" spans="2:9">
      <c r="B17" s="7" t="s">
        <v>30</v>
      </c>
      <c r="C17" s="7" t="s">
        <v>24</v>
      </c>
      <c r="D17" s="3" t="s">
        <v>43</v>
      </c>
      <c r="E17" t="s">
        <v>44</v>
      </c>
      <c r="F17" t="s">
        <v>28</v>
      </c>
    </row>
    <row r="18" spans="2:9">
      <c r="B18" s="7" t="s">
        <v>19</v>
      </c>
      <c r="C18">
        <v>48</v>
      </c>
      <c r="D18" s="3">
        <v>19</v>
      </c>
      <c r="E18">
        <v>32</v>
      </c>
      <c r="F18">
        <f ca="1">SUM(C18:G18)</f>
        <v>99</v>
      </c>
    </row>
    <row r="19" spans="2:9">
      <c r="B19" s="7" t="s">
        <v>22</v>
      </c>
      <c r="C19">
        <v>93</v>
      </c>
      <c r="D19" s="3">
        <v>49</v>
      </c>
      <c r="E19">
        <v>57</v>
      </c>
      <c r="F19">
        <f ca="1">SUM(C19:G19)</f>
        <v>199</v>
      </c>
    </row>
    <row r="20" spans="2:9">
      <c r="B20" s="7"/>
      <c r="C20">
        <f>SUM(C18:C19)</f>
        <v>141</v>
      </c>
      <c r="D20" s="3">
        <f>SUM(D18:D19)</f>
        <v>68</v>
      </c>
      <c r="E20">
        <f>SUM(E18:E19)</f>
        <v>89</v>
      </c>
      <c r="F20">
        <f ca="1">SUM(C20:G20)</f>
        <v>298</v>
      </c>
      <c r="G20" s="4">
        <f>141/298</f>
        <v>0.47315436241610737</v>
      </c>
    </row>
    <row r="21" spans="2:9" ht="15" thickBot="1">
      <c r="B21" s="7"/>
    </row>
    <row r="22" spans="2:9">
      <c r="B22" s="42" t="s">
        <v>29</v>
      </c>
      <c r="C22" s="43"/>
      <c r="D22" s="43" t="s">
        <v>87</v>
      </c>
      <c r="E22" s="44"/>
    </row>
    <row r="23" spans="2:9">
      <c r="B23" s="45"/>
      <c r="C23" s="7" t="s">
        <v>34</v>
      </c>
      <c r="D23" s="41" t="s">
        <v>39</v>
      </c>
      <c r="E23" s="49"/>
    </row>
    <row r="24" spans="2:9">
      <c r="B24" s="45" t="s">
        <v>35</v>
      </c>
      <c r="C24" s="7">
        <v>1230</v>
      </c>
      <c r="D24" s="41">
        <f>C24/C27</f>
        <v>0.16487935656836461</v>
      </c>
      <c r="E24" s="49">
        <f>C10*D24</f>
        <v>51.277479892761392</v>
      </c>
      <c r="I24" s="37"/>
    </row>
    <row r="25" spans="2:9">
      <c r="B25" s="45" t="s">
        <v>36</v>
      </c>
      <c r="C25" s="7">
        <v>4080</v>
      </c>
      <c r="D25" s="41">
        <f>C25/C27</f>
        <v>0.54691689008042899</v>
      </c>
      <c r="E25" s="49">
        <f>C10*D25</f>
        <v>170.0911528150134</v>
      </c>
    </row>
    <row r="26" spans="2:9">
      <c r="B26" s="45" t="s">
        <v>37</v>
      </c>
      <c r="C26" s="7">
        <v>2150</v>
      </c>
      <c r="D26" s="41">
        <f>C26/C27</f>
        <v>0.28820375335120646</v>
      </c>
      <c r="E26" s="49">
        <f>C10*D26</f>
        <v>89.631367292225207</v>
      </c>
    </row>
    <row r="27" spans="2:9" ht="15" thickBot="1">
      <c r="B27" s="46" t="s">
        <v>23</v>
      </c>
      <c r="C27" s="47">
        <f>SUM(C24:C26)</f>
        <v>7460</v>
      </c>
      <c r="D27" s="48">
        <f>SUM(D24:D26)</f>
        <v>1</v>
      </c>
      <c r="E27" s="50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6af4f8a-352f-4515-9ba3-d99070b023ce">
      <Terms xmlns="http://schemas.microsoft.com/office/infopath/2007/PartnerControls"/>
    </lcf76f155ced4ddcb4097134ff3c332f>
    <TaxCatchAll xmlns="3c63f19d-bdee-4e42-bbee-4f46caa4f5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55EF2BE968E04281BBD5DE3806E537" ma:contentTypeVersion="12" ma:contentTypeDescription="Create a new document." ma:contentTypeScope="" ma:versionID="508dbf4d18caf05e094c4d301bb6f416">
  <xsd:schema xmlns:xsd="http://www.w3.org/2001/XMLSchema" xmlns:xs="http://www.w3.org/2001/XMLSchema" xmlns:p="http://schemas.microsoft.com/office/2006/metadata/properties" xmlns:ns2="c6af4f8a-352f-4515-9ba3-d99070b023ce" xmlns:ns3="3c63f19d-bdee-4e42-bbee-4f46caa4f5c7" targetNamespace="http://schemas.microsoft.com/office/2006/metadata/properties" ma:root="true" ma:fieldsID="714952463f3ad1e7d254a5c222c072da" ns2:_="" ns3:_="">
    <xsd:import namespace="c6af4f8a-352f-4515-9ba3-d99070b023ce"/>
    <xsd:import namespace="3c63f19d-bdee-4e42-bbee-4f46caa4f5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f4f8a-352f-4515-9ba3-d99070b023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6257ae5-0bf5-4065-aa83-86ecaa4745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3f19d-bdee-4e42-bbee-4f46caa4f5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3c86ea2-6a5c-414e-9d8b-a0e5b7bd083f}" ma:internalName="TaxCatchAll" ma:showField="CatchAllData" ma:web="3c63f19d-bdee-4e42-bbee-4f46caa4f5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7600AF-3CB7-42F1-A993-1271537E6048}">
  <ds:schemaRefs>
    <ds:schemaRef ds:uri="http://purl.org/dc/elements/1.1/"/>
    <ds:schemaRef ds:uri="3c63f19d-bdee-4e42-bbee-4f46caa4f5c7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c6af4f8a-352f-4515-9ba3-d99070b023c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A7A1CC1-336E-453D-B6E6-4FB1F0303E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6C0AA4-5801-4306-B834-15877465E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af4f8a-352f-4515-9ba3-d99070b023ce"/>
    <ds:schemaRef ds:uri="3c63f19d-bdee-4e42-bbee-4f46caa4f5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GHG Emission Reductions</vt:lpstr>
      <vt:lpstr>Notes</vt:lpstr>
      <vt:lpstr>Notes Cont.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Vieyra, Baylee</dc:creator>
  <cp:keywords/>
  <dc:description/>
  <cp:lastModifiedBy>Andrew Young</cp:lastModifiedBy>
  <cp:revision/>
  <dcterms:created xsi:type="dcterms:W3CDTF">2024-03-15T13:41:28Z</dcterms:created>
  <dcterms:modified xsi:type="dcterms:W3CDTF">2024-03-29T16:45:55Z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0x010100AA55EF2BE968E04281BBD5DE3806E537</vt:lpwstr>
  </property>
</Properties>
</file>