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Y:\DES\Wastewater Services\WWTPProgram\Engineering\Projects\GrantApplications (BETC,ET,etc.)\2024 EPA CPRG\Data\"/>
    </mc:Choice>
  </mc:AlternateContent>
  <xr:revisionPtr revIDLastSave="0" documentId="13_ncr:1_{61B530A9-B0CD-4557-96F0-C9FC2CFF7FF9}" xr6:coauthVersionLast="47" xr6:coauthVersionMax="47" xr10:uidLastSave="{00000000-0000-0000-0000-000000000000}"/>
  <bookViews>
    <workbookView xWindow="28680" yWindow="-120" windowWidth="29040" windowHeight="15840" xr2:uid="{4B91D7F4-F40C-47CB-ACE3-E993916C34DB}"/>
  </bookViews>
  <sheets>
    <sheet name="BEAM" sheetId="3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3" l="1"/>
  <c r="B19" i="3"/>
  <c r="O8" i="1" l="1"/>
  <c r="B55" i="3" l="1"/>
  <c r="O57" i="1" l="1"/>
  <c r="O56" i="1"/>
  <c r="O55" i="1"/>
  <c r="O58" i="1" s="1"/>
  <c r="O59" i="1" s="1"/>
  <c r="O60" i="1" s="1"/>
  <c r="C52" i="3" l="1"/>
  <c r="C55" i="3" s="1"/>
  <c r="C56" i="3" l="1"/>
  <c r="F60" i="1" s="1"/>
  <c r="F76" i="1" l="1"/>
  <c r="F77" i="1" s="1"/>
  <c r="D44" i="1"/>
  <c r="E44" i="1"/>
  <c r="F44" i="1"/>
  <c r="F56" i="1" s="1"/>
  <c r="G44" i="1"/>
  <c r="F50" i="1" s="1"/>
  <c r="F52" i="1" s="1"/>
  <c r="H44" i="1"/>
  <c r="F51" i="1" s="1"/>
  <c r="B20" i="3" s="1"/>
  <c r="I44" i="1"/>
  <c r="J44" i="1"/>
  <c r="K44" i="1"/>
  <c r="L44" i="1"/>
  <c r="M44" i="1"/>
  <c r="N44" i="1"/>
  <c r="C44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34" i="1"/>
  <c r="O35" i="1"/>
  <c r="O36" i="1"/>
  <c r="O37" i="1"/>
  <c r="O38" i="1"/>
  <c r="O39" i="1"/>
  <c r="O40" i="1"/>
  <c r="O41" i="1"/>
  <c r="O42" i="1"/>
  <c r="O43" i="1"/>
  <c r="F67" i="1"/>
  <c r="F68" i="1" l="1"/>
  <c r="F69" i="1" s="1"/>
  <c r="O44" i="1"/>
  <c r="F49" i="1" s="1"/>
  <c r="F57" i="1" l="1"/>
  <c r="F58" i="1" s="1"/>
  <c r="F59" i="1" l="1"/>
  <c r="O49" i="1"/>
  <c r="O50" i="1" s="1"/>
  <c r="B10" i="3" s="1"/>
  <c r="B13" i="3" l="1"/>
  <c r="B14" i="3" s="1"/>
  <c r="B15" i="3" s="1"/>
  <c r="B16" i="3" s="1"/>
  <c r="B11" i="3"/>
  <c r="B12" i="3" s="1"/>
  <c r="O51" i="1"/>
  <c r="B25" i="3" s="1"/>
  <c r="B27" i="3" s="1"/>
  <c r="B28" i="3" l="1"/>
  <c r="B29" i="3" s="1"/>
</calcChain>
</file>

<file path=xl/sharedStrings.xml><?xml version="1.0" encoding="utf-8"?>
<sst xmlns="http://schemas.openxmlformats.org/spreadsheetml/2006/main" count="211" uniqueCount="155">
  <si>
    <t>Estimated</t>
  </si>
  <si>
    <t>Digester</t>
  </si>
  <si>
    <t>No FOG</t>
  </si>
  <si>
    <t>Both Digesters</t>
  </si>
  <si>
    <t>FOG</t>
  </si>
  <si>
    <t>Baseline</t>
  </si>
  <si>
    <t>Biogas</t>
  </si>
  <si>
    <t>Feed</t>
  </si>
  <si>
    <t>Total Gas</t>
  </si>
  <si>
    <t>Production</t>
  </si>
  <si>
    <t>Rec'd</t>
  </si>
  <si>
    <t>Feed TS</t>
  </si>
  <si>
    <t>Feed VS</t>
  </si>
  <si>
    <t>Rate</t>
  </si>
  <si>
    <t>CO2</t>
  </si>
  <si>
    <t>Month</t>
  </si>
  <si>
    <t>(gal)</t>
  </si>
  <si>
    <t>(gpd)</t>
  </si>
  <si>
    <t>(%)</t>
  </si>
  <si>
    <t>%</t>
  </si>
  <si>
    <t>SCF/Day</t>
  </si>
  <si>
    <t>SCF/Lb VS Rem</t>
  </si>
  <si>
    <t>calc</t>
  </si>
  <si>
    <t>Estimate</t>
  </si>
  <si>
    <t>Calc</t>
  </si>
  <si>
    <t>Magnitude of GHG reductions</t>
  </si>
  <si>
    <t>Average</t>
  </si>
  <si>
    <t>SCF/gal</t>
  </si>
  <si>
    <t>Daily FOG received</t>
  </si>
  <si>
    <t>gal/day FOG</t>
  </si>
  <si>
    <t>Triple the FOG</t>
  </si>
  <si>
    <t>New FOG</t>
  </si>
  <si>
    <t>Avg TS%</t>
  </si>
  <si>
    <t>New VS</t>
  </si>
  <si>
    <t>lbs/day VS</t>
  </si>
  <si>
    <t>Avg VS%</t>
  </si>
  <si>
    <t>gal FOG to lbs VS conversion</t>
  </si>
  <si>
    <t>lbs VS per gal FOG</t>
  </si>
  <si>
    <t>Annual GHG emissions reduction</t>
  </si>
  <si>
    <t>GHG impact in 2025-2030</t>
  </si>
  <si>
    <t>Project completion date</t>
  </si>
  <si>
    <t>End of period</t>
  </si>
  <si>
    <t>Years</t>
  </si>
  <si>
    <t>Magnitude of GHG reductions 2025-2030</t>
  </si>
  <si>
    <t>mtCO2e</t>
  </si>
  <si>
    <t>Cost effectiveness</t>
  </si>
  <si>
    <t>GHG impact in 2025-2050</t>
  </si>
  <si>
    <t>Magnitude of GHG reductions 2025-2050</t>
  </si>
  <si>
    <t>Average biogas produced per gallon of FOG feed</t>
  </si>
  <si>
    <t>Biogas Produced</t>
  </si>
  <si>
    <t>(SCF/gal FOG)</t>
  </si>
  <si>
    <t>per Gallon FOG</t>
  </si>
  <si>
    <t>6.420</t>
  </si>
  <si>
    <t>0.3781</t>
  </si>
  <si>
    <t>14.39</t>
  </si>
  <si>
    <t>10.58</t>
  </si>
  <si>
    <t>Daily FOG Feed</t>
  </si>
  <si>
    <t>FOG Monthly Information (3 years)</t>
  </si>
  <si>
    <t>Values omitted for Sep 2022 thru Feb 2023 due to a digester cleaning project. One digester offline, biogas not produced at normal rate</t>
  </si>
  <si>
    <t>Fundung request</t>
  </si>
  <si>
    <t>per mtCO2e</t>
  </si>
  <si>
    <t>Date</t>
  </si>
  <si>
    <t>Daily gallons of FOG</t>
  </si>
  <si>
    <t>gallons</t>
  </si>
  <si>
    <t>Daily mass of FOG</t>
  </si>
  <si>
    <t>lbs</t>
  </si>
  <si>
    <t>Daily mass of volatile solids</t>
  </si>
  <si>
    <t>Offload Pump</t>
  </si>
  <si>
    <t>Recirc Pump</t>
  </si>
  <si>
    <t>Volt Amps</t>
  </si>
  <si>
    <t>Daily pump power usage</t>
  </si>
  <si>
    <t>Additional VS</t>
  </si>
  <si>
    <t>kWh/day</t>
  </si>
  <si>
    <t>Additional Natural Gas Usage</t>
  </si>
  <si>
    <t>*Assume no increased natural gas usage</t>
  </si>
  <si>
    <t>Additional pump power usage after expansion</t>
  </si>
  <si>
    <t>kWh/day, running roughly 15 minutes per hour</t>
  </si>
  <si>
    <t>FOG feed pump</t>
  </si>
  <si>
    <t>Assessment tool</t>
  </si>
  <si>
    <t>BEAM 2022</t>
  </si>
  <si>
    <t>By</t>
  </si>
  <si>
    <t>Emma Shen</t>
  </si>
  <si>
    <t>Background and Assumptions</t>
  </si>
  <si>
    <t>dry weight</t>
  </si>
  <si>
    <t>lbs/d</t>
  </si>
  <si>
    <t>dt/d</t>
  </si>
  <si>
    <t>wet weight</t>
  </si>
  <si>
    <t>wt/d</t>
  </si>
  <si>
    <t>(US tonne)</t>
  </si>
  <si>
    <t>wt/y</t>
  </si>
  <si>
    <t>(metric tonne = m3/d - needed for BEAM input)</t>
  </si>
  <si>
    <t>Density</t>
  </si>
  <si>
    <t xml:space="preserve">https://www.epa.gov/sites/default/files/2016-04/documents/volume_to_weight_conversion_factors_memorandum_04192016_508fnl.pdf </t>
  </si>
  <si>
    <t>kg/m3</t>
  </si>
  <si>
    <t>TVS</t>
  </si>
  <si>
    <t>Total nitrogen</t>
  </si>
  <si>
    <t xml:space="preserve">% </t>
  </si>
  <si>
    <t xml:space="preserve">https://www.sciencedirect.com/science/article/abs/pii/S0960852415002035 </t>
  </si>
  <si>
    <t>Total phosphorus</t>
  </si>
  <si>
    <t>Food waste co-digestion</t>
  </si>
  <si>
    <t>VSr</t>
  </si>
  <si>
    <t>Dewatered cake</t>
  </si>
  <si>
    <t>End use</t>
  </si>
  <si>
    <t>GHG Assessment</t>
  </si>
  <si>
    <t>Scenario 1</t>
  </si>
  <si>
    <t>All food waste to landfill; assuming typical landfill with 50% CH4 capture from landfill gas</t>
  </si>
  <si>
    <t>Scenario 2</t>
  </si>
  <si>
    <r>
      <t xml:space="preserve">Scope of GHG emissions </t>
    </r>
    <r>
      <rPr>
        <b/>
        <i/>
        <u/>
        <sz val="11"/>
        <color theme="1"/>
        <rFont val="Jacobs Chronos"/>
        <family val="2"/>
      </rPr>
      <t>included</t>
    </r>
    <r>
      <rPr>
        <i/>
        <sz val="11"/>
        <color theme="1"/>
        <rFont val="Jacobs Chronos"/>
        <family val="2"/>
      </rPr>
      <t xml:space="preserve"> in the analysis</t>
    </r>
  </si>
  <si>
    <t>food waste landfill; CH4 capture at landfill</t>
  </si>
  <si>
    <r>
      <t xml:space="preserve">Scope of GHG emissions </t>
    </r>
    <r>
      <rPr>
        <b/>
        <i/>
        <u/>
        <sz val="11"/>
        <color theme="1"/>
        <rFont val="Jacobs Chronos"/>
        <family val="2"/>
      </rPr>
      <t>excluded</t>
    </r>
    <r>
      <rPr>
        <i/>
        <sz val="11"/>
        <color theme="1"/>
        <rFont val="Jacobs Chronos"/>
        <family val="2"/>
      </rPr>
      <t xml:space="preserve"> in the analysis</t>
    </r>
  </si>
  <si>
    <t>haulage of food waste to landfill</t>
  </si>
  <si>
    <t>BEAM Output</t>
  </si>
  <si>
    <t>(landfill)</t>
  </si>
  <si>
    <t>Landfill</t>
  </si>
  <si>
    <t>Land application</t>
  </si>
  <si>
    <t>Total (net)</t>
  </si>
  <si>
    <t>GHG Emission Reduction Analysis: diverting food waste away from landfill for co-digestion at Gresham</t>
  </si>
  <si>
    <t>(from client)</t>
  </si>
  <si>
    <t>(typical)</t>
  </si>
  <si>
    <t>Class B land application</t>
  </si>
  <si>
    <t>All food waste to be co-digested with sewage sludge at Gresham; additional biogas generated to be used in CHP</t>
  </si>
  <si>
    <t xml:space="preserve">food waste digestion, dewatering, land application of final product (Class B), biogas CHP </t>
  </si>
  <si>
    <t>(if excess biogas is availbale for RNG - monetize for RIN; cannot claim GHG credit)</t>
  </si>
  <si>
    <t>Additional biosolids</t>
  </si>
  <si>
    <t>scfd</t>
  </si>
  <si>
    <t>Additional food waste pumping</t>
  </si>
  <si>
    <t>haulage of food waste to WTTP; haulage of final product to end use location</t>
  </si>
  <si>
    <t>(co-digestion and Class B land application)</t>
  </si>
  <si>
    <t>(metric)</t>
  </si>
  <si>
    <t>(dry weight)</t>
  </si>
  <si>
    <t>&gt; incl CH4 and N2O emissions, undecomposed carbon (C sequestration), electricity offset (50% CH4 captured)</t>
  </si>
  <si>
    <t>metric tonne CO2eq/y</t>
  </si>
  <si>
    <t>Biogas generation</t>
  </si>
  <si>
    <t>cf/lb VS destroyed</t>
  </si>
  <si>
    <t>(first-principle) - this is in line with BEAM calc</t>
  </si>
  <si>
    <t>Co-digestion with CHP</t>
  </si>
  <si>
    <t>&gt; negative from CHP electricity offset; excl. heat recovered/NG offset</t>
  </si>
  <si>
    <t>Reduction</t>
  </si>
  <si>
    <t>Location (from eGRID)</t>
  </si>
  <si>
    <t>WECC Northwest (NWPP)</t>
  </si>
  <si>
    <t>https://www.biosolidsghgs.org/</t>
  </si>
  <si>
    <t>dt/y</t>
  </si>
  <si>
    <t>Electricity EF</t>
  </si>
  <si>
    <t>tonne CO2eq/kWh</t>
  </si>
  <si>
    <t>kWh/y (5-d/wk)</t>
  </si>
  <si>
    <t>&gt; CH4 emission during storage; diesel emission from applying to land; carbon sequestration (C), and offset fertilizer (N/P) - NOTE: the Scope 1 emissions and Scope 3 offsets are approximately the same</t>
  </si>
  <si>
    <t>&gt; electricity (calculated separately; not included in BEAM)</t>
  </si>
  <si>
    <t>Typical FOG characteristics</t>
  </si>
  <si>
    <t>lbs/55-gallon</t>
  </si>
  <si>
    <t>Quantity of FOG to be diverted from landfill</t>
  </si>
  <si>
    <t>Scenario 1: Status Quo, FOG to landfill</t>
  </si>
  <si>
    <t>Scenario 1: Implementation of Digestion and Cogen Project and FOG is recovered and co-digested at Gresham wWTP</t>
  </si>
  <si>
    <t>Quantity of FOG to Be Diverted From Landfill</t>
  </si>
  <si>
    <t>Additional Electricity Used for Processing FOG</t>
  </si>
  <si>
    <t>mtCO2e/year, from BEAM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</si>
</sst>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\-yy;@"/>
    <numFmt numFmtId="165" formatCode="#,##0.0"/>
    <numFmt numFmtId="166" formatCode="###0.0"/>
    <numFmt numFmtId="167" formatCode="_(* #,##0_);_(* \(#,##0\);_(* &quot;-&quot;??_);_(@_)"/>
    <numFmt numFmtId="168" formatCode="_(* #,##0.0_);_(* \(#,##0.0\);_(* &quot;-&quot;??_);_(@_)"/>
    <numFmt numFmtId="169" formatCode="#,##0.000000"/>
    <numFmt numFmtId="170" formatCode="_(&quot;$&quot;* #,##0_);_(&quot;$&quot;* \(#,##0\);_(&quot;$&quot;* &quot;-&quot;??_);_(@_)"/>
    <numFmt numFmtId="172" formatCode="0.0"/>
    <numFmt numFmtId="173" formatCode="0.0%"/>
  </numFmts>
  <fonts count="2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8"/>
      <name val="MS Sans Serif"/>
      <family val="2"/>
    </font>
    <font>
      <b/>
      <sz val="10"/>
      <name val="MS Sans Serif"/>
      <family val="2"/>
    </font>
    <font>
      <sz val="8"/>
      <name val="MS Sans Serif"/>
    </font>
    <font>
      <sz val="11"/>
      <color rgb="FF000000"/>
      <name val="Aptos Narrow"/>
      <family val="2"/>
      <scheme val="minor"/>
    </font>
    <font>
      <u/>
      <sz val="11"/>
      <color theme="1"/>
      <name val="Aptos Narrow"/>
      <family val="2"/>
      <scheme val="minor"/>
    </font>
    <font>
      <sz val="8"/>
      <name val="MS Sans Serif"/>
      <family val="2"/>
    </font>
    <font>
      <u/>
      <sz val="11"/>
      <color theme="10"/>
      <name val="Aptos Narrow"/>
      <family val="2"/>
      <scheme val="minor"/>
    </font>
    <font>
      <b/>
      <sz val="12"/>
      <color theme="1"/>
      <name val="Jacobs Chronos"/>
      <family val="2"/>
    </font>
    <font>
      <sz val="11"/>
      <color theme="1"/>
      <name val="Jacobs Chronos"/>
      <family val="2"/>
    </font>
    <font>
      <b/>
      <sz val="11"/>
      <color theme="1"/>
      <name val="Jacobs Chronos"/>
      <family val="2"/>
    </font>
    <font>
      <i/>
      <sz val="11"/>
      <color theme="1"/>
      <name val="Jacobs Chronos"/>
      <family val="2"/>
    </font>
    <font>
      <u/>
      <sz val="11"/>
      <color theme="10"/>
      <name val="Aptos Display"/>
      <family val="2"/>
      <scheme val="major"/>
    </font>
    <font>
      <b/>
      <i/>
      <u/>
      <sz val="11"/>
      <color theme="1"/>
      <name val="Jacobs Chronos"/>
      <family val="2"/>
    </font>
    <font>
      <u/>
      <sz val="11"/>
      <color theme="10"/>
      <name val="Jacobs Chronos"/>
      <family val="2"/>
    </font>
    <font>
      <sz val="11"/>
      <color rgb="FFC00000"/>
      <name val="Aptos Narrow"/>
      <family val="2"/>
      <scheme val="minor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 applyAlignment="0">
      <alignment vertical="top" wrapText="1"/>
      <protection locked="0"/>
    </xf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68">
    <xf numFmtId="0" fontId="0" fillId="0" borderId="0" xfId="0"/>
    <xf numFmtId="0" fontId="3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3" fillId="0" borderId="0" xfId="0" applyFont="1"/>
    <xf numFmtId="0" fontId="5" fillId="0" borderId="0" xfId="0" applyFont="1" applyAlignment="1" applyProtection="1">
      <alignment horizontal="left" vertical="top"/>
      <protection locked="0"/>
    </xf>
    <xf numFmtId="0" fontId="4" fillId="0" borderId="1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0" fillId="0" borderId="0" xfId="0" applyNumberFormat="1" applyAlignment="1" applyProtection="1">
      <alignment horizontal="left" vertical="top"/>
      <protection locked="0"/>
    </xf>
    <xf numFmtId="3" fontId="0" fillId="0" borderId="0" xfId="0" applyNumberFormat="1" applyAlignment="1" applyProtection="1">
      <alignment horizontal="right" vertical="top"/>
      <protection locked="0"/>
    </xf>
    <xf numFmtId="165" fontId="0" fillId="0" borderId="0" xfId="0" applyNumberFormat="1" applyAlignment="1" applyProtection="1">
      <alignment horizontal="right" vertical="top"/>
      <protection locked="0"/>
    </xf>
    <xf numFmtId="166" fontId="0" fillId="0" borderId="0" xfId="0" applyNumberFormat="1" applyAlignment="1" applyProtection="1">
      <alignment horizontal="right" vertical="top"/>
      <protection locked="0"/>
    </xf>
    <xf numFmtId="3" fontId="0" fillId="0" borderId="0" xfId="0" applyNumberFormat="1"/>
    <xf numFmtId="164" fontId="0" fillId="0" borderId="0" xfId="0" quotePrefix="1" applyNumberFormat="1" applyAlignment="1" applyProtection="1">
      <alignment horizontal="left" vertical="top"/>
      <protection locked="0"/>
    </xf>
    <xf numFmtId="167" fontId="7" fillId="0" borderId="0" xfId="1" applyNumberFormat="1" applyFont="1" applyFill="1" applyBorder="1" applyAlignment="1" applyProtection="1">
      <alignment horizontal="right" vertical="top"/>
      <protection locked="0"/>
    </xf>
    <xf numFmtId="168" fontId="7" fillId="0" borderId="0" xfId="1" applyNumberFormat="1" applyFont="1" applyFill="1" applyBorder="1" applyAlignment="1" applyProtection="1">
      <alignment horizontal="right" vertical="top"/>
      <protection locked="0"/>
    </xf>
    <xf numFmtId="164" fontId="2" fillId="0" borderId="0" xfId="0" quotePrefix="1" applyNumberFormat="1" applyFont="1" applyAlignment="1" applyProtection="1">
      <alignment horizontal="left" vertical="top"/>
      <protection locked="0"/>
    </xf>
    <xf numFmtId="3" fontId="2" fillId="0" borderId="0" xfId="0" applyNumberFormat="1" applyFont="1" applyAlignment="1" applyProtection="1">
      <alignment horizontal="right" vertical="top"/>
      <protection locked="0"/>
    </xf>
    <xf numFmtId="165" fontId="2" fillId="0" borderId="0" xfId="0" applyNumberFormat="1" applyFont="1" applyAlignment="1" applyProtection="1">
      <alignment horizontal="right" vertical="top"/>
      <protection locked="0"/>
    </xf>
    <xf numFmtId="166" fontId="2" fillId="0" borderId="0" xfId="0" applyNumberFormat="1" applyFont="1" applyAlignment="1" applyProtection="1">
      <alignment horizontal="right" vertical="top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horizontal="right"/>
    </xf>
    <xf numFmtId="4" fontId="0" fillId="0" borderId="0" xfId="0" applyNumberFormat="1"/>
    <xf numFmtId="2" fontId="0" fillId="0" borderId="0" xfId="0" applyNumberFormat="1"/>
    <xf numFmtId="17" fontId="0" fillId="0" borderId="0" xfId="0" applyNumberFormat="1" applyAlignment="1">
      <alignment horizontal="left"/>
    </xf>
    <xf numFmtId="1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0" xfId="0" quotePrefix="1" applyFont="1" applyAlignment="1" applyProtection="1">
      <alignment horizontal="left" vertical="top"/>
      <protection locked="0"/>
    </xf>
    <xf numFmtId="0" fontId="8" fillId="0" borderId="0" xfId="0" applyFont="1"/>
    <xf numFmtId="0" fontId="3" fillId="0" borderId="0" xfId="0" applyFont="1" applyAlignment="1">
      <alignment horizontal="right"/>
    </xf>
    <xf numFmtId="169" fontId="0" fillId="0" borderId="0" xfId="0" applyNumberFormat="1"/>
    <xf numFmtId="164" fontId="0" fillId="0" borderId="2" xfId="0" quotePrefix="1" applyNumberFormat="1" applyBorder="1" applyAlignment="1" applyProtection="1">
      <alignment horizontal="left" vertical="top"/>
      <protection locked="0"/>
    </xf>
    <xf numFmtId="3" fontId="0" fillId="0" borderId="2" xfId="0" applyNumberFormat="1" applyBorder="1" applyAlignment="1" applyProtection="1">
      <alignment horizontal="right" vertical="top"/>
      <protection locked="0"/>
    </xf>
    <xf numFmtId="165" fontId="0" fillId="0" borderId="2" xfId="0" applyNumberFormat="1" applyBorder="1" applyAlignment="1" applyProtection="1">
      <alignment horizontal="right" vertical="top"/>
      <protection locked="0"/>
    </xf>
    <xf numFmtId="166" fontId="0" fillId="0" borderId="2" xfId="0" applyNumberFormat="1" applyBorder="1" applyAlignment="1" applyProtection="1">
      <alignment horizontal="right" vertical="top"/>
      <protection locked="0"/>
    </xf>
    <xf numFmtId="0" fontId="0" fillId="0" borderId="2" xfId="0" applyBorder="1"/>
    <xf numFmtId="49" fontId="2" fillId="0" borderId="0" xfId="0" applyNumberFormat="1" applyFont="1" applyAlignment="1" applyProtection="1">
      <alignment vertical="top" wrapText="1"/>
      <protection locked="0"/>
    </xf>
    <xf numFmtId="170" fontId="0" fillId="0" borderId="0" xfId="2" applyNumberFormat="1" applyFont="1"/>
    <xf numFmtId="0" fontId="0" fillId="0" borderId="2" xfId="0" applyBorder="1" applyAlignment="1">
      <alignment horizontal="right"/>
    </xf>
    <xf numFmtId="1" fontId="0" fillId="0" borderId="2" xfId="0" applyNumberFormat="1" applyBorder="1"/>
    <xf numFmtId="0" fontId="11" fillId="0" borderId="0" xfId="6" applyFont="1"/>
    <xf numFmtId="0" fontId="12" fillId="0" borderId="0" xfId="6" applyFont="1"/>
    <xf numFmtId="15" fontId="12" fillId="0" borderId="0" xfId="6" applyNumberFormat="1" applyFont="1"/>
    <xf numFmtId="0" fontId="13" fillId="0" borderId="0" xfId="6" applyFont="1"/>
    <xf numFmtId="3" fontId="12" fillId="0" borderId="0" xfId="6" applyNumberFormat="1" applyFont="1"/>
    <xf numFmtId="172" fontId="12" fillId="2" borderId="0" xfId="6" applyNumberFormat="1" applyFont="1" applyFill="1"/>
    <xf numFmtId="165" fontId="12" fillId="0" borderId="0" xfId="6" applyNumberFormat="1" applyFont="1"/>
    <xf numFmtId="9" fontId="12" fillId="0" borderId="0" xfId="6" applyNumberFormat="1" applyFont="1"/>
    <xf numFmtId="172" fontId="12" fillId="0" borderId="0" xfId="6" applyNumberFormat="1" applyFont="1"/>
    <xf numFmtId="167" fontId="12" fillId="0" borderId="0" xfId="7" applyNumberFormat="1" applyFont="1"/>
    <xf numFmtId="0" fontId="14" fillId="0" borderId="0" xfId="6" applyFont="1"/>
    <xf numFmtId="0" fontId="10" fillId="0" borderId="0" xfId="8"/>
    <xf numFmtId="173" fontId="12" fillId="0" borderId="0" xfId="9" applyNumberFormat="1" applyFont="1"/>
    <xf numFmtId="3" fontId="13" fillId="0" borderId="0" xfId="6" applyNumberFormat="1" applyFont="1"/>
    <xf numFmtId="9" fontId="12" fillId="0" borderId="0" xfId="4" applyFont="1"/>
    <xf numFmtId="0" fontId="17" fillId="0" borderId="0" xfId="8" applyFont="1"/>
    <xf numFmtId="0" fontId="17" fillId="0" borderId="0" xfId="10" applyFont="1"/>
    <xf numFmtId="1" fontId="12" fillId="0" borderId="0" xfId="6" applyNumberFormat="1" applyFont="1"/>
    <xf numFmtId="0" fontId="18" fillId="0" borderId="0" xfId="0" applyFont="1"/>
    <xf numFmtId="0" fontId="13" fillId="3" borderId="0" xfId="6" applyFont="1" applyFill="1"/>
    <xf numFmtId="3" fontId="13" fillId="3" borderId="0" xfId="6" applyNumberFormat="1" applyFont="1" applyFill="1"/>
    <xf numFmtId="0" fontId="10" fillId="0" borderId="0" xfId="5"/>
    <xf numFmtId="168" fontId="12" fillId="0" borderId="0" xfId="7" applyNumberFormat="1" applyFont="1"/>
    <xf numFmtId="0" fontId="12" fillId="0" borderId="0" xfId="6" applyFont="1" applyAlignment="1">
      <alignment horizontal="left" wrapText="1"/>
    </xf>
    <xf numFmtId="170" fontId="3" fillId="0" borderId="0" xfId="2" applyNumberFormat="1" applyFont="1"/>
    <xf numFmtId="1" fontId="3" fillId="0" borderId="0" xfId="0" applyNumberFormat="1" applyFont="1"/>
    <xf numFmtId="49" fontId="2" fillId="0" borderId="0" xfId="0" applyNumberFormat="1" applyFont="1" applyAlignment="1" applyProtection="1">
      <alignment horizontal="left" vertical="top" wrapText="1"/>
      <protection locked="0"/>
    </xf>
  </cellXfs>
  <cellStyles count="11">
    <cellStyle name="Comma" xfId="1" builtinId="3"/>
    <cellStyle name="Comma 3" xfId="7" xr:uid="{2A96F06C-AAC4-4168-B97F-34F3C8DFE516}"/>
    <cellStyle name="Currency" xfId="2" builtinId="4"/>
    <cellStyle name="Hyperlink" xfId="5" builtinId="8"/>
    <cellStyle name="Hyperlink 2" xfId="8" xr:uid="{CB6C1605-ECE3-4C6B-9B26-447C2C09EA3A}"/>
    <cellStyle name="Hyperlink 3" xfId="10" xr:uid="{E17EF6FB-3076-4646-932C-F696B3EE1A1C}"/>
    <cellStyle name="Normal" xfId="0" builtinId="0"/>
    <cellStyle name="Normal 2" xfId="3" xr:uid="{F13EF545-86DB-4A3B-B96D-8840B06DE4FB}"/>
    <cellStyle name="Normal 3" xfId="6" xr:uid="{1676F042-0BFE-41FE-858B-39AC0E0DA93E}"/>
    <cellStyle name="Percent" xfId="4" builtinId="5"/>
    <cellStyle name="Percent 2" xfId="9" xr:uid="{A98D5DB6-712B-4B59-BA60-EDD311BB2B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pa.gov/sites/default/files/2016-04/documents/volume_to_weight_conversion_factors_memorandum_04192016_508fnl.pdf" TargetMode="External"/><Relationship Id="rId2" Type="http://schemas.openxmlformats.org/officeDocument/2006/relationships/hyperlink" Target="https://www.sciencedirect.com/science/article/abs/pii/S0960852415002035" TargetMode="External"/><Relationship Id="rId1" Type="http://schemas.openxmlformats.org/officeDocument/2006/relationships/hyperlink" Target="https://www.sciencedirect.com/science/article/abs/pii/S0960852415002035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biosolidsghgs.org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CBB5A-C9A4-4D3A-95B7-0248D3527A42}">
  <dimension ref="A1:M59"/>
  <sheetViews>
    <sheetView tabSelected="1" topLeftCell="A18" zoomScale="115" zoomScaleNormal="115" workbookViewId="0">
      <selection activeCell="B33" sqref="B33"/>
    </sheetView>
  </sheetViews>
  <sheetFormatPr defaultColWidth="9.140625" defaultRowHeight="14.25"/>
  <cols>
    <col min="1" max="1" width="23.42578125" style="42" customWidth="1"/>
    <col min="2" max="2" width="12.7109375" style="42" customWidth="1"/>
    <col min="3" max="3" width="19.5703125" style="42" customWidth="1"/>
    <col min="4" max="7" width="9.140625" style="42"/>
    <col min="8" max="8" width="10.28515625" style="42" bestFit="1" customWidth="1"/>
    <col min="9" max="9" width="9.140625" style="42"/>
    <col min="10" max="10" width="12.5703125" style="42" bestFit="1" customWidth="1"/>
    <col min="11" max="16384" width="9.140625" style="42"/>
  </cols>
  <sheetData>
    <row r="1" spans="1:13" ht="15.75">
      <c r="A1" s="41" t="s">
        <v>116</v>
      </c>
    </row>
    <row r="2" spans="1:13" ht="15">
      <c r="A2" s="42" t="s">
        <v>78</v>
      </c>
      <c r="B2" s="42" t="s">
        <v>79</v>
      </c>
      <c r="C2" s="62" t="s">
        <v>140</v>
      </c>
    </row>
    <row r="3" spans="1:13">
      <c r="A3" s="42" t="s">
        <v>138</v>
      </c>
      <c r="B3" s="42" t="s">
        <v>139</v>
      </c>
      <c r="H3" s="42" t="s">
        <v>150</v>
      </c>
    </row>
    <row r="4" spans="1:13">
      <c r="A4" s="42" t="s">
        <v>142</v>
      </c>
      <c r="B4" s="58">
        <v>274.11884399999997</v>
      </c>
      <c r="C4" s="42" t="s">
        <v>143</v>
      </c>
      <c r="H4" s="42" t="s">
        <v>151</v>
      </c>
    </row>
    <row r="5" spans="1:13">
      <c r="A5" s="42" t="s">
        <v>80</v>
      </c>
      <c r="B5" s="42" t="s">
        <v>81</v>
      </c>
    </row>
    <row r="6" spans="1:13">
      <c r="A6" s="42" t="s">
        <v>61</v>
      </c>
      <c r="B6" s="43">
        <v>45379</v>
      </c>
    </row>
    <row r="8" spans="1:13" ht="15">
      <c r="A8" s="44" t="s">
        <v>82</v>
      </c>
    </row>
    <row r="9" spans="1:13">
      <c r="A9" s="42" t="s">
        <v>149</v>
      </c>
    </row>
    <row r="10" spans="1:13">
      <c r="A10" s="42" t="s">
        <v>86</v>
      </c>
      <c r="B10" s="45">
        <f>sheet1!O50</f>
        <v>205945.73599999998</v>
      </c>
      <c r="C10" s="42" t="s">
        <v>84</v>
      </c>
    </row>
    <row r="11" spans="1:13">
      <c r="B11" s="45">
        <f>B10/2000</f>
        <v>102.97286799999999</v>
      </c>
      <c r="C11" s="42" t="s">
        <v>87</v>
      </c>
      <c r="D11" s="42" t="s">
        <v>88</v>
      </c>
    </row>
    <row r="12" spans="1:13">
      <c r="B12" s="45">
        <f>B11*365</f>
        <v>37585.096819999999</v>
      </c>
      <c r="C12" s="42" t="s">
        <v>89</v>
      </c>
      <c r="D12" s="42" t="s">
        <v>88</v>
      </c>
    </row>
    <row r="13" spans="1:13">
      <c r="B13" s="46">
        <f>B10/2.2/1000</f>
        <v>93.61169818181817</v>
      </c>
      <c r="C13" s="42" t="s">
        <v>87</v>
      </c>
      <c r="D13" s="42" t="s">
        <v>90</v>
      </c>
      <c r="M13" s="49"/>
    </row>
    <row r="14" spans="1:13">
      <c r="B14" s="50">
        <f>B13*365</f>
        <v>34168.26983636363</v>
      </c>
      <c r="C14" s="42" t="s">
        <v>89</v>
      </c>
      <c r="M14" s="45"/>
    </row>
    <row r="15" spans="1:13">
      <c r="A15" s="42" t="s">
        <v>83</v>
      </c>
      <c r="B15" s="50">
        <f>B14*sheet1!F50/100</f>
        <v>2451.0038895951507</v>
      </c>
      <c r="C15" s="42" t="s">
        <v>141</v>
      </c>
      <c r="M15" s="45"/>
    </row>
    <row r="16" spans="1:13">
      <c r="B16" s="63">
        <f>B15/365</f>
        <v>6.7150791495757556</v>
      </c>
      <c r="C16" s="42" t="s">
        <v>85</v>
      </c>
      <c r="M16" s="45"/>
    </row>
    <row r="17" spans="1:9">
      <c r="A17" s="51" t="s">
        <v>147</v>
      </c>
      <c r="B17" s="45"/>
    </row>
    <row r="18" spans="1:9">
      <c r="A18" s="42" t="s">
        <v>91</v>
      </c>
      <c r="B18" s="45">
        <v>412</v>
      </c>
      <c r="C18" s="42" t="s">
        <v>148</v>
      </c>
      <c r="D18" s="56" t="s">
        <v>92</v>
      </c>
    </row>
    <row r="19" spans="1:9">
      <c r="B19" s="45">
        <f>B18/2.2/55/3.8*1000</f>
        <v>896.04175728577638</v>
      </c>
      <c r="C19" s="42" t="s">
        <v>93</v>
      </c>
      <c r="D19" s="56"/>
    </row>
    <row r="20" spans="1:9" ht="15">
      <c r="A20" s="42" t="s">
        <v>94</v>
      </c>
      <c r="B20" s="55">
        <f>sheet1!F51/100</f>
        <v>0.94386666666666685</v>
      </c>
      <c r="C20" s="42" t="s">
        <v>19</v>
      </c>
      <c r="D20" s="42" t="s">
        <v>117</v>
      </c>
      <c r="I20" s="52"/>
    </row>
    <row r="21" spans="1:9">
      <c r="A21" s="42" t="s">
        <v>95</v>
      </c>
      <c r="B21" s="53">
        <v>2.5000000000000001E-2</v>
      </c>
      <c r="C21" s="42" t="s">
        <v>96</v>
      </c>
      <c r="D21" s="56" t="s">
        <v>97</v>
      </c>
    </row>
    <row r="22" spans="1:9">
      <c r="A22" s="42" t="s">
        <v>98</v>
      </c>
      <c r="B22" s="53">
        <v>1.2999999999999999E-2</v>
      </c>
      <c r="C22" s="42" t="s">
        <v>96</v>
      </c>
      <c r="D22" s="57" t="s">
        <v>97</v>
      </c>
    </row>
    <row r="23" spans="1:9">
      <c r="B23" s="45"/>
    </row>
    <row r="24" spans="1:9">
      <c r="A24" s="51" t="s">
        <v>99</v>
      </c>
    </row>
    <row r="25" spans="1:9">
      <c r="A25" s="42" t="s">
        <v>71</v>
      </c>
      <c r="B25" s="45">
        <f>sheet1!O51</f>
        <v>13943.906621288392</v>
      </c>
      <c r="C25" s="42" t="s">
        <v>84</v>
      </c>
      <c r="D25" s="42" t="s">
        <v>129</v>
      </c>
    </row>
    <row r="26" spans="1:9" ht="15">
      <c r="A26" s="42" t="s">
        <v>100</v>
      </c>
      <c r="B26" s="48">
        <v>0.8</v>
      </c>
      <c r="C26" s="42" t="s">
        <v>19</v>
      </c>
      <c r="D26" s="42" t="s">
        <v>118</v>
      </c>
      <c r="I26" s="52"/>
    </row>
    <row r="27" spans="1:9" ht="15">
      <c r="A27" s="42" t="s">
        <v>123</v>
      </c>
      <c r="B27" s="45">
        <f>B25*(1-B26)+(B25/B20-B25)</f>
        <v>3618.0488320359509</v>
      </c>
      <c r="C27" s="42" t="s">
        <v>84</v>
      </c>
      <c r="D27" s="42" t="s">
        <v>129</v>
      </c>
      <c r="I27" s="52"/>
    </row>
    <row r="28" spans="1:9" ht="15">
      <c r="B28" s="47">
        <f>B27/2.2/1000</f>
        <v>1.6445676509254321</v>
      </c>
      <c r="C28" s="42" t="s">
        <v>85</v>
      </c>
      <c r="I28" s="52"/>
    </row>
    <row r="29" spans="1:9">
      <c r="B29" s="49">
        <f>B28/B30</f>
        <v>11.746911792324514</v>
      </c>
      <c r="C29" s="42" t="s">
        <v>87</v>
      </c>
      <c r="D29" s="42" t="s">
        <v>128</v>
      </c>
    </row>
    <row r="30" spans="1:9">
      <c r="A30" s="42" t="s">
        <v>101</v>
      </c>
      <c r="B30" s="48">
        <v>0.14000000000000001</v>
      </c>
    </row>
    <row r="31" spans="1:9">
      <c r="A31" s="42" t="s">
        <v>102</v>
      </c>
      <c r="B31" s="42" t="s">
        <v>119</v>
      </c>
    </row>
    <row r="32" spans="1:9">
      <c r="A32" s="42" t="s">
        <v>132</v>
      </c>
      <c r="B32" s="42">
        <v>15</v>
      </c>
      <c r="C32" s="42" t="s">
        <v>133</v>
      </c>
      <c r="D32" s="42" t="s">
        <v>118</v>
      </c>
    </row>
    <row r="33" spans="1:12">
      <c r="B33" s="45">
        <f>B32*B25*B26</f>
        <v>167326.8794554607</v>
      </c>
      <c r="C33" s="42" t="s">
        <v>124</v>
      </c>
      <c r="D33" s="42" t="s">
        <v>134</v>
      </c>
    </row>
    <row r="36" spans="1:12" ht="15">
      <c r="A36" s="44" t="s">
        <v>103</v>
      </c>
    </row>
    <row r="37" spans="1:12">
      <c r="A37" s="42" t="s">
        <v>104</v>
      </c>
      <c r="B37" s="42" t="s">
        <v>105</v>
      </c>
    </row>
    <row r="38" spans="1:12">
      <c r="A38" s="42" t="s">
        <v>106</v>
      </c>
      <c r="B38" s="42" t="s">
        <v>120</v>
      </c>
      <c r="L38" s="51" t="s">
        <v>122</v>
      </c>
    </row>
    <row r="40" spans="1:12">
      <c r="A40" s="51" t="s">
        <v>107</v>
      </c>
    </row>
    <row r="41" spans="1:12">
      <c r="A41" s="42" t="s">
        <v>104</v>
      </c>
      <c r="B41" s="42" t="s">
        <v>108</v>
      </c>
    </row>
    <row r="42" spans="1:12">
      <c r="A42" s="42" t="s">
        <v>106</v>
      </c>
      <c r="B42" s="42" t="s">
        <v>121</v>
      </c>
    </row>
    <row r="44" spans="1:12">
      <c r="A44" s="51" t="s">
        <v>109</v>
      </c>
    </row>
    <row r="45" spans="1:12">
      <c r="A45" s="42" t="s">
        <v>104</v>
      </c>
      <c r="B45" s="42" t="s">
        <v>110</v>
      </c>
    </row>
    <row r="46" spans="1:12">
      <c r="A46" s="42" t="s">
        <v>106</v>
      </c>
      <c r="B46" s="42" t="s">
        <v>126</v>
      </c>
    </row>
    <row r="48" spans="1:12" ht="15">
      <c r="A48" s="44" t="s">
        <v>111</v>
      </c>
    </row>
    <row r="49" spans="1:4" ht="15">
      <c r="A49" s="42" t="s">
        <v>131</v>
      </c>
      <c r="B49" s="44" t="s">
        <v>104</v>
      </c>
      <c r="C49" s="44" t="s">
        <v>106</v>
      </c>
    </row>
    <row r="50" spans="1:4">
      <c r="B50" s="42" t="s">
        <v>112</v>
      </c>
      <c r="C50" s="42" t="s">
        <v>127</v>
      </c>
    </row>
    <row r="51" spans="1:4">
      <c r="A51" s="42" t="s">
        <v>113</v>
      </c>
      <c r="B51" s="45">
        <v>6780</v>
      </c>
      <c r="C51" s="45"/>
      <c r="D51" s="42" t="s">
        <v>130</v>
      </c>
    </row>
    <row r="52" spans="1:4" ht="28.5">
      <c r="A52" s="64" t="s">
        <v>125</v>
      </c>
      <c r="B52" s="45"/>
      <c r="C52" s="45">
        <f>B4*sheet1!O60/1000000</f>
        <v>21.244429705075195</v>
      </c>
      <c r="D52" s="42" t="s">
        <v>146</v>
      </c>
    </row>
    <row r="53" spans="1:4">
      <c r="A53" s="42" t="s">
        <v>135</v>
      </c>
      <c r="B53" s="45"/>
      <c r="C53" s="45">
        <v>-873</v>
      </c>
      <c r="D53" s="42" t="s">
        <v>136</v>
      </c>
    </row>
    <row r="54" spans="1:4">
      <c r="A54" s="42" t="s">
        <v>114</v>
      </c>
      <c r="B54" s="45"/>
      <c r="C54" s="45">
        <v>1</v>
      </c>
      <c r="D54" s="42" t="s">
        <v>145</v>
      </c>
    </row>
    <row r="55" spans="1:4" ht="15">
      <c r="A55" s="44" t="s">
        <v>115</v>
      </c>
      <c r="B55" s="54">
        <f>SUM(B51:B54)</f>
        <v>6780</v>
      </c>
      <c r="C55" s="54">
        <f>SUM(C51:C54)</f>
        <v>-850.75557029492484</v>
      </c>
    </row>
    <row r="56" spans="1:4" ht="15">
      <c r="A56" s="60" t="s">
        <v>137</v>
      </c>
      <c r="B56" s="60"/>
      <c r="C56" s="61">
        <f>ROUND((B55-C55),-1)</f>
        <v>7630</v>
      </c>
    </row>
    <row r="57" spans="1:4">
      <c r="C57" s="45"/>
    </row>
    <row r="58" spans="1:4">
      <c r="C58" s="45"/>
    </row>
    <row r="59" spans="1:4">
      <c r="C59" s="45"/>
    </row>
  </sheetData>
  <hyperlinks>
    <hyperlink ref="D21" r:id="rId1" xr:uid="{82656227-8A9D-44A7-A4BF-8E70862C30C4}"/>
    <hyperlink ref="D22" r:id="rId2" xr:uid="{9B444AD4-115E-4C02-BE3A-1711B8C9A5CE}"/>
    <hyperlink ref="D18" r:id="rId3" xr:uid="{D050E170-A81F-4C4A-B15C-B07309BB0906}"/>
    <hyperlink ref="C2" r:id="rId4" xr:uid="{EBBE61A7-DB9D-4B6B-A4E5-6FFA9FE54F51}"/>
  </hyperlink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48D43-3D4F-43B0-A6E1-6A88426FC7A2}">
  <dimension ref="A1:R88"/>
  <sheetViews>
    <sheetView topLeftCell="C15" zoomScaleNormal="100" workbookViewId="0">
      <selection activeCell="K63" sqref="K63"/>
    </sheetView>
  </sheetViews>
  <sheetFormatPr defaultRowHeight="15"/>
  <cols>
    <col min="2" max="2" width="15.140625" customWidth="1"/>
    <col min="3" max="4" width="11.5703125" bestFit="1" customWidth="1"/>
    <col min="5" max="5" width="12" bestFit="1" customWidth="1"/>
    <col min="6" max="6" width="15.28515625" bestFit="1" customWidth="1"/>
    <col min="7" max="8" width="9.42578125" bestFit="1" customWidth="1"/>
    <col min="9" max="9" width="9.5703125" bestFit="1" customWidth="1"/>
    <col min="10" max="10" width="15.140625" customWidth="1"/>
    <col min="11" max="11" width="12.42578125" bestFit="1" customWidth="1"/>
    <col min="12" max="12" width="13.42578125" customWidth="1"/>
    <col min="13" max="13" width="13.28515625" customWidth="1"/>
    <col min="14" max="14" width="11.5703125" bestFit="1" customWidth="1"/>
    <col min="15" max="15" width="17.28515625" customWidth="1"/>
    <col min="16" max="16" width="13.28515625" bestFit="1" customWidth="1"/>
    <col min="17" max="17" width="11.5703125" bestFit="1" customWidth="1"/>
    <col min="18" max="18" width="9.42578125" bestFit="1" customWidth="1"/>
  </cols>
  <sheetData>
    <row r="1" spans="1:15" s="4" customFormat="1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 t="s">
        <v>0</v>
      </c>
      <c r="N1" s="1"/>
    </row>
    <row r="2" spans="1:15" s="4" customFormat="1">
      <c r="A2" s="1"/>
      <c r="B2" s="5" t="s">
        <v>57</v>
      </c>
      <c r="C2" s="1"/>
      <c r="D2" s="1"/>
      <c r="E2" s="1"/>
      <c r="F2" s="1"/>
      <c r="G2" s="1"/>
      <c r="H2" s="1"/>
      <c r="I2" s="1"/>
      <c r="J2" s="2" t="s">
        <v>2</v>
      </c>
      <c r="K2" s="2" t="s">
        <v>0</v>
      </c>
      <c r="L2" s="2" t="s">
        <v>3</v>
      </c>
      <c r="M2" s="2" t="s">
        <v>4</v>
      </c>
      <c r="N2" s="1"/>
    </row>
    <row r="3" spans="1:15" s="4" customFormat="1">
      <c r="A3" s="3"/>
      <c r="B3" s="2"/>
      <c r="C3" s="2"/>
      <c r="D3" s="2"/>
      <c r="E3" s="2"/>
      <c r="F3" s="2"/>
      <c r="G3" s="2"/>
      <c r="H3" s="2"/>
      <c r="I3" s="2"/>
      <c r="J3" s="2" t="s">
        <v>5</v>
      </c>
      <c r="K3" s="2" t="s">
        <v>4</v>
      </c>
      <c r="L3" s="2" t="s">
        <v>6</v>
      </c>
      <c r="M3" s="2" t="s">
        <v>6</v>
      </c>
      <c r="N3" s="2"/>
    </row>
    <row r="4" spans="1:15" s="4" customFormat="1">
      <c r="A4" s="3"/>
      <c r="B4" s="2"/>
      <c r="C4" s="2" t="s">
        <v>4</v>
      </c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8</v>
      </c>
      <c r="J4" s="2" t="s">
        <v>8</v>
      </c>
      <c r="K4" s="2" t="s">
        <v>6</v>
      </c>
      <c r="L4" s="2" t="s">
        <v>9</v>
      </c>
      <c r="M4" s="2" t="s">
        <v>9</v>
      </c>
      <c r="N4" s="2" t="s">
        <v>1</v>
      </c>
    </row>
    <row r="5" spans="1:15" s="4" customFormat="1">
      <c r="A5" s="3"/>
      <c r="B5" s="2"/>
      <c r="C5" s="2" t="s">
        <v>10</v>
      </c>
      <c r="D5" s="2" t="s">
        <v>7</v>
      </c>
      <c r="E5" s="2" t="s">
        <v>10</v>
      </c>
      <c r="F5" s="2" t="s">
        <v>7</v>
      </c>
      <c r="G5" s="2" t="s">
        <v>11</v>
      </c>
      <c r="H5" s="2" t="s">
        <v>12</v>
      </c>
      <c r="I5" s="2" t="s">
        <v>9</v>
      </c>
      <c r="J5" s="2" t="s">
        <v>9</v>
      </c>
      <c r="K5" s="2" t="s">
        <v>9</v>
      </c>
      <c r="L5" s="2" t="s">
        <v>13</v>
      </c>
      <c r="M5" s="2" t="s">
        <v>13</v>
      </c>
      <c r="N5" s="2" t="s">
        <v>14</v>
      </c>
      <c r="O5" s="2" t="s">
        <v>49</v>
      </c>
    </row>
    <row r="6" spans="1:15" s="4" customFormat="1">
      <c r="A6" s="3"/>
      <c r="B6" s="2" t="s">
        <v>15</v>
      </c>
      <c r="C6" s="2" t="s">
        <v>16</v>
      </c>
      <c r="D6" s="2" t="s">
        <v>16</v>
      </c>
      <c r="E6" s="2" t="s">
        <v>17</v>
      </c>
      <c r="F6" s="2" t="s">
        <v>17</v>
      </c>
      <c r="G6" s="2" t="s">
        <v>18</v>
      </c>
      <c r="H6" s="2" t="s">
        <v>18</v>
      </c>
      <c r="I6" s="2" t="s">
        <v>20</v>
      </c>
      <c r="J6" s="2" t="s">
        <v>20</v>
      </c>
      <c r="K6" s="2" t="s">
        <v>20</v>
      </c>
      <c r="L6" s="2" t="s">
        <v>21</v>
      </c>
      <c r="M6" s="2" t="s">
        <v>21</v>
      </c>
      <c r="N6" s="2" t="s">
        <v>19</v>
      </c>
      <c r="O6" s="2" t="s">
        <v>51</v>
      </c>
    </row>
    <row r="7" spans="1:15" s="4" customFormat="1" ht="15.75" thickBot="1">
      <c r="A7" s="3"/>
      <c r="B7" s="6"/>
      <c r="C7" s="6">
        <v>12055</v>
      </c>
      <c r="D7" s="6">
        <v>12059</v>
      </c>
      <c r="E7" s="6">
        <v>12055</v>
      </c>
      <c r="F7" s="6">
        <v>12059</v>
      </c>
      <c r="G7" s="6">
        <v>12056</v>
      </c>
      <c r="H7" s="6">
        <v>12057</v>
      </c>
      <c r="I7" s="6">
        <v>12039</v>
      </c>
      <c r="J7" s="6" t="s">
        <v>23</v>
      </c>
      <c r="K7" s="6" t="s">
        <v>24</v>
      </c>
      <c r="L7" s="6" t="s">
        <v>22</v>
      </c>
      <c r="M7" s="6" t="s">
        <v>22</v>
      </c>
      <c r="N7" s="6">
        <v>854</v>
      </c>
      <c r="O7" s="6" t="s">
        <v>50</v>
      </c>
    </row>
    <row r="8" spans="1:15" s="7" customFormat="1" ht="15" customHeight="1">
      <c r="B8" s="13">
        <v>44197</v>
      </c>
      <c r="C8" s="9">
        <v>359864</v>
      </c>
      <c r="D8" s="9">
        <v>355013</v>
      </c>
      <c r="E8" s="9">
        <v>11609</v>
      </c>
      <c r="F8" s="9">
        <v>11452</v>
      </c>
      <c r="G8" s="10">
        <v>6.7</v>
      </c>
      <c r="H8" s="10">
        <v>94.6</v>
      </c>
      <c r="I8" s="9">
        <v>315314</v>
      </c>
      <c r="J8" s="9">
        <v>180000</v>
      </c>
      <c r="K8" s="9">
        <v>135314</v>
      </c>
      <c r="L8" s="10">
        <v>19.3</v>
      </c>
      <c r="M8" s="11">
        <v>36.5</v>
      </c>
      <c r="N8" s="10">
        <v>34.6</v>
      </c>
      <c r="O8">
        <f>K8/F8</f>
        <v>11.81575270695075</v>
      </c>
    </row>
    <row r="9" spans="1:15" s="7" customFormat="1" ht="15" customHeight="1">
      <c r="B9" s="13">
        <v>44228</v>
      </c>
      <c r="C9" s="9">
        <v>350266</v>
      </c>
      <c r="D9" s="9">
        <v>297383</v>
      </c>
      <c r="E9" s="9">
        <v>12510</v>
      </c>
      <c r="F9" s="9">
        <v>10621</v>
      </c>
      <c r="G9" s="10">
        <v>7.1</v>
      </c>
      <c r="H9" s="10">
        <v>88.1</v>
      </c>
      <c r="I9" s="9">
        <v>319969</v>
      </c>
      <c r="J9" s="9">
        <v>180000</v>
      </c>
      <c r="K9" s="9">
        <v>139969</v>
      </c>
      <c r="L9" s="10">
        <v>20.5</v>
      </c>
      <c r="M9" s="11">
        <v>34.5</v>
      </c>
      <c r="N9" s="10">
        <v>34.9</v>
      </c>
      <c r="O9">
        <f t="shared" ref="O9:O27" si="0">K9/F9</f>
        <v>13.178514264193579</v>
      </c>
    </row>
    <row r="10" spans="1:15" s="7" customFormat="1" ht="15" customHeight="1">
      <c r="B10" s="13">
        <v>44256</v>
      </c>
      <c r="C10" s="9">
        <v>395786</v>
      </c>
      <c r="D10" s="9">
        <v>334648</v>
      </c>
      <c r="E10" s="9">
        <v>12767</v>
      </c>
      <c r="F10" s="9">
        <v>10795</v>
      </c>
      <c r="G10" s="10">
        <v>7.2</v>
      </c>
      <c r="H10" s="10">
        <v>95.3</v>
      </c>
      <c r="I10" s="9">
        <v>328494</v>
      </c>
      <c r="J10" s="9">
        <v>180000</v>
      </c>
      <c r="K10" s="9">
        <v>148494</v>
      </c>
      <c r="L10" s="10">
        <v>20.399999999999999</v>
      </c>
      <c r="M10" s="11">
        <v>38.9</v>
      </c>
      <c r="N10" s="10">
        <v>34</v>
      </c>
      <c r="O10">
        <f t="shared" si="0"/>
        <v>13.755812876331635</v>
      </c>
    </row>
    <row r="11" spans="1:15" s="7" customFormat="1" ht="15" customHeight="1">
      <c r="B11" s="13">
        <v>44287</v>
      </c>
      <c r="C11" s="9">
        <v>367943</v>
      </c>
      <c r="D11" s="9">
        <v>309105</v>
      </c>
      <c r="E11" s="9">
        <v>12265</v>
      </c>
      <c r="F11" s="9">
        <v>10304</v>
      </c>
      <c r="G11" s="10">
        <v>7.8</v>
      </c>
      <c r="H11" s="10">
        <v>94.9</v>
      </c>
      <c r="I11" s="9">
        <v>330522</v>
      </c>
      <c r="J11" s="9">
        <v>180000</v>
      </c>
      <c r="K11" s="9">
        <v>150522</v>
      </c>
      <c r="L11" s="10">
        <v>20.2</v>
      </c>
      <c r="M11" s="11">
        <v>38.700000000000003</v>
      </c>
      <c r="N11" s="10">
        <v>33.700000000000003</v>
      </c>
      <c r="O11">
        <f t="shared" si="0"/>
        <v>14.608113354037267</v>
      </c>
    </row>
    <row r="12" spans="1:15" s="7" customFormat="1" ht="15" customHeight="1">
      <c r="B12" s="13">
        <v>44317</v>
      </c>
      <c r="C12" s="9">
        <v>370354</v>
      </c>
      <c r="D12" s="9">
        <v>316932</v>
      </c>
      <c r="E12" s="9">
        <v>11947</v>
      </c>
      <c r="F12" s="9">
        <v>10224</v>
      </c>
      <c r="G12" s="10">
        <v>8.1999999999999993</v>
      </c>
      <c r="H12" s="10">
        <v>95.1</v>
      </c>
      <c r="I12" s="9">
        <v>316436</v>
      </c>
      <c r="J12" s="9">
        <v>180000</v>
      </c>
      <c r="K12" s="9">
        <v>136436</v>
      </c>
      <c r="L12" s="10">
        <v>21.8</v>
      </c>
      <c r="M12" s="11">
        <v>33.6</v>
      </c>
      <c r="N12" s="10">
        <v>34.299999999999997</v>
      </c>
      <c r="O12">
        <f t="shared" si="0"/>
        <v>13.344679186228483</v>
      </c>
    </row>
    <row r="13" spans="1:15" s="7" customFormat="1" ht="15" customHeight="1">
      <c r="B13" s="13">
        <v>44348</v>
      </c>
      <c r="C13" s="9">
        <v>405438</v>
      </c>
      <c r="D13" s="9">
        <v>401072</v>
      </c>
      <c r="E13" s="9">
        <v>13515</v>
      </c>
      <c r="F13" s="9">
        <v>13369</v>
      </c>
      <c r="G13" s="10">
        <v>8.1999999999999993</v>
      </c>
      <c r="H13" s="10">
        <v>91.8</v>
      </c>
      <c r="I13" s="9">
        <v>342559</v>
      </c>
      <c r="J13" s="9">
        <v>180000</v>
      </c>
      <c r="K13" s="9">
        <v>162559</v>
      </c>
      <c r="L13" s="10">
        <v>21.1</v>
      </c>
      <c r="M13" s="11">
        <v>31.8</v>
      </c>
      <c r="N13" s="10">
        <v>35.4</v>
      </c>
      <c r="O13">
        <f t="shared" si="0"/>
        <v>12.15939860872167</v>
      </c>
    </row>
    <row r="14" spans="1:15" s="7" customFormat="1" ht="15" customHeight="1">
      <c r="B14" s="13">
        <v>44378</v>
      </c>
      <c r="C14" s="9">
        <v>351688</v>
      </c>
      <c r="D14" s="9">
        <v>374436</v>
      </c>
      <c r="E14" s="9">
        <v>11345</v>
      </c>
      <c r="F14" s="9">
        <v>12079</v>
      </c>
      <c r="G14" s="10">
        <v>7.9</v>
      </c>
      <c r="H14" s="10">
        <v>91.8</v>
      </c>
      <c r="I14" s="9">
        <v>319540</v>
      </c>
      <c r="J14" s="9">
        <v>180000</v>
      </c>
      <c r="K14" s="9">
        <v>139540</v>
      </c>
      <c r="L14" s="10">
        <v>21.4</v>
      </c>
      <c r="M14" s="11">
        <v>33.799999999999997</v>
      </c>
      <c r="N14" s="10">
        <v>34.1</v>
      </c>
      <c r="O14">
        <f t="shared" si="0"/>
        <v>11.552280817948505</v>
      </c>
    </row>
    <row r="15" spans="1:15" s="7" customFormat="1" ht="15" customHeight="1">
      <c r="B15" s="13">
        <v>44409</v>
      </c>
      <c r="C15" s="9">
        <v>301871</v>
      </c>
      <c r="D15" s="9">
        <v>344249</v>
      </c>
      <c r="E15" s="9">
        <v>9738</v>
      </c>
      <c r="F15" s="9">
        <v>11105</v>
      </c>
      <c r="G15" s="10">
        <v>10.3</v>
      </c>
      <c r="H15" s="10">
        <v>93.9</v>
      </c>
      <c r="I15" s="9">
        <v>332890</v>
      </c>
      <c r="J15" s="9">
        <v>180000</v>
      </c>
      <c r="K15" s="9">
        <v>152890</v>
      </c>
      <c r="L15" s="10">
        <v>22.2</v>
      </c>
      <c r="M15" s="11">
        <v>33.200000000000003</v>
      </c>
      <c r="N15" s="10">
        <v>34.1</v>
      </c>
      <c r="O15">
        <f t="shared" si="0"/>
        <v>13.767672219720847</v>
      </c>
    </row>
    <row r="16" spans="1:15" s="7" customFormat="1" ht="15" customHeight="1">
      <c r="B16" s="13">
        <v>44440</v>
      </c>
      <c r="C16" s="9">
        <v>386280</v>
      </c>
      <c r="D16" s="9">
        <v>365679</v>
      </c>
      <c r="E16" s="9">
        <v>12876</v>
      </c>
      <c r="F16" s="9">
        <v>12189</v>
      </c>
      <c r="G16" s="10">
        <v>8.3000000000000007</v>
      </c>
      <c r="H16" s="10">
        <v>94</v>
      </c>
      <c r="I16" s="9">
        <v>329007</v>
      </c>
      <c r="J16" s="9">
        <v>180000</v>
      </c>
      <c r="K16" s="9">
        <v>149007</v>
      </c>
      <c r="L16" s="10">
        <v>19.600000000000001</v>
      </c>
      <c r="M16" s="11">
        <v>30.8</v>
      </c>
      <c r="N16" s="10">
        <v>34.299999999999997</v>
      </c>
      <c r="O16">
        <f t="shared" si="0"/>
        <v>12.224710804824023</v>
      </c>
    </row>
    <row r="17" spans="2:18" s="7" customFormat="1" ht="15" customHeight="1">
      <c r="B17" s="13">
        <v>44470</v>
      </c>
      <c r="C17" s="9">
        <v>401619</v>
      </c>
      <c r="D17" s="9">
        <v>361206</v>
      </c>
      <c r="E17" s="9">
        <v>12955</v>
      </c>
      <c r="F17" s="9">
        <v>11652</v>
      </c>
      <c r="G17" s="10">
        <v>8.3000000000000007</v>
      </c>
      <c r="H17" s="10">
        <v>96.4</v>
      </c>
      <c r="I17" s="9">
        <v>325372</v>
      </c>
      <c r="J17" s="9">
        <v>180000</v>
      </c>
      <c r="K17" s="9">
        <v>145372</v>
      </c>
      <c r="L17" s="10">
        <v>18.899999999999999</v>
      </c>
      <c r="M17" s="11">
        <v>30.7</v>
      </c>
      <c r="N17" s="10">
        <v>35.200000000000003</v>
      </c>
      <c r="O17">
        <f t="shared" si="0"/>
        <v>12.47614143494679</v>
      </c>
    </row>
    <row r="18" spans="2:18" s="7" customFormat="1" ht="15" customHeight="1">
      <c r="B18" s="13">
        <v>44501</v>
      </c>
      <c r="C18" s="9">
        <v>441365</v>
      </c>
      <c r="D18" s="9">
        <v>407978</v>
      </c>
      <c r="E18" s="9">
        <v>14712</v>
      </c>
      <c r="F18" s="9">
        <v>13599</v>
      </c>
      <c r="G18" s="10">
        <v>6.8</v>
      </c>
      <c r="H18" s="10">
        <v>95.5</v>
      </c>
      <c r="I18" s="9">
        <v>334131</v>
      </c>
      <c r="J18" s="9">
        <v>180000</v>
      </c>
      <c r="K18" s="9">
        <v>154131</v>
      </c>
      <c r="L18" s="10">
        <v>18</v>
      </c>
      <c r="M18" s="11">
        <v>32.9</v>
      </c>
      <c r="N18" s="10">
        <v>35.700000000000003</v>
      </c>
      <c r="O18">
        <f t="shared" si="0"/>
        <v>11.333995146701964</v>
      </c>
    </row>
    <row r="19" spans="2:18" s="7" customFormat="1" ht="15" customHeight="1">
      <c r="B19" s="13">
        <v>44531</v>
      </c>
      <c r="C19" s="9">
        <v>403842</v>
      </c>
      <c r="D19" s="9">
        <v>332330</v>
      </c>
      <c r="E19" s="9">
        <v>13027</v>
      </c>
      <c r="F19" s="9">
        <v>10720</v>
      </c>
      <c r="G19" s="10">
        <v>7</v>
      </c>
      <c r="H19" s="10">
        <v>94.3</v>
      </c>
      <c r="I19" s="9">
        <v>313410</v>
      </c>
      <c r="J19" s="9">
        <v>180000</v>
      </c>
      <c r="K19" s="9">
        <v>133410</v>
      </c>
      <c r="L19" s="10">
        <v>20.2</v>
      </c>
      <c r="M19" s="11">
        <v>36.4</v>
      </c>
      <c r="N19" s="10">
        <v>35.299999999999997</v>
      </c>
      <c r="O19">
        <f t="shared" si="0"/>
        <v>12.444962686567164</v>
      </c>
    </row>
    <row r="20" spans="2:18" s="7" customFormat="1" ht="15" customHeight="1">
      <c r="B20" s="13">
        <v>44562</v>
      </c>
      <c r="C20" s="9">
        <v>458267</v>
      </c>
      <c r="D20" s="9">
        <v>387736</v>
      </c>
      <c r="E20" s="9">
        <v>14783</v>
      </c>
      <c r="F20" s="9">
        <v>12508</v>
      </c>
      <c r="G20" s="10">
        <v>6.9</v>
      </c>
      <c r="H20" s="10">
        <v>95.7</v>
      </c>
      <c r="I20" s="9">
        <v>337171</v>
      </c>
      <c r="J20" s="9">
        <v>180000</v>
      </c>
      <c r="K20" s="9">
        <v>157171</v>
      </c>
      <c r="L20" s="10">
        <v>16.899999999999999</v>
      </c>
      <c r="M20" s="11">
        <v>35.9</v>
      </c>
      <c r="N20" s="10">
        <v>34.799999999999997</v>
      </c>
      <c r="O20">
        <f t="shared" si="0"/>
        <v>12.565637991685321</v>
      </c>
    </row>
    <row r="21" spans="2:18" s="7" customFormat="1" ht="15" customHeight="1">
      <c r="B21" s="13">
        <v>44593</v>
      </c>
      <c r="C21" s="9">
        <v>335172</v>
      </c>
      <c r="D21" s="9">
        <v>280317</v>
      </c>
      <c r="E21" s="9">
        <v>11970</v>
      </c>
      <c r="F21" s="9">
        <v>10011</v>
      </c>
      <c r="G21" s="10">
        <v>8.3000000000000007</v>
      </c>
      <c r="H21" s="10">
        <v>96</v>
      </c>
      <c r="I21" s="9">
        <v>338083</v>
      </c>
      <c r="J21" s="9">
        <v>180000</v>
      </c>
      <c r="K21" s="9">
        <v>158083</v>
      </c>
      <c r="L21" s="10">
        <v>19.3</v>
      </c>
      <c r="M21" s="11">
        <v>39.5</v>
      </c>
      <c r="N21" s="10">
        <v>34.9</v>
      </c>
      <c r="O21">
        <f t="shared" si="0"/>
        <v>15.790929977025272</v>
      </c>
    </row>
    <row r="22" spans="2:18" s="7" customFormat="1" ht="15" customHeight="1">
      <c r="B22" s="13">
        <v>44621</v>
      </c>
      <c r="C22" s="14">
        <v>435765</v>
      </c>
      <c r="D22" s="14">
        <v>381942</v>
      </c>
      <c r="E22" s="14">
        <v>14057</v>
      </c>
      <c r="F22" s="14">
        <v>12321</v>
      </c>
      <c r="G22" s="15">
        <v>8.6</v>
      </c>
      <c r="H22" s="15">
        <v>94.6</v>
      </c>
      <c r="I22" s="14">
        <v>348828</v>
      </c>
      <c r="J22" s="14">
        <v>180000</v>
      </c>
      <c r="K22" s="14">
        <v>168828</v>
      </c>
      <c r="L22" s="15">
        <v>17.7</v>
      </c>
      <c r="M22" s="15">
        <v>32.200000000000003</v>
      </c>
      <c r="N22" s="15">
        <v>34.5</v>
      </c>
      <c r="O22">
        <f t="shared" si="0"/>
        <v>13.702459215972729</v>
      </c>
    </row>
    <row r="23" spans="2:18" s="7" customFormat="1" ht="15" customHeight="1">
      <c r="B23" s="13">
        <v>44652</v>
      </c>
      <c r="C23" s="14">
        <v>423569</v>
      </c>
      <c r="D23" s="14">
        <v>411925</v>
      </c>
      <c r="E23" s="14">
        <v>14119</v>
      </c>
      <c r="F23" s="14">
        <v>13731</v>
      </c>
      <c r="G23" s="15">
        <v>8.4</v>
      </c>
      <c r="H23" s="15">
        <v>96</v>
      </c>
      <c r="I23" s="14">
        <v>371793</v>
      </c>
      <c r="J23" s="14">
        <v>180000</v>
      </c>
      <c r="K23" s="14">
        <v>191793</v>
      </c>
      <c r="L23" s="15">
        <v>17.3</v>
      </c>
      <c r="M23" s="15">
        <v>31.7</v>
      </c>
      <c r="N23" s="15">
        <v>29.8</v>
      </c>
      <c r="O23">
        <f t="shared" si="0"/>
        <v>13.967882892724493</v>
      </c>
    </row>
    <row r="24" spans="2:18" s="7" customFormat="1" ht="15" customHeight="1">
      <c r="B24" s="13">
        <v>44682</v>
      </c>
      <c r="C24" s="14">
        <v>450457</v>
      </c>
      <c r="D24" s="14">
        <v>402802</v>
      </c>
      <c r="E24" s="14">
        <v>14531</v>
      </c>
      <c r="F24" s="14">
        <v>12994</v>
      </c>
      <c r="G24" s="15">
        <v>8.6</v>
      </c>
      <c r="H24" s="15">
        <v>95.4</v>
      </c>
      <c r="I24" s="14">
        <v>366887</v>
      </c>
      <c r="J24" s="14">
        <v>180000</v>
      </c>
      <c r="K24" s="14">
        <v>186887</v>
      </c>
      <c r="L24" s="15">
        <v>16.8</v>
      </c>
      <c r="M24" s="15">
        <v>35.299999999999997</v>
      </c>
      <c r="N24" s="15">
        <v>34.700000000000003</v>
      </c>
      <c r="O24">
        <f t="shared" si="0"/>
        <v>14.382561182084039</v>
      </c>
    </row>
    <row r="25" spans="2:18" s="7" customFormat="1" ht="15" customHeight="1">
      <c r="B25" s="13">
        <v>44713</v>
      </c>
      <c r="C25" s="14">
        <v>438373</v>
      </c>
      <c r="D25" s="14">
        <v>382677</v>
      </c>
      <c r="E25" s="14">
        <v>14612</v>
      </c>
      <c r="F25" s="14">
        <v>12756</v>
      </c>
      <c r="G25" s="15">
        <v>9.4</v>
      </c>
      <c r="H25" s="15">
        <v>96.5</v>
      </c>
      <c r="I25" s="14">
        <v>379439</v>
      </c>
      <c r="J25" s="14">
        <v>180000</v>
      </c>
      <c r="K25" s="14">
        <v>199439</v>
      </c>
      <c r="L25" s="15">
        <v>17.399999999999999</v>
      </c>
      <c r="M25" s="15">
        <v>34.200000000000003</v>
      </c>
      <c r="N25" s="15">
        <v>35.1</v>
      </c>
      <c r="O25">
        <f t="shared" si="0"/>
        <v>15.63491690185011</v>
      </c>
    </row>
    <row r="26" spans="2:18" s="7" customFormat="1" ht="15" customHeight="1">
      <c r="B26" s="13">
        <v>44743</v>
      </c>
      <c r="C26" s="9">
        <v>335729</v>
      </c>
      <c r="D26" s="9">
        <v>333815</v>
      </c>
      <c r="E26" s="9">
        <v>10830</v>
      </c>
      <c r="F26" s="9">
        <v>10768</v>
      </c>
      <c r="G26" s="10">
        <v>7.7</v>
      </c>
      <c r="H26" s="10">
        <v>95</v>
      </c>
      <c r="I26" s="9">
        <v>324433</v>
      </c>
      <c r="J26" s="9">
        <v>180000</v>
      </c>
      <c r="K26" s="9">
        <v>144433</v>
      </c>
      <c r="L26" s="10">
        <v>12.5</v>
      </c>
      <c r="M26" s="11">
        <v>34.9</v>
      </c>
      <c r="N26" s="10">
        <v>33.799999999999997</v>
      </c>
      <c r="O26">
        <f t="shared" si="0"/>
        <v>13.413168647845469</v>
      </c>
    </row>
    <row r="27" spans="2:18" s="7" customFormat="1" ht="15" customHeight="1">
      <c r="B27" s="13">
        <v>44774</v>
      </c>
      <c r="C27" s="9">
        <v>375205</v>
      </c>
      <c r="D27" s="9">
        <v>334433</v>
      </c>
      <c r="E27" s="9">
        <v>12103</v>
      </c>
      <c r="F27" s="9">
        <v>10788</v>
      </c>
      <c r="G27" s="10">
        <v>9.5</v>
      </c>
      <c r="H27" s="10">
        <v>96.4</v>
      </c>
      <c r="I27" s="9">
        <v>361231</v>
      </c>
      <c r="J27" s="9">
        <v>180000</v>
      </c>
      <c r="K27" s="9">
        <v>181231</v>
      </c>
      <c r="L27" s="10">
        <v>20.2</v>
      </c>
      <c r="M27" s="11">
        <v>36.5</v>
      </c>
      <c r="N27" s="10">
        <v>34</v>
      </c>
      <c r="O27">
        <f t="shared" si="0"/>
        <v>16.799314052651095</v>
      </c>
    </row>
    <row r="28" spans="2:18" s="20" customFormat="1" ht="15" customHeight="1">
      <c r="B28" s="16">
        <v>44805</v>
      </c>
      <c r="C28" s="17">
        <v>40887</v>
      </c>
      <c r="D28" s="17">
        <v>53562</v>
      </c>
      <c r="E28" s="17">
        <v>1363</v>
      </c>
      <c r="F28" s="17">
        <v>1785</v>
      </c>
      <c r="G28" s="18">
        <v>8.9</v>
      </c>
      <c r="H28" s="18">
        <v>93.3</v>
      </c>
      <c r="I28" s="17"/>
      <c r="J28" s="17">
        <v>180000</v>
      </c>
      <c r="K28" s="17">
        <v>11460</v>
      </c>
      <c r="L28" s="18">
        <v>22.8</v>
      </c>
      <c r="M28" s="19"/>
      <c r="N28" s="18">
        <v>37.6</v>
      </c>
      <c r="O28" s="28" t="s">
        <v>52</v>
      </c>
      <c r="P28" s="67" t="s">
        <v>58</v>
      </c>
      <c r="Q28" s="67"/>
      <c r="R28" s="37"/>
    </row>
    <row r="29" spans="2:18" s="20" customFormat="1" ht="15" customHeight="1">
      <c r="B29" s="16">
        <v>44835</v>
      </c>
      <c r="C29" s="17">
        <v>0</v>
      </c>
      <c r="D29" s="17">
        <v>0</v>
      </c>
      <c r="E29" s="17">
        <v>0</v>
      </c>
      <c r="F29" s="17">
        <v>0</v>
      </c>
      <c r="G29" s="18"/>
      <c r="H29" s="18"/>
      <c r="I29" s="17"/>
      <c r="J29" s="17">
        <v>180000</v>
      </c>
      <c r="K29" s="17">
        <v>0</v>
      </c>
      <c r="L29" s="18">
        <v>7.8</v>
      </c>
      <c r="M29" s="19"/>
      <c r="N29" s="18">
        <v>38</v>
      </c>
      <c r="P29" s="67"/>
      <c r="Q29" s="67"/>
      <c r="R29" s="37"/>
    </row>
    <row r="30" spans="2:18" s="20" customFormat="1" ht="15" customHeight="1">
      <c r="B30" s="16">
        <v>44866</v>
      </c>
      <c r="C30" s="17">
        <v>0</v>
      </c>
      <c r="D30" s="17">
        <v>0</v>
      </c>
      <c r="E30" s="17">
        <v>0</v>
      </c>
      <c r="F30" s="17">
        <v>0</v>
      </c>
      <c r="G30" s="18"/>
      <c r="H30" s="18"/>
      <c r="I30" s="17"/>
      <c r="J30" s="17">
        <v>180000</v>
      </c>
      <c r="K30" s="17">
        <v>0</v>
      </c>
      <c r="L30" s="18"/>
      <c r="M30" s="19"/>
      <c r="N30" s="18">
        <v>36.9</v>
      </c>
      <c r="P30" s="67"/>
      <c r="Q30" s="67"/>
      <c r="R30" s="37"/>
    </row>
    <row r="31" spans="2:18" s="20" customFormat="1" ht="15" customHeight="1">
      <c r="B31" s="16">
        <v>44896</v>
      </c>
      <c r="C31" s="17"/>
      <c r="D31" s="17">
        <v>6244</v>
      </c>
      <c r="E31" s="17"/>
      <c r="F31" s="17">
        <v>201</v>
      </c>
      <c r="G31" s="18">
        <v>6.9</v>
      </c>
      <c r="H31" s="18">
        <v>96.5</v>
      </c>
      <c r="I31" s="17"/>
      <c r="J31" s="17">
        <v>180000</v>
      </c>
      <c r="K31" s="17">
        <v>76</v>
      </c>
      <c r="L31" s="18">
        <v>14.7</v>
      </c>
      <c r="M31" s="19"/>
      <c r="N31" s="18">
        <v>37.4</v>
      </c>
      <c r="O31" s="28" t="s">
        <v>53</v>
      </c>
      <c r="P31" s="67"/>
      <c r="Q31" s="67"/>
      <c r="R31" s="37"/>
    </row>
    <row r="32" spans="2:18" s="20" customFormat="1" ht="15" customHeight="1">
      <c r="B32" s="16">
        <v>44927</v>
      </c>
      <c r="C32" s="17">
        <v>100066</v>
      </c>
      <c r="D32" s="17">
        <v>92060</v>
      </c>
      <c r="E32" s="17">
        <v>3228</v>
      </c>
      <c r="F32" s="17">
        <v>2970</v>
      </c>
      <c r="G32" s="18">
        <v>6.8</v>
      </c>
      <c r="H32" s="18">
        <v>93.9</v>
      </c>
      <c r="I32" s="17"/>
      <c r="J32" s="17">
        <v>180000</v>
      </c>
      <c r="K32" s="17">
        <v>42745</v>
      </c>
      <c r="L32" s="18">
        <v>18.2</v>
      </c>
      <c r="M32" s="19"/>
      <c r="N32" s="18">
        <v>35.9</v>
      </c>
      <c r="O32" s="28" t="s">
        <v>54</v>
      </c>
      <c r="P32" s="67"/>
      <c r="Q32" s="67"/>
      <c r="R32" s="37"/>
    </row>
    <row r="33" spans="2:18" s="20" customFormat="1" ht="15" customHeight="1">
      <c r="B33" s="16">
        <v>44958</v>
      </c>
      <c r="C33" s="17">
        <v>193124</v>
      </c>
      <c r="D33" s="17">
        <v>154276</v>
      </c>
      <c r="E33" s="17">
        <v>6897</v>
      </c>
      <c r="F33" s="17">
        <v>5510</v>
      </c>
      <c r="G33" s="18">
        <v>3.2</v>
      </c>
      <c r="H33" s="18">
        <v>76.400000000000006</v>
      </c>
      <c r="I33" s="17"/>
      <c r="J33" s="17">
        <v>180000</v>
      </c>
      <c r="K33" s="17">
        <v>58279</v>
      </c>
      <c r="L33" s="18">
        <v>16.399999999999999</v>
      </c>
      <c r="M33" s="19"/>
      <c r="N33" s="18">
        <v>35.1</v>
      </c>
      <c r="O33" s="28" t="s">
        <v>55</v>
      </c>
      <c r="P33" s="67"/>
      <c r="Q33" s="67"/>
      <c r="R33" s="37"/>
    </row>
    <row r="34" spans="2:18" s="7" customFormat="1" ht="15" customHeight="1">
      <c r="B34" s="13">
        <v>44986</v>
      </c>
      <c r="C34" s="9">
        <v>375591</v>
      </c>
      <c r="D34" s="9">
        <v>332249</v>
      </c>
      <c r="E34" s="9">
        <v>12116</v>
      </c>
      <c r="F34" s="9">
        <v>10718</v>
      </c>
      <c r="G34" s="10">
        <v>7</v>
      </c>
      <c r="H34" s="10">
        <v>94</v>
      </c>
      <c r="I34" s="9">
        <v>318154</v>
      </c>
      <c r="J34" s="9">
        <v>180000</v>
      </c>
      <c r="K34" s="9">
        <v>138154</v>
      </c>
      <c r="L34" s="10">
        <v>17.5</v>
      </c>
      <c r="M34" s="11">
        <v>36.9</v>
      </c>
      <c r="N34" s="10">
        <v>35.4</v>
      </c>
      <c r="O34">
        <f t="shared" ref="O34:O43" si="1">K34/F34</f>
        <v>12.889904832991229</v>
      </c>
    </row>
    <row r="35" spans="2:18" s="7" customFormat="1" ht="15" customHeight="1">
      <c r="B35" s="13">
        <v>45017</v>
      </c>
      <c r="C35" s="9">
        <v>371691</v>
      </c>
      <c r="D35" s="9">
        <v>338425</v>
      </c>
      <c r="E35" s="9">
        <v>12390</v>
      </c>
      <c r="F35" s="9">
        <v>11281</v>
      </c>
      <c r="G35" s="10">
        <v>5.9</v>
      </c>
      <c r="H35" s="10">
        <v>94.2</v>
      </c>
      <c r="I35" s="9">
        <v>304946</v>
      </c>
      <c r="J35" s="9">
        <v>180000</v>
      </c>
      <c r="K35" s="9">
        <v>124946</v>
      </c>
      <c r="L35" s="10">
        <v>16.8</v>
      </c>
      <c r="M35" s="11">
        <v>37</v>
      </c>
      <c r="N35" s="10">
        <v>34.799999999999997</v>
      </c>
      <c r="O35">
        <f t="shared" si="1"/>
        <v>11.075791153266554</v>
      </c>
    </row>
    <row r="36" spans="2:18" s="7" customFormat="1" ht="15" customHeight="1">
      <c r="B36" s="13">
        <v>45047</v>
      </c>
      <c r="C36" s="9">
        <v>398410</v>
      </c>
      <c r="D36" s="9">
        <v>363533</v>
      </c>
      <c r="E36" s="9">
        <v>12852</v>
      </c>
      <c r="F36" s="9">
        <v>11727</v>
      </c>
      <c r="G36" s="10">
        <v>6.2</v>
      </c>
      <c r="H36" s="10">
        <v>94.4</v>
      </c>
      <c r="I36" s="9">
        <v>305028</v>
      </c>
      <c r="J36" s="9">
        <v>180000</v>
      </c>
      <c r="K36" s="9">
        <v>125028</v>
      </c>
      <c r="L36" s="10">
        <v>16.2</v>
      </c>
      <c r="M36" s="11">
        <v>34.700000000000003</v>
      </c>
      <c r="N36" s="10">
        <v>35.200000000000003</v>
      </c>
      <c r="O36">
        <f t="shared" si="1"/>
        <v>10.661550268610897</v>
      </c>
    </row>
    <row r="37" spans="2:18" s="7" customFormat="1" ht="15" customHeight="1">
      <c r="B37" s="13">
        <v>45078</v>
      </c>
      <c r="C37" s="9">
        <v>384069</v>
      </c>
      <c r="D37" s="9">
        <v>353882</v>
      </c>
      <c r="E37" s="9">
        <v>12802</v>
      </c>
      <c r="F37" s="9">
        <v>11796</v>
      </c>
      <c r="G37" s="10">
        <v>6.7</v>
      </c>
      <c r="H37" s="10">
        <v>93</v>
      </c>
      <c r="I37" s="9">
        <v>324322</v>
      </c>
      <c r="J37" s="9">
        <v>180000</v>
      </c>
      <c r="K37" s="9">
        <v>144322</v>
      </c>
      <c r="L37" s="10">
        <v>20.5</v>
      </c>
      <c r="M37" s="11">
        <v>40.4</v>
      </c>
      <c r="N37" s="10">
        <v>35.200000000000003</v>
      </c>
      <c r="O37">
        <f t="shared" si="1"/>
        <v>12.23482536453035</v>
      </c>
    </row>
    <row r="38" spans="2:18" s="7" customFormat="1" ht="15" customHeight="1">
      <c r="B38" s="13">
        <v>45108</v>
      </c>
      <c r="C38" s="9">
        <v>387235</v>
      </c>
      <c r="D38" s="9">
        <v>391981</v>
      </c>
      <c r="E38" s="9">
        <v>12491</v>
      </c>
      <c r="F38" s="9">
        <v>12645</v>
      </c>
      <c r="G38" s="10">
        <v>4.9000000000000004</v>
      </c>
      <c r="H38" s="10">
        <v>94.4</v>
      </c>
      <c r="I38" s="9">
        <v>321639</v>
      </c>
      <c r="J38" s="9">
        <v>180000</v>
      </c>
      <c r="K38" s="9">
        <v>141639</v>
      </c>
      <c r="L38" s="10">
        <v>18.399999999999999</v>
      </c>
      <c r="M38" s="11">
        <v>55.3</v>
      </c>
      <c r="N38" s="10">
        <v>35.200000000000003</v>
      </c>
      <c r="O38">
        <f t="shared" si="1"/>
        <v>11.201186239620403</v>
      </c>
    </row>
    <row r="39" spans="2:18" s="7" customFormat="1" ht="15" customHeight="1">
      <c r="B39" s="13">
        <v>45139</v>
      </c>
      <c r="C39" s="9">
        <v>460544</v>
      </c>
      <c r="D39" s="9">
        <v>520304</v>
      </c>
      <c r="E39" s="9">
        <v>14856</v>
      </c>
      <c r="F39" s="9">
        <v>16784</v>
      </c>
      <c r="G39" s="10">
        <v>4.2</v>
      </c>
      <c r="H39" s="10">
        <v>93.4</v>
      </c>
      <c r="I39" s="9">
        <v>320335</v>
      </c>
      <c r="J39" s="9">
        <v>180000</v>
      </c>
      <c r="K39" s="9">
        <v>140335</v>
      </c>
      <c r="L39" s="10">
        <v>22.6</v>
      </c>
      <c r="M39" s="11">
        <v>39</v>
      </c>
      <c r="N39" s="10">
        <v>33.9</v>
      </c>
      <c r="O39">
        <f t="shared" si="1"/>
        <v>8.3612368922783595</v>
      </c>
    </row>
    <row r="40" spans="2:18" s="7" customFormat="1" ht="15" customHeight="1">
      <c r="B40" s="13">
        <v>45170</v>
      </c>
      <c r="C40" s="9">
        <v>362554</v>
      </c>
      <c r="D40" s="9">
        <v>447018</v>
      </c>
      <c r="E40" s="9">
        <v>12085</v>
      </c>
      <c r="F40" s="9">
        <v>14901</v>
      </c>
      <c r="G40" s="10">
        <v>3.5</v>
      </c>
      <c r="H40" s="10">
        <v>93.8</v>
      </c>
      <c r="I40" s="9">
        <v>267153</v>
      </c>
      <c r="J40" s="9">
        <v>180000</v>
      </c>
      <c r="K40" s="9">
        <v>87153</v>
      </c>
      <c r="L40" s="10">
        <v>20</v>
      </c>
      <c r="M40" s="11">
        <v>38.9</v>
      </c>
      <c r="N40" s="10">
        <v>35</v>
      </c>
      <c r="O40">
        <f t="shared" si="1"/>
        <v>5.8488020938192067</v>
      </c>
    </row>
    <row r="41" spans="2:18" s="7" customFormat="1" ht="15" customHeight="1">
      <c r="B41" s="13">
        <v>45200</v>
      </c>
      <c r="C41" s="9">
        <v>414912</v>
      </c>
      <c r="D41" s="9">
        <v>505070</v>
      </c>
      <c r="E41" s="9">
        <v>13384</v>
      </c>
      <c r="F41" s="9">
        <v>16293</v>
      </c>
      <c r="G41" s="10">
        <v>5.0999999999999996</v>
      </c>
      <c r="H41" s="10">
        <v>94.7</v>
      </c>
      <c r="I41" s="9">
        <v>305925</v>
      </c>
      <c r="J41" s="9">
        <v>180000</v>
      </c>
      <c r="K41" s="9">
        <v>125925</v>
      </c>
      <c r="L41" s="10">
        <v>10.6</v>
      </c>
      <c r="M41" s="11">
        <v>13</v>
      </c>
      <c r="N41" s="10">
        <v>34.9</v>
      </c>
      <c r="O41">
        <f t="shared" si="1"/>
        <v>7.7287792303443199</v>
      </c>
    </row>
    <row r="42" spans="2:18" s="7" customFormat="1" ht="15" customHeight="1">
      <c r="B42" s="13">
        <v>45231</v>
      </c>
      <c r="C42" s="9">
        <v>382676</v>
      </c>
      <c r="D42" s="9">
        <v>441857</v>
      </c>
      <c r="E42" s="9">
        <v>12756</v>
      </c>
      <c r="F42" s="9">
        <v>14729</v>
      </c>
      <c r="G42" s="10">
        <v>4.5999999999999996</v>
      </c>
      <c r="H42" s="10">
        <v>93.4</v>
      </c>
      <c r="I42" s="9">
        <v>272169</v>
      </c>
      <c r="J42" s="9">
        <v>180000</v>
      </c>
      <c r="K42" s="9">
        <v>92169</v>
      </c>
      <c r="L42" s="10">
        <v>19.600000000000001</v>
      </c>
      <c r="M42" s="11">
        <v>51.4</v>
      </c>
      <c r="N42" s="10">
        <v>34.799999999999997</v>
      </c>
      <c r="O42">
        <f t="shared" si="1"/>
        <v>6.2576549663928303</v>
      </c>
    </row>
    <row r="43" spans="2:18" s="7" customFormat="1" ht="15" customHeight="1">
      <c r="B43" s="32">
        <v>45261</v>
      </c>
      <c r="C43" s="33">
        <v>443446</v>
      </c>
      <c r="D43" s="33">
        <v>481931</v>
      </c>
      <c r="E43" s="33">
        <v>14305</v>
      </c>
      <c r="F43" s="33">
        <v>15546</v>
      </c>
      <c r="G43" s="34">
        <v>5.9</v>
      </c>
      <c r="H43" s="34">
        <v>95</v>
      </c>
      <c r="I43" s="33">
        <v>297245</v>
      </c>
      <c r="J43" s="33">
        <v>180000</v>
      </c>
      <c r="K43" s="33">
        <v>117245</v>
      </c>
      <c r="L43" s="34">
        <v>14.5</v>
      </c>
      <c r="M43" s="35">
        <v>35.6</v>
      </c>
      <c r="N43" s="34">
        <v>34.700000000000003</v>
      </c>
      <c r="O43" s="36">
        <f t="shared" si="1"/>
        <v>7.5418113984304647</v>
      </c>
    </row>
    <row r="44" spans="2:18" ht="15" customHeight="1">
      <c r="B44" s="8" t="s">
        <v>26</v>
      </c>
      <c r="C44" s="12">
        <f>AVERAGE(C8:C27,C34:C43)</f>
        <v>392332.7</v>
      </c>
      <c r="D44" s="12">
        <f t="shared" ref="D44:O44" si="2">AVERAGE(D8:D27,D34:D43)</f>
        <v>376397.6</v>
      </c>
      <c r="E44" s="12">
        <f t="shared" si="2"/>
        <v>12876.933333333332</v>
      </c>
      <c r="F44" s="12">
        <f t="shared" si="2"/>
        <v>12346.866666666667</v>
      </c>
      <c r="G44" s="26">
        <f t="shared" si="2"/>
        <v>7.173333333333332</v>
      </c>
      <c r="H44" s="26">
        <f t="shared" si="2"/>
        <v>94.386666666666684</v>
      </c>
      <c r="I44" s="12">
        <f t="shared" si="2"/>
        <v>325747.5</v>
      </c>
      <c r="J44" s="12">
        <f t="shared" si="2"/>
        <v>180000</v>
      </c>
      <c r="K44" s="12">
        <f t="shared" si="2"/>
        <v>145747.5</v>
      </c>
      <c r="L44" s="12">
        <f t="shared" si="2"/>
        <v>18.613333333333333</v>
      </c>
      <c r="M44" s="26">
        <f t="shared" si="2"/>
        <v>35.806666666666658</v>
      </c>
      <c r="N44" s="26">
        <f t="shared" si="2"/>
        <v>34.543333333333329</v>
      </c>
      <c r="O44" s="31">
        <f t="shared" si="2"/>
        <v>12.090681580309864</v>
      </c>
    </row>
    <row r="45" spans="2:18">
      <c r="J45" s="9"/>
      <c r="N45" s="21"/>
    </row>
    <row r="46" spans="2:18">
      <c r="B46" s="8"/>
      <c r="J46" s="9"/>
    </row>
    <row r="47" spans="2:18">
      <c r="B47" s="13"/>
      <c r="E47" s="12"/>
      <c r="F47" s="23"/>
    </row>
    <row r="48" spans="2:18">
      <c r="B48" s="24"/>
      <c r="E48" s="29" t="s">
        <v>56</v>
      </c>
      <c r="N48" s="29" t="s">
        <v>152</v>
      </c>
    </row>
    <row r="49" spans="5:16">
      <c r="E49" s="21" t="s">
        <v>48</v>
      </c>
      <c r="F49" s="23">
        <f>O44</f>
        <v>12.090681580309864</v>
      </c>
      <c r="G49" t="s">
        <v>27</v>
      </c>
      <c r="N49" s="21" t="s">
        <v>62</v>
      </c>
      <c r="O49" s="25">
        <f>F58</f>
        <v>24693.73333333333</v>
      </c>
      <c r="P49" t="s">
        <v>63</v>
      </c>
    </row>
    <row r="50" spans="5:16">
      <c r="E50" s="21" t="s">
        <v>32</v>
      </c>
      <c r="F50" s="26">
        <f>G44</f>
        <v>7.173333333333332</v>
      </c>
      <c r="G50" t="s">
        <v>19</v>
      </c>
      <c r="N50" s="21" t="s">
        <v>64</v>
      </c>
      <c r="O50" s="25">
        <f>O49*8.34</f>
        <v>205945.73599999998</v>
      </c>
      <c r="P50" t="s">
        <v>65</v>
      </c>
    </row>
    <row r="51" spans="5:16">
      <c r="E51" s="21" t="s">
        <v>35</v>
      </c>
      <c r="F51" s="26">
        <f>H44</f>
        <v>94.386666666666684</v>
      </c>
      <c r="G51" t="s">
        <v>19</v>
      </c>
      <c r="N51" s="21" t="s">
        <v>66</v>
      </c>
      <c r="O51" s="25">
        <f>O49*F52</f>
        <v>13943.906621288392</v>
      </c>
      <c r="P51" t="s">
        <v>65</v>
      </c>
    </row>
    <row r="52" spans="5:16">
      <c r="E52" s="21" t="s">
        <v>36</v>
      </c>
      <c r="F52" s="22">
        <f>F50*F51*8.34/100^2</f>
        <v>0.56467389653333344</v>
      </c>
      <c r="G52" t="s">
        <v>37</v>
      </c>
      <c r="N52" s="21"/>
    </row>
    <row r="53" spans="5:16">
      <c r="N53" s="21"/>
    </row>
    <row r="54" spans="5:16">
      <c r="N54" s="29" t="s">
        <v>153</v>
      </c>
    </row>
    <row r="55" spans="5:16">
      <c r="E55" s="29" t="s">
        <v>25</v>
      </c>
      <c r="N55" s="21" t="s">
        <v>67</v>
      </c>
      <c r="O55">
        <f>18*460</f>
        <v>8280</v>
      </c>
      <c r="P55" t="s">
        <v>69</v>
      </c>
    </row>
    <row r="56" spans="5:16">
      <c r="E56" s="21" t="s">
        <v>28</v>
      </c>
      <c r="F56" s="25">
        <f>F44</f>
        <v>12346.866666666667</v>
      </c>
      <c r="G56" t="s">
        <v>29</v>
      </c>
      <c r="N56" s="21" t="s">
        <v>68</v>
      </c>
      <c r="O56">
        <f>18*460</f>
        <v>8280</v>
      </c>
      <c r="P56" t="s">
        <v>69</v>
      </c>
    </row>
    <row r="57" spans="5:16">
      <c r="E57" s="21" t="s">
        <v>30</v>
      </c>
      <c r="F57" s="25">
        <f>F56*3</f>
        <v>37040.6</v>
      </c>
      <c r="G57" t="s">
        <v>29</v>
      </c>
      <c r="N57" s="21" t="s">
        <v>77</v>
      </c>
      <c r="O57">
        <f>18*460</f>
        <v>8280</v>
      </c>
      <c r="P57" t="s">
        <v>69</v>
      </c>
    </row>
    <row r="58" spans="5:16">
      <c r="E58" s="21" t="s">
        <v>31</v>
      </c>
      <c r="F58" s="25">
        <f>F57-F56</f>
        <v>24693.73333333333</v>
      </c>
      <c r="G58" t="s">
        <v>29</v>
      </c>
      <c r="N58" s="21" t="s">
        <v>70</v>
      </c>
      <c r="O58" s="25">
        <f>(O55+O56+O57)*0.25*24/1000</f>
        <v>149.04</v>
      </c>
      <c r="P58" t="s">
        <v>76</v>
      </c>
    </row>
    <row r="59" spans="5:16">
      <c r="E59" s="39" t="s">
        <v>33</v>
      </c>
      <c r="F59" s="40">
        <f>F58*F52</f>
        <v>13943.906621288392</v>
      </c>
      <c r="G59" s="36" t="s">
        <v>34</v>
      </c>
      <c r="N59" s="21" t="s">
        <v>75</v>
      </c>
      <c r="O59" s="25">
        <f>O58*2</f>
        <v>298.08</v>
      </c>
      <c r="P59" t="s">
        <v>72</v>
      </c>
    </row>
    <row r="60" spans="5:16">
      <c r="E60" s="30" t="s">
        <v>38</v>
      </c>
      <c r="F60" s="65">
        <f>BEAM!C56</f>
        <v>7630</v>
      </c>
      <c r="G60" s="4" t="s">
        <v>154</v>
      </c>
      <c r="J60" s="59"/>
      <c r="N60" s="21"/>
      <c r="O60" s="25">
        <f>O59*5*52</f>
        <v>77500.799999999988</v>
      </c>
      <c r="P60" t="s">
        <v>144</v>
      </c>
    </row>
    <row r="61" spans="5:16">
      <c r="N61" s="21"/>
    </row>
    <row r="62" spans="5:16">
      <c r="N62" s="29" t="s">
        <v>73</v>
      </c>
    </row>
    <row r="63" spans="5:16">
      <c r="E63" s="29" t="s">
        <v>39</v>
      </c>
      <c r="J63" s="59"/>
      <c r="N63" t="s">
        <v>74</v>
      </c>
    </row>
    <row r="64" spans="5:16">
      <c r="E64" s="21" t="s">
        <v>59</v>
      </c>
      <c r="F64" s="38">
        <v>26202000</v>
      </c>
      <c r="I64" s="59"/>
      <c r="J64" s="59"/>
    </row>
    <row r="65" spans="5:15">
      <c r="E65" s="21" t="s">
        <v>40</v>
      </c>
      <c r="F65" s="27">
        <v>46934</v>
      </c>
      <c r="I65" s="59"/>
      <c r="J65" s="59"/>
      <c r="N65" s="21"/>
      <c r="O65" s="25"/>
    </row>
    <row r="66" spans="5:15">
      <c r="E66" s="21" t="s">
        <v>41</v>
      </c>
      <c r="F66" s="27">
        <v>47848</v>
      </c>
      <c r="I66" s="59"/>
      <c r="J66" s="59"/>
      <c r="N66" s="21"/>
      <c r="O66" s="25"/>
    </row>
    <row r="67" spans="5:15">
      <c r="E67" s="39" t="s">
        <v>42</v>
      </c>
      <c r="F67" s="36">
        <f>(F66-F65)/365.25</f>
        <v>2.5023956194387407</v>
      </c>
      <c r="I67" s="59"/>
      <c r="J67" s="59"/>
      <c r="N67" s="21"/>
    </row>
    <row r="68" spans="5:15">
      <c r="E68" s="30" t="s">
        <v>43</v>
      </c>
      <c r="F68" s="66">
        <f>F67*F60</f>
        <v>19093.278576317593</v>
      </c>
      <c r="G68" s="4" t="s">
        <v>44</v>
      </c>
      <c r="J68" s="59"/>
      <c r="N68" s="21"/>
    </row>
    <row r="69" spans="5:15">
      <c r="E69" s="30" t="s">
        <v>45</v>
      </c>
      <c r="F69" s="65">
        <f>F64/F68</f>
        <v>1372.3153881230085</v>
      </c>
      <c r="G69" s="4" t="s">
        <v>60</v>
      </c>
      <c r="J69" s="59"/>
      <c r="N69" s="21"/>
    </row>
    <row r="70" spans="5:15">
      <c r="E70" s="21"/>
      <c r="I70" s="59"/>
      <c r="J70" s="59"/>
    </row>
    <row r="71" spans="5:15">
      <c r="I71" s="59"/>
      <c r="J71" s="59"/>
    </row>
    <row r="72" spans="5:15">
      <c r="E72" s="29" t="s">
        <v>46</v>
      </c>
      <c r="I72" s="59"/>
      <c r="J72" s="59"/>
    </row>
    <row r="73" spans="5:15">
      <c r="E73" s="21" t="s">
        <v>59</v>
      </c>
      <c r="F73" s="38">
        <v>26202000</v>
      </c>
      <c r="I73" s="59"/>
      <c r="J73" s="59"/>
    </row>
    <row r="74" spans="5:15">
      <c r="E74" s="21" t="s">
        <v>40</v>
      </c>
      <c r="F74" s="27">
        <v>46934</v>
      </c>
      <c r="I74" s="59"/>
      <c r="J74" s="59"/>
    </row>
    <row r="75" spans="5:15">
      <c r="E75" s="21" t="s">
        <v>41</v>
      </c>
      <c r="F75" s="27">
        <v>55153</v>
      </c>
      <c r="I75" s="59"/>
      <c r="J75" s="59"/>
    </row>
    <row r="76" spans="5:15">
      <c r="E76" s="39" t="s">
        <v>42</v>
      </c>
      <c r="F76" s="36">
        <f>(F75-F74)/365.25</f>
        <v>22.50239561943874</v>
      </c>
      <c r="I76" s="59"/>
      <c r="J76" s="59"/>
    </row>
    <row r="77" spans="5:15">
      <c r="E77" s="30" t="s">
        <v>47</v>
      </c>
      <c r="F77" s="66">
        <f>F76*F60</f>
        <v>171693.27857631759</v>
      </c>
      <c r="G77" s="4" t="s">
        <v>44</v>
      </c>
      <c r="J77" s="59"/>
    </row>
    <row r="84" spans="5:11">
      <c r="K84" s="59"/>
    </row>
    <row r="86" spans="5:11">
      <c r="E86" s="21"/>
    </row>
    <row r="87" spans="5:11">
      <c r="E87" s="21"/>
    </row>
    <row r="88" spans="5:11">
      <c r="E88" s="21"/>
    </row>
  </sheetData>
  <mergeCells count="1">
    <mergeCell ref="P28:Q33"/>
  </mergeCells>
  <phoneticPr fontId="19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BEAM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Chapler</dc:creator>
  <cp:lastModifiedBy>Rob Chapler</cp:lastModifiedBy>
  <dcterms:created xsi:type="dcterms:W3CDTF">2024-03-27T17:57:06Z</dcterms:created>
  <dcterms:modified xsi:type="dcterms:W3CDTF">2024-03-29T20:26:00Z</dcterms:modified>
</cp:coreProperties>
</file>