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Y:\DES\Wastewater Services\WWTPProgram\Engineering\Projects\GrantApplications (BETC,ET,etc.)\2024 EPA CPRG\Data\"/>
    </mc:Choice>
  </mc:AlternateContent>
  <xr:revisionPtr revIDLastSave="0" documentId="13_ncr:1_{A6158C5C-7CEA-4CA3-96DC-F230E8EF65CD}" xr6:coauthVersionLast="47" xr6:coauthVersionMax="47" xr10:uidLastSave="{00000000-0000-0000-0000-000000000000}"/>
  <bookViews>
    <workbookView xWindow="28680" yWindow="-120" windowWidth="29040" windowHeight="15840" firstSheet="2" activeTab="10" xr2:uid="{00000000-000D-0000-FFFF-FFFF00000000}"/>
  </bookViews>
  <sheets>
    <sheet name="Instructions" sheetId="50" r:id="rId1"/>
    <sheet name="WRRF Info &amp; Results" sheetId="18" r:id="rId2"/>
    <sheet name="Charts" sheetId="49" r:id="rId3"/>
    <sheet name="Scenarios Data" sheetId="35" r:id="rId4"/>
    <sheet name="Amount and Destination" sheetId="37" r:id="rId5"/>
    <sheet name="Analyses" sheetId="36" r:id="rId6"/>
    <sheet name="Digestion-Process" sheetId="30" r:id="rId7"/>
    <sheet name="Storage" sheetId="27" state="hidden" r:id="rId8"/>
    <sheet name="Conditioning Thickening" sheetId="9" state="hidden" r:id="rId9"/>
    <sheet name="Aerobic Digestion" sheetId="17" state="hidden" r:id="rId10"/>
    <sheet name="Anaerobic Digestion" sheetId="38" r:id="rId11"/>
    <sheet name="Anaerobic Digestion (2)" sheetId="39" state="hidden" r:id="rId12"/>
    <sheet name="De-watering" sheetId="26" state="hidden" r:id="rId13"/>
    <sheet name="Thermal Drying" sheetId="22" state="hidden" r:id="rId14"/>
    <sheet name="BioDrying" sheetId="48" state="hidden" r:id="rId15"/>
    <sheet name="Alkaline Stabilization" sheetId="15" state="hidden" r:id="rId16"/>
    <sheet name="Composting" sheetId="19" state="hidden" r:id="rId17"/>
    <sheet name="Composting (2)" sheetId="41" state="hidden" r:id="rId18"/>
    <sheet name="Landfill Disposal Typical" sheetId="1" r:id="rId19"/>
    <sheet name="Landfill Disposal Worst-case" sheetId="43" state="hidden" r:id="rId20"/>
    <sheet name="Landfill Disposal Aggressive" sheetId="44" state="hidden" r:id="rId21"/>
    <sheet name="Landfill Disposal CA Regulatory" sheetId="45" state="hidden" r:id="rId22"/>
    <sheet name="Pyrolysis" sheetId="47" state="hidden" r:id="rId23"/>
    <sheet name="Land Application" sheetId="20" r:id="rId24"/>
    <sheet name="Land Application (2)" sheetId="42" state="hidden" r:id="rId25"/>
    <sheet name="Combustion" sheetId="13" state="hidden" r:id="rId26"/>
    <sheet name="Transportation" sheetId="2" state="hidden" r:id="rId27"/>
    <sheet name="References Assumptions" sheetId="3" r:id="rId28"/>
    <sheet name="Project Specific" sheetId="53" state="hidden" r:id="rId29"/>
    <sheet name="Misc Emissions" sheetId="52" state="hidden" r:id="rId30"/>
  </sheets>
  <externalReferences>
    <externalReference r:id="rId31"/>
  </externalReferences>
  <definedNames>
    <definedName name="AD_electricity_use_MandE">'References Assumptions'!$B$74</definedName>
    <definedName name="AD_feed_rate">'Digestion-Process'!$E$18</definedName>
    <definedName name="AD_heating_reqt_MandE">'References Assumptions'!$B$73</definedName>
    <definedName name="AD_solids_in">'Digestion-Process'!$E$20</definedName>
    <definedName name="AD_solids_out">'Digestion-Process'!$E$23</definedName>
    <definedName name="AD_volume_reduct">'Digestion-Process'!$E$24</definedName>
    <definedName name="AD_VS_in">'Digestion-Process'!$E$21</definedName>
    <definedName name="AD_VSR">'Digestion-Process'!$E$22</definedName>
    <definedName name="Additional_fuel_MHF_shutdowns">'References Assumptions'!$B$201</definedName>
    <definedName name="aerobic_feed_rate">'Digestion-Process'!$E$9</definedName>
    <definedName name="aerobic_solids_in">'Digestion-Process'!$E$11</definedName>
    <definedName name="aerobic_solids_out">'Digestion-Process'!$E$14</definedName>
    <definedName name="aerobic_vol_reduct">'Digestion-Process'!$E$15</definedName>
    <definedName name="aerobic_VS_in">'Digestion-Process'!$E$12</definedName>
    <definedName name="Aerobic_VSR">'Digestion-Process'!$E$13</definedName>
    <definedName name="AerobicD_electricity_use_MandE">'References Assumptions'!$B$67</definedName>
    <definedName name="AlkStab_A_fuel_use">'References Assumptions'!$B$118</definedName>
    <definedName name="AlkStab_Electricity_Use_ClassA">'References Assumptions'!$B$117</definedName>
    <definedName name="AlkStab_Electricity_Use_ClassB">'References Assumptions'!$B$116</definedName>
    <definedName name="annual_wet_tons">'WRRF Info &amp; Results'!$D$10</definedName>
    <definedName name="ASP_electricity_use">'References Assumptions'!$B$136</definedName>
    <definedName name="avg_days_15C">'References Assumptions'!$B$48</definedName>
    <definedName name="avg_days_15C_NYC">'References Assumptions'!$B$48</definedName>
    <definedName name="Biodrying_Electricity_Use_for_Ancillary_Equipment">'References Assumptions'!$B$107</definedName>
    <definedName name="Biodrying_Electricity_Use_for_Heating">'References Assumptions'!$B$106</definedName>
    <definedName name="Biogas_yield_from_VS_destroyed">'References Assumptions'!$B$72</definedName>
    <definedName name="Biosolids_Characteristics">'References Assumptions'!$B$38:$D$41</definedName>
    <definedName name="btu_kwh">'References Assumptions'!$E$266</definedName>
    <definedName name="btu_kwh_100percent">'References Assumptions'!$B$82</definedName>
    <definedName name="btu_value_methane_epa_2004">'References Assumptions'!$B$25</definedName>
    <definedName name="btu_value_natural_gas_climate_registry">'References Assumptions'!$B$21</definedName>
    <definedName name="C_seq">'References Assumptions'!$A$147:$A$150</definedName>
    <definedName name="C_to_CH4_conversion">'References Assumptions'!$B$282</definedName>
    <definedName name="C_to_CO2_conversion">'References Assumptions'!$B$280</definedName>
    <definedName name="candlestick_emit">'References Assumptions'!$B$89</definedName>
    <definedName name="Carbon_as_a___of_TVS_compostinghandbook">'References Assumptions'!$B$289</definedName>
    <definedName name="celcius_to_kelvin_conversion">'References Assumptions'!$E$250</definedName>
    <definedName name="ch4_compost">'References Assumptions'!$B$127</definedName>
    <definedName name="CH4_emissions_biosolids_storage">'References Assumptions'!$B$234</definedName>
    <definedName name="CH4_emissions_uncovered_brown_2008">'References Assumptions'!$B$127</definedName>
    <definedName name="CH4_from_deep_anaerobic_lagoon">'References Assumptions'!$B$45</definedName>
    <definedName name="CH4_from_shallow_anaerobic_lagoon">'References Assumptions'!$B$44</definedName>
    <definedName name="CH4_in_landfill_gas">'References Assumptions'!$B$163</definedName>
    <definedName name="CHP_conv_elect">'References Assumptions'!$B$98</definedName>
    <definedName name="CHP_conv_heat">'References Assumptions'!$B$99</definedName>
    <definedName name="Climate_LandApp">'References Assumptions'!$C$360:$C$361</definedName>
    <definedName name="CMP_conv_elect" localSheetId="0">'References Assumptions'!$B$98</definedName>
    <definedName name="cmp_conv_heat" localSheetId="0">'References Assumptions'!$B$99</definedName>
    <definedName name="co2_biogas_combust">'References Assumptions'!$B$96</definedName>
    <definedName name="CO2credit_for_ash_to_cement_Murrayetal_2008">'References Assumptions'!$B$204</definedName>
    <definedName name="CO2E_diesel__ClimateReg">'References Assumptions'!$B$14</definedName>
    <definedName name="CO2E_for_Polymer_manufacture">'References Assumptions'!$B$62</definedName>
    <definedName name="CO2E_naturalgas_combustion">'References Assumptions'!$B$20</definedName>
    <definedName name="CO2E_of_CH4_ClimateReg">'References Assumptions'!$B$283</definedName>
    <definedName name="CO2E_of_CH4_ClimateReg_100yr">'References Assumptions'!$F$285</definedName>
    <definedName name="CO2E_of_N2O_Climate_Reg">'References Assumptions'!$B$286</definedName>
    <definedName name="CO2E_of_N2O_Climate_Reg_100yr">'References Assumptions'!$F$286</definedName>
    <definedName name="combust_default_emit">'References Assumptions'!$B$93</definedName>
    <definedName name="combust_efficiency">'References Assumptions'!$A$93:$A$95</definedName>
    <definedName name="Combustion">'References Assumptions'!$C$356:$C$359</definedName>
    <definedName name="Combustion_Process">'References Assumptions'!$C$356:$C$358</definedName>
    <definedName name="Composting">'References Assumptions'!$C$349:$C$351</definedName>
    <definedName name="Conversion_of_BtU_to_kWh">'References Assumptions'!$B$81</definedName>
    <definedName name="Cseq_biochar">'References Assumptions'!$B$151</definedName>
    <definedName name="Cut_off_between_low_and_high_C_N">'References Assumptions'!$B$132</definedName>
    <definedName name="days_yr">'References Assumptions'!$E$272</definedName>
    <definedName name="default_fine_text_soil">'References Assumptions'!$B$229</definedName>
    <definedName name="default_lime_dose_Class_A">'References Assumptions'!$B$115</definedName>
    <definedName name="default_lime_dose_Class_B">'References Assumptions'!$B$114</definedName>
    <definedName name="Default_SRT_aerobic">'References Assumptions'!$B$68</definedName>
    <definedName name="Default_SRT_anaerobic">'References Assumptions'!$B$75</definedName>
    <definedName name="default_VSR_advanced">'References Assumptions'!$B$80</definedName>
    <definedName name="default_VSR_plus">'References Assumptions'!$B$79</definedName>
    <definedName name="default_VSR_primary_WAS">'References Assumptions'!$B$78</definedName>
    <definedName name="default_VSR_WAS_only">'References Assumptions'!$B$77</definedName>
    <definedName name="Degree_of_Stabilization">'References Assumptions'!$C$366:$C$367</definedName>
    <definedName name="density_h2o">'References Assumptions'!$B$63</definedName>
    <definedName name="density_of_CH4_at_STP">'References Assumptions'!$B$24</definedName>
    <definedName name="Density_of_de_watered_sludge">'References Assumptions'!$B$64</definedName>
    <definedName name="dewat_solids">'Digestion-Process'!$E$29</definedName>
    <definedName name="Disposition_of_Ash">'References Assumptions'!$C$368:$C$370</definedName>
    <definedName name="EBS_to_AD">'Project Specific'!#REF!</definedName>
    <definedName name="EBS_VSR">'Project Specific'!#REF!</definedName>
    <definedName name="efficiency_coverting_sludge_chemical_energy_to_heat">'References Assumptions'!$B$200</definedName>
    <definedName name="elect_use_lagoon_aerators">'References Assumptions'!$B$47</definedName>
    <definedName name="electgen_CO2E_alberta_sahely_2006">'References Assumptions'!$D$294</definedName>
    <definedName name="electgen_CO2E_britishcolumbia_sahely_2006">'References Assumptions'!$D$295</definedName>
    <definedName name="electgen_CO2E_Manitoba_sahely_2006">'References Assumptions'!$D$296</definedName>
    <definedName name="electgen_CO2E_newbrunswick_sahely_2006">'References Assumptions'!$D$297</definedName>
    <definedName name="electgen_CO2E_newfoundlandlabrador_sahely_2006">'References Assumptions'!$D$298</definedName>
    <definedName name="electgen_CO2E_novascotia_sahely_2006">'References Assumptions'!$D$299</definedName>
    <definedName name="electgen_CO2E_ontario_sahely_2006">'References Assumptions'!$D$300</definedName>
    <definedName name="electgen_CO2E_PEI_sahely_2006">'References Assumptions'!$D$301</definedName>
    <definedName name="electgen_CO2E_Quebec_sahely_2006">'References Assumptions'!$D$302</definedName>
    <definedName name="electgen_CO2E_sask_sahely_2006">'References Assumptions'!$D$304</definedName>
    <definedName name="Electricity_credit_for_using_excess_heat_from_pyrolysis_in_biodrying">'References Assumptions'!$B$223</definedName>
    <definedName name="Electricity_Use_drying_Windsor_value">'References Assumptions'!$B$110</definedName>
    <definedName name="emissions_from_lime_production">'References Assumptions'!$B$113</definedName>
    <definedName name="enclosed_emit">'References Assumptions'!$B$88</definedName>
    <definedName name="energy_to_remove_h2o_from_sludge_MandE">'References Assumptions'!$B$199</definedName>
    <definedName name="extra_H2O_EBS">'Project Specific'!#REF!</definedName>
    <definedName name="FBI_electricity_use">'References Assumptions'!$B$196</definedName>
    <definedName name="Flare_type">'References Assumptions'!$A$87:$A$90</definedName>
    <definedName name="Fraction_Carbon_in_CaCO3">'References Assumptions'!$B$288</definedName>
    <definedName name="Fuel__for_ASP_brown_2008">'References Assumptions'!$B$123</definedName>
    <definedName name="Fuel__for_grinding__brown_2008">'References Assumptions'!$B$124</definedName>
    <definedName name="Fuel__windrow__ROU_2006">'References Assumptions'!$B$122</definedName>
    <definedName name="fugitive_methane_combustion_IPCC">'References Assumptions'!$B$87</definedName>
    <definedName name="g_lbs">'References Assumptions'!$E$251</definedName>
    <definedName name="GHG_emissions_factors_by_province">'WRRF Info &amp; Results'!$D$12</definedName>
    <definedName name="GJ_to_Btu_conversion">'References Assumptions'!$E$249</definedName>
    <definedName name="GWP_Time_Horizon">'References Assumptions'!$E$283:$F$283</definedName>
    <definedName name="Heat_content__Btu_m3">'References Assumptions'!$B$21</definedName>
    <definedName name="Heat_content_of_methane__Btu_m3">'References Assumptions'!$B$25</definedName>
    <definedName name="heating_value_digested_sludge_MaE">'References Assumptions'!$B$192</definedName>
    <definedName name="heating_value_undigested_sludge_MaE">'References Assumptions'!$B$191</definedName>
    <definedName name="heavy_duty_diesel_truck_mileage">'References Assumptions'!$B$16</definedName>
    <definedName name="HH_truck_std_mpg">'References Assumptions'!$B$15</definedName>
    <definedName name="hrs_day">'References Assumptions'!$E$271</definedName>
    <definedName name="in_vessel_electricity_use">'References Assumptions'!$B$135</definedName>
    <definedName name="kg_lbs">'References Assumptions'!$E$252</definedName>
    <definedName name="Kgm3_gcm3">'References Assumptions'!$E$274</definedName>
    <definedName name="km_mile">'References Assumptions'!$E$268</definedName>
    <definedName name="Land_Application">'References Assumptions'!$C$352:$C$355</definedName>
    <definedName name="Landfill">'References Assumptions'!$C$345:$C$348</definedName>
    <definedName name="Landfill_climate">'References Assumptions'!$A$171:$A$175</definedName>
    <definedName name="Landfill_cover_quality">'References Assumptions'!$C$336:$C$338</definedName>
    <definedName name="landfill_uncertainty">'References Assumptions'!$B$160</definedName>
    <definedName name="lbs_ton">'[1]conversions constants'!$C$3</definedName>
    <definedName name="liters_gal">'References Assumptions'!$E$263</definedName>
    <definedName name="Location">'References Assumptions'!$A$294:$A$326</definedName>
    <definedName name="Lowest_combustion_temp">'References Assumptions'!$B$188</definedName>
    <definedName name="m3_gallons">'References Assumptions'!$E$259</definedName>
    <definedName name="MainManagement">'References Assumptions'!$C$341:$C$344</definedName>
    <definedName name="mass_condit_solids">'Digestion-Process'!$E$6</definedName>
    <definedName name="Mean_OrganicMatter">Analyses!$G$5</definedName>
    <definedName name="Mean_OrganicMatter_Biochar">Analyses!$G$23</definedName>
    <definedName name="Mean_solids">Analyses!$F$5</definedName>
    <definedName name="Mean_solids_biochar">Analyses!$F$23</definedName>
    <definedName name="Mean_Total_C">Analyses!$H$5</definedName>
    <definedName name="Mean_Total_C_Biochar">Analyses!$H$23</definedName>
    <definedName name="methane_correction_factor_anaerobic_managed_landfills">'References Assumptions'!$B$169</definedName>
    <definedName name="methane_fugitive_during_combustion_IPCC">'References Assumptions'!$B$95</definedName>
    <definedName name="Methane_in_anaerobic_digester_gas_Monteith">'References Assumptions'!$B$71</definedName>
    <definedName name="Mg_g">'References Assumptions'!$E$270</definedName>
    <definedName name="Mg_kg">'References Assumptions'!$E$253</definedName>
    <definedName name="Mg_ton">'References Assumptions'!$E$254</definedName>
    <definedName name="MHP_electricity_use">'References Assumptions'!$B$195</definedName>
    <definedName name="min_solids_for_n2O_reduction_fine">'References Assumptions'!$B$230</definedName>
    <definedName name="min_solids_for_no_N2O_or_CH4">'References Assumptions'!$B$131</definedName>
    <definedName name="MJ_to_Btu_conversion">'References Assumptions'!$E$248</definedName>
    <definedName name="ml_m3">'References Assumptions'!$E$262</definedName>
    <definedName name="N_fertilizer_credit_ROU_2006">'References Assumptions'!$B$154</definedName>
    <definedName name="N_to_N2O_conversion">'References Assumptions'!$B$285</definedName>
    <definedName name="N2O_adjust_for_SNCR_by_urea">'References Assumptions'!$B$182</definedName>
    <definedName name="N2O_adjustment_dry">'References Assumptions'!$B$184</definedName>
    <definedName name="N2O_adjustment_semidry">'References Assumptions'!$B$183</definedName>
    <definedName name="n2o_compost">'References Assumptions'!$B$129</definedName>
    <definedName name="N2O_emissions__low_CN_brown_2008">'References Assumptions'!$B$129</definedName>
    <definedName name="n2o_landfill">'References Assumptions'!$B$159</definedName>
    <definedName name="N2O_reduction_fine">'References Assumptions'!$B$231</definedName>
    <definedName name="Net_capacity_factor_EPA_2006">'References Assumptions'!$B$84</definedName>
    <definedName name="NO2_emissions_biosolids_storage">'References Assumptions'!$B$235</definedName>
    <definedName name="O2_solids_in">'Digestion-Process'!$E$11</definedName>
    <definedName name="O2_VS_in">'Digestion-Process'!$E$12</definedName>
    <definedName name="o2_VSR">'Digestion-Process'!$E$13</definedName>
    <definedName name="OX_of_methane_from_hiqual_soil_cover">'References Assumptions'!$B$161</definedName>
    <definedName name="OX_of_methane_from_lowqual_soil_cover">'References Assumptions'!$B$162</definedName>
    <definedName name="P_fertilizer_credit_ROU_2006">'References Assumptions'!$B$155</definedName>
    <definedName name="PAN_of_Total_N">'References Assumptions'!$S$235</definedName>
    <definedName name="percent">'References Assumptions'!$E$273</definedName>
    <definedName name="percent_N_to_N2O_coarse_textured_soils">'References Assumptions'!$B$227</definedName>
    <definedName name="percent_N_to_N2O_coarse_textured_soils_SLB">'References Assumptions'!$B$227</definedName>
    <definedName name="percent_N_to_N2O_fine_textured_soils">'References Assumptions'!$B$228</definedName>
    <definedName name="Percent_Solids">Analyses!$E$7</definedName>
    <definedName name="percent_solids_after_biodrying">Analyses!$E$9</definedName>
    <definedName name="percent_solids_after_combustion">Analyses!$E$10</definedName>
    <definedName name="Percent_Solids_After_Pyrolysis">Analyses!$E$25</definedName>
    <definedName name="percent_solids_after_thermal_drying">Analyses!$E$8</definedName>
    <definedName name="Polymer_use_dewatering">'References Assumptions'!$B$61</definedName>
    <definedName name="polymer_use_thickening">'References Assumptions'!$B$60</definedName>
    <definedName name="_xlnm.Print_Area" localSheetId="9">'Aerobic Digestion'!$A$1:$C$37</definedName>
    <definedName name="_xlnm.Print_Area" localSheetId="15">'Alkaline Stabilization'!$A$1:$C$35</definedName>
    <definedName name="_xlnm.Print_Area" localSheetId="10">'Anaerobic Digestion'!$A$1:$C$63</definedName>
    <definedName name="_xlnm.Print_Area" localSheetId="11">'Anaerobic Digestion (2)'!$A$1:$C$63</definedName>
    <definedName name="_xlnm.Print_Area" localSheetId="14">BioDrying!$A$1:$C$35</definedName>
    <definedName name="_xlnm.Print_Area" localSheetId="25">Combustion!$A$1:$C$71</definedName>
    <definedName name="_xlnm.Print_Area" localSheetId="16">Composting!$A$1:$C$72</definedName>
    <definedName name="_xlnm.Print_Area" localSheetId="17">'Composting (2)'!$A$1:$C$72</definedName>
    <definedName name="_xlnm.Print_Area" localSheetId="8">'Conditioning Thickening'!$A$1:$C$30</definedName>
    <definedName name="_xlnm.Print_Area" localSheetId="12">'De-watering'!$A$1:$C$31</definedName>
    <definedName name="_xlnm.Print_Area" localSheetId="23">'Land Application'!$A$1:$C$64</definedName>
    <definedName name="_xlnm.Print_Area" localSheetId="24">'Land Application (2)'!$A$1:$C$64</definedName>
    <definedName name="_xlnm.Print_Area" localSheetId="20">'Landfill Disposal Aggressive'!$A$1:$C$67</definedName>
    <definedName name="_xlnm.Print_Area" localSheetId="21">'Landfill Disposal CA Regulatory'!$A$1:$C$67</definedName>
    <definedName name="_xlnm.Print_Area" localSheetId="18">'Landfill Disposal Typical'!$A$1:$C$67</definedName>
    <definedName name="_xlnm.Print_Area" localSheetId="19">'Landfill Disposal Worst-case'!$A$1:$C$67</definedName>
    <definedName name="_xlnm.Print_Area" localSheetId="22">Pyrolysis!$A$1:$C$53</definedName>
    <definedName name="_xlnm.Print_Area" localSheetId="7">Storage!$A$1:$C$37</definedName>
    <definedName name="_xlnm.Print_Area" localSheetId="13">'Thermal Drying'!$A$1:$C$36</definedName>
    <definedName name="_xlnm.Print_Area" localSheetId="26">Transportation!$B$1:$AB$64</definedName>
    <definedName name="_xlnm.Print_Area" localSheetId="1">'WRRF Info &amp; Results'!$A$1:$H$53</definedName>
    <definedName name="propane_co2e">'References Assumptions'!$B$31</definedName>
    <definedName name="Pyrolysis_Electricity_Generated_BFT">'References Assumptions'!$B$221</definedName>
    <definedName name="Pyrolysis_Electricity_Use_for_Ancillary_Equipment">'References Assumptions'!$B$222</definedName>
    <definedName name="Pyrolysis_Electricity_Use_for_Heating">'References Assumptions'!$B$221</definedName>
    <definedName name="PyrolysisUnit">'References Assumptions'!$A$215:$A$218</definedName>
    <definedName name="rail_emis">'References Assumptions'!$B$17</definedName>
    <definedName name="resid_LF">'Project Specific'!#REF!</definedName>
    <definedName name="RNG_parasitic">'References Assumptions'!$B$102</definedName>
    <definedName name="RoundTripOneWay">'References Assumptions'!$C$333:$C$334</definedName>
    <definedName name="sawdust_density">'References Assumptions'!$B$139</definedName>
    <definedName name="sawdust_nitrogen_content">'References Assumptions'!$B$141</definedName>
    <definedName name="sawdust_organic_carbon">'References Assumptions'!$B$143</definedName>
    <definedName name="sawdust_Solids_content">'References Assumptions'!$B$140</definedName>
    <definedName name="sawdust_tvs">'References Assumptions'!$B$142</definedName>
    <definedName name="Select_DOCf">'References Assumptions'!$A$165:$A$168</definedName>
    <definedName name="Size_of_loads__m3">'References Assumptions'!$B$240</definedName>
    <definedName name="sludge_to_condit">'Digestion-Process'!$E$3</definedName>
    <definedName name="sludge_to_dewat">'Digestion-Process'!$E$27</definedName>
    <definedName name="solids_after_condit">'Digestion-Process'!$E$5</definedName>
    <definedName name="solids_before_condit">'Digestion-Process'!$E$4</definedName>
    <definedName name="solids_before_dewat">'Digestion-Process'!$E$28</definedName>
    <definedName name="solids_of_unthickened_combined_sludge">'References Assumptions'!$B$35</definedName>
    <definedName name="SRT_AD">'Digestion-Process'!$E$19</definedName>
    <definedName name="SRT_aerobic">'Digestion-Process'!$E$10</definedName>
    <definedName name="SSO_diesel">'References Assumptions'!$B$51</definedName>
    <definedName name="SSO_elect">'References Assumptions'!$B$52</definedName>
    <definedName name="SSO_propane">'References Assumptions'!$B$53</definedName>
    <definedName name="suzuki_N2Ocombust_constant1">'References Assumptions'!$B$186</definedName>
    <definedName name="suzuki_N2Ocombust_constant2">'References Assumptions'!$B$187</definedName>
    <definedName name="Time_to_apply__loads_hr">'References Assumptions'!$B$239</definedName>
    <definedName name="Total_N">Analyses!$I$5</definedName>
    <definedName name="Total_N_alkstabilized">'References Assumptions'!$D$39</definedName>
    <definedName name="Total_N_Biochar">Analyses!$I$23</definedName>
    <definedName name="total_N_digested">'References Assumptions'!$C$39</definedName>
    <definedName name="Total_N_untreated">'References Assumptions'!$B$39</definedName>
    <definedName name="Total_P">Analyses!$J$5</definedName>
    <definedName name="Total_P_alkstabilized">'References Assumptions'!$D$40</definedName>
    <definedName name="Total_P_Biochar">Analyses!$J$23</definedName>
    <definedName name="Total_P_digested">'References Assumptions'!$C$40</definedName>
    <definedName name="Total_P_untreated">'References Assumptions'!$B$40</definedName>
    <definedName name="Tractor_fuel_use__l_diesel_hr">'References Assumptions'!$B$238</definedName>
    <definedName name="TruckRail">'References Assumptions'!$C$331:$C$332</definedName>
    <definedName name="TVS_alkstabilized">'References Assumptions'!$D$41</definedName>
    <definedName name="TVS_digested">'References Assumptions'!$C$41</definedName>
    <definedName name="TVS_untreated">'References Assumptions'!$B$41</definedName>
    <definedName name="Type_of_Biosolids">'References Assumptions'!$C$371:$C$374</definedName>
    <definedName name="Type_of_thickener">'References Assumptions'!$C$362:$C$363</definedName>
    <definedName name="TypeDewater">'References Assumptions'!$C$364:$C$365</definedName>
    <definedName name="Typical_BOD_removal">'References Assumptions'!$B$46</definedName>
    <definedName name="USavg_landfill_gas_recovery">'References Assumptions'!$B$158</definedName>
    <definedName name="Water_density_Mg_per_m3">'References Assumptions'!$E$269</definedName>
    <definedName name="Yes_No">'References Assumptions'!$C$339:$C$340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2" i="38" l="1"/>
  <c r="D9" i="38"/>
  <c r="D8" i="38"/>
  <c r="D10" i="38" l="1"/>
  <c r="D17" i="20"/>
  <c r="D14" i="20"/>
  <c r="D13" i="20"/>
  <c r="D12" i="20"/>
  <c r="D34" i="38"/>
  <c r="D28" i="38"/>
  <c r="D14" i="38"/>
  <c r="E21" i="30"/>
  <c r="I33" i="37"/>
  <c r="D6" i="26" l="1"/>
  <c r="B12" i="13"/>
  <c r="B11" i="13"/>
  <c r="H15" i="36"/>
  <c r="T7" i="42" l="1"/>
  <c r="R7" i="42"/>
  <c r="P7" i="42"/>
  <c r="N7" i="42"/>
  <c r="L7" i="42"/>
  <c r="J7" i="42"/>
  <c r="H7" i="42"/>
  <c r="F7" i="42"/>
  <c r="D7" i="42"/>
  <c r="B7" i="42"/>
  <c r="B7" i="20"/>
  <c r="F7" i="20"/>
  <c r="H7" i="20"/>
  <c r="J7" i="20"/>
  <c r="L7" i="20"/>
  <c r="N7" i="20"/>
  <c r="P7" i="20"/>
  <c r="T7" i="20"/>
  <c r="AH190" i="37"/>
  <c r="AI190" i="37" s="1"/>
  <c r="AG190" i="37"/>
  <c r="AG248" i="37"/>
  <c r="B8" i="20" l="1"/>
  <c r="AG14" i="37"/>
  <c r="AH19" i="37" l="1"/>
  <c r="AH22" i="37"/>
  <c r="AG22" i="37"/>
  <c r="AH14" i="37"/>
  <c r="AI14" i="37" l="1"/>
  <c r="P20" i="30" l="1"/>
  <c r="B8" i="47" l="1"/>
  <c r="T3" i="52" l="1"/>
  <c r="R3" i="52"/>
  <c r="P3" i="52"/>
  <c r="N3" i="52"/>
  <c r="L3" i="52"/>
  <c r="J3" i="52"/>
  <c r="H3" i="52"/>
  <c r="F3" i="52"/>
  <c r="D3" i="52"/>
  <c r="B3" i="52"/>
  <c r="U31" i="39" l="1"/>
  <c r="S31" i="39"/>
  <c r="Q31" i="39"/>
  <c r="O31" i="39"/>
  <c r="M31" i="39"/>
  <c r="K31" i="39"/>
  <c r="I31" i="39"/>
  <c r="G31" i="39"/>
  <c r="E31" i="39"/>
  <c r="U25" i="39"/>
  <c r="S25" i="39"/>
  <c r="Q25" i="39"/>
  <c r="O25" i="39"/>
  <c r="M25" i="39"/>
  <c r="K25" i="39"/>
  <c r="I25" i="39"/>
  <c r="G25" i="39"/>
  <c r="E25" i="39"/>
  <c r="C31" i="39"/>
  <c r="C25" i="39"/>
  <c r="T15" i="39"/>
  <c r="R15" i="39"/>
  <c r="P15" i="39"/>
  <c r="N15" i="39"/>
  <c r="L15" i="39"/>
  <c r="J15" i="39"/>
  <c r="H15" i="39"/>
  <c r="F15" i="39"/>
  <c r="D15" i="39"/>
  <c r="B15" i="39"/>
  <c r="T11" i="39"/>
  <c r="R11" i="39"/>
  <c r="P11" i="39"/>
  <c r="N11" i="39"/>
  <c r="L11" i="39"/>
  <c r="J11" i="39"/>
  <c r="H11" i="39"/>
  <c r="F11" i="39"/>
  <c r="D11" i="39"/>
  <c r="B11" i="39"/>
  <c r="T11" i="38"/>
  <c r="R11" i="38"/>
  <c r="P11" i="38"/>
  <c r="N11" i="38"/>
  <c r="L11" i="38"/>
  <c r="J11" i="38"/>
  <c r="H11" i="38"/>
  <c r="F11" i="38"/>
  <c r="D11" i="38"/>
  <c r="B11" i="38"/>
  <c r="T15" i="38"/>
  <c r="R15" i="38"/>
  <c r="P15" i="38"/>
  <c r="N15" i="38"/>
  <c r="L15" i="38"/>
  <c r="J15" i="38"/>
  <c r="H15" i="38"/>
  <c r="F15" i="38"/>
  <c r="D15" i="38"/>
  <c r="B15" i="38"/>
  <c r="F17" i="18" l="1"/>
  <c r="D12" i="18" l="1"/>
  <c r="G27" i="42"/>
  <c r="B3" i="42"/>
  <c r="D3" i="42"/>
  <c r="F3" i="42"/>
  <c r="H3" i="42"/>
  <c r="J3" i="42"/>
  <c r="L3" i="42"/>
  <c r="N3" i="42"/>
  <c r="P3" i="42"/>
  <c r="R3" i="42"/>
  <c r="T3" i="42"/>
  <c r="C27" i="42"/>
  <c r="E27" i="42"/>
  <c r="O27" i="42"/>
  <c r="Q27" i="42"/>
  <c r="S27" i="42"/>
  <c r="U27" i="42"/>
  <c r="B8" i="42"/>
  <c r="D8" i="42"/>
  <c r="F8" i="42"/>
  <c r="H8" i="42"/>
  <c r="J8" i="42"/>
  <c r="L8" i="42"/>
  <c r="N8" i="42"/>
  <c r="P8" i="42"/>
  <c r="P37" i="42" s="1"/>
  <c r="R8" i="42"/>
  <c r="R37" i="42" s="1"/>
  <c r="T8" i="42"/>
  <c r="C10" i="42"/>
  <c r="E10" i="42"/>
  <c r="G10" i="42"/>
  <c r="I10" i="42"/>
  <c r="K10" i="42"/>
  <c r="M10" i="42"/>
  <c r="O10" i="42"/>
  <c r="Q10" i="42"/>
  <c r="S10" i="42"/>
  <c r="U10" i="42"/>
  <c r="U14" i="42"/>
  <c r="U13" i="42"/>
  <c r="U12" i="42"/>
  <c r="S14" i="42"/>
  <c r="S13" i="42"/>
  <c r="S12" i="42"/>
  <c r="Q14" i="42"/>
  <c r="Q13" i="42"/>
  <c r="Q12" i="42"/>
  <c r="O14" i="42"/>
  <c r="O13" i="42"/>
  <c r="O12" i="42"/>
  <c r="M14" i="42"/>
  <c r="M13" i="42"/>
  <c r="M12" i="42"/>
  <c r="K14" i="42"/>
  <c r="K13" i="42"/>
  <c r="K12" i="42"/>
  <c r="I14" i="42"/>
  <c r="I13" i="42"/>
  <c r="I12" i="42"/>
  <c r="G14" i="42"/>
  <c r="G13" i="42"/>
  <c r="G12" i="42"/>
  <c r="E14" i="42"/>
  <c r="E13" i="42"/>
  <c r="E12" i="42"/>
  <c r="C14" i="42"/>
  <c r="C13" i="42"/>
  <c r="C12" i="42"/>
  <c r="G27" i="20"/>
  <c r="U14" i="20"/>
  <c r="U13" i="20"/>
  <c r="U12" i="20"/>
  <c r="S14" i="20"/>
  <c r="S13" i="20"/>
  <c r="S12" i="20"/>
  <c r="Q14" i="20"/>
  <c r="Q13" i="20"/>
  <c r="Q12" i="20"/>
  <c r="O14" i="20"/>
  <c r="O13" i="20"/>
  <c r="O12" i="20"/>
  <c r="M14" i="20"/>
  <c r="M13" i="20"/>
  <c r="M12" i="20"/>
  <c r="K14" i="20"/>
  <c r="K13" i="20"/>
  <c r="K12" i="20"/>
  <c r="I14" i="20"/>
  <c r="I13" i="20"/>
  <c r="I12" i="20"/>
  <c r="G14" i="20"/>
  <c r="G13" i="20"/>
  <c r="G12" i="20"/>
  <c r="E14" i="20"/>
  <c r="E13" i="20"/>
  <c r="E12" i="20"/>
  <c r="C14" i="20"/>
  <c r="C13" i="20"/>
  <c r="C12" i="20"/>
  <c r="T29" i="45"/>
  <c r="T27" i="45"/>
  <c r="R29" i="45"/>
  <c r="R27" i="45"/>
  <c r="P29" i="45"/>
  <c r="P27" i="45"/>
  <c r="N29" i="45"/>
  <c r="N27" i="45"/>
  <c r="L29" i="45"/>
  <c r="L27" i="45"/>
  <c r="J29" i="45"/>
  <c r="J27" i="45"/>
  <c r="H29" i="45"/>
  <c r="H27" i="45"/>
  <c r="F29" i="45"/>
  <c r="F27" i="45"/>
  <c r="D29" i="45"/>
  <c r="D27" i="45"/>
  <c r="B29" i="45"/>
  <c r="B27" i="45"/>
  <c r="T29" i="44"/>
  <c r="T27" i="44"/>
  <c r="R29" i="44"/>
  <c r="R27" i="44"/>
  <c r="P29" i="44"/>
  <c r="P27" i="44"/>
  <c r="N29" i="44"/>
  <c r="N27" i="44"/>
  <c r="L29" i="44"/>
  <c r="L27" i="44"/>
  <c r="J29" i="44"/>
  <c r="J27" i="44"/>
  <c r="H29" i="44"/>
  <c r="H27" i="44"/>
  <c r="F29" i="44"/>
  <c r="F27" i="44"/>
  <c r="D29" i="44"/>
  <c r="D27" i="44"/>
  <c r="B29" i="44"/>
  <c r="B27" i="44"/>
  <c r="T29" i="43"/>
  <c r="T27" i="43"/>
  <c r="R29" i="43"/>
  <c r="R27" i="43"/>
  <c r="P29" i="43"/>
  <c r="P27" i="43"/>
  <c r="N29" i="43"/>
  <c r="N27" i="43"/>
  <c r="L29" i="43"/>
  <c r="L27" i="43"/>
  <c r="J29" i="43"/>
  <c r="J27" i="43"/>
  <c r="H29" i="43"/>
  <c r="H27" i="43"/>
  <c r="F29" i="43"/>
  <c r="F27" i="43"/>
  <c r="D29" i="43"/>
  <c r="D27" i="43"/>
  <c r="B29" i="43"/>
  <c r="B27" i="43"/>
  <c r="T29" i="1"/>
  <c r="T27" i="1"/>
  <c r="R29" i="1"/>
  <c r="R27" i="1"/>
  <c r="P29" i="1"/>
  <c r="P27" i="1"/>
  <c r="N29" i="1"/>
  <c r="N27" i="1"/>
  <c r="L29" i="1"/>
  <c r="L27" i="1"/>
  <c r="J29" i="1"/>
  <c r="J27" i="1"/>
  <c r="H29" i="1"/>
  <c r="H27" i="1"/>
  <c r="F29" i="1"/>
  <c r="F27" i="1"/>
  <c r="D29" i="1"/>
  <c r="D27" i="1"/>
  <c r="B29" i="1"/>
  <c r="B27" i="1"/>
  <c r="U30" i="41"/>
  <c r="S30" i="41"/>
  <c r="Q30" i="41"/>
  <c r="O30" i="41"/>
  <c r="M30" i="41"/>
  <c r="K30" i="41"/>
  <c r="I30" i="41"/>
  <c r="G30" i="41"/>
  <c r="E30" i="41"/>
  <c r="C30" i="41"/>
  <c r="U30" i="19"/>
  <c r="S30" i="19"/>
  <c r="Q30" i="19"/>
  <c r="O30" i="19"/>
  <c r="M30" i="19"/>
  <c r="K30" i="19"/>
  <c r="G30" i="19"/>
  <c r="E30" i="19"/>
  <c r="U28" i="39"/>
  <c r="S28" i="39"/>
  <c r="Q28" i="39"/>
  <c r="O28" i="39"/>
  <c r="M28" i="39"/>
  <c r="K28" i="39"/>
  <c r="I28" i="39"/>
  <c r="G28" i="39"/>
  <c r="E28" i="39"/>
  <c r="C28" i="39"/>
  <c r="H14" i="20"/>
  <c r="H13" i="20"/>
  <c r="H12" i="20"/>
  <c r="P8" i="13"/>
  <c r="L8" i="13"/>
  <c r="F8" i="13"/>
  <c r="P13" i="13"/>
  <c r="P12" i="13"/>
  <c r="P11" i="13"/>
  <c r="L13" i="13"/>
  <c r="L12" i="13"/>
  <c r="L11" i="13"/>
  <c r="H13" i="13"/>
  <c r="H12" i="13"/>
  <c r="H11" i="13"/>
  <c r="F13" i="13"/>
  <c r="F12" i="13"/>
  <c r="F11" i="13"/>
  <c r="B13" i="13"/>
  <c r="B8" i="13"/>
  <c r="T15" i="47"/>
  <c r="T13" i="47"/>
  <c r="T12" i="47"/>
  <c r="T11" i="47"/>
  <c r="R15" i="47"/>
  <c r="R13" i="47"/>
  <c r="R12" i="47"/>
  <c r="R11" i="47"/>
  <c r="P15" i="47"/>
  <c r="P13" i="47"/>
  <c r="P12" i="47"/>
  <c r="P11" i="47"/>
  <c r="N15" i="47"/>
  <c r="N13" i="47"/>
  <c r="N12" i="47"/>
  <c r="N11" i="47"/>
  <c r="L15" i="47"/>
  <c r="L13" i="47"/>
  <c r="L12" i="47"/>
  <c r="L11" i="47"/>
  <c r="J15" i="47"/>
  <c r="J13" i="47"/>
  <c r="J12" i="47"/>
  <c r="J11" i="47"/>
  <c r="H15" i="47"/>
  <c r="H13" i="47"/>
  <c r="H12" i="47"/>
  <c r="H11" i="47"/>
  <c r="D8" i="47"/>
  <c r="T14" i="45"/>
  <c r="R14" i="45"/>
  <c r="P14" i="45"/>
  <c r="N14" i="45"/>
  <c r="L14" i="45"/>
  <c r="T18" i="45"/>
  <c r="T17" i="45"/>
  <c r="R18" i="45"/>
  <c r="R17" i="45"/>
  <c r="P18" i="45"/>
  <c r="P17" i="45"/>
  <c r="N18" i="45"/>
  <c r="N17" i="45"/>
  <c r="J18" i="45"/>
  <c r="J17" i="45"/>
  <c r="H18" i="45"/>
  <c r="H17" i="45"/>
  <c r="F18" i="45"/>
  <c r="F17" i="45"/>
  <c r="D18" i="45"/>
  <c r="D17" i="45"/>
  <c r="J14" i="45"/>
  <c r="H14" i="45"/>
  <c r="F14" i="45"/>
  <c r="D14" i="45"/>
  <c r="B14" i="45"/>
  <c r="L18" i="1"/>
  <c r="L17" i="1"/>
  <c r="J17" i="1"/>
  <c r="J18" i="1"/>
  <c r="L14" i="1"/>
  <c r="N18" i="1"/>
  <c r="N17" i="1"/>
  <c r="P18" i="1"/>
  <c r="P17" i="1"/>
  <c r="F18" i="1"/>
  <c r="F17" i="1"/>
  <c r="B18" i="1"/>
  <c r="B17" i="1"/>
  <c r="D8" i="41"/>
  <c r="T8" i="19"/>
  <c r="R8" i="19"/>
  <c r="P8" i="19"/>
  <c r="N8" i="19"/>
  <c r="T15" i="19"/>
  <c r="T14" i="19"/>
  <c r="T13" i="19"/>
  <c r="N15" i="19"/>
  <c r="N14" i="19"/>
  <c r="N13" i="19"/>
  <c r="J15" i="19"/>
  <c r="J14" i="19"/>
  <c r="J13" i="19"/>
  <c r="D15" i="19"/>
  <c r="D14" i="19"/>
  <c r="D13" i="19"/>
  <c r="D8" i="19"/>
  <c r="H19" i="19"/>
  <c r="H20" i="19" s="1"/>
  <c r="H15" i="19"/>
  <c r="H14" i="19"/>
  <c r="H13" i="19"/>
  <c r="H8" i="19"/>
  <c r="T12" i="26"/>
  <c r="T8" i="26"/>
  <c r="T7" i="26"/>
  <c r="R12" i="26"/>
  <c r="R8" i="26"/>
  <c r="R7" i="26"/>
  <c r="P12" i="26"/>
  <c r="P8" i="26"/>
  <c r="P7" i="26"/>
  <c r="N12" i="26"/>
  <c r="N8" i="26"/>
  <c r="N7" i="26"/>
  <c r="L12" i="26"/>
  <c r="L8" i="26"/>
  <c r="L7" i="26"/>
  <c r="J12" i="26"/>
  <c r="J8" i="26"/>
  <c r="J7" i="26"/>
  <c r="H12" i="26"/>
  <c r="H8" i="26"/>
  <c r="H7" i="26"/>
  <c r="F12" i="26"/>
  <c r="F8" i="26"/>
  <c r="F7" i="26"/>
  <c r="D12" i="26"/>
  <c r="D8" i="26"/>
  <c r="C27" i="39"/>
  <c r="C30" i="39"/>
  <c r="T9" i="39"/>
  <c r="R9" i="39"/>
  <c r="P9" i="39"/>
  <c r="N9" i="39"/>
  <c r="L9" i="39"/>
  <c r="J9" i="39"/>
  <c r="H9" i="39"/>
  <c r="F9" i="39"/>
  <c r="D9" i="39"/>
  <c r="B9" i="39"/>
  <c r="R9" i="42" l="1"/>
  <c r="F31" i="42"/>
  <c r="J37" i="42"/>
  <c r="H37" i="42"/>
  <c r="N31" i="42"/>
  <c r="P9" i="42"/>
  <c r="J9" i="42"/>
  <c r="F37" i="42"/>
  <c r="N37" i="42"/>
  <c r="B9" i="42"/>
  <c r="B37" i="42"/>
  <c r="F9" i="26"/>
  <c r="J9" i="26"/>
  <c r="N9" i="26"/>
  <c r="R9" i="26"/>
  <c r="T31" i="42"/>
  <c r="T9" i="42"/>
  <c r="T37" i="42"/>
  <c r="L31" i="42"/>
  <c r="L37" i="42"/>
  <c r="D31" i="42"/>
  <c r="D9" i="42"/>
  <c r="D37" i="42"/>
  <c r="H9" i="42"/>
  <c r="I27" i="42"/>
  <c r="N9" i="42"/>
  <c r="F9" i="42"/>
  <c r="H31" i="42"/>
  <c r="P31" i="42"/>
  <c r="L9" i="42"/>
  <c r="B31" i="42"/>
  <c r="J31" i="42"/>
  <c r="R31" i="42"/>
  <c r="K27" i="42"/>
  <c r="M27" i="42"/>
  <c r="D9" i="26"/>
  <c r="H9" i="26"/>
  <c r="L9" i="26"/>
  <c r="P9" i="26"/>
  <c r="T9" i="26"/>
  <c r="T9" i="38"/>
  <c r="R9" i="38"/>
  <c r="P9" i="38"/>
  <c r="N9" i="38"/>
  <c r="L9" i="38"/>
  <c r="J9" i="38"/>
  <c r="H9" i="38"/>
  <c r="F9" i="38"/>
  <c r="U31" i="38"/>
  <c r="S31" i="38"/>
  <c r="Q31" i="38"/>
  <c r="O31" i="38"/>
  <c r="M31" i="38"/>
  <c r="K31" i="38"/>
  <c r="I31" i="38"/>
  <c r="G31" i="38"/>
  <c r="E31" i="38"/>
  <c r="C31" i="38"/>
  <c r="U25" i="38"/>
  <c r="S25" i="38"/>
  <c r="Q25" i="38"/>
  <c r="O25" i="38"/>
  <c r="M25" i="38"/>
  <c r="K25" i="38"/>
  <c r="I25" i="38"/>
  <c r="G25" i="38"/>
  <c r="E25" i="38"/>
  <c r="C25" i="38"/>
  <c r="B9" i="38"/>
  <c r="E25" i="36" l="1"/>
  <c r="P16" i="47" l="1"/>
  <c r="L16" i="47"/>
  <c r="H16" i="47"/>
  <c r="J16" i="47"/>
  <c r="R16" i="47"/>
  <c r="N16" i="47"/>
  <c r="T16" i="47"/>
  <c r="H5" i="36"/>
  <c r="H15" i="20" l="1"/>
  <c r="T19" i="45"/>
  <c r="N19" i="45"/>
  <c r="F19" i="45"/>
  <c r="J19" i="1"/>
  <c r="F19" i="1"/>
  <c r="H16" i="19"/>
  <c r="R19" i="45"/>
  <c r="N16" i="19"/>
  <c r="D16" i="19"/>
  <c r="J19" i="45"/>
  <c r="N19" i="1"/>
  <c r="D19" i="45"/>
  <c r="L19" i="1"/>
  <c r="B19" i="1"/>
  <c r="P19" i="45"/>
  <c r="H19" i="45"/>
  <c r="P19" i="1"/>
  <c r="T16" i="19"/>
  <c r="J16" i="19"/>
  <c r="B18" i="45"/>
  <c r="X178" i="37"/>
  <c r="X179" i="37"/>
  <c r="X180" i="37"/>
  <c r="X181" i="37"/>
  <c r="X182" i="37"/>
  <c r="X183" i="37"/>
  <c r="X184" i="37"/>
  <c r="X185" i="37"/>
  <c r="X186" i="37"/>
  <c r="X187" i="37"/>
  <c r="X188" i="37"/>
  <c r="X189" i="37"/>
  <c r="X190" i="37"/>
  <c r="X191" i="37"/>
  <c r="X192" i="37"/>
  <c r="X193" i="37"/>
  <c r="X194" i="37"/>
  <c r="X195" i="37"/>
  <c r="X196" i="37"/>
  <c r="X197" i="37"/>
  <c r="X198" i="37"/>
  <c r="X199" i="37"/>
  <c r="X200" i="37"/>
  <c r="X201" i="37"/>
  <c r="X202" i="37"/>
  <c r="C28" i="38"/>
  <c r="E28" i="38"/>
  <c r="G28" i="38"/>
  <c r="I28" i="38"/>
  <c r="K28" i="38"/>
  <c r="U28" i="38"/>
  <c r="S28" i="38"/>
  <c r="Q28" i="38"/>
  <c r="O28" i="38"/>
  <c r="M28" i="38"/>
  <c r="A159" i="3"/>
  <c r="U7" i="9"/>
  <c r="S7" i="9"/>
  <c r="Q7" i="9"/>
  <c r="O7" i="9"/>
  <c r="M7" i="9"/>
  <c r="K7" i="9"/>
  <c r="I7" i="9"/>
  <c r="G7" i="9"/>
  <c r="E7" i="9"/>
  <c r="C7" i="9"/>
  <c r="T6" i="9"/>
  <c r="R6" i="9"/>
  <c r="P6" i="9"/>
  <c r="N6" i="9"/>
  <c r="L6" i="9"/>
  <c r="J6" i="9"/>
  <c r="H6" i="9"/>
  <c r="F6" i="9"/>
  <c r="D6" i="9"/>
  <c r="B6" i="9"/>
  <c r="E6" i="30"/>
  <c r="E9" i="30" s="1"/>
  <c r="J6" i="39" l="1"/>
  <c r="J7" i="39" s="1"/>
  <c r="T6" i="39"/>
  <c r="T7" i="39" s="1"/>
  <c r="H6" i="39"/>
  <c r="H7" i="39" s="1"/>
  <c r="R6" i="39"/>
  <c r="R7" i="39" s="1"/>
  <c r="B6" i="39"/>
  <c r="B7" i="39" s="1"/>
  <c r="L6" i="39"/>
  <c r="L7" i="39" s="1"/>
  <c r="F6" i="39"/>
  <c r="F7" i="39" s="1"/>
  <c r="P6" i="39"/>
  <c r="P7" i="39" s="1"/>
  <c r="D6" i="39"/>
  <c r="D7" i="39" s="1"/>
  <c r="N6" i="39"/>
  <c r="N7" i="39" s="1"/>
  <c r="T6" i="38"/>
  <c r="T7" i="38" s="1"/>
  <c r="D7" i="38"/>
  <c r="N6" i="38"/>
  <c r="N7" i="38" s="1"/>
  <c r="H6" i="38"/>
  <c r="H7" i="38" s="1"/>
  <c r="R6" i="38"/>
  <c r="R7" i="38" s="1"/>
  <c r="F6" i="38"/>
  <c r="F7" i="38" s="1"/>
  <c r="J6" i="38"/>
  <c r="J7" i="38" s="1"/>
  <c r="L6" i="38"/>
  <c r="L7" i="38" s="1"/>
  <c r="P6" i="38"/>
  <c r="P7" i="38" s="1"/>
  <c r="B6" i="38"/>
  <c r="B7" i="38" s="1"/>
  <c r="B6" i="17"/>
  <c r="T8" i="27"/>
  <c r="U10" i="27" s="1"/>
  <c r="R8" i="27"/>
  <c r="S10" i="27" s="1"/>
  <c r="P8" i="27"/>
  <c r="Q10" i="27" s="1"/>
  <c r="N8" i="27"/>
  <c r="O10" i="27" s="1"/>
  <c r="L8" i="27"/>
  <c r="M10" i="27" s="1"/>
  <c r="J8" i="27"/>
  <c r="K10" i="27" s="1"/>
  <c r="H8" i="27"/>
  <c r="I10" i="27" s="1"/>
  <c r="F8" i="27"/>
  <c r="G10" i="27" s="1"/>
  <c r="D8" i="27"/>
  <c r="E10" i="27" s="1"/>
  <c r="B8" i="27"/>
  <c r="C10" i="27" s="1"/>
  <c r="U21" i="45"/>
  <c r="U18" i="45"/>
  <c r="U17" i="45"/>
  <c r="S21" i="45"/>
  <c r="S18" i="45"/>
  <c r="S17" i="45"/>
  <c r="Q21" i="45"/>
  <c r="Q18" i="45"/>
  <c r="Q17" i="45"/>
  <c r="O21" i="45"/>
  <c r="O18" i="45"/>
  <c r="O17" i="45"/>
  <c r="M21" i="45"/>
  <c r="M18" i="45"/>
  <c r="M17" i="45"/>
  <c r="K21" i="45"/>
  <c r="K18" i="45"/>
  <c r="K17" i="45"/>
  <c r="I21" i="45"/>
  <c r="I18" i="45"/>
  <c r="I17" i="45"/>
  <c r="G21" i="45"/>
  <c r="G18" i="45"/>
  <c r="G17" i="45"/>
  <c r="E21" i="45"/>
  <c r="E18" i="45"/>
  <c r="E17" i="45"/>
  <c r="C21" i="45"/>
  <c r="C18" i="45"/>
  <c r="C17" i="45"/>
  <c r="U21" i="44"/>
  <c r="U18" i="44"/>
  <c r="U17" i="44"/>
  <c r="S21" i="44"/>
  <c r="S18" i="44"/>
  <c r="S17" i="44"/>
  <c r="Q21" i="44"/>
  <c r="Q18" i="44"/>
  <c r="Q17" i="44"/>
  <c r="O21" i="44"/>
  <c r="O18" i="44"/>
  <c r="O17" i="44"/>
  <c r="M21" i="44"/>
  <c r="M18" i="44"/>
  <c r="M17" i="44"/>
  <c r="K21" i="44"/>
  <c r="K18" i="44"/>
  <c r="K17" i="44"/>
  <c r="I21" i="44"/>
  <c r="I18" i="44"/>
  <c r="I17" i="44"/>
  <c r="G21" i="44"/>
  <c r="G18" i="44"/>
  <c r="G17" i="44"/>
  <c r="E21" i="44"/>
  <c r="E18" i="44"/>
  <c r="E17" i="44"/>
  <c r="C14" i="38" l="1"/>
  <c r="E14" i="38"/>
  <c r="Q14" i="38"/>
  <c r="S14" i="38"/>
  <c r="U14" i="38"/>
  <c r="G14" i="39"/>
  <c r="I14" i="39"/>
  <c r="S14" i="39"/>
  <c r="M14" i="38"/>
  <c r="I14" i="38"/>
  <c r="O14" i="39"/>
  <c r="M14" i="39"/>
  <c r="U14" i="39"/>
  <c r="G14" i="38"/>
  <c r="Q14" i="39"/>
  <c r="C20" i="17"/>
  <c r="K14" i="38"/>
  <c r="O14" i="38"/>
  <c r="E14" i="39"/>
  <c r="C14" i="39"/>
  <c r="K14" i="39"/>
  <c r="C14" i="17"/>
  <c r="U21" i="43"/>
  <c r="U18" i="43"/>
  <c r="U17" i="43"/>
  <c r="S21" i="43"/>
  <c r="S18" i="43"/>
  <c r="S17" i="43"/>
  <c r="Q21" i="43"/>
  <c r="Q18" i="43"/>
  <c r="Q17" i="43"/>
  <c r="O21" i="43"/>
  <c r="O18" i="43"/>
  <c r="O17" i="43"/>
  <c r="M21" i="43"/>
  <c r="M18" i="43"/>
  <c r="M17" i="43"/>
  <c r="K21" i="43"/>
  <c r="K18" i="43"/>
  <c r="K17" i="43"/>
  <c r="I21" i="43"/>
  <c r="I18" i="43"/>
  <c r="I17" i="43"/>
  <c r="G21" i="43"/>
  <c r="G18" i="43"/>
  <c r="G17" i="43"/>
  <c r="E21" i="43"/>
  <c r="E18" i="43"/>
  <c r="E17" i="43"/>
  <c r="U21" i="1"/>
  <c r="U18" i="1"/>
  <c r="U17" i="1"/>
  <c r="S21" i="1"/>
  <c r="S18" i="1"/>
  <c r="S17" i="1"/>
  <c r="Q21" i="1"/>
  <c r="Q18" i="1"/>
  <c r="Q17" i="1"/>
  <c r="O21" i="1"/>
  <c r="O18" i="1"/>
  <c r="O17" i="1"/>
  <c r="M21" i="1"/>
  <c r="M18" i="1"/>
  <c r="M17" i="1"/>
  <c r="K21" i="1"/>
  <c r="K18" i="1"/>
  <c r="K17" i="1"/>
  <c r="I21" i="1"/>
  <c r="I18" i="1"/>
  <c r="I17" i="1"/>
  <c r="G21" i="1"/>
  <c r="G18" i="1"/>
  <c r="G17" i="1"/>
  <c r="E21" i="1"/>
  <c r="E18" i="1"/>
  <c r="E17" i="1"/>
  <c r="F8" i="38" l="1"/>
  <c r="F10" i="38" s="1"/>
  <c r="H8" i="38"/>
  <c r="H10" i="38" s="1"/>
  <c r="F8" i="39"/>
  <c r="F10" i="39" s="1"/>
  <c r="D8" i="39"/>
  <c r="D10" i="39" s="1"/>
  <c r="P8" i="39"/>
  <c r="P10" i="39" s="1"/>
  <c r="N8" i="39"/>
  <c r="N10" i="39" s="1"/>
  <c r="H8" i="39"/>
  <c r="H10" i="39" s="1"/>
  <c r="P8" i="38"/>
  <c r="P10" i="38" s="1"/>
  <c r="B8" i="39"/>
  <c r="B10" i="39" s="1"/>
  <c r="L8" i="39"/>
  <c r="L10" i="39" s="1"/>
  <c r="R8" i="39"/>
  <c r="R10" i="39" s="1"/>
  <c r="R8" i="38"/>
  <c r="R10" i="38" s="1"/>
  <c r="N8" i="38"/>
  <c r="N10" i="38" s="1"/>
  <c r="J8" i="39"/>
  <c r="J10" i="39" s="1"/>
  <c r="J8" i="38"/>
  <c r="J10" i="38" s="1"/>
  <c r="T8" i="39"/>
  <c r="T10" i="39" s="1"/>
  <c r="L8" i="38"/>
  <c r="L10" i="38" s="1"/>
  <c r="T8" i="38"/>
  <c r="T10" i="38" s="1"/>
  <c r="B8" i="38"/>
  <c r="T10" i="17"/>
  <c r="R10" i="17"/>
  <c r="P10" i="17"/>
  <c r="N10" i="17"/>
  <c r="L10" i="17"/>
  <c r="J10" i="17"/>
  <c r="H10" i="17"/>
  <c r="F10" i="17"/>
  <c r="D10" i="17"/>
  <c r="B10" i="17"/>
  <c r="U41" i="42" l="1"/>
  <c r="S41" i="42"/>
  <c r="Q41" i="42"/>
  <c r="O41" i="42"/>
  <c r="M41" i="42"/>
  <c r="K41" i="42"/>
  <c r="I41" i="42"/>
  <c r="G41" i="42"/>
  <c r="E41" i="42"/>
  <c r="C41" i="42"/>
  <c r="U23" i="20"/>
  <c r="S23" i="20"/>
  <c r="Q23" i="20"/>
  <c r="O23" i="20"/>
  <c r="M23" i="20"/>
  <c r="K23" i="20"/>
  <c r="I23" i="20"/>
  <c r="G23" i="20"/>
  <c r="E23" i="20"/>
  <c r="C23" i="20"/>
  <c r="U23" i="42"/>
  <c r="S23" i="42"/>
  <c r="Q23" i="42"/>
  <c r="O23" i="42"/>
  <c r="M23" i="42"/>
  <c r="K23" i="42"/>
  <c r="I23" i="42"/>
  <c r="G23" i="42"/>
  <c r="E23" i="42"/>
  <c r="C23" i="42"/>
  <c r="U41" i="20"/>
  <c r="S41" i="20"/>
  <c r="Q41" i="20"/>
  <c r="O41" i="20"/>
  <c r="M41" i="20"/>
  <c r="K41" i="20"/>
  <c r="I41" i="20"/>
  <c r="G41" i="20"/>
  <c r="E41" i="20"/>
  <c r="C41" i="20"/>
  <c r="C218" i="3" l="1"/>
  <c r="C217" i="3"/>
  <c r="C216" i="3"/>
  <c r="B232" i="3" l="1"/>
  <c r="B233" i="3"/>
  <c r="F15" i="47" l="1"/>
  <c r="D15" i="47"/>
  <c r="B15" i="47"/>
  <c r="P23" i="30" l="1"/>
  <c r="P22" i="30"/>
  <c r="P21" i="30"/>
  <c r="G19" i="30"/>
  <c r="G10" i="30"/>
  <c r="A283" i="3" l="1"/>
  <c r="B282" i="3" l="1"/>
  <c r="L27" i="35" l="1"/>
  <c r="L315" i="35" l="1"/>
  <c r="F315" i="35"/>
  <c r="K37" i="18" s="1"/>
  <c r="E315" i="35"/>
  <c r="D315" i="35"/>
  <c r="C315" i="35"/>
  <c r="L283" i="35"/>
  <c r="F283" i="35"/>
  <c r="J37" i="18" s="1"/>
  <c r="E283" i="35"/>
  <c r="D283" i="35"/>
  <c r="C283" i="35"/>
  <c r="L251" i="35"/>
  <c r="F251" i="35"/>
  <c r="I37" i="18" s="1"/>
  <c r="E251" i="35"/>
  <c r="D251" i="35"/>
  <c r="C251" i="35"/>
  <c r="L219" i="35"/>
  <c r="F219" i="35"/>
  <c r="H37" i="18" s="1"/>
  <c r="E219" i="35"/>
  <c r="D219" i="35"/>
  <c r="C219" i="35"/>
  <c r="F187" i="35"/>
  <c r="G37" i="18" s="1"/>
  <c r="E187" i="35"/>
  <c r="D187" i="35"/>
  <c r="C187" i="35"/>
  <c r="L187" i="35"/>
  <c r="L155" i="35"/>
  <c r="F155" i="35"/>
  <c r="F37" i="18" s="1"/>
  <c r="E155" i="35"/>
  <c r="D155" i="35"/>
  <c r="C155" i="35"/>
  <c r="L123" i="35"/>
  <c r="F123" i="35"/>
  <c r="E37" i="18" s="1"/>
  <c r="E123" i="35"/>
  <c r="D123" i="35"/>
  <c r="C123" i="35"/>
  <c r="L91" i="35"/>
  <c r="C91" i="35"/>
  <c r="F91" i="35"/>
  <c r="D37" i="18" s="1"/>
  <c r="E91" i="35"/>
  <c r="D91" i="35"/>
  <c r="L59" i="35"/>
  <c r="F59" i="35"/>
  <c r="C37" i="18" s="1"/>
  <c r="E59" i="35"/>
  <c r="D59" i="35"/>
  <c r="C59" i="35"/>
  <c r="F27" i="35"/>
  <c r="B37" i="18" s="1"/>
  <c r="E27" i="35"/>
  <c r="D27" i="35"/>
  <c r="C27" i="35"/>
  <c r="C26" i="35"/>
  <c r="A37" i="18"/>
  <c r="B18" i="52"/>
  <c r="B19" i="52" s="1"/>
  <c r="B24" i="52" s="1"/>
  <c r="T18" i="52"/>
  <c r="T19" i="52" s="1"/>
  <c r="T24" i="52" s="1"/>
  <c r="R18" i="52"/>
  <c r="R19" i="52" s="1"/>
  <c r="R24" i="52" s="1"/>
  <c r="P18" i="52"/>
  <c r="P19" i="52" s="1"/>
  <c r="P24" i="52" s="1"/>
  <c r="N18" i="52"/>
  <c r="N19" i="52" s="1"/>
  <c r="N24" i="52" s="1"/>
  <c r="L18" i="52"/>
  <c r="L19" i="52" s="1"/>
  <c r="L24" i="52" s="1"/>
  <c r="J18" i="52"/>
  <c r="J19" i="52" s="1"/>
  <c r="J24" i="52" s="1"/>
  <c r="H18" i="52"/>
  <c r="H19" i="52" s="1"/>
  <c r="H24" i="52" s="1"/>
  <c r="F18" i="52"/>
  <c r="F19" i="52" s="1"/>
  <c r="F24" i="52" s="1"/>
  <c r="D18" i="52"/>
  <c r="D19" i="52" s="1"/>
  <c r="D24" i="52" s="1"/>
  <c r="U35" i="38"/>
  <c r="U34" i="38"/>
  <c r="U30" i="38"/>
  <c r="U27" i="38"/>
  <c r="U22" i="38"/>
  <c r="S35" i="38"/>
  <c r="S34" i="38"/>
  <c r="S30" i="38"/>
  <c r="S27" i="38"/>
  <c r="S22" i="38"/>
  <c r="Q35" i="38"/>
  <c r="Q34" i="38"/>
  <c r="Q30" i="38"/>
  <c r="Q27" i="38"/>
  <c r="Q22" i="38"/>
  <c r="O35" i="38"/>
  <c r="O34" i="38"/>
  <c r="O30" i="38"/>
  <c r="O27" i="38"/>
  <c r="O22" i="38"/>
  <c r="M35" i="38"/>
  <c r="M34" i="38"/>
  <c r="M30" i="38"/>
  <c r="M27" i="38"/>
  <c r="M22" i="38"/>
  <c r="K35" i="38"/>
  <c r="K34" i="38"/>
  <c r="K30" i="38"/>
  <c r="K27" i="38"/>
  <c r="K22" i="38"/>
  <c r="I35" i="38"/>
  <c r="I34" i="38"/>
  <c r="I30" i="38"/>
  <c r="I27" i="38"/>
  <c r="I22" i="38"/>
  <c r="G35" i="38"/>
  <c r="G34" i="38"/>
  <c r="G30" i="38"/>
  <c r="G27" i="38"/>
  <c r="G22" i="38"/>
  <c r="E35" i="38"/>
  <c r="E34" i="38"/>
  <c r="E30" i="38"/>
  <c r="E27" i="38"/>
  <c r="D27" i="38" s="1"/>
  <c r="C35" i="38"/>
  <c r="C34" i="38"/>
  <c r="C30" i="38"/>
  <c r="C27" i="38"/>
  <c r="C22" i="38"/>
  <c r="T16" i="38"/>
  <c r="R16" i="38"/>
  <c r="P16" i="38"/>
  <c r="N16" i="38"/>
  <c r="L16" i="38"/>
  <c r="J16" i="38"/>
  <c r="H16" i="38"/>
  <c r="F16" i="38"/>
  <c r="D16" i="38"/>
  <c r="U11" i="38"/>
  <c r="U39" i="38" s="1"/>
  <c r="S11" i="38"/>
  <c r="S39" i="38" s="1"/>
  <c r="Q11" i="38"/>
  <c r="Q39" i="38" s="1"/>
  <c r="O11" i="38"/>
  <c r="O39" i="38" s="1"/>
  <c r="M11" i="38"/>
  <c r="M39" i="38" s="1"/>
  <c r="K11" i="38"/>
  <c r="K39" i="38" s="1"/>
  <c r="I11" i="38"/>
  <c r="I39" i="38" s="1"/>
  <c r="G11" i="38"/>
  <c r="G39" i="38" s="1"/>
  <c r="E11" i="38"/>
  <c r="E39" i="38" s="1"/>
  <c r="C11" i="38"/>
  <c r="C39" i="38" s="1"/>
  <c r="U30" i="39"/>
  <c r="S30" i="39"/>
  <c r="Q30" i="39"/>
  <c r="O30" i="39"/>
  <c r="M30" i="39"/>
  <c r="K30" i="39"/>
  <c r="I30" i="39"/>
  <c r="G30" i="39"/>
  <c r="E30" i="39"/>
  <c r="C34" i="39"/>
  <c r="U35" i="39"/>
  <c r="U34" i="39"/>
  <c r="S35" i="39"/>
  <c r="S34" i="39"/>
  <c r="Q35" i="39"/>
  <c r="Q34" i="39"/>
  <c r="O35" i="39"/>
  <c r="O34" i="39"/>
  <c r="M35" i="39"/>
  <c r="M34" i="39"/>
  <c r="K35" i="39"/>
  <c r="K34" i="39"/>
  <c r="I35" i="39"/>
  <c r="I34" i="39"/>
  <c r="G35" i="39"/>
  <c r="G34" i="39"/>
  <c r="E35" i="39"/>
  <c r="E34" i="39"/>
  <c r="U27" i="39"/>
  <c r="S27" i="39"/>
  <c r="Q27" i="39"/>
  <c r="O27" i="39"/>
  <c r="M27" i="39"/>
  <c r="K27" i="39"/>
  <c r="I27" i="39"/>
  <c r="G27" i="39"/>
  <c r="E27" i="39"/>
  <c r="U22" i="39"/>
  <c r="S22" i="39"/>
  <c r="Q22" i="39"/>
  <c r="O22" i="39"/>
  <c r="M22" i="39"/>
  <c r="K22" i="39"/>
  <c r="I22" i="39"/>
  <c r="G22" i="39"/>
  <c r="E22" i="39"/>
  <c r="C22" i="39"/>
  <c r="U11" i="39"/>
  <c r="U39" i="39" s="1"/>
  <c r="S11" i="39"/>
  <c r="S39" i="39" s="1"/>
  <c r="Q11" i="39"/>
  <c r="Q39" i="39" s="1"/>
  <c r="O11" i="39"/>
  <c r="O39" i="39" s="1"/>
  <c r="M11" i="39"/>
  <c r="M39" i="39" s="1"/>
  <c r="K11" i="39"/>
  <c r="K39" i="39" s="1"/>
  <c r="I11" i="39"/>
  <c r="I39" i="39" s="1"/>
  <c r="G11" i="39"/>
  <c r="G39" i="39" s="1"/>
  <c r="E11" i="39"/>
  <c r="E39" i="39" s="1"/>
  <c r="I21" i="38" l="1"/>
  <c r="H17" i="38"/>
  <c r="H18" i="38"/>
  <c r="F18" i="38"/>
  <c r="G21" i="38"/>
  <c r="F17" i="38"/>
  <c r="J18" i="38"/>
  <c r="K21" i="38"/>
  <c r="J17" i="38"/>
  <c r="L18" i="38"/>
  <c r="L17" i="38"/>
  <c r="N18" i="38"/>
  <c r="O21" i="38"/>
  <c r="N17" i="38"/>
  <c r="P18" i="38"/>
  <c r="P17" i="38"/>
  <c r="Q21" i="38"/>
  <c r="R18" i="38"/>
  <c r="S21" i="38"/>
  <c r="R17" i="38"/>
  <c r="D17" i="38"/>
  <c r="E21" i="38"/>
  <c r="D18" i="38"/>
  <c r="T18" i="38"/>
  <c r="U21" i="38"/>
  <c r="T17" i="38"/>
  <c r="C35" i="39"/>
  <c r="D21" i="38" l="1"/>
  <c r="E22" i="38" s="1"/>
  <c r="C11" i="39"/>
  <c r="C39" i="39" s="1"/>
  <c r="B82" i="3" l="1"/>
  <c r="T13" i="13" l="1"/>
  <c r="T12" i="13"/>
  <c r="T11" i="13"/>
  <c r="R13" i="13"/>
  <c r="R12" i="13"/>
  <c r="R11" i="13"/>
  <c r="N13" i="13"/>
  <c r="N12" i="13"/>
  <c r="N11" i="13"/>
  <c r="J13" i="13"/>
  <c r="J12" i="13"/>
  <c r="J11" i="13"/>
  <c r="D13" i="13"/>
  <c r="D12" i="13"/>
  <c r="D11" i="13"/>
  <c r="L19" i="45"/>
  <c r="L18" i="45"/>
  <c r="M19" i="45" s="1"/>
  <c r="L17" i="45"/>
  <c r="B19" i="45"/>
  <c r="C19" i="45"/>
  <c r="B17" i="45"/>
  <c r="T19" i="1"/>
  <c r="T18" i="1"/>
  <c r="U19" i="1" s="1"/>
  <c r="T17" i="1"/>
  <c r="R19" i="1"/>
  <c r="R18" i="1"/>
  <c r="S19" i="1" s="1"/>
  <c r="R17" i="1"/>
  <c r="O19" i="1"/>
  <c r="K19" i="1"/>
  <c r="H19" i="1"/>
  <c r="H18" i="1"/>
  <c r="I19" i="1" s="1"/>
  <c r="H17" i="1"/>
  <c r="J14" i="1"/>
  <c r="H14" i="1"/>
  <c r="F14" i="1"/>
  <c r="R16" i="19"/>
  <c r="R15" i="19"/>
  <c r="P16" i="19"/>
  <c r="P15" i="19"/>
  <c r="L16" i="19"/>
  <c r="L15" i="19"/>
  <c r="F16" i="19"/>
  <c r="F15" i="19"/>
  <c r="B16" i="19"/>
  <c r="B15" i="19"/>
  <c r="R14" i="19"/>
  <c r="P14" i="19"/>
  <c r="L14" i="19"/>
  <c r="F14" i="19"/>
  <c r="B14" i="19"/>
  <c r="R13" i="19"/>
  <c r="P13" i="19"/>
  <c r="L13" i="19"/>
  <c r="F13" i="19"/>
  <c r="B13" i="19"/>
  <c r="L8" i="19"/>
  <c r="J8" i="19"/>
  <c r="F8" i="19"/>
  <c r="B7" i="17"/>
  <c r="B8" i="17" s="1"/>
  <c r="C105" i="35" l="1"/>
  <c r="C169" i="35"/>
  <c r="F137" i="35"/>
  <c r="E137" i="35"/>
  <c r="D137" i="35"/>
  <c r="C137" i="35"/>
  <c r="E234" i="35"/>
  <c r="D170" i="35"/>
  <c r="E106" i="35"/>
  <c r="E74" i="35" l="1"/>
  <c r="O9" i="35" l="1"/>
  <c r="C9" i="35"/>
  <c r="T16" i="39"/>
  <c r="R16" i="39"/>
  <c r="P16" i="39"/>
  <c r="N16" i="39"/>
  <c r="L16" i="39"/>
  <c r="J16" i="39"/>
  <c r="H16" i="39"/>
  <c r="F16" i="39"/>
  <c r="D16" i="39"/>
  <c r="B16" i="39"/>
  <c r="J18" i="39" l="1"/>
  <c r="K21" i="39"/>
  <c r="J17" i="39"/>
  <c r="L18" i="39"/>
  <c r="M21" i="39"/>
  <c r="L17" i="39"/>
  <c r="N18" i="39"/>
  <c r="O21" i="39"/>
  <c r="N17" i="39"/>
  <c r="H18" i="39"/>
  <c r="H17" i="39"/>
  <c r="I21" i="39"/>
  <c r="Q21" i="39"/>
  <c r="P18" i="39"/>
  <c r="P17" i="39"/>
  <c r="B18" i="39"/>
  <c r="C21" i="39"/>
  <c r="B17" i="39"/>
  <c r="R17" i="39"/>
  <c r="S21" i="39"/>
  <c r="R18" i="39"/>
  <c r="D18" i="39"/>
  <c r="D17" i="39"/>
  <c r="E21" i="39"/>
  <c r="T18" i="39"/>
  <c r="U21" i="39"/>
  <c r="T17" i="39"/>
  <c r="F18" i="39"/>
  <c r="G21" i="39"/>
  <c r="F17" i="39"/>
  <c r="Q19" i="1"/>
  <c r="G19" i="1"/>
  <c r="B10" i="38"/>
  <c r="B16" i="38" l="1"/>
  <c r="B18" i="38" s="1"/>
  <c r="M21" i="38"/>
  <c r="C21" i="38" l="1"/>
  <c r="B17" i="38"/>
  <c r="Q36" i="38"/>
  <c r="P45" i="38"/>
  <c r="P53" i="38" s="1"/>
  <c r="Q37" i="38"/>
  <c r="Q41" i="38" s="1"/>
  <c r="G37" i="38"/>
  <c r="G41" i="38" s="1"/>
  <c r="G36" i="38"/>
  <c r="F45" i="38"/>
  <c r="F53" i="38" s="1"/>
  <c r="R45" i="38"/>
  <c r="R53" i="38" s="1"/>
  <c r="S36" i="38"/>
  <c r="S37" i="38"/>
  <c r="S41" i="38" s="1"/>
  <c r="L45" i="38"/>
  <c r="L53" i="38" s="1"/>
  <c r="M37" i="38"/>
  <c r="M41" i="38" s="1"/>
  <c r="M36" i="38"/>
  <c r="D45" i="38"/>
  <c r="D53" i="38" s="1"/>
  <c r="E37" i="38"/>
  <c r="D37" i="38" s="1"/>
  <c r="E36" i="38"/>
  <c r="K36" i="38"/>
  <c r="K37" i="38"/>
  <c r="K41" i="38" s="1"/>
  <c r="J45" i="38"/>
  <c r="J53" i="38" s="1"/>
  <c r="O37" i="38"/>
  <c r="O41" i="38" s="1"/>
  <c r="O36" i="38"/>
  <c r="N45" i="38"/>
  <c r="N53" i="38" s="1"/>
  <c r="I37" i="38"/>
  <c r="I41" i="38" s="1"/>
  <c r="H45" i="38"/>
  <c r="H53" i="38" s="1"/>
  <c r="I36" i="38"/>
  <c r="B31" i="3"/>
  <c r="B15" i="52" s="1"/>
  <c r="E41" i="38" l="1"/>
  <c r="D41" i="38" s="1"/>
  <c r="U19" i="45"/>
  <c r="Q19" i="45"/>
  <c r="K19" i="45"/>
  <c r="G19" i="45"/>
  <c r="S19" i="45"/>
  <c r="I19" i="45"/>
  <c r="E19" i="45"/>
  <c r="O19" i="45"/>
  <c r="M19" i="1"/>
  <c r="L15" i="52"/>
  <c r="F15" i="52"/>
  <c r="T15" i="52"/>
  <c r="D15" i="52"/>
  <c r="P15" i="52"/>
  <c r="R15" i="52"/>
  <c r="J15" i="52"/>
  <c r="N15" i="52"/>
  <c r="H15" i="52"/>
  <c r="T45" i="38"/>
  <c r="T53" i="38" s="1"/>
  <c r="U37" i="38"/>
  <c r="U41" i="38" s="1"/>
  <c r="U36" i="38"/>
  <c r="C37" i="38"/>
  <c r="C41" i="38" s="1"/>
  <c r="C36" i="38"/>
  <c r="B45" i="38"/>
  <c r="B53" i="38" s="1"/>
  <c r="T7" i="17"/>
  <c r="R7" i="17"/>
  <c r="P7" i="17"/>
  <c r="N7" i="17"/>
  <c r="L7" i="17"/>
  <c r="J7" i="17"/>
  <c r="H7" i="17"/>
  <c r="F7" i="17"/>
  <c r="D7" i="17"/>
  <c r="E277" i="3" l="1"/>
  <c r="E275" i="3"/>
  <c r="E276" i="3" s="1"/>
  <c r="C40" i="38" l="1"/>
  <c r="I40" i="38"/>
  <c r="H42" i="38" s="1"/>
  <c r="Q40" i="38"/>
  <c r="P42" i="38" s="1"/>
  <c r="O40" i="38"/>
  <c r="N42" i="38" s="1"/>
  <c r="K40" i="38"/>
  <c r="J42" i="38" s="1"/>
  <c r="U40" i="38"/>
  <c r="T42" i="38" s="1"/>
  <c r="S40" i="38"/>
  <c r="R42" i="38" s="1"/>
  <c r="G40" i="38"/>
  <c r="M40" i="38"/>
  <c r="L42" i="38" s="1"/>
  <c r="F42" i="38" l="1"/>
  <c r="E20" i="30" l="1"/>
  <c r="E11" i="30"/>
  <c r="B9" i="17" l="1"/>
  <c r="B11" i="17" s="1"/>
  <c r="F9" i="17"/>
  <c r="T9" i="17"/>
  <c r="D9" i="17"/>
  <c r="L9" i="17"/>
  <c r="R9" i="17"/>
  <c r="P9" i="17"/>
  <c r="N9" i="17"/>
  <c r="H9" i="17"/>
  <c r="J9" i="17"/>
  <c r="B7" i="52"/>
  <c r="E326" i="3"/>
  <c r="E325" i="3"/>
  <c r="E324" i="3"/>
  <c r="E323" i="3"/>
  <c r="E322" i="3"/>
  <c r="B21" i="47"/>
  <c r="T15" i="17"/>
  <c r="R15" i="17"/>
  <c r="P15" i="17"/>
  <c r="N15" i="17"/>
  <c r="L15" i="17"/>
  <c r="J15" i="17"/>
  <c r="H15" i="17"/>
  <c r="F15" i="17"/>
  <c r="D15" i="17"/>
  <c r="B15" i="17"/>
  <c r="C7" i="17"/>
  <c r="U7" i="17"/>
  <c r="S7" i="17"/>
  <c r="Q7" i="17"/>
  <c r="O7" i="17"/>
  <c r="M7" i="17"/>
  <c r="K7" i="17"/>
  <c r="I7" i="17"/>
  <c r="G7" i="17"/>
  <c r="E7" i="17"/>
  <c r="R7" i="15"/>
  <c r="F7" i="9"/>
  <c r="J14" i="35"/>
  <c r="G14" i="35"/>
  <c r="B7" i="26"/>
  <c r="X153" i="37"/>
  <c r="Z153" i="37" s="1"/>
  <c r="G57" i="2" s="1"/>
  <c r="X152" i="37"/>
  <c r="Z152" i="37" s="1"/>
  <c r="F57" i="2" s="1"/>
  <c r="X151" i="37"/>
  <c r="Z151" i="37" s="1"/>
  <c r="E57" i="2" s="1"/>
  <c r="X150" i="37"/>
  <c r="Z150" i="37" s="1"/>
  <c r="D57" i="2" s="1"/>
  <c r="X149" i="37"/>
  <c r="Z149" i="37" s="1"/>
  <c r="C57" i="2" s="1"/>
  <c r="AG48" i="37"/>
  <c r="AH48" i="37"/>
  <c r="AI48" i="37" s="1"/>
  <c r="B21" i="17"/>
  <c r="B26" i="17" s="1"/>
  <c r="T7" i="9"/>
  <c r="R7" i="9"/>
  <c r="P7" i="9"/>
  <c r="N7" i="9"/>
  <c r="L7" i="9"/>
  <c r="J7" i="9"/>
  <c r="H7" i="9"/>
  <c r="D7" i="9"/>
  <c r="B7" i="9"/>
  <c r="T16" i="41"/>
  <c r="T13" i="41"/>
  <c r="R16" i="41"/>
  <c r="R13" i="41"/>
  <c r="P16" i="41"/>
  <c r="P13" i="41"/>
  <c r="N16" i="41"/>
  <c r="N13" i="41"/>
  <c r="L16" i="41"/>
  <c r="L13" i="41"/>
  <c r="J16" i="41"/>
  <c r="J13" i="41"/>
  <c r="H16" i="41"/>
  <c r="H13" i="41"/>
  <c r="F16" i="41"/>
  <c r="F13" i="41"/>
  <c r="D13" i="41"/>
  <c r="B16" i="41"/>
  <c r="B13" i="41"/>
  <c r="B19" i="44"/>
  <c r="B5" i="49"/>
  <c r="B6" i="49"/>
  <c r="B4" i="49"/>
  <c r="T15" i="20"/>
  <c r="R15" i="20"/>
  <c r="P15" i="20"/>
  <c r="N15" i="20"/>
  <c r="L15" i="20"/>
  <c r="J15" i="20"/>
  <c r="F15" i="20"/>
  <c r="B15" i="20"/>
  <c r="T12" i="20"/>
  <c r="R12" i="20"/>
  <c r="P12" i="20"/>
  <c r="N12" i="20"/>
  <c r="L12" i="20"/>
  <c r="J12" i="20"/>
  <c r="B12" i="20"/>
  <c r="L15" i="42"/>
  <c r="E316" i="35"/>
  <c r="D316" i="35"/>
  <c r="E284" i="35"/>
  <c r="D284" i="35"/>
  <c r="E252" i="35"/>
  <c r="D252" i="35"/>
  <c r="E220" i="35"/>
  <c r="D220" i="35"/>
  <c r="E188" i="35"/>
  <c r="D188" i="35"/>
  <c r="E156" i="35"/>
  <c r="D156" i="35"/>
  <c r="E124" i="35"/>
  <c r="D124" i="35"/>
  <c r="E92" i="35"/>
  <c r="D92" i="35"/>
  <c r="E60" i="35"/>
  <c r="D60" i="35"/>
  <c r="T8" i="22"/>
  <c r="R8" i="22"/>
  <c r="P8" i="22"/>
  <c r="N8" i="22"/>
  <c r="L8" i="22"/>
  <c r="J8" i="22"/>
  <c r="H8" i="22"/>
  <c r="F8" i="22"/>
  <c r="D8" i="22"/>
  <c r="B8" i="22"/>
  <c r="E312" i="35"/>
  <c r="E280" i="35"/>
  <c r="E248" i="35"/>
  <c r="E216" i="35"/>
  <c r="E184" i="35"/>
  <c r="E152" i="35"/>
  <c r="E120" i="35"/>
  <c r="E88" i="35"/>
  <c r="E56" i="35"/>
  <c r="E24" i="35"/>
  <c r="O303" i="35"/>
  <c r="E303" i="35"/>
  <c r="O271" i="35"/>
  <c r="E271" i="35"/>
  <c r="O239" i="35"/>
  <c r="E239" i="35"/>
  <c r="O207" i="35"/>
  <c r="E207" i="35"/>
  <c r="O175" i="35"/>
  <c r="E175" i="35"/>
  <c r="O143" i="35"/>
  <c r="E143" i="35"/>
  <c r="O111" i="35"/>
  <c r="E111" i="35"/>
  <c r="O79" i="35"/>
  <c r="E79" i="35"/>
  <c r="O47" i="35"/>
  <c r="O15" i="35"/>
  <c r="E47" i="35"/>
  <c r="E15" i="35"/>
  <c r="C48" i="35"/>
  <c r="D17" i="48"/>
  <c r="T8" i="47"/>
  <c r="R8" i="47"/>
  <c r="P8" i="47"/>
  <c r="N8" i="47"/>
  <c r="L8" i="47"/>
  <c r="J8" i="47"/>
  <c r="H8" i="47"/>
  <c r="F8" i="47"/>
  <c r="B17" i="48"/>
  <c r="T17" i="48"/>
  <c r="R17" i="48"/>
  <c r="P17" i="48"/>
  <c r="N17" i="48"/>
  <c r="L17" i="48"/>
  <c r="J17" i="48"/>
  <c r="H17" i="48"/>
  <c r="F17" i="48"/>
  <c r="T14" i="48"/>
  <c r="T23" i="48" s="1"/>
  <c r="R14" i="48"/>
  <c r="R23" i="48" s="1"/>
  <c r="P14" i="48"/>
  <c r="P23" i="48" s="1"/>
  <c r="N14" i="48"/>
  <c r="N23" i="48" s="1"/>
  <c r="L14" i="48"/>
  <c r="L23" i="48" s="1"/>
  <c r="J14" i="48"/>
  <c r="J23" i="48" s="1"/>
  <c r="H14" i="48"/>
  <c r="H23" i="48" s="1"/>
  <c r="F14" i="48"/>
  <c r="F23" i="48" s="1"/>
  <c r="C79" i="35"/>
  <c r="D14" i="48"/>
  <c r="D23" i="48" s="1"/>
  <c r="C47" i="35"/>
  <c r="B14" i="48"/>
  <c r="B23" i="48" s="1"/>
  <c r="C15" i="35"/>
  <c r="B8" i="48"/>
  <c r="A286" i="3"/>
  <c r="B286" i="3"/>
  <c r="B283" i="3"/>
  <c r="H24" i="1"/>
  <c r="L16" i="35"/>
  <c r="B17" i="18"/>
  <c r="A25" i="18"/>
  <c r="AH5" i="37"/>
  <c r="AI5" i="37" s="1"/>
  <c r="AG11" i="37"/>
  <c r="AG8" i="37"/>
  <c r="R259" i="3"/>
  <c r="R260" i="3"/>
  <c r="R261" i="3"/>
  <c r="R258" i="3"/>
  <c r="T13" i="42"/>
  <c r="D12" i="42"/>
  <c r="H8" i="20"/>
  <c r="R8" i="20"/>
  <c r="P8" i="20"/>
  <c r="N8" i="20"/>
  <c r="L8" i="20"/>
  <c r="J8" i="20"/>
  <c r="D8" i="20"/>
  <c r="T8" i="20"/>
  <c r="E7" i="36"/>
  <c r="C303" i="35"/>
  <c r="C271" i="35"/>
  <c r="C175" i="35"/>
  <c r="C143" i="35"/>
  <c r="C111" i="35"/>
  <c r="T8" i="48"/>
  <c r="R8" i="48"/>
  <c r="P8" i="48"/>
  <c r="N8" i="48"/>
  <c r="L8" i="48"/>
  <c r="J8" i="48"/>
  <c r="H8" i="48"/>
  <c r="F8" i="48"/>
  <c r="D8" i="48"/>
  <c r="T3" i="48"/>
  <c r="R3" i="48"/>
  <c r="P3" i="48"/>
  <c r="N3" i="48"/>
  <c r="L3" i="48"/>
  <c r="J3" i="48"/>
  <c r="H3" i="48"/>
  <c r="F3" i="48"/>
  <c r="D3" i="48"/>
  <c r="B3" i="48"/>
  <c r="C207" i="35"/>
  <c r="C239" i="35"/>
  <c r="T21" i="47"/>
  <c r="R21" i="47"/>
  <c r="P21" i="47"/>
  <c r="N21" i="47"/>
  <c r="L21" i="47"/>
  <c r="J21" i="47"/>
  <c r="H21" i="47"/>
  <c r="F21" i="47"/>
  <c r="D21" i="47"/>
  <c r="A34" i="18"/>
  <c r="U13" i="47"/>
  <c r="S13" i="47"/>
  <c r="Q13" i="47"/>
  <c r="O13" i="47"/>
  <c r="M13" i="47"/>
  <c r="K13" i="47"/>
  <c r="I13" i="47"/>
  <c r="G13" i="47"/>
  <c r="E13" i="47"/>
  <c r="C13" i="47"/>
  <c r="U12" i="47"/>
  <c r="S12" i="47"/>
  <c r="Q12" i="47"/>
  <c r="O12" i="47"/>
  <c r="M12" i="47"/>
  <c r="K12" i="47"/>
  <c r="I12" i="47"/>
  <c r="G12" i="47"/>
  <c r="E12" i="47"/>
  <c r="C12" i="47"/>
  <c r="U11" i="47"/>
  <c r="S11" i="47"/>
  <c r="Q11" i="47"/>
  <c r="O11" i="47"/>
  <c r="M11" i="47"/>
  <c r="K11" i="47"/>
  <c r="I11" i="47"/>
  <c r="G11" i="47"/>
  <c r="E11" i="47"/>
  <c r="C11" i="47"/>
  <c r="T3" i="47"/>
  <c r="R3" i="47"/>
  <c r="P3" i="47"/>
  <c r="N3" i="47"/>
  <c r="L3" i="47"/>
  <c r="J3" i="47"/>
  <c r="H3" i="47"/>
  <c r="F3" i="47"/>
  <c r="D3" i="47"/>
  <c r="B3" i="47"/>
  <c r="O289" i="37"/>
  <c r="P289" i="37" s="1"/>
  <c r="O288" i="37"/>
  <c r="P288" i="37" s="1"/>
  <c r="O287" i="37"/>
  <c r="P287" i="37" s="1"/>
  <c r="O286" i="37"/>
  <c r="P286" i="37" s="1"/>
  <c r="O285" i="37"/>
  <c r="P285" i="37" s="1"/>
  <c r="O284" i="37"/>
  <c r="P284" i="37" s="1"/>
  <c r="O283" i="37"/>
  <c r="P283" i="37" s="1"/>
  <c r="O282" i="37"/>
  <c r="P282" i="37" s="1"/>
  <c r="O281" i="37"/>
  <c r="P281" i="37" s="1"/>
  <c r="O280" i="37"/>
  <c r="P280" i="37" s="1"/>
  <c r="O279" i="37"/>
  <c r="P279" i="37" s="1"/>
  <c r="O278" i="37"/>
  <c r="P278" i="37" s="1"/>
  <c r="O277" i="37"/>
  <c r="P277" i="37" s="1"/>
  <c r="O276" i="37"/>
  <c r="P276" i="37" s="1"/>
  <c r="O275" i="37"/>
  <c r="P275" i="37" s="1"/>
  <c r="O274" i="37"/>
  <c r="P274" i="37" s="1"/>
  <c r="O273" i="37"/>
  <c r="P273" i="37" s="1"/>
  <c r="O272" i="37"/>
  <c r="P272" i="37" s="1"/>
  <c r="O271" i="37"/>
  <c r="P271" i="37" s="1"/>
  <c r="O270" i="37"/>
  <c r="P270" i="37" s="1"/>
  <c r="O269" i="37"/>
  <c r="P269" i="37" s="1"/>
  <c r="O268" i="37"/>
  <c r="P268" i="37" s="1"/>
  <c r="O267" i="37"/>
  <c r="P267" i="37" s="1"/>
  <c r="O266" i="37"/>
  <c r="P266" i="37" s="1"/>
  <c r="O265" i="37"/>
  <c r="P265" i="37" s="1"/>
  <c r="O260" i="37"/>
  <c r="P260" i="37" s="1"/>
  <c r="O259" i="37"/>
  <c r="P259" i="37" s="1"/>
  <c r="O258" i="37"/>
  <c r="P258" i="37" s="1"/>
  <c r="O257" i="37"/>
  <c r="P257" i="37" s="1"/>
  <c r="O256" i="37"/>
  <c r="P256" i="37" s="1"/>
  <c r="O255" i="37"/>
  <c r="P255" i="37" s="1"/>
  <c r="O254" i="37"/>
  <c r="P254" i="37" s="1"/>
  <c r="O253" i="37"/>
  <c r="P253" i="37" s="1"/>
  <c r="O252" i="37"/>
  <c r="P252" i="37" s="1"/>
  <c r="O251" i="37"/>
  <c r="P251" i="37" s="1"/>
  <c r="O250" i="37"/>
  <c r="P250" i="37" s="1"/>
  <c r="O249" i="37"/>
  <c r="P249" i="37" s="1"/>
  <c r="O248" i="37"/>
  <c r="P248" i="37" s="1"/>
  <c r="O247" i="37"/>
  <c r="P247" i="37"/>
  <c r="O246" i="37"/>
  <c r="P246" i="37" s="1"/>
  <c r="O245" i="37"/>
  <c r="P245" i="37" s="1"/>
  <c r="O244" i="37"/>
  <c r="P244" i="37" s="1"/>
  <c r="O243" i="37"/>
  <c r="P243" i="37" s="1"/>
  <c r="O242" i="37"/>
  <c r="P242" i="37" s="1"/>
  <c r="O241" i="37"/>
  <c r="P241" i="37" s="1"/>
  <c r="O240" i="37"/>
  <c r="P240" i="37" s="1"/>
  <c r="O239" i="37"/>
  <c r="P239" i="37" s="1"/>
  <c r="O238" i="37"/>
  <c r="P238" i="37" s="1"/>
  <c r="O237" i="37"/>
  <c r="O236" i="37"/>
  <c r="O231" i="37"/>
  <c r="P231" i="37" s="1"/>
  <c r="O230" i="37"/>
  <c r="P230" i="37"/>
  <c r="O229" i="37"/>
  <c r="P229" i="37" s="1"/>
  <c r="O228" i="37"/>
  <c r="P228" i="37" s="1"/>
  <c r="O227" i="37"/>
  <c r="P227" i="37" s="1"/>
  <c r="O226" i="37"/>
  <c r="P226" i="37" s="1"/>
  <c r="O225" i="37"/>
  <c r="P225" i="37" s="1"/>
  <c r="O224" i="37"/>
  <c r="P224" i="37" s="1"/>
  <c r="O223" i="37"/>
  <c r="P223" i="37" s="1"/>
  <c r="O222" i="37"/>
  <c r="P222" i="37" s="1"/>
  <c r="O221" i="37"/>
  <c r="P221" i="37" s="1"/>
  <c r="O220" i="37"/>
  <c r="P220" i="37" s="1"/>
  <c r="O219" i="37"/>
  <c r="P219" i="37" s="1"/>
  <c r="O218" i="37"/>
  <c r="P218" i="37" s="1"/>
  <c r="O217" i="37"/>
  <c r="P217" i="37" s="1"/>
  <c r="O216" i="37"/>
  <c r="P216" i="37" s="1"/>
  <c r="O215" i="37"/>
  <c r="P215" i="37" s="1"/>
  <c r="O214" i="37"/>
  <c r="P214" i="37" s="1"/>
  <c r="O213" i="37"/>
  <c r="P213" i="37" s="1"/>
  <c r="O212" i="37"/>
  <c r="P212" i="37" s="1"/>
  <c r="O211" i="37"/>
  <c r="P211" i="37" s="1"/>
  <c r="O210" i="37"/>
  <c r="P210" i="37" s="1"/>
  <c r="O209" i="37"/>
  <c r="P209" i="37" s="1"/>
  <c r="O208" i="37"/>
  <c r="P208" i="37" s="1"/>
  <c r="O207" i="37"/>
  <c r="P207" i="37" s="1"/>
  <c r="O202" i="37"/>
  <c r="P202" i="37" s="1"/>
  <c r="O201" i="37"/>
  <c r="P201" i="37" s="1"/>
  <c r="O200" i="37"/>
  <c r="P200" i="37" s="1"/>
  <c r="O199" i="37"/>
  <c r="P199" i="37" s="1"/>
  <c r="O198" i="37"/>
  <c r="P198" i="37" s="1"/>
  <c r="O197" i="37"/>
  <c r="P197" i="37" s="1"/>
  <c r="O196" i="37"/>
  <c r="P196" i="37" s="1"/>
  <c r="O195" i="37"/>
  <c r="P195" i="37" s="1"/>
  <c r="O194" i="37"/>
  <c r="P194" i="37" s="1"/>
  <c r="O193" i="37"/>
  <c r="P193" i="37" s="1"/>
  <c r="O192" i="37"/>
  <c r="P192" i="37" s="1"/>
  <c r="O191" i="37"/>
  <c r="P191" i="37" s="1"/>
  <c r="O190" i="37"/>
  <c r="P190" i="37" s="1"/>
  <c r="O189" i="37"/>
  <c r="P189" i="37" s="1"/>
  <c r="O188" i="37"/>
  <c r="P188" i="37" s="1"/>
  <c r="O187" i="37"/>
  <c r="P187" i="37" s="1"/>
  <c r="O186" i="37"/>
  <c r="P186" i="37" s="1"/>
  <c r="O185" i="37"/>
  <c r="P185" i="37" s="1"/>
  <c r="O184" i="37"/>
  <c r="P184" i="37" s="1"/>
  <c r="O183" i="37"/>
  <c r="P183" i="37" s="1"/>
  <c r="O182" i="37"/>
  <c r="P182" i="37" s="1"/>
  <c r="O181" i="37"/>
  <c r="P181" i="37" s="1"/>
  <c r="O180" i="37"/>
  <c r="P180" i="37" s="1"/>
  <c r="O179" i="37"/>
  <c r="P179" i="37" s="1"/>
  <c r="O178" i="37"/>
  <c r="P178" i="37" s="1"/>
  <c r="O173" i="37"/>
  <c r="P173" i="37" s="1"/>
  <c r="O172" i="37"/>
  <c r="P172" i="37" s="1"/>
  <c r="O171" i="37"/>
  <c r="P171" i="37" s="1"/>
  <c r="O170" i="37"/>
  <c r="P170" i="37" s="1"/>
  <c r="O169" i="37"/>
  <c r="P169" i="37" s="1"/>
  <c r="O168" i="37"/>
  <c r="P168" i="37" s="1"/>
  <c r="O167" i="37"/>
  <c r="P167" i="37" s="1"/>
  <c r="O166" i="37"/>
  <c r="P166" i="37" s="1"/>
  <c r="O165" i="37"/>
  <c r="P165" i="37" s="1"/>
  <c r="O164" i="37"/>
  <c r="P164" i="37" s="1"/>
  <c r="O163" i="37"/>
  <c r="P163" i="37" s="1"/>
  <c r="O162" i="37"/>
  <c r="P162" i="37" s="1"/>
  <c r="O161" i="37"/>
  <c r="P161" i="37" s="1"/>
  <c r="O160" i="37"/>
  <c r="P160" i="37" s="1"/>
  <c r="O159" i="37"/>
  <c r="P159" i="37" s="1"/>
  <c r="O158" i="37"/>
  <c r="P158" i="37" s="1"/>
  <c r="O157" i="37"/>
  <c r="P157" i="37" s="1"/>
  <c r="O156" i="37"/>
  <c r="P156" i="37" s="1"/>
  <c r="O155" i="37"/>
  <c r="P155" i="37" s="1"/>
  <c r="O154" i="37"/>
  <c r="P154" i="37" s="1"/>
  <c r="O153" i="37"/>
  <c r="P153" i="37" s="1"/>
  <c r="O152" i="37"/>
  <c r="P152" i="37" s="1"/>
  <c r="O151" i="37"/>
  <c r="P151" i="37" s="1"/>
  <c r="O150" i="37"/>
  <c r="P150" i="37" s="1"/>
  <c r="O149" i="37"/>
  <c r="P149" i="37" s="1"/>
  <c r="O144" i="37"/>
  <c r="P144" i="37" s="1"/>
  <c r="O143" i="37"/>
  <c r="P143" i="37" s="1"/>
  <c r="O142" i="37"/>
  <c r="P142" i="37" s="1"/>
  <c r="O141" i="37"/>
  <c r="P141" i="37" s="1"/>
  <c r="O140" i="37"/>
  <c r="P140" i="37" s="1"/>
  <c r="O139" i="37"/>
  <c r="P139" i="37" s="1"/>
  <c r="O138" i="37"/>
  <c r="P138" i="37" s="1"/>
  <c r="O137" i="37"/>
  <c r="P137" i="37"/>
  <c r="O136" i="37"/>
  <c r="P136" i="37" s="1"/>
  <c r="O135" i="37"/>
  <c r="P135" i="37" s="1"/>
  <c r="O134" i="37"/>
  <c r="P134" i="37" s="1"/>
  <c r="O133" i="37"/>
  <c r="P133" i="37"/>
  <c r="O132" i="37"/>
  <c r="P132" i="37" s="1"/>
  <c r="O131" i="37"/>
  <c r="P131" i="37" s="1"/>
  <c r="O130" i="37"/>
  <c r="P130" i="37" s="1"/>
  <c r="O129" i="37"/>
  <c r="P129" i="37" s="1"/>
  <c r="O128" i="37"/>
  <c r="P128" i="37" s="1"/>
  <c r="O127" i="37"/>
  <c r="P127" i="37" s="1"/>
  <c r="O126" i="37"/>
  <c r="P126" i="37" s="1"/>
  <c r="O125" i="37"/>
  <c r="P125" i="37" s="1"/>
  <c r="O124" i="37"/>
  <c r="P124" i="37" s="1"/>
  <c r="O123" i="37"/>
  <c r="P123" i="37" s="1"/>
  <c r="O122" i="37"/>
  <c r="P122" i="37" s="1"/>
  <c r="O121" i="37"/>
  <c r="P121" i="37" s="1"/>
  <c r="O120" i="37"/>
  <c r="P120" i="37" s="1"/>
  <c r="AG283" i="37"/>
  <c r="AG222" i="37"/>
  <c r="AG225" i="37"/>
  <c r="AG196" i="37"/>
  <c r="AG167" i="37"/>
  <c r="AG138" i="37"/>
  <c r="I48" i="35"/>
  <c r="AH283" i="37"/>
  <c r="T6" i="48" s="1"/>
  <c r="AH225" i="37"/>
  <c r="AH196" i="37"/>
  <c r="AH167" i="37"/>
  <c r="L6" i="48" s="1"/>
  <c r="AH138" i="37"/>
  <c r="J6" i="48" s="1"/>
  <c r="H313" i="35"/>
  <c r="G313" i="35"/>
  <c r="H303" i="35"/>
  <c r="G303" i="35"/>
  <c r="H271" i="35"/>
  <c r="G271" i="35"/>
  <c r="H239" i="35"/>
  <c r="G239" i="35"/>
  <c r="H207" i="35"/>
  <c r="G207" i="35"/>
  <c r="H175" i="35"/>
  <c r="G175" i="35"/>
  <c r="H143" i="35"/>
  <c r="G143" i="35"/>
  <c r="O79" i="37"/>
  <c r="X79" i="37"/>
  <c r="Z79" i="37" s="1"/>
  <c r="T27" i="2" s="1"/>
  <c r="X78" i="37"/>
  <c r="Z78" i="37" s="1"/>
  <c r="S27" i="2" s="1"/>
  <c r="X77" i="37"/>
  <c r="Z77" i="37" s="1"/>
  <c r="R27" i="2" s="1"/>
  <c r="X76" i="37"/>
  <c r="Z76" i="37" s="1"/>
  <c r="Q27" i="2" s="1"/>
  <c r="X75" i="37"/>
  <c r="Z75" i="37" s="1"/>
  <c r="P27" i="2" s="1"/>
  <c r="X74" i="37"/>
  <c r="Z74" i="37" s="1"/>
  <c r="O27" i="2" s="1"/>
  <c r="X73" i="37"/>
  <c r="Z73" i="37" s="1"/>
  <c r="N27" i="2" s="1"/>
  <c r="X72" i="37"/>
  <c r="Z72" i="37" s="1"/>
  <c r="M27" i="2" s="1"/>
  <c r="X71" i="37"/>
  <c r="Z71" i="37" s="1"/>
  <c r="L27" i="2" s="1"/>
  <c r="X70" i="37"/>
  <c r="Z70" i="37" s="1"/>
  <c r="K27" i="2" s="1"/>
  <c r="X69" i="37"/>
  <c r="Z69" i="37" s="1"/>
  <c r="J27" i="2" s="1"/>
  <c r="X68" i="37"/>
  <c r="Z68" i="37" s="1"/>
  <c r="I27" i="2" s="1"/>
  <c r="X67" i="37"/>
  <c r="Z67" i="37" s="1"/>
  <c r="H27" i="2" s="1"/>
  <c r="X66" i="37"/>
  <c r="Z66" i="37" s="1"/>
  <c r="G27" i="2" s="1"/>
  <c r="X65" i="37"/>
  <c r="Z65" i="37" s="1"/>
  <c r="F27" i="2" s="1"/>
  <c r="X64" i="37"/>
  <c r="Z64" i="37" s="1"/>
  <c r="E27" i="2" s="1"/>
  <c r="X63" i="37"/>
  <c r="Z63" i="37" s="1"/>
  <c r="D27" i="2" s="1"/>
  <c r="X62" i="37"/>
  <c r="Z62" i="37" s="1"/>
  <c r="C27" i="2" s="1"/>
  <c r="X44" i="37"/>
  <c r="Z44" i="37" s="1"/>
  <c r="N17" i="2" s="1"/>
  <c r="X43" i="37"/>
  <c r="Z43" i="37" s="1"/>
  <c r="M17" i="2" s="1"/>
  <c r="X42" i="37"/>
  <c r="Z42" i="37" s="1"/>
  <c r="L17" i="2" s="1"/>
  <c r="X41" i="37"/>
  <c r="Z41" i="37" s="1"/>
  <c r="K17" i="2" s="1"/>
  <c r="X40" i="37"/>
  <c r="Z40" i="37" s="1"/>
  <c r="J17" i="2" s="1"/>
  <c r="X39" i="37"/>
  <c r="Z39" i="37" s="1"/>
  <c r="I17" i="2" s="1"/>
  <c r="X38" i="37"/>
  <c r="Z38" i="37" s="1"/>
  <c r="H17" i="2" s="1"/>
  <c r="X37" i="37"/>
  <c r="Z37" i="37" s="1"/>
  <c r="G17" i="2" s="1"/>
  <c r="X36" i="37"/>
  <c r="Z36" i="37" s="1"/>
  <c r="F17" i="2" s="1"/>
  <c r="X35" i="37"/>
  <c r="Z35" i="37" s="1"/>
  <c r="E17" i="2" s="1"/>
  <c r="X34" i="37"/>
  <c r="Z34" i="37" s="1"/>
  <c r="D17" i="2" s="1"/>
  <c r="X33" i="37"/>
  <c r="Z33" i="37" s="1"/>
  <c r="C17" i="2" s="1"/>
  <c r="X15" i="37"/>
  <c r="Z15" i="37" s="1"/>
  <c r="N7" i="2" s="1"/>
  <c r="X14" i="37"/>
  <c r="Z14" i="37" s="1"/>
  <c r="M7" i="2" s="1"/>
  <c r="X13" i="37"/>
  <c r="Z13" i="37" s="1"/>
  <c r="L7" i="2" s="1"/>
  <c r="X12" i="37"/>
  <c r="Z12" i="37" s="1"/>
  <c r="K7" i="2" s="1"/>
  <c r="X11" i="37"/>
  <c r="Z11" i="37" s="1"/>
  <c r="J7" i="2" s="1"/>
  <c r="X10" i="37"/>
  <c r="Z10" i="37" s="1"/>
  <c r="I7" i="2" s="1"/>
  <c r="X9" i="37"/>
  <c r="Z9" i="37" s="1"/>
  <c r="H7" i="2" s="1"/>
  <c r="X8" i="37"/>
  <c r="Z8" i="37" s="1"/>
  <c r="G7" i="2" s="1"/>
  <c r="X7" i="37"/>
  <c r="Z7" i="37" s="1"/>
  <c r="F7" i="2" s="1"/>
  <c r="X6" i="37"/>
  <c r="Z6" i="37" s="1"/>
  <c r="E7" i="2" s="1"/>
  <c r="X5" i="37"/>
  <c r="Z5" i="37" s="1"/>
  <c r="D7" i="2" s="1"/>
  <c r="X4" i="37"/>
  <c r="H312" i="35"/>
  <c r="G312" i="35"/>
  <c r="H280" i="35"/>
  <c r="G280" i="35"/>
  <c r="H216" i="35"/>
  <c r="G216" i="35"/>
  <c r="H184" i="35"/>
  <c r="G184" i="35"/>
  <c r="H152" i="35"/>
  <c r="G152" i="35"/>
  <c r="R24" i="20"/>
  <c r="O106" i="37"/>
  <c r="P106" i="37" s="1"/>
  <c r="O107" i="37"/>
  <c r="P107" i="37" s="1"/>
  <c r="O108" i="37"/>
  <c r="I312" i="35"/>
  <c r="I280" i="35"/>
  <c r="I216" i="35"/>
  <c r="I184" i="35"/>
  <c r="I152" i="35"/>
  <c r="B47" i="18"/>
  <c r="M3" i="49" s="1"/>
  <c r="C234" i="37"/>
  <c r="AB234" i="37" s="1"/>
  <c r="D234" i="37"/>
  <c r="D24" i="20"/>
  <c r="AB291" i="37"/>
  <c r="AB262" i="37"/>
  <c r="AB233" i="37"/>
  <c r="AB204" i="37"/>
  <c r="AB175" i="37"/>
  <c r="AB146" i="37"/>
  <c r="AB117" i="37"/>
  <c r="AB88" i="37"/>
  <c r="AB59" i="37"/>
  <c r="AB30" i="37"/>
  <c r="A38" i="18"/>
  <c r="A36" i="18"/>
  <c r="A35" i="18"/>
  <c r="A33" i="18"/>
  <c r="A32" i="18"/>
  <c r="A31" i="18"/>
  <c r="A30" i="18"/>
  <c r="A29" i="18"/>
  <c r="A28" i="18"/>
  <c r="A27" i="18"/>
  <c r="A26" i="18"/>
  <c r="A24" i="18"/>
  <c r="A23" i="18"/>
  <c r="A22" i="18"/>
  <c r="A21" i="18"/>
  <c r="A20" i="18"/>
  <c r="A19" i="18"/>
  <c r="A18" i="18"/>
  <c r="U21" i="41"/>
  <c r="S21" i="41"/>
  <c r="Q21" i="41"/>
  <c r="O21" i="41"/>
  <c r="M21" i="41"/>
  <c r="K21" i="41"/>
  <c r="I21" i="41"/>
  <c r="G21" i="41"/>
  <c r="E21" i="41"/>
  <c r="U10" i="41"/>
  <c r="S10" i="41"/>
  <c r="Q10" i="41"/>
  <c r="O10" i="41"/>
  <c r="M10" i="41"/>
  <c r="K10" i="41"/>
  <c r="I10" i="41"/>
  <c r="G10" i="41"/>
  <c r="E10" i="41"/>
  <c r="U21" i="19"/>
  <c r="S21" i="19"/>
  <c r="Q21" i="19"/>
  <c r="O21" i="19"/>
  <c r="M21" i="19"/>
  <c r="K21" i="19"/>
  <c r="I21" i="19"/>
  <c r="G21" i="19"/>
  <c r="E21" i="19"/>
  <c r="AG243" i="37"/>
  <c r="AH243" i="37"/>
  <c r="AG214" i="37"/>
  <c r="AH214" i="37"/>
  <c r="P6" i="22" s="1"/>
  <c r="AG185" i="37"/>
  <c r="AH185" i="37"/>
  <c r="N6" i="22" s="1"/>
  <c r="AH69" i="37"/>
  <c r="F6" i="22" s="1"/>
  <c r="T51" i="13"/>
  <c r="R51" i="13"/>
  <c r="P51" i="13"/>
  <c r="N51" i="13"/>
  <c r="L51" i="13"/>
  <c r="J51" i="13"/>
  <c r="H51" i="13"/>
  <c r="F51" i="13"/>
  <c r="D51" i="13"/>
  <c r="B51" i="13"/>
  <c r="T48" i="13"/>
  <c r="R48" i="13"/>
  <c r="P48" i="13"/>
  <c r="N48" i="13"/>
  <c r="L48" i="13"/>
  <c r="J48" i="13"/>
  <c r="H48" i="13"/>
  <c r="F48" i="13"/>
  <c r="D48" i="13"/>
  <c r="T43" i="13"/>
  <c r="R43" i="13"/>
  <c r="P43" i="13"/>
  <c r="N43" i="13"/>
  <c r="L43" i="13"/>
  <c r="J43" i="13"/>
  <c r="H43" i="13"/>
  <c r="F43" i="13"/>
  <c r="D43" i="13"/>
  <c r="B43" i="13"/>
  <c r="T23" i="45"/>
  <c r="R23" i="45"/>
  <c r="P23" i="45"/>
  <c r="N23" i="45"/>
  <c r="L23" i="45"/>
  <c r="J23" i="45"/>
  <c r="H23" i="45"/>
  <c r="F23" i="45"/>
  <c r="D23" i="45"/>
  <c r="B23" i="45"/>
  <c r="B23" i="44"/>
  <c r="T23" i="44"/>
  <c r="R23" i="44"/>
  <c r="P23" i="44"/>
  <c r="N23" i="44"/>
  <c r="L23" i="44"/>
  <c r="J23" i="44"/>
  <c r="H23" i="44"/>
  <c r="F23" i="44"/>
  <c r="D23" i="44"/>
  <c r="B23" i="43"/>
  <c r="T23" i="43"/>
  <c r="R23" i="43"/>
  <c r="P23" i="43"/>
  <c r="N23" i="43"/>
  <c r="L23" i="43"/>
  <c r="J23" i="43"/>
  <c r="H23" i="43"/>
  <c r="F23" i="43"/>
  <c r="D23" i="43"/>
  <c r="B23" i="1"/>
  <c r="T23" i="1"/>
  <c r="R23" i="1"/>
  <c r="P23" i="1"/>
  <c r="N23" i="1"/>
  <c r="L23" i="1"/>
  <c r="J23" i="1"/>
  <c r="H23" i="1"/>
  <c r="F23" i="1"/>
  <c r="D23" i="1"/>
  <c r="T12" i="15"/>
  <c r="T27" i="15" s="1"/>
  <c r="R12" i="15"/>
  <c r="R27" i="15" s="1"/>
  <c r="P12" i="15"/>
  <c r="P27" i="15" s="1"/>
  <c r="N12" i="15"/>
  <c r="N27" i="15" s="1"/>
  <c r="L12" i="15"/>
  <c r="L27" i="15" s="1"/>
  <c r="J12" i="15"/>
  <c r="J27" i="15" s="1"/>
  <c r="H12" i="15"/>
  <c r="H27" i="15" s="1"/>
  <c r="F12" i="15"/>
  <c r="F27" i="15" s="1"/>
  <c r="D12" i="15"/>
  <c r="D27" i="15" s="1"/>
  <c r="B12" i="15"/>
  <c r="B27" i="15" s="1"/>
  <c r="U16" i="42"/>
  <c r="S16" i="42"/>
  <c r="Q16" i="42"/>
  <c r="O16" i="42"/>
  <c r="M16" i="42"/>
  <c r="K16" i="42"/>
  <c r="I16" i="42"/>
  <c r="G16" i="42"/>
  <c r="E16" i="42"/>
  <c r="C16" i="42"/>
  <c r="U16" i="20"/>
  <c r="S16" i="20"/>
  <c r="Q16" i="20"/>
  <c r="O16" i="20"/>
  <c r="M16" i="20"/>
  <c r="K16" i="20"/>
  <c r="I16" i="20"/>
  <c r="G16" i="20"/>
  <c r="E16" i="20"/>
  <c r="C16" i="20"/>
  <c r="U13" i="13"/>
  <c r="U12" i="13"/>
  <c r="U11" i="13"/>
  <c r="S13" i="13"/>
  <c r="S12" i="13"/>
  <c r="S11" i="13"/>
  <c r="Q13" i="13"/>
  <c r="Q12" i="13"/>
  <c r="Q11" i="13"/>
  <c r="O13" i="13"/>
  <c r="O12" i="13"/>
  <c r="O11" i="13"/>
  <c r="M13" i="13"/>
  <c r="M12" i="13"/>
  <c r="M11" i="13"/>
  <c r="K13" i="13"/>
  <c r="K12" i="13"/>
  <c r="K11" i="13"/>
  <c r="I13" i="13"/>
  <c r="I12" i="13"/>
  <c r="I11" i="13"/>
  <c r="G13" i="13"/>
  <c r="G12" i="13"/>
  <c r="G11" i="13"/>
  <c r="E13" i="13"/>
  <c r="E12" i="13"/>
  <c r="E11" i="13"/>
  <c r="C13" i="13"/>
  <c r="C12" i="13"/>
  <c r="C11" i="13"/>
  <c r="C18" i="44"/>
  <c r="C17" i="44"/>
  <c r="C18" i="43"/>
  <c r="C17" i="43"/>
  <c r="C18" i="1"/>
  <c r="C17" i="1"/>
  <c r="S37" i="41"/>
  <c r="O37" i="41"/>
  <c r="K37" i="41"/>
  <c r="U15" i="41"/>
  <c r="S15" i="41"/>
  <c r="Q15" i="41"/>
  <c r="O15" i="41"/>
  <c r="M15" i="41"/>
  <c r="K15" i="41"/>
  <c r="I15" i="41"/>
  <c r="G15" i="41"/>
  <c r="E15" i="41"/>
  <c r="C15" i="41"/>
  <c r="U14" i="41"/>
  <c r="S14" i="41"/>
  <c r="Q14" i="41"/>
  <c r="O14" i="41"/>
  <c r="M14" i="41"/>
  <c r="K14" i="41"/>
  <c r="I14" i="41"/>
  <c r="G14" i="41"/>
  <c r="E14" i="41"/>
  <c r="C14" i="41"/>
  <c r="U13" i="41"/>
  <c r="S13" i="41"/>
  <c r="Q13" i="41"/>
  <c r="O13" i="41"/>
  <c r="M13" i="41"/>
  <c r="K13" i="41"/>
  <c r="I13" i="41"/>
  <c r="G13" i="41"/>
  <c r="E13" i="41"/>
  <c r="C13" i="41"/>
  <c r="S37" i="19"/>
  <c r="Q37" i="19"/>
  <c r="U15" i="19"/>
  <c r="S15" i="19"/>
  <c r="Q15" i="19"/>
  <c r="O15" i="19"/>
  <c r="M15" i="19"/>
  <c r="K15" i="19"/>
  <c r="I15" i="19"/>
  <c r="G15" i="19"/>
  <c r="E15" i="19"/>
  <c r="C15" i="19"/>
  <c r="U14" i="19"/>
  <c r="S14" i="19"/>
  <c r="Q14" i="19"/>
  <c r="O14" i="19"/>
  <c r="M14" i="19"/>
  <c r="K14" i="19"/>
  <c r="I14" i="19"/>
  <c r="G14" i="19"/>
  <c r="E14" i="19"/>
  <c r="C14" i="19"/>
  <c r="U13" i="19"/>
  <c r="S13" i="19"/>
  <c r="Q13" i="19"/>
  <c r="O13" i="19"/>
  <c r="M13" i="19"/>
  <c r="K13" i="19"/>
  <c r="I13" i="19"/>
  <c r="G13" i="19"/>
  <c r="E13" i="19"/>
  <c r="C13" i="19"/>
  <c r="U7" i="26"/>
  <c r="S7" i="26"/>
  <c r="Q7" i="26"/>
  <c r="O7" i="26"/>
  <c r="M7" i="26"/>
  <c r="K7" i="26"/>
  <c r="I7" i="26"/>
  <c r="G7" i="26"/>
  <c r="E7" i="26"/>
  <c r="C7" i="26"/>
  <c r="DK10" i="45"/>
  <c r="DK12" i="45" s="1"/>
  <c r="DL13" i="45" s="1"/>
  <c r="DM13" i="45" s="1"/>
  <c r="DD10" i="45"/>
  <c r="DE12" i="45" s="1"/>
  <c r="DF12" i="45" s="1"/>
  <c r="CW10" i="45"/>
  <c r="CP10" i="45"/>
  <c r="CQ4" i="45" s="1"/>
  <c r="CQ5" i="45" s="1"/>
  <c r="CR4" i="45" s="1"/>
  <c r="CI10" i="45"/>
  <c r="CI12" i="45" s="1"/>
  <c r="CB10" i="45"/>
  <c r="BU10" i="45"/>
  <c r="BV12" i="45" s="1"/>
  <c r="BW12" i="45" s="1"/>
  <c r="BN10" i="45"/>
  <c r="BN12" i="45" s="1"/>
  <c r="BO13" i="45" s="1"/>
  <c r="BP13" i="45" s="1"/>
  <c r="BG10" i="45"/>
  <c r="BH4" i="45" s="1"/>
  <c r="BH5" i="45" s="1"/>
  <c r="BI4" i="45" s="1"/>
  <c r="AZ10" i="45"/>
  <c r="AZ12" i="45" s="1"/>
  <c r="BA13" i="45" s="1"/>
  <c r="BB13" i="45" s="1"/>
  <c r="AZ10" i="44"/>
  <c r="AZ12" i="44" s="1"/>
  <c r="AZ13" i="44" s="1"/>
  <c r="DK10" i="44"/>
  <c r="DL12" i="44" s="1"/>
  <c r="DM12" i="44" s="1"/>
  <c r="DD10" i="44"/>
  <c r="DE12" i="44" s="1"/>
  <c r="DF12" i="44" s="1"/>
  <c r="CW10" i="44"/>
  <c r="CP10" i="44"/>
  <c r="CP12" i="44" s="1"/>
  <c r="CP13" i="44" s="1"/>
  <c r="CQ14" i="44" s="1"/>
  <c r="CR14" i="44" s="1"/>
  <c r="CI10" i="44"/>
  <c r="CJ12" i="44" s="1"/>
  <c r="CK12" i="44" s="1"/>
  <c r="CB10" i="44"/>
  <c r="CC4" i="44" s="1"/>
  <c r="CC5" i="44" s="1"/>
  <c r="CD4" i="44" s="1"/>
  <c r="BU10" i="44"/>
  <c r="BU12" i="44" s="1"/>
  <c r="BV13" i="44" s="1"/>
  <c r="BW13" i="44" s="1"/>
  <c r="BN10" i="44"/>
  <c r="BN12" i="44" s="1"/>
  <c r="BO13" i="44" s="1"/>
  <c r="BP13" i="44" s="1"/>
  <c r="BG10" i="44"/>
  <c r="BG12" i="44" s="1"/>
  <c r="BH13" i="44" s="1"/>
  <c r="BI13" i="44" s="1"/>
  <c r="AZ10" i="43"/>
  <c r="BA4" i="43" s="1"/>
  <c r="BA5" i="43" s="1"/>
  <c r="BB4" i="43" s="1"/>
  <c r="DK10" i="43"/>
  <c r="DD10" i="43"/>
  <c r="DD12" i="43" s="1"/>
  <c r="DD13" i="43" s="1"/>
  <c r="DD14" i="43" s="1"/>
  <c r="CW10" i="43"/>
  <c r="CP10" i="43"/>
  <c r="CQ4" i="43" s="1"/>
  <c r="CQ5" i="43" s="1"/>
  <c r="CR4" i="43" s="1"/>
  <c r="CI10" i="43"/>
  <c r="CJ4" i="43" s="1"/>
  <c r="CJ5" i="43" s="1"/>
  <c r="CK4" i="43" s="1"/>
  <c r="CB10" i="43"/>
  <c r="CB12" i="43" s="1"/>
  <c r="CB13" i="43" s="1"/>
  <c r="CC14" i="43" s="1"/>
  <c r="CD14" i="43" s="1"/>
  <c r="BU10" i="43"/>
  <c r="BV12" i="43" s="1"/>
  <c r="BW12" i="43" s="1"/>
  <c r="BN10" i="43"/>
  <c r="BN12" i="43" s="1"/>
  <c r="BO13" i="43" s="1"/>
  <c r="BP13" i="43" s="1"/>
  <c r="BG10" i="43"/>
  <c r="AZ10" i="1"/>
  <c r="A233" i="3"/>
  <c r="A232" i="3"/>
  <c r="DK10" i="1"/>
  <c r="DK12" i="1" s="1"/>
  <c r="DK13" i="1" s="1"/>
  <c r="DK14" i="1" s="1"/>
  <c r="DL15" i="1" s="1"/>
  <c r="DM15" i="1" s="1"/>
  <c r="DD10" i="1"/>
  <c r="CW10" i="1"/>
  <c r="CW12" i="1" s="1"/>
  <c r="CW13" i="1" s="1"/>
  <c r="CP10" i="1"/>
  <c r="CI10" i="1"/>
  <c r="CJ4" i="1" s="1"/>
  <c r="CJ5" i="1" s="1"/>
  <c r="CK4" i="1" s="1"/>
  <c r="CB10" i="1"/>
  <c r="CB12" i="1" s="1"/>
  <c r="CB13" i="1" s="1"/>
  <c r="CB14" i="1" s="1"/>
  <c r="BU10" i="1"/>
  <c r="BN10" i="1"/>
  <c r="BO4" i="1" s="1"/>
  <c r="BO5" i="1" s="1"/>
  <c r="BP4" i="1" s="1"/>
  <c r="BG10" i="1"/>
  <c r="D263" i="37"/>
  <c r="C263" i="37"/>
  <c r="AB263" i="37" s="1"/>
  <c r="D205" i="37"/>
  <c r="C205" i="37"/>
  <c r="AB205" i="37" s="1"/>
  <c r="D176" i="37"/>
  <c r="C176" i="37"/>
  <c r="AB176" i="37" s="1"/>
  <c r="D147" i="37"/>
  <c r="C147" i="37"/>
  <c r="AB147" i="37" s="1"/>
  <c r="D118" i="37"/>
  <c r="C118" i="37"/>
  <c r="AB118" i="37" s="1"/>
  <c r="D89" i="37"/>
  <c r="C89" i="37"/>
  <c r="AB89" i="37" s="1"/>
  <c r="D60" i="37"/>
  <c r="C60" i="37"/>
  <c r="AB60" i="37" s="1"/>
  <c r="D31" i="37"/>
  <c r="C31" i="37"/>
  <c r="AB31" i="37" s="1"/>
  <c r="D2" i="37"/>
  <c r="C2" i="37"/>
  <c r="AB2" i="37" s="1"/>
  <c r="K17" i="18"/>
  <c r="J17" i="18"/>
  <c r="I17" i="18"/>
  <c r="H17" i="18"/>
  <c r="G17" i="18"/>
  <c r="D17" i="18"/>
  <c r="H272" i="35"/>
  <c r="H270" i="35"/>
  <c r="G270" i="35"/>
  <c r="H249" i="35"/>
  <c r="G249" i="35"/>
  <c r="H240" i="35"/>
  <c r="H238" i="35"/>
  <c r="G238" i="35"/>
  <c r="H206" i="35"/>
  <c r="G206" i="35"/>
  <c r="H182" i="35"/>
  <c r="H149" i="35"/>
  <c r="H144" i="35"/>
  <c r="H112" i="35"/>
  <c r="H78" i="35"/>
  <c r="G78" i="35"/>
  <c r="H53" i="35"/>
  <c r="G53" i="35"/>
  <c r="G272" i="35"/>
  <c r="G240" i="35"/>
  <c r="G182" i="35"/>
  <c r="G149" i="35"/>
  <c r="G144" i="35"/>
  <c r="G112" i="35"/>
  <c r="H22" i="35"/>
  <c r="G22" i="35" s="1"/>
  <c r="I272" i="35"/>
  <c r="I240" i="35"/>
  <c r="I182" i="35"/>
  <c r="I149" i="35"/>
  <c r="I144" i="35"/>
  <c r="I112" i="35"/>
  <c r="I53" i="35"/>
  <c r="J272" i="35"/>
  <c r="J240" i="35"/>
  <c r="J144" i="35"/>
  <c r="J112" i="35"/>
  <c r="C208" i="35"/>
  <c r="AD277" i="37"/>
  <c r="AE277" i="37" s="1"/>
  <c r="AC277" i="37"/>
  <c r="AC236" i="37"/>
  <c r="AG268" i="37"/>
  <c r="AG269" i="37"/>
  <c r="AG271" i="37"/>
  <c r="AG275" i="37"/>
  <c r="AG277" i="37"/>
  <c r="AG278" i="37"/>
  <c r="AG279" i="37"/>
  <c r="AG280" i="37"/>
  <c r="AH250" i="37"/>
  <c r="AI250" i="37" s="1"/>
  <c r="AH241" i="37"/>
  <c r="AI241" i="37" s="1"/>
  <c r="AG236" i="37"/>
  <c r="AG210" i="37"/>
  <c r="AG207" i="37"/>
  <c r="AG178" i="37"/>
  <c r="AG149" i="37"/>
  <c r="AG5" i="37"/>
  <c r="AG35" i="37"/>
  <c r="AG63" i="37"/>
  <c r="AG68" i="37"/>
  <c r="AG72" i="37"/>
  <c r="AG74" i="37"/>
  <c r="AG76" i="37"/>
  <c r="AH97" i="37"/>
  <c r="AI97" i="37" s="1"/>
  <c r="AG92" i="37"/>
  <c r="AG124" i="37"/>
  <c r="AC132" i="37"/>
  <c r="AC120" i="37"/>
  <c r="AH163" i="37"/>
  <c r="AI163" i="37" s="1"/>
  <c r="AG155" i="37"/>
  <c r="AC161" i="37"/>
  <c r="AH209" i="37"/>
  <c r="P13" i="44" s="1"/>
  <c r="H245" i="35"/>
  <c r="G245" i="35"/>
  <c r="AD211" i="37"/>
  <c r="AE211" i="37" s="1"/>
  <c r="AC211" i="37"/>
  <c r="AC207" i="37"/>
  <c r="AD190" i="37"/>
  <c r="AC190" i="37"/>
  <c r="AC185" i="37"/>
  <c r="AC182" i="37"/>
  <c r="AC178" i="37"/>
  <c r="AG188" i="37"/>
  <c r="AH219" i="37"/>
  <c r="AI219" i="37" s="1"/>
  <c r="AG212" i="37"/>
  <c r="AD214" i="37"/>
  <c r="AE214" i="37" s="1"/>
  <c r="AC219" i="37"/>
  <c r="AC214" i="37"/>
  <c r="AH237" i="37"/>
  <c r="R13" i="43" s="1"/>
  <c r="AH236" i="37"/>
  <c r="H275" i="35"/>
  <c r="G275" i="35"/>
  <c r="AG238" i="37"/>
  <c r="AG237" i="37"/>
  <c r="AD240" i="37"/>
  <c r="AE240" i="37" s="1"/>
  <c r="AC240" i="37"/>
  <c r="AH240" i="37"/>
  <c r="AI240" i="37" s="1"/>
  <c r="AH242" i="37"/>
  <c r="AI242" i="37" s="1"/>
  <c r="AH245" i="37"/>
  <c r="AI245" i="37" s="1"/>
  <c r="AH248" i="37"/>
  <c r="AI248" i="37" s="1"/>
  <c r="AH249" i="37"/>
  <c r="R7" i="13" s="1"/>
  <c r="H279" i="35"/>
  <c r="G279" i="35"/>
  <c r="AG239" i="37"/>
  <c r="AG240" i="37"/>
  <c r="AG241" i="37"/>
  <c r="AG242" i="37"/>
  <c r="AG245" i="37"/>
  <c r="AG246" i="37"/>
  <c r="AG249" i="37"/>
  <c r="AG250" i="37"/>
  <c r="AG208" i="37"/>
  <c r="AG209" i="37"/>
  <c r="AG211" i="37"/>
  <c r="AG213" i="37"/>
  <c r="AG216" i="37"/>
  <c r="AG217" i="37"/>
  <c r="AG219" i="37"/>
  <c r="AG220" i="37"/>
  <c r="AG221" i="37"/>
  <c r="AG179" i="37"/>
  <c r="AG180" i="37"/>
  <c r="AG181" i="37"/>
  <c r="AG182" i="37"/>
  <c r="AG183" i="37"/>
  <c r="AG184" i="37"/>
  <c r="AG187" i="37"/>
  <c r="AG191" i="37"/>
  <c r="AG192" i="37"/>
  <c r="AG193" i="37"/>
  <c r="AH178" i="37"/>
  <c r="AG164" i="37"/>
  <c r="AG163" i="37"/>
  <c r="AG162" i="37"/>
  <c r="AG161" i="37"/>
  <c r="AG158" i="37"/>
  <c r="AG153" i="37"/>
  <c r="AG152" i="37"/>
  <c r="AG150" i="37"/>
  <c r="AG121" i="37"/>
  <c r="AG122" i="37"/>
  <c r="AG123" i="37"/>
  <c r="AG126" i="37"/>
  <c r="AG130" i="37"/>
  <c r="AG132" i="37"/>
  <c r="AG133" i="37"/>
  <c r="AG134" i="37"/>
  <c r="AG135" i="37"/>
  <c r="AG120" i="37"/>
  <c r="AH120" i="37"/>
  <c r="AI120" i="37" s="1"/>
  <c r="H147" i="35"/>
  <c r="G147" i="35"/>
  <c r="AG97" i="37"/>
  <c r="AG103" i="37"/>
  <c r="AG105" i="37"/>
  <c r="AG34" i="37"/>
  <c r="AG39" i="37"/>
  <c r="AG45" i="37"/>
  <c r="AG47" i="37"/>
  <c r="AG10" i="37"/>
  <c r="AG16" i="37"/>
  <c r="AG18" i="37"/>
  <c r="AH271" i="37"/>
  <c r="AI271" i="37" s="1"/>
  <c r="AH213" i="37"/>
  <c r="AI213" i="37" s="1"/>
  <c r="AH184" i="37"/>
  <c r="AI184" i="37" s="1"/>
  <c r="AH155" i="37"/>
  <c r="AI155" i="37" s="1"/>
  <c r="AH126" i="37"/>
  <c r="AI126" i="37" s="1"/>
  <c r="AH68" i="37"/>
  <c r="AI68" i="37" s="1"/>
  <c r="AH39" i="37"/>
  <c r="AI39" i="37" s="1"/>
  <c r="AH10" i="37"/>
  <c r="AI10" i="37" s="1"/>
  <c r="AH275" i="37"/>
  <c r="AH277" i="37"/>
  <c r="AI277" i="37" s="1"/>
  <c r="AH278" i="37"/>
  <c r="T7" i="13" s="1"/>
  <c r="H311" i="35"/>
  <c r="G311" i="35"/>
  <c r="AH279" i="37"/>
  <c r="AI279" i="37" s="1"/>
  <c r="AH280" i="37"/>
  <c r="AI280" i="37" s="1"/>
  <c r="AH208" i="37"/>
  <c r="AI208" i="37" s="1"/>
  <c r="AH211" i="37"/>
  <c r="P7" i="19" s="1"/>
  <c r="AH212" i="37"/>
  <c r="AI212" i="37" s="1"/>
  <c r="AH216" i="37"/>
  <c r="AI216" i="37" s="1"/>
  <c r="AH217" i="37"/>
  <c r="AH221" i="37"/>
  <c r="AI221" i="37" s="1"/>
  <c r="AH222" i="37"/>
  <c r="AI222" i="37" s="1"/>
  <c r="AH179" i="37"/>
  <c r="N13" i="43" s="1"/>
  <c r="AH188" i="37"/>
  <c r="AH191" i="37"/>
  <c r="N7" i="13" s="1"/>
  <c r="H215" i="35"/>
  <c r="G215" i="35"/>
  <c r="AH192" i="37"/>
  <c r="AI192" i="37" s="1"/>
  <c r="AH193" i="37"/>
  <c r="AI193" i="37" s="1"/>
  <c r="AH150" i="37"/>
  <c r="AH152" i="37"/>
  <c r="L13" i="45" s="1"/>
  <c r="AH153" i="37"/>
  <c r="L7" i="19" s="1"/>
  <c r="AH161" i="37"/>
  <c r="AI161" i="37" s="1"/>
  <c r="AH164" i="37"/>
  <c r="AI164" i="37" s="1"/>
  <c r="AH121" i="37"/>
  <c r="AI121" i="37" s="1"/>
  <c r="AH122" i="37"/>
  <c r="H146" i="35"/>
  <c r="G146" i="35"/>
  <c r="AH132" i="37"/>
  <c r="AI132" i="37" s="1"/>
  <c r="AH134" i="37"/>
  <c r="AI134" i="37" s="1"/>
  <c r="AH135" i="37"/>
  <c r="AI135" i="37" s="1"/>
  <c r="AH92" i="37"/>
  <c r="AH103" i="37"/>
  <c r="AI103" i="37" s="1"/>
  <c r="AH105" i="37"/>
  <c r="AI105" i="37" s="1"/>
  <c r="AH63" i="37"/>
  <c r="AI63" i="37" s="1"/>
  <c r="AH72" i="37"/>
  <c r="AI72" i="37" s="1"/>
  <c r="AH74" i="37"/>
  <c r="AI74" i="37" s="1"/>
  <c r="AH76" i="37"/>
  <c r="AI76" i="37" s="1"/>
  <c r="AH34" i="37"/>
  <c r="AH35" i="37"/>
  <c r="D13" i="44" s="1"/>
  <c r="AH38" i="37"/>
  <c r="AI38" i="37" s="1"/>
  <c r="AH45" i="37"/>
  <c r="AI45" i="37" s="1"/>
  <c r="AH47" i="37"/>
  <c r="AI47" i="37" s="1"/>
  <c r="AH16" i="37"/>
  <c r="AI16" i="37" s="1"/>
  <c r="AH18" i="37"/>
  <c r="AI18" i="37" s="1"/>
  <c r="L272" i="35"/>
  <c r="L240" i="35"/>
  <c r="L144" i="35"/>
  <c r="L112" i="35"/>
  <c r="N291" i="37"/>
  <c r="M291" i="37"/>
  <c r="L291" i="37"/>
  <c r="K291" i="37"/>
  <c r="J291" i="37"/>
  <c r="I291" i="37"/>
  <c r="N262" i="37"/>
  <c r="M262" i="37"/>
  <c r="L262" i="37"/>
  <c r="K262" i="37"/>
  <c r="J262" i="37"/>
  <c r="I262" i="37"/>
  <c r="N233" i="37"/>
  <c r="M233" i="37"/>
  <c r="L233" i="37"/>
  <c r="K233" i="37"/>
  <c r="J233" i="37"/>
  <c r="I233" i="37"/>
  <c r="N204" i="37"/>
  <c r="M204" i="37"/>
  <c r="L204" i="37"/>
  <c r="K204" i="37"/>
  <c r="J204" i="37"/>
  <c r="I204" i="37"/>
  <c r="N175" i="37"/>
  <c r="M175" i="37"/>
  <c r="L175" i="37"/>
  <c r="K175" i="37"/>
  <c r="J175" i="37"/>
  <c r="I175" i="37"/>
  <c r="I146" i="37"/>
  <c r="N146" i="37"/>
  <c r="M146" i="37"/>
  <c r="L146" i="37"/>
  <c r="K146" i="37"/>
  <c r="J146" i="37"/>
  <c r="I117" i="37"/>
  <c r="N117" i="37"/>
  <c r="M117" i="37"/>
  <c r="L117" i="37"/>
  <c r="K117" i="37"/>
  <c r="J117" i="37"/>
  <c r="N88" i="37"/>
  <c r="M88" i="37"/>
  <c r="L88" i="37"/>
  <c r="K88" i="37"/>
  <c r="J88" i="37"/>
  <c r="I88" i="37"/>
  <c r="N59" i="37"/>
  <c r="M59" i="37"/>
  <c r="L59" i="37"/>
  <c r="K59" i="37"/>
  <c r="J59" i="37"/>
  <c r="I59" i="37"/>
  <c r="J30" i="37"/>
  <c r="K30" i="37"/>
  <c r="L30" i="37"/>
  <c r="M30" i="37"/>
  <c r="N30" i="37"/>
  <c r="I30" i="37"/>
  <c r="T3" i="17"/>
  <c r="R3" i="17"/>
  <c r="P3" i="17"/>
  <c r="N3" i="17"/>
  <c r="L3" i="17"/>
  <c r="J3" i="17"/>
  <c r="H3" i="17"/>
  <c r="F3" i="17"/>
  <c r="D3" i="17"/>
  <c r="B3" i="17"/>
  <c r="T3" i="9"/>
  <c r="R3" i="9"/>
  <c r="P3" i="9"/>
  <c r="N3" i="9"/>
  <c r="L3" i="9"/>
  <c r="J3" i="9"/>
  <c r="H3" i="9"/>
  <c r="F3" i="9"/>
  <c r="D3" i="9"/>
  <c r="B3" i="9"/>
  <c r="T24" i="45"/>
  <c r="R24" i="45"/>
  <c r="P24" i="45"/>
  <c r="N24" i="45"/>
  <c r="L24" i="45"/>
  <c r="J24" i="45"/>
  <c r="H24" i="45"/>
  <c r="F24" i="45"/>
  <c r="D24" i="45"/>
  <c r="B24" i="45"/>
  <c r="T24" i="44"/>
  <c r="R24" i="44"/>
  <c r="P24" i="44"/>
  <c r="N24" i="44"/>
  <c r="L24" i="44"/>
  <c r="J24" i="44"/>
  <c r="H24" i="44"/>
  <c r="F24" i="44"/>
  <c r="D24" i="44"/>
  <c r="T24" i="43"/>
  <c r="R24" i="43"/>
  <c r="P24" i="43"/>
  <c r="N24" i="43"/>
  <c r="L24" i="43"/>
  <c r="J24" i="43"/>
  <c r="H24" i="43"/>
  <c r="F24" i="43"/>
  <c r="D24" i="43"/>
  <c r="B24" i="43"/>
  <c r="T24" i="1"/>
  <c r="R24" i="1"/>
  <c r="P24" i="1"/>
  <c r="N24" i="1"/>
  <c r="L24" i="1"/>
  <c r="J24" i="1"/>
  <c r="F24" i="1"/>
  <c r="D24" i="1"/>
  <c r="B24" i="1"/>
  <c r="F10" i="3"/>
  <c r="B13" i="3" s="1"/>
  <c r="B14" i="3" s="1"/>
  <c r="B11" i="52" s="1"/>
  <c r="E17" i="18"/>
  <c r="C17" i="18"/>
  <c r="B24" i="44"/>
  <c r="E310" i="35"/>
  <c r="E309" i="35"/>
  <c r="E308" i="35"/>
  <c r="E307" i="35"/>
  <c r="E278" i="35"/>
  <c r="E277" i="35"/>
  <c r="E276" i="35"/>
  <c r="E275" i="35"/>
  <c r="E246" i="35"/>
  <c r="E245" i="35"/>
  <c r="E244" i="35"/>
  <c r="E243" i="35"/>
  <c r="E214" i="35"/>
  <c r="E213" i="35"/>
  <c r="E212" i="35"/>
  <c r="E211" i="35"/>
  <c r="E182" i="35"/>
  <c r="E181" i="35"/>
  <c r="E180" i="35"/>
  <c r="E179" i="35"/>
  <c r="E150" i="35"/>
  <c r="E149" i="35"/>
  <c r="E148" i="35"/>
  <c r="E147" i="35"/>
  <c r="E118" i="35"/>
  <c r="E117" i="35"/>
  <c r="E116" i="35"/>
  <c r="E115" i="35"/>
  <c r="E86" i="35"/>
  <c r="E85" i="35"/>
  <c r="E84" i="35"/>
  <c r="E83" i="35"/>
  <c r="E54" i="35"/>
  <c r="E53" i="35"/>
  <c r="E52" i="35"/>
  <c r="E51" i="35"/>
  <c r="O314" i="35"/>
  <c r="O313" i="35"/>
  <c r="O306" i="35"/>
  <c r="O305" i="35"/>
  <c r="O304" i="35"/>
  <c r="O302" i="35"/>
  <c r="O301" i="35"/>
  <c r="O300" i="35"/>
  <c r="M300" i="35"/>
  <c r="L300" i="35"/>
  <c r="O299" i="35"/>
  <c r="O298" i="35"/>
  <c r="O297" i="35"/>
  <c r="O296" i="35"/>
  <c r="M296" i="35"/>
  <c r="L296" i="35"/>
  <c r="O282" i="35"/>
  <c r="O281" i="35"/>
  <c r="O274" i="35"/>
  <c r="O273" i="35"/>
  <c r="O272" i="35"/>
  <c r="O270" i="35"/>
  <c r="O269" i="35"/>
  <c r="O268" i="35"/>
  <c r="M268" i="35"/>
  <c r="L268" i="35"/>
  <c r="O267" i="35"/>
  <c r="O266" i="35"/>
  <c r="O265" i="35"/>
  <c r="O264" i="35"/>
  <c r="M264" i="35"/>
  <c r="L264" i="35"/>
  <c r="O250" i="35"/>
  <c r="O249" i="35"/>
  <c r="O242" i="35"/>
  <c r="O241" i="35"/>
  <c r="O240" i="35"/>
  <c r="O238" i="35"/>
  <c r="O237" i="35"/>
  <c r="O236" i="35"/>
  <c r="M236" i="35"/>
  <c r="L236" i="35"/>
  <c r="O235" i="35"/>
  <c r="O234" i="35"/>
  <c r="O233" i="35"/>
  <c r="O232" i="35"/>
  <c r="M232" i="35"/>
  <c r="L232" i="35"/>
  <c r="O218" i="35"/>
  <c r="O217" i="35"/>
  <c r="O210" i="35"/>
  <c r="O209" i="35"/>
  <c r="O208" i="35"/>
  <c r="O206" i="35"/>
  <c r="O205" i="35"/>
  <c r="O204" i="35"/>
  <c r="M204" i="35"/>
  <c r="L204" i="35"/>
  <c r="O202" i="35"/>
  <c r="O201" i="35"/>
  <c r="O200" i="35"/>
  <c r="M200" i="35"/>
  <c r="L200" i="35"/>
  <c r="O186" i="35"/>
  <c r="O185" i="35"/>
  <c r="N182" i="35"/>
  <c r="O178" i="35"/>
  <c r="O177" i="35"/>
  <c r="O176" i="35"/>
  <c r="O174" i="35"/>
  <c r="O173" i="35"/>
  <c r="O172" i="35"/>
  <c r="M172" i="35"/>
  <c r="L172" i="35"/>
  <c r="O170" i="35"/>
  <c r="O169" i="35"/>
  <c r="O168" i="35"/>
  <c r="M168" i="35"/>
  <c r="L168" i="35"/>
  <c r="O154" i="35"/>
  <c r="O153" i="35"/>
  <c r="N149" i="35"/>
  <c r="O146" i="35"/>
  <c r="O145" i="35"/>
  <c r="O144" i="35"/>
  <c r="O142" i="35"/>
  <c r="O141" i="35"/>
  <c r="O140" i="35"/>
  <c r="M140" i="35"/>
  <c r="L140" i="35"/>
  <c r="O138" i="35"/>
  <c r="O137" i="35"/>
  <c r="O136" i="35"/>
  <c r="M136" i="35"/>
  <c r="L136" i="35"/>
  <c r="O122" i="35"/>
  <c r="O121" i="35"/>
  <c r="O114" i="35"/>
  <c r="O113" i="35"/>
  <c r="O112" i="35"/>
  <c r="O110" i="35"/>
  <c r="O109" i="35"/>
  <c r="O108" i="35"/>
  <c r="M108" i="35"/>
  <c r="L108" i="35"/>
  <c r="O106" i="35"/>
  <c r="O105" i="35"/>
  <c r="O104" i="35"/>
  <c r="M104" i="35"/>
  <c r="L104" i="35"/>
  <c r="O90" i="35"/>
  <c r="O89" i="35"/>
  <c r="O82" i="35"/>
  <c r="O81" i="35"/>
  <c r="O80" i="35"/>
  <c r="O78" i="35"/>
  <c r="O77" i="35"/>
  <c r="O76" i="35"/>
  <c r="M76" i="35"/>
  <c r="L76" i="35"/>
  <c r="O74" i="35"/>
  <c r="O73" i="35"/>
  <c r="O72" i="35"/>
  <c r="M72" i="35"/>
  <c r="L72" i="35"/>
  <c r="O58" i="35"/>
  <c r="O57" i="35"/>
  <c r="N53" i="35"/>
  <c r="O50" i="35"/>
  <c r="O49" i="35"/>
  <c r="O48" i="35"/>
  <c r="O46" i="35"/>
  <c r="O45" i="35"/>
  <c r="O44" i="35"/>
  <c r="M44" i="35"/>
  <c r="L44" i="35"/>
  <c r="O42" i="35"/>
  <c r="O41" i="35"/>
  <c r="O40" i="35"/>
  <c r="M40" i="35"/>
  <c r="L40" i="35"/>
  <c r="N22" i="35"/>
  <c r="O18" i="35"/>
  <c r="O17" i="35"/>
  <c r="O14" i="35"/>
  <c r="O12" i="35"/>
  <c r="M12" i="35"/>
  <c r="L12" i="35"/>
  <c r="M8" i="35"/>
  <c r="L8" i="35"/>
  <c r="D12" i="2"/>
  <c r="X236" i="37"/>
  <c r="Z236" i="37" s="1"/>
  <c r="C87" i="2" s="1"/>
  <c r="X289" i="37"/>
  <c r="Z289" i="37" s="1"/>
  <c r="AA97" i="2" s="1"/>
  <c r="X288" i="37"/>
  <c r="Z288" i="37" s="1"/>
  <c r="Z97" i="2" s="1"/>
  <c r="X287" i="37"/>
  <c r="Z287" i="37" s="1"/>
  <c r="Y97" i="2" s="1"/>
  <c r="X286" i="37"/>
  <c r="Z286" i="37" s="1"/>
  <c r="X97" i="2" s="1"/>
  <c r="X285" i="37"/>
  <c r="Z285" i="37" s="1"/>
  <c r="W97" i="2" s="1"/>
  <c r="X284" i="37"/>
  <c r="Z284" i="37" s="1"/>
  <c r="V97" i="2" s="1"/>
  <c r="X283" i="37"/>
  <c r="Z283" i="37" s="1"/>
  <c r="U97" i="2" s="1"/>
  <c r="X282" i="37"/>
  <c r="Z282" i="37" s="1"/>
  <c r="T97" i="2" s="1"/>
  <c r="X281" i="37"/>
  <c r="Z281" i="37" s="1"/>
  <c r="S97" i="2" s="1"/>
  <c r="X280" i="37"/>
  <c r="Z280" i="37" s="1"/>
  <c r="R97" i="2" s="1"/>
  <c r="X279" i="37"/>
  <c r="Z279" i="37" s="1"/>
  <c r="Q97" i="2" s="1"/>
  <c r="X278" i="37"/>
  <c r="Z278" i="37" s="1"/>
  <c r="P97" i="2" s="1"/>
  <c r="X277" i="37"/>
  <c r="Z277" i="37" s="1"/>
  <c r="O97" i="2" s="1"/>
  <c r="X276" i="37"/>
  <c r="Z276" i="37" s="1"/>
  <c r="N97" i="2" s="1"/>
  <c r="X275" i="37"/>
  <c r="Z275" i="37" s="1"/>
  <c r="M97" i="2" s="1"/>
  <c r="X274" i="37"/>
  <c r="Z274" i="37" s="1"/>
  <c r="L97" i="2" s="1"/>
  <c r="X273" i="37"/>
  <c r="Z273" i="37" s="1"/>
  <c r="K97" i="2" s="1"/>
  <c r="X272" i="37"/>
  <c r="Z272" i="37" s="1"/>
  <c r="J97" i="2" s="1"/>
  <c r="X271" i="37"/>
  <c r="Z271" i="37" s="1"/>
  <c r="I97" i="2" s="1"/>
  <c r="X270" i="37"/>
  <c r="Z270" i="37" s="1"/>
  <c r="H97" i="2" s="1"/>
  <c r="X269" i="37"/>
  <c r="Z269" i="37" s="1"/>
  <c r="G97" i="2" s="1"/>
  <c r="X268" i="37"/>
  <c r="Z268" i="37" s="1"/>
  <c r="F97" i="2" s="1"/>
  <c r="X267" i="37"/>
  <c r="Z267" i="37" s="1"/>
  <c r="E97" i="2" s="1"/>
  <c r="X266" i="37"/>
  <c r="Z266" i="37" s="1"/>
  <c r="D97" i="2" s="1"/>
  <c r="X265" i="37"/>
  <c r="Z265" i="37" s="1"/>
  <c r="C97" i="2" s="1"/>
  <c r="X260" i="37"/>
  <c r="Z260" i="37" s="1"/>
  <c r="AA87" i="2" s="1"/>
  <c r="X259" i="37"/>
  <c r="Z259" i="37" s="1"/>
  <c r="Z87" i="2" s="1"/>
  <c r="X258" i="37"/>
  <c r="Z258" i="37" s="1"/>
  <c r="Y87" i="2" s="1"/>
  <c r="X257" i="37"/>
  <c r="Z257" i="37" s="1"/>
  <c r="X87" i="2" s="1"/>
  <c r="X256" i="37"/>
  <c r="Z256" i="37" s="1"/>
  <c r="W87" i="2" s="1"/>
  <c r="X255" i="37"/>
  <c r="Z255" i="37" s="1"/>
  <c r="V87" i="2" s="1"/>
  <c r="X254" i="37"/>
  <c r="Z254" i="37" s="1"/>
  <c r="U87" i="2" s="1"/>
  <c r="X253" i="37"/>
  <c r="Z253" i="37" s="1"/>
  <c r="T87" i="2" s="1"/>
  <c r="X252" i="37"/>
  <c r="Z252" i="37" s="1"/>
  <c r="S87" i="2" s="1"/>
  <c r="X251" i="37"/>
  <c r="Z251" i="37" s="1"/>
  <c r="R87" i="2" s="1"/>
  <c r="X250" i="37"/>
  <c r="Z250" i="37" s="1"/>
  <c r="Q87" i="2" s="1"/>
  <c r="X249" i="37"/>
  <c r="Z249" i="37" s="1"/>
  <c r="P87" i="2" s="1"/>
  <c r="X248" i="37"/>
  <c r="Z248" i="37" s="1"/>
  <c r="O87" i="2" s="1"/>
  <c r="X247" i="37"/>
  <c r="Z247" i="37" s="1"/>
  <c r="N87" i="2" s="1"/>
  <c r="X246" i="37"/>
  <c r="Z246" i="37" s="1"/>
  <c r="M87" i="2" s="1"/>
  <c r="X245" i="37"/>
  <c r="Z245" i="37" s="1"/>
  <c r="L87" i="2" s="1"/>
  <c r="X244" i="37"/>
  <c r="Z244" i="37" s="1"/>
  <c r="K87" i="2" s="1"/>
  <c r="X243" i="37"/>
  <c r="Z243" i="37" s="1"/>
  <c r="J87" i="2" s="1"/>
  <c r="X242" i="37"/>
  <c r="Z242" i="37" s="1"/>
  <c r="I87" i="2" s="1"/>
  <c r="X241" i="37"/>
  <c r="Z241" i="37" s="1"/>
  <c r="H87" i="2" s="1"/>
  <c r="X240" i="37"/>
  <c r="Z240" i="37" s="1"/>
  <c r="G87" i="2" s="1"/>
  <c r="X239" i="37"/>
  <c r="Z239" i="37" s="1"/>
  <c r="F87" i="2" s="1"/>
  <c r="X238" i="37"/>
  <c r="Z238" i="37" s="1"/>
  <c r="E87" i="2" s="1"/>
  <c r="X237" i="37"/>
  <c r="Z237" i="37" s="1"/>
  <c r="D87" i="2" s="1"/>
  <c r="X231" i="37"/>
  <c r="Z231" i="37" s="1"/>
  <c r="AA77" i="2" s="1"/>
  <c r="X230" i="37"/>
  <c r="Z230" i="37" s="1"/>
  <c r="Z77" i="2" s="1"/>
  <c r="X229" i="37"/>
  <c r="Z229" i="37" s="1"/>
  <c r="Y77" i="2" s="1"/>
  <c r="X228" i="37"/>
  <c r="Z228" i="37" s="1"/>
  <c r="X77" i="2" s="1"/>
  <c r="X227" i="37"/>
  <c r="Z227" i="37" s="1"/>
  <c r="W77" i="2" s="1"/>
  <c r="X226" i="37"/>
  <c r="Z226" i="37" s="1"/>
  <c r="V77" i="2" s="1"/>
  <c r="X225" i="37"/>
  <c r="Z225" i="37" s="1"/>
  <c r="U77" i="2" s="1"/>
  <c r="X224" i="37"/>
  <c r="Z224" i="37" s="1"/>
  <c r="T77" i="2" s="1"/>
  <c r="X223" i="37"/>
  <c r="Z223" i="37" s="1"/>
  <c r="S77" i="2" s="1"/>
  <c r="X222" i="37"/>
  <c r="Z222" i="37" s="1"/>
  <c r="R77" i="2" s="1"/>
  <c r="X221" i="37"/>
  <c r="Z221" i="37" s="1"/>
  <c r="Q77" i="2" s="1"/>
  <c r="X220" i="37"/>
  <c r="Z220" i="37" s="1"/>
  <c r="P77" i="2" s="1"/>
  <c r="X219" i="37"/>
  <c r="Z219" i="37" s="1"/>
  <c r="O77" i="2" s="1"/>
  <c r="X218" i="37"/>
  <c r="Z218" i="37" s="1"/>
  <c r="N77" i="2" s="1"/>
  <c r="X217" i="37"/>
  <c r="Z217" i="37" s="1"/>
  <c r="M77" i="2" s="1"/>
  <c r="X216" i="37"/>
  <c r="Z216" i="37" s="1"/>
  <c r="L77" i="2" s="1"/>
  <c r="X215" i="37"/>
  <c r="Z215" i="37" s="1"/>
  <c r="K77" i="2" s="1"/>
  <c r="X214" i="37"/>
  <c r="Z214" i="37" s="1"/>
  <c r="J77" i="2" s="1"/>
  <c r="X213" i="37"/>
  <c r="Z213" i="37" s="1"/>
  <c r="I77" i="2" s="1"/>
  <c r="X212" i="37"/>
  <c r="Z212" i="37" s="1"/>
  <c r="H77" i="2" s="1"/>
  <c r="X211" i="37"/>
  <c r="Z211" i="37" s="1"/>
  <c r="G77" i="2" s="1"/>
  <c r="X210" i="37"/>
  <c r="Z210" i="37" s="1"/>
  <c r="F77" i="2" s="1"/>
  <c r="X209" i="37"/>
  <c r="Z209" i="37" s="1"/>
  <c r="E77" i="2" s="1"/>
  <c r="X208" i="37"/>
  <c r="Z208" i="37" s="1"/>
  <c r="D77" i="2" s="1"/>
  <c r="X207" i="37"/>
  <c r="Z207" i="37" s="1"/>
  <c r="C77" i="2" s="1"/>
  <c r="Z202" i="37"/>
  <c r="AA67" i="2" s="1"/>
  <c r="Z201" i="37"/>
  <c r="Z67" i="2" s="1"/>
  <c r="Z200" i="37"/>
  <c r="Y67" i="2" s="1"/>
  <c r="Z199" i="37"/>
  <c r="X67" i="2" s="1"/>
  <c r="Z198" i="37"/>
  <c r="W67" i="2" s="1"/>
  <c r="Z197" i="37"/>
  <c r="V67" i="2" s="1"/>
  <c r="Z196" i="37"/>
  <c r="U67" i="2" s="1"/>
  <c r="Z195" i="37"/>
  <c r="T67" i="2" s="1"/>
  <c r="Z194" i="37"/>
  <c r="S67" i="2" s="1"/>
  <c r="Z193" i="37"/>
  <c r="R67" i="2" s="1"/>
  <c r="Z192" i="37"/>
  <c r="Q67" i="2" s="1"/>
  <c r="Z191" i="37"/>
  <c r="P67" i="2" s="1"/>
  <c r="Z190" i="37"/>
  <c r="O67" i="2" s="1"/>
  <c r="Z189" i="37"/>
  <c r="N67" i="2" s="1"/>
  <c r="Z188" i="37"/>
  <c r="M67" i="2" s="1"/>
  <c r="Z187" i="37"/>
  <c r="L67" i="2" s="1"/>
  <c r="Z186" i="37"/>
  <c r="K67" i="2" s="1"/>
  <c r="Z185" i="37"/>
  <c r="J67" i="2" s="1"/>
  <c r="Z184" i="37"/>
  <c r="I67" i="2" s="1"/>
  <c r="Z183" i="37"/>
  <c r="H67" i="2" s="1"/>
  <c r="Z182" i="37"/>
  <c r="G67" i="2" s="1"/>
  <c r="Z181" i="37"/>
  <c r="F67" i="2" s="1"/>
  <c r="Z180" i="37"/>
  <c r="E67" i="2" s="1"/>
  <c r="Z179" i="37"/>
  <c r="D67" i="2" s="1"/>
  <c r="Z178" i="37"/>
  <c r="C67" i="2" s="1"/>
  <c r="X173" i="37"/>
  <c r="Z173" i="37" s="1"/>
  <c r="AA57" i="2" s="1"/>
  <c r="X172" i="37"/>
  <c r="Z172" i="37" s="1"/>
  <c r="Z57" i="2" s="1"/>
  <c r="X171" i="37"/>
  <c r="Z171" i="37" s="1"/>
  <c r="Y57" i="2" s="1"/>
  <c r="X170" i="37"/>
  <c r="Z170" i="37" s="1"/>
  <c r="X57" i="2" s="1"/>
  <c r="X169" i="37"/>
  <c r="Z169" i="37" s="1"/>
  <c r="W57" i="2" s="1"/>
  <c r="X168" i="37"/>
  <c r="Z168" i="37" s="1"/>
  <c r="V57" i="2" s="1"/>
  <c r="X167" i="37"/>
  <c r="Z167" i="37" s="1"/>
  <c r="U57" i="2" s="1"/>
  <c r="X166" i="37"/>
  <c r="Z166" i="37" s="1"/>
  <c r="T57" i="2" s="1"/>
  <c r="X165" i="37"/>
  <c r="Z165" i="37" s="1"/>
  <c r="S57" i="2" s="1"/>
  <c r="X164" i="37"/>
  <c r="Z164" i="37" s="1"/>
  <c r="R57" i="2" s="1"/>
  <c r="X163" i="37"/>
  <c r="Z163" i="37" s="1"/>
  <c r="Q57" i="2" s="1"/>
  <c r="X162" i="37"/>
  <c r="Z162" i="37" s="1"/>
  <c r="P57" i="2" s="1"/>
  <c r="X161" i="37"/>
  <c r="Z161" i="37" s="1"/>
  <c r="O57" i="2" s="1"/>
  <c r="X160" i="37"/>
  <c r="Z160" i="37" s="1"/>
  <c r="N57" i="2" s="1"/>
  <c r="X159" i="37"/>
  <c r="Z159" i="37" s="1"/>
  <c r="M57" i="2" s="1"/>
  <c r="X158" i="37"/>
  <c r="Z158" i="37" s="1"/>
  <c r="L57" i="2" s="1"/>
  <c r="X157" i="37"/>
  <c r="Z157" i="37" s="1"/>
  <c r="K57" i="2" s="1"/>
  <c r="X156" i="37"/>
  <c r="Z156" i="37" s="1"/>
  <c r="J57" i="2" s="1"/>
  <c r="X155" i="37"/>
  <c r="Z155" i="37" s="1"/>
  <c r="I57" i="2" s="1"/>
  <c r="X154" i="37"/>
  <c r="Z154" i="37" s="1"/>
  <c r="H57" i="2" s="1"/>
  <c r="X144" i="37"/>
  <c r="Z144" i="37" s="1"/>
  <c r="AA47" i="2" s="1"/>
  <c r="X143" i="37"/>
  <c r="Z143" i="37" s="1"/>
  <c r="Z47" i="2" s="1"/>
  <c r="X142" i="37"/>
  <c r="Z142" i="37" s="1"/>
  <c r="Y47" i="2" s="1"/>
  <c r="X141" i="37"/>
  <c r="Z141" i="37" s="1"/>
  <c r="X47" i="2" s="1"/>
  <c r="X140" i="37"/>
  <c r="Z140" i="37" s="1"/>
  <c r="W47" i="2" s="1"/>
  <c r="X139" i="37"/>
  <c r="Z139" i="37" s="1"/>
  <c r="V47" i="2" s="1"/>
  <c r="X138" i="37"/>
  <c r="Z138" i="37" s="1"/>
  <c r="U47" i="2" s="1"/>
  <c r="X137" i="37"/>
  <c r="Z137" i="37" s="1"/>
  <c r="T47" i="2" s="1"/>
  <c r="X136" i="37"/>
  <c r="Z136" i="37" s="1"/>
  <c r="S47" i="2" s="1"/>
  <c r="X135" i="37"/>
  <c r="Z135" i="37" s="1"/>
  <c r="R47" i="2" s="1"/>
  <c r="X134" i="37"/>
  <c r="Z134" i="37" s="1"/>
  <c r="Q47" i="2" s="1"/>
  <c r="X133" i="37"/>
  <c r="Z133" i="37" s="1"/>
  <c r="P47" i="2" s="1"/>
  <c r="X132" i="37"/>
  <c r="Z132" i="37" s="1"/>
  <c r="O47" i="2" s="1"/>
  <c r="X131" i="37"/>
  <c r="Z131" i="37" s="1"/>
  <c r="N47" i="2" s="1"/>
  <c r="X130" i="37"/>
  <c r="Z130" i="37" s="1"/>
  <c r="M47" i="2" s="1"/>
  <c r="X129" i="37"/>
  <c r="Z129" i="37" s="1"/>
  <c r="L47" i="2" s="1"/>
  <c r="X128" i="37"/>
  <c r="Z128" i="37" s="1"/>
  <c r="K47" i="2" s="1"/>
  <c r="X127" i="37"/>
  <c r="Z127" i="37" s="1"/>
  <c r="J47" i="2" s="1"/>
  <c r="X126" i="37"/>
  <c r="Z126" i="37" s="1"/>
  <c r="I47" i="2" s="1"/>
  <c r="X125" i="37"/>
  <c r="Z125" i="37" s="1"/>
  <c r="H47" i="2" s="1"/>
  <c r="X124" i="37"/>
  <c r="Z124" i="37" s="1"/>
  <c r="G47" i="2" s="1"/>
  <c r="X123" i="37"/>
  <c r="Z123" i="37" s="1"/>
  <c r="F47" i="2" s="1"/>
  <c r="X122" i="37"/>
  <c r="Z122" i="37" s="1"/>
  <c r="E47" i="2" s="1"/>
  <c r="X121" i="37"/>
  <c r="Z121" i="37" s="1"/>
  <c r="D47" i="2" s="1"/>
  <c r="X120" i="37"/>
  <c r="Z120" i="37" s="1"/>
  <c r="C47" i="2" s="1"/>
  <c r="X115" i="37"/>
  <c r="Z115" i="37" s="1"/>
  <c r="AA37" i="2" s="1"/>
  <c r="X114" i="37"/>
  <c r="Z114" i="37" s="1"/>
  <c r="Z37" i="2" s="1"/>
  <c r="X113" i="37"/>
  <c r="Z113" i="37" s="1"/>
  <c r="Y37" i="2" s="1"/>
  <c r="X112" i="37"/>
  <c r="Z112" i="37" s="1"/>
  <c r="X37" i="2" s="1"/>
  <c r="X111" i="37"/>
  <c r="Z111" i="37" s="1"/>
  <c r="W37" i="2" s="1"/>
  <c r="X110" i="37"/>
  <c r="Z110" i="37" s="1"/>
  <c r="V37" i="2" s="1"/>
  <c r="X109" i="37"/>
  <c r="Z109" i="37" s="1"/>
  <c r="U37" i="2" s="1"/>
  <c r="X108" i="37"/>
  <c r="Z108" i="37" s="1"/>
  <c r="T37" i="2" s="1"/>
  <c r="X107" i="37"/>
  <c r="Z107" i="37" s="1"/>
  <c r="S37" i="2" s="1"/>
  <c r="X106" i="37"/>
  <c r="Z106" i="37" s="1"/>
  <c r="R37" i="2" s="1"/>
  <c r="X105" i="37"/>
  <c r="Z105" i="37" s="1"/>
  <c r="Q37" i="2" s="1"/>
  <c r="X104" i="37"/>
  <c r="Z104" i="37" s="1"/>
  <c r="P37" i="2" s="1"/>
  <c r="X103" i="37"/>
  <c r="Z103" i="37" s="1"/>
  <c r="O37" i="2" s="1"/>
  <c r="X102" i="37"/>
  <c r="Z102" i="37" s="1"/>
  <c r="N37" i="2" s="1"/>
  <c r="X101" i="37"/>
  <c r="Z101" i="37" s="1"/>
  <c r="M37" i="2" s="1"/>
  <c r="X100" i="37"/>
  <c r="Z100" i="37" s="1"/>
  <c r="L37" i="2" s="1"/>
  <c r="X99" i="37"/>
  <c r="Z99" i="37" s="1"/>
  <c r="K37" i="2" s="1"/>
  <c r="X98" i="37"/>
  <c r="Z98" i="37" s="1"/>
  <c r="J37" i="2" s="1"/>
  <c r="X97" i="37"/>
  <c r="Z97" i="37" s="1"/>
  <c r="I37" i="2" s="1"/>
  <c r="X96" i="37"/>
  <c r="Z96" i="37" s="1"/>
  <c r="H37" i="2" s="1"/>
  <c r="X95" i="37"/>
  <c r="Z95" i="37" s="1"/>
  <c r="G37" i="2" s="1"/>
  <c r="X94" i="37"/>
  <c r="Z94" i="37" s="1"/>
  <c r="F37" i="2" s="1"/>
  <c r="X93" i="37"/>
  <c r="Z93" i="37" s="1"/>
  <c r="E37" i="2" s="1"/>
  <c r="X92" i="37"/>
  <c r="Z92" i="37" s="1"/>
  <c r="D37" i="2" s="1"/>
  <c r="X91" i="37"/>
  <c r="Z91" i="37" s="1"/>
  <c r="C37" i="2" s="1"/>
  <c r="X86" i="37"/>
  <c r="Z86" i="37" s="1"/>
  <c r="AA27" i="2" s="1"/>
  <c r="X85" i="37"/>
  <c r="Z85" i="37" s="1"/>
  <c r="Z27" i="2" s="1"/>
  <c r="X84" i="37"/>
  <c r="Z84" i="37" s="1"/>
  <c r="Y27" i="2" s="1"/>
  <c r="X83" i="37"/>
  <c r="Z83" i="37" s="1"/>
  <c r="X27" i="2" s="1"/>
  <c r="X82" i="37"/>
  <c r="Z82" i="37" s="1"/>
  <c r="W27" i="2" s="1"/>
  <c r="X81" i="37"/>
  <c r="Z81" i="37" s="1"/>
  <c r="V27" i="2" s="1"/>
  <c r="X80" i="37"/>
  <c r="Z80" i="37" s="1"/>
  <c r="U27" i="2" s="1"/>
  <c r="X57" i="37"/>
  <c r="Z57" i="37" s="1"/>
  <c r="AA17" i="2" s="1"/>
  <c r="X56" i="37"/>
  <c r="Z56" i="37" s="1"/>
  <c r="Z17" i="2" s="1"/>
  <c r="X55" i="37"/>
  <c r="Z55" i="37" s="1"/>
  <c r="Y17" i="2" s="1"/>
  <c r="X54" i="37"/>
  <c r="Z54" i="37" s="1"/>
  <c r="X17" i="2" s="1"/>
  <c r="X53" i="37"/>
  <c r="Z53" i="37" s="1"/>
  <c r="W17" i="2" s="1"/>
  <c r="X52" i="37"/>
  <c r="Z52" i="37" s="1"/>
  <c r="V17" i="2" s="1"/>
  <c r="X51" i="37"/>
  <c r="Z51" i="37" s="1"/>
  <c r="U17" i="2" s="1"/>
  <c r="X50" i="37"/>
  <c r="Z50" i="37" s="1"/>
  <c r="T17" i="2" s="1"/>
  <c r="X49" i="37"/>
  <c r="Z49" i="37" s="1"/>
  <c r="S17" i="2" s="1"/>
  <c r="X48" i="37"/>
  <c r="Z48" i="37" s="1"/>
  <c r="R17" i="2" s="1"/>
  <c r="X47" i="37"/>
  <c r="Z47" i="37" s="1"/>
  <c r="Q17" i="2" s="1"/>
  <c r="X46" i="37"/>
  <c r="Z46" i="37" s="1"/>
  <c r="P17" i="2" s="1"/>
  <c r="X45" i="37"/>
  <c r="Z45" i="37" s="1"/>
  <c r="O17" i="2" s="1"/>
  <c r="X28" i="37"/>
  <c r="Z28" i="37" s="1"/>
  <c r="AA7" i="2" s="1"/>
  <c r="X27" i="37"/>
  <c r="Z27" i="37" s="1"/>
  <c r="Z7" i="2" s="1"/>
  <c r="X26" i="37"/>
  <c r="Z26" i="37" s="1"/>
  <c r="Y7" i="2" s="1"/>
  <c r="X25" i="37"/>
  <c r="Z25" i="37" s="1"/>
  <c r="X7" i="2" s="1"/>
  <c r="X24" i="37"/>
  <c r="Z24" i="37" s="1"/>
  <c r="W7" i="2" s="1"/>
  <c r="X23" i="37"/>
  <c r="Z23" i="37" s="1"/>
  <c r="V7" i="2" s="1"/>
  <c r="X22" i="37"/>
  <c r="Z22" i="37" s="1"/>
  <c r="U7" i="2" s="1"/>
  <c r="X21" i="37"/>
  <c r="Z21" i="37" s="1"/>
  <c r="T7" i="2" s="1"/>
  <c r="X20" i="37"/>
  <c r="Z20" i="37" s="1"/>
  <c r="S7" i="2" s="1"/>
  <c r="X19" i="37"/>
  <c r="Z19" i="37" s="1"/>
  <c r="R7" i="2" s="1"/>
  <c r="X18" i="37"/>
  <c r="Z18" i="37" s="1"/>
  <c r="Q7" i="2" s="1"/>
  <c r="X17" i="37"/>
  <c r="Z17" i="37" s="1"/>
  <c r="P7" i="2" s="1"/>
  <c r="X16" i="37"/>
  <c r="Z16" i="37" s="1"/>
  <c r="O7" i="2" s="1"/>
  <c r="B94" i="2"/>
  <c r="B84" i="2"/>
  <c r="B74" i="2"/>
  <c r="B64" i="2"/>
  <c r="B54" i="2"/>
  <c r="B44" i="2"/>
  <c r="B34" i="2"/>
  <c r="B24" i="2"/>
  <c r="B14" i="2"/>
  <c r="B4" i="2"/>
  <c r="D9" i="2"/>
  <c r="E9" i="2"/>
  <c r="F9" i="2"/>
  <c r="G9" i="2"/>
  <c r="H9" i="2"/>
  <c r="I9" i="2"/>
  <c r="J9" i="2"/>
  <c r="K9" i="2"/>
  <c r="L9" i="2"/>
  <c r="M9" i="2"/>
  <c r="N9" i="2"/>
  <c r="O9" i="2"/>
  <c r="P9" i="2"/>
  <c r="Q9" i="2"/>
  <c r="R9" i="2"/>
  <c r="S9" i="2"/>
  <c r="T9" i="2"/>
  <c r="U9" i="2"/>
  <c r="V9" i="2"/>
  <c r="W9" i="2"/>
  <c r="X9" i="2"/>
  <c r="Y9" i="2"/>
  <c r="Z9" i="2"/>
  <c r="AA9" i="2"/>
  <c r="K47" i="18"/>
  <c r="J47" i="18"/>
  <c r="I47" i="18"/>
  <c r="H47" i="18"/>
  <c r="S3" i="49" s="1"/>
  <c r="G47" i="18"/>
  <c r="H3" i="49" s="1"/>
  <c r="F47" i="18"/>
  <c r="G3" i="49" s="1"/>
  <c r="E47" i="18"/>
  <c r="F3" i="49" s="1"/>
  <c r="D47" i="18"/>
  <c r="E3" i="49" s="1"/>
  <c r="C47" i="18"/>
  <c r="D3" i="49" s="1"/>
  <c r="K16" i="18"/>
  <c r="J16" i="18"/>
  <c r="I16" i="18"/>
  <c r="H16" i="18"/>
  <c r="G16" i="18"/>
  <c r="F16" i="18"/>
  <c r="E16" i="18"/>
  <c r="D16" i="18"/>
  <c r="C16" i="18"/>
  <c r="B16" i="18"/>
  <c r="O33" i="37"/>
  <c r="AG37" i="37" s="1"/>
  <c r="AG46" i="37"/>
  <c r="T33" i="37"/>
  <c r="U33" i="37"/>
  <c r="V33" i="37" s="1"/>
  <c r="O34" i="37"/>
  <c r="P34" i="37" s="1"/>
  <c r="O35" i="37"/>
  <c r="O36" i="37"/>
  <c r="P36" i="37" s="1"/>
  <c r="O37" i="37"/>
  <c r="O38" i="37"/>
  <c r="P38" i="37" s="1"/>
  <c r="O39" i="37"/>
  <c r="P39" i="37" s="1"/>
  <c r="O40" i="37"/>
  <c r="P40" i="37" s="1"/>
  <c r="O41" i="37"/>
  <c r="P41" i="37" s="1"/>
  <c r="O42" i="37"/>
  <c r="O43" i="37"/>
  <c r="O44" i="37"/>
  <c r="P44" i="37" s="1"/>
  <c r="E28" i="35"/>
  <c r="O26" i="35"/>
  <c r="O25" i="35"/>
  <c r="I22" i="35"/>
  <c r="E22" i="35"/>
  <c r="E21" i="35"/>
  <c r="E20" i="35"/>
  <c r="O16" i="35"/>
  <c r="C16" i="35"/>
  <c r="O13" i="35"/>
  <c r="C13" i="35"/>
  <c r="O10" i="35"/>
  <c r="O8" i="35"/>
  <c r="E8" i="35"/>
  <c r="AU14" i="45"/>
  <c r="AU13" i="45"/>
  <c r="AU12" i="45"/>
  <c r="AU11" i="45"/>
  <c r="AX41" i="45"/>
  <c r="AX40" i="45"/>
  <c r="AX39" i="45"/>
  <c r="AX38" i="45"/>
  <c r="AX37" i="45"/>
  <c r="AX36" i="45"/>
  <c r="AX35" i="45"/>
  <c r="AX34" i="45"/>
  <c r="AX33" i="45"/>
  <c r="AX32" i="45"/>
  <c r="AX31" i="45"/>
  <c r="AX30" i="45"/>
  <c r="AX29" i="45"/>
  <c r="AX28" i="45"/>
  <c r="AX27" i="45"/>
  <c r="AX26" i="45"/>
  <c r="AX25" i="45"/>
  <c r="AX24" i="45"/>
  <c r="AX23" i="45"/>
  <c r="AX22" i="45"/>
  <c r="AX21" i="45"/>
  <c r="AX20" i="45"/>
  <c r="AX19" i="45"/>
  <c r="AX18" i="45"/>
  <c r="AX17" i="45"/>
  <c r="AX16" i="45"/>
  <c r="AX15" i="45"/>
  <c r="AX14" i="45"/>
  <c r="AX13" i="45"/>
  <c r="AX12" i="45"/>
  <c r="T10" i="45"/>
  <c r="R10" i="45"/>
  <c r="P10" i="45"/>
  <c r="N10" i="45"/>
  <c r="L10" i="45"/>
  <c r="J10" i="45"/>
  <c r="H10" i="45"/>
  <c r="F10" i="45"/>
  <c r="D10" i="45"/>
  <c r="B10" i="45"/>
  <c r="DI6" i="45"/>
  <c r="DB6" i="45"/>
  <c r="CU6" i="45"/>
  <c r="CN6" i="45"/>
  <c r="CG6" i="45"/>
  <c r="BZ6" i="45"/>
  <c r="BS6" i="45"/>
  <c r="BL6" i="45"/>
  <c r="BE6" i="45"/>
  <c r="AX6" i="45"/>
  <c r="DJ5" i="45"/>
  <c r="DC5" i="45"/>
  <c r="CV5" i="45"/>
  <c r="CO5" i="45"/>
  <c r="CH5" i="45"/>
  <c r="CA5" i="45"/>
  <c r="BT5" i="45"/>
  <c r="BM5" i="45"/>
  <c r="BF5" i="45"/>
  <c r="AY5" i="45"/>
  <c r="DL1" i="45"/>
  <c r="DE1" i="45"/>
  <c r="CX1" i="45"/>
  <c r="CQ1" i="45"/>
  <c r="CJ1" i="45"/>
  <c r="CC1" i="45"/>
  <c r="BV1" i="45"/>
  <c r="BO1" i="45"/>
  <c r="BH1" i="45"/>
  <c r="AU14" i="44"/>
  <c r="AU13" i="44"/>
  <c r="AU12" i="44"/>
  <c r="AU11" i="44"/>
  <c r="AX41" i="44"/>
  <c r="AX40" i="44"/>
  <c r="AX39" i="44"/>
  <c r="AX38" i="44"/>
  <c r="AX37" i="44"/>
  <c r="AX36" i="44"/>
  <c r="AX35" i="44"/>
  <c r="AX34" i="44"/>
  <c r="AX33" i="44"/>
  <c r="AX32" i="44"/>
  <c r="AX31" i="44"/>
  <c r="AX30" i="44"/>
  <c r="AX29" i="44"/>
  <c r="AX28" i="44"/>
  <c r="AX27" i="44"/>
  <c r="AX26" i="44"/>
  <c r="AX25" i="44"/>
  <c r="AX24" i="44"/>
  <c r="AX23" i="44"/>
  <c r="AX22" i="44"/>
  <c r="C21" i="44"/>
  <c r="AX21" i="44"/>
  <c r="AX20" i="44"/>
  <c r="AX19" i="44"/>
  <c r="AX18" i="44"/>
  <c r="AX17" i="44"/>
  <c r="AX16" i="44"/>
  <c r="AX15" i="44"/>
  <c r="AX14" i="44"/>
  <c r="AX13" i="44"/>
  <c r="AX12" i="44"/>
  <c r="T10" i="44"/>
  <c r="R10" i="44"/>
  <c r="P10" i="44"/>
  <c r="N10" i="44"/>
  <c r="L10" i="44"/>
  <c r="J10" i="44"/>
  <c r="H10" i="44"/>
  <c r="F10" i="44"/>
  <c r="D10" i="44"/>
  <c r="B10" i="44"/>
  <c r="DI6" i="44"/>
  <c r="DB6" i="44"/>
  <c r="CU6" i="44"/>
  <c r="CN6" i="44"/>
  <c r="CG6" i="44"/>
  <c r="BZ6" i="44"/>
  <c r="BS6" i="44"/>
  <c r="BL6" i="44"/>
  <c r="BE6" i="44"/>
  <c r="AX6" i="44"/>
  <c r="DJ5" i="44"/>
  <c r="DC5" i="44"/>
  <c r="CV5" i="44"/>
  <c r="CO5" i="44"/>
  <c r="CH5" i="44"/>
  <c r="CA5" i="44"/>
  <c r="BT5" i="44"/>
  <c r="BM5" i="44"/>
  <c r="BF5" i="44"/>
  <c r="AY5" i="44"/>
  <c r="DL1" i="44"/>
  <c r="DE1" i="44"/>
  <c r="CX1" i="44"/>
  <c r="CQ1" i="44"/>
  <c r="CJ1" i="44"/>
  <c r="CC1" i="44"/>
  <c r="BV1" i="44"/>
  <c r="BO1" i="44"/>
  <c r="BH1" i="44"/>
  <c r="AU14" i="43"/>
  <c r="AU13" i="43"/>
  <c r="AU12" i="43"/>
  <c r="AU11" i="43"/>
  <c r="AX41" i="43"/>
  <c r="AX40" i="43"/>
  <c r="AX39" i="43"/>
  <c r="AX38" i="43"/>
  <c r="AX37" i="43"/>
  <c r="AX36" i="43"/>
  <c r="AX35" i="43"/>
  <c r="AX34" i="43"/>
  <c r="AX33" i="43"/>
  <c r="AX32" i="43"/>
  <c r="AX31" i="43"/>
  <c r="AX30" i="43"/>
  <c r="AX29" i="43"/>
  <c r="AX28" i="43"/>
  <c r="AX27" i="43"/>
  <c r="AX26" i="43"/>
  <c r="AX25" i="43"/>
  <c r="AX24" i="43"/>
  <c r="AX23" i="43"/>
  <c r="AX22" i="43"/>
  <c r="C21" i="43"/>
  <c r="AX21" i="43"/>
  <c r="AX20" i="43"/>
  <c r="AX19" i="43"/>
  <c r="AX18" i="43"/>
  <c r="AX17" i="43"/>
  <c r="AX16" i="43"/>
  <c r="AX15" i="43"/>
  <c r="AX14" i="43"/>
  <c r="AX13" i="43"/>
  <c r="AX12" i="43"/>
  <c r="T10" i="43"/>
  <c r="R10" i="43"/>
  <c r="P10" i="43"/>
  <c r="N10" i="43"/>
  <c r="L10" i="43"/>
  <c r="J10" i="43"/>
  <c r="H10" i="43"/>
  <c r="F10" i="43"/>
  <c r="D10" i="43"/>
  <c r="B10" i="43"/>
  <c r="DI6" i="43"/>
  <c r="DB6" i="43"/>
  <c r="CU6" i="43"/>
  <c r="CN6" i="43"/>
  <c r="CG6" i="43"/>
  <c r="BZ6" i="43"/>
  <c r="BS6" i="43"/>
  <c r="BL6" i="43"/>
  <c r="BE6" i="43"/>
  <c r="AX6" i="43"/>
  <c r="DJ5" i="43"/>
  <c r="DC5" i="43"/>
  <c r="CV5" i="43"/>
  <c r="CO5" i="43"/>
  <c r="CH5" i="43"/>
  <c r="CA5" i="43"/>
  <c r="BT5" i="43"/>
  <c r="BM5" i="43"/>
  <c r="BF5" i="43"/>
  <c r="AY5" i="43"/>
  <c r="DL1" i="43"/>
  <c r="DE1" i="43"/>
  <c r="CX1" i="43"/>
  <c r="CQ1" i="43"/>
  <c r="CJ1" i="43"/>
  <c r="CC1" i="43"/>
  <c r="BV1" i="43"/>
  <c r="BO1" i="43"/>
  <c r="BH1" i="43"/>
  <c r="D314" i="35"/>
  <c r="D282" i="35"/>
  <c r="D250" i="35"/>
  <c r="D218" i="35"/>
  <c r="D186" i="35"/>
  <c r="D154" i="35"/>
  <c r="D122" i="35"/>
  <c r="D90" i="35"/>
  <c r="D58" i="35"/>
  <c r="D26" i="35"/>
  <c r="F300" i="35"/>
  <c r="K22" i="18" s="1"/>
  <c r="E300" i="35"/>
  <c r="D300" i="35"/>
  <c r="C300" i="35"/>
  <c r="E299" i="35"/>
  <c r="F268" i="35"/>
  <c r="J22" i="18" s="1"/>
  <c r="E268" i="35"/>
  <c r="D268" i="35"/>
  <c r="C268" i="35"/>
  <c r="E267" i="35"/>
  <c r="F236" i="35"/>
  <c r="I22" i="18" s="1"/>
  <c r="E236" i="35"/>
  <c r="D236" i="35"/>
  <c r="C236" i="35"/>
  <c r="E235" i="35"/>
  <c r="F204" i="35"/>
  <c r="H22" i="18" s="1"/>
  <c r="E204" i="35"/>
  <c r="D204" i="35"/>
  <c r="C204" i="35"/>
  <c r="E203" i="35"/>
  <c r="F172" i="35"/>
  <c r="G22" i="18" s="1"/>
  <c r="E172" i="35"/>
  <c r="D172" i="35"/>
  <c r="C172" i="35"/>
  <c r="E171" i="35"/>
  <c r="F140" i="35"/>
  <c r="F22" i="18" s="1"/>
  <c r="E140" i="35"/>
  <c r="D140" i="35"/>
  <c r="C140" i="35"/>
  <c r="E139" i="35"/>
  <c r="F108" i="35"/>
  <c r="E22" i="18" s="1"/>
  <c r="E108" i="35"/>
  <c r="D108" i="35"/>
  <c r="C108" i="35"/>
  <c r="E107" i="35"/>
  <c r="C76" i="35"/>
  <c r="F76" i="35"/>
  <c r="D22" i="18" s="1"/>
  <c r="E76" i="35"/>
  <c r="D76" i="35"/>
  <c r="E75" i="35"/>
  <c r="E55" i="35"/>
  <c r="D57" i="35"/>
  <c r="F44" i="35"/>
  <c r="C22" i="18" s="1"/>
  <c r="E44" i="35"/>
  <c r="D44" i="35"/>
  <c r="C44" i="35"/>
  <c r="E43" i="35"/>
  <c r="C8" i="35"/>
  <c r="E11" i="35"/>
  <c r="F12" i="35"/>
  <c r="B22" i="18" s="1"/>
  <c r="E12" i="35"/>
  <c r="D12" i="35"/>
  <c r="C12" i="35"/>
  <c r="T24" i="42"/>
  <c r="R24" i="42"/>
  <c r="P24" i="42"/>
  <c r="N24" i="42"/>
  <c r="L24" i="42"/>
  <c r="J24" i="42"/>
  <c r="H24" i="42"/>
  <c r="F24" i="42"/>
  <c r="D24" i="42"/>
  <c r="B24" i="42"/>
  <c r="C21" i="41"/>
  <c r="T19" i="41"/>
  <c r="T20" i="41" s="1"/>
  <c r="R19" i="41"/>
  <c r="R20" i="41" s="1"/>
  <c r="P19" i="41"/>
  <c r="P20" i="41" s="1"/>
  <c r="N19" i="41"/>
  <c r="N20" i="41" s="1"/>
  <c r="L19" i="41"/>
  <c r="L20" i="41" s="1"/>
  <c r="J19" i="41"/>
  <c r="J20" i="41" s="1"/>
  <c r="H19" i="41"/>
  <c r="H20" i="41" s="1"/>
  <c r="F19" i="41"/>
  <c r="F20" i="41" s="1"/>
  <c r="D19" i="41"/>
  <c r="D20" i="41" s="1"/>
  <c r="B19" i="41"/>
  <c r="B20" i="41" s="1"/>
  <c r="C10" i="41"/>
  <c r="T3" i="41"/>
  <c r="R3" i="41"/>
  <c r="P3" i="41"/>
  <c r="N3" i="41"/>
  <c r="L3" i="41"/>
  <c r="J3" i="41"/>
  <c r="H3" i="41"/>
  <c r="F3" i="41"/>
  <c r="D3" i="41"/>
  <c r="B3" i="41"/>
  <c r="T3" i="39"/>
  <c r="R3" i="39"/>
  <c r="P3" i="39"/>
  <c r="N3" i="39"/>
  <c r="L3" i="39"/>
  <c r="J3" i="39"/>
  <c r="H3" i="39"/>
  <c r="F3" i="39"/>
  <c r="D3" i="39"/>
  <c r="B3" i="39"/>
  <c r="T3" i="38"/>
  <c r="R3" i="38"/>
  <c r="P3" i="38"/>
  <c r="N3" i="38"/>
  <c r="L3" i="38"/>
  <c r="J3" i="38"/>
  <c r="H3" i="38"/>
  <c r="F3" i="38"/>
  <c r="D3" i="38"/>
  <c r="B3" i="38"/>
  <c r="CX1" i="1"/>
  <c r="CQ1" i="1"/>
  <c r="BH1"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12" i="1"/>
  <c r="DI6" i="1"/>
  <c r="DB6" i="1"/>
  <c r="CU6" i="1"/>
  <c r="CN6" i="1"/>
  <c r="CG6" i="1"/>
  <c r="BZ6" i="1"/>
  <c r="BS6" i="1"/>
  <c r="BL6" i="1"/>
  <c r="BE6" i="1"/>
  <c r="AX6" i="1"/>
  <c r="DJ5" i="1"/>
  <c r="DL1" i="1"/>
  <c r="DC5" i="1"/>
  <c r="DE1" i="1"/>
  <c r="CV5" i="1"/>
  <c r="CO5" i="1"/>
  <c r="CH5" i="1"/>
  <c r="CJ1" i="1"/>
  <c r="CA5" i="1"/>
  <c r="CC1" i="1"/>
  <c r="BT5" i="1"/>
  <c r="BV1" i="1"/>
  <c r="BM5" i="1"/>
  <c r="BO1" i="1"/>
  <c r="BF5" i="1"/>
  <c r="AA102" i="2"/>
  <c r="AA99" i="2"/>
  <c r="AA96" i="2"/>
  <c r="Z102" i="2"/>
  <c r="Z99" i="2"/>
  <c r="Z96" i="2"/>
  <c r="Y102" i="2"/>
  <c r="Y99" i="2"/>
  <c r="Y96" i="2"/>
  <c r="X102" i="2"/>
  <c r="X99" i="2"/>
  <c r="X96" i="2"/>
  <c r="W102" i="2"/>
  <c r="W99" i="2"/>
  <c r="W96" i="2"/>
  <c r="V102" i="2"/>
  <c r="V99" i="2"/>
  <c r="V96" i="2"/>
  <c r="U102" i="2"/>
  <c r="U99" i="2"/>
  <c r="U96" i="2"/>
  <c r="T102" i="2"/>
  <c r="T99" i="2"/>
  <c r="T96" i="2"/>
  <c r="S102" i="2"/>
  <c r="S99" i="2"/>
  <c r="S96" i="2"/>
  <c r="R102" i="2"/>
  <c r="R99" i="2"/>
  <c r="R96" i="2"/>
  <c r="Q102" i="2"/>
  <c r="Q99" i="2"/>
  <c r="Q96" i="2"/>
  <c r="P102" i="2"/>
  <c r="P99" i="2"/>
  <c r="P96" i="2"/>
  <c r="O102" i="2"/>
  <c r="O99" i="2"/>
  <c r="O96" i="2"/>
  <c r="N102" i="2"/>
  <c r="N99" i="2"/>
  <c r="N96" i="2"/>
  <c r="M102" i="2"/>
  <c r="M99" i="2"/>
  <c r="M96" i="2"/>
  <c r="L102" i="2"/>
  <c r="L99" i="2"/>
  <c r="L96" i="2"/>
  <c r="K102" i="2"/>
  <c r="K99" i="2"/>
  <c r="K96" i="2"/>
  <c r="J102" i="2"/>
  <c r="J99" i="2"/>
  <c r="J96" i="2"/>
  <c r="I102" i="2"/>
  <c r="I99" i="2"/>
  <c r="I96" i="2"/>
  <c r="H102" i="2"/>
  <c r="H99" i="2"/>
  <c r="H96" i="2"/>
  <c r="G102" i="2"/>
  <c r="G99" i="2"/>
  <c r="G96" i="2"/>
  <c r="F102" i="2"/>
  <c r="F99" i="2"/>
  <c r="F96" i="2"/>
  <c r="E102" i="2"/>
  <c r="E99" i="2"/>
  <c r="E96" i="2"/>
  <c r="D102" i="2"/>
  <c r="D99" i="2"/>
  <c r="D96" i="2"/>
  <c r="C102" i="2"/>
  <c r="C99" i="2"/>
  <c r="C96" i="2"/>
  <c r="AA94" i="2"/>
  <c r="Z94" i="2"/>
  <c r="Y94" i="2"/>
  <c r="X94" i="2"/>
  <c r="W94" i="2"/>
  <c r="V94" i="2"/>
  <c r="U94" i="2"/>
  <c r="T94" i="2"/>
  <c r="S94" i="2"/>
  <c r="R94" i="2"/>
  <c r="Q94" i="2"/>
  <c r="P94" i="2"/>
  <c r="O94" i="2"/>
  <c r="N94" i="2"/>
  <c r="M94" i="2"/>
  <c r="L94" i="2"/>
  <c r="K94" i="2"/>
  <c r="J94" i="2"/>
  <c r="I94" i="2"/>
  <c r="H94" i="2"/>
  <c r="G94" i="2"/>
  <c r="F94" i="2"/>
  <c r="E94" i="2"/>
  <c r="D94" i="2"/>
  <c r="C94" i="2"/>
  <c r="AA92" i="2"/>
  <c r="AA89" i="2"/>
  <c r="AA86" i="2"/>
  <c r="Z92" i="2"/>
  <c r="Z89" i="2"/>
  <c r="Z86" i="2"/>
  <c r="Y92" i="2"/>
  <c r="Y89" i="2"/>
  <c r="Y86" i="2"/>
  <c r="X92" i="2"/>
  <c r="X89" i="2"/>
  <c r="X86" i="2"/>
  <c r="W92" i="2"/>
  <c r="W89" i="2"/>
  <c r="W86" i="2"/>
  <c r="V92" i="2"/>
  <c r="V89" i="2"/>
  <c r="V86" i="2"/>
  <c r="U92" i="2"/>
  <c r="U89" i="2"/>
  <c r="U86" i="2"/>
  <c r="T92" i="2"/>
  <c r="T89" i="2"/>
  <c r="T86" i="2"/>
  <c r="S92" i="2"/>
  <c r="S89" i="2"/>
  <c r="S86" i="2"/>
  <c r="R92" i="2"/>
  <c r="R89" i="2"/>
  <c r="R86" i="2"/>
  <c r="Q92" i="2"/>
  <c r="Q89" i="2"/>
  <c r="Q86" i="2"/>
  <c r="P92" i="2"/>
  <c r="P89" i="2"/>
  <c r="P86" i="2"/>
  <c r="O92" i="2"/>
  <c r="O89" i="2"/>
  <c r="O86" i="2"/>
  <c r="N92" i="2"/>
  <c r="N89" i="2"/>
  <c r="N86" i="2"/>
  <c r="M92" i="2"/>
  <c r="M89" i="2"/>
  <c r="M86" i="2"/>
  <c r="L92" i="2"/>
  <c r="L89" i="2"/>
  <c r="L86" i="2"/>
  <c r="K92" i="2"/>
  <c r="K89" i="2"/>
  <c r="K86" i="2"/>
  <c r="J92" i="2"/>
  <c r="J89" i="2"/>
  <c r="J86" i="2"/>
  <c r="I92" i="2"/>
  <c r="I89" i="2"/>
  <c r="I86" i="2"/>
  <c r="H92" i="2"/>
  <c r="H89" i="2"/>
  <c r="H86" i="2"/>
  <c r="G92" i="2"/>
  <c r="G89" i="2"/>
  <c r="G86" i="2"/>
  <c r="F92" i="2"/>
  <c r="F89" i="2"/>
  <c r="F86" i="2"/>
  <c r="E92" i="2"/>
  <c r="E89" i="2"/>
  <c r="E86" i="2"/>
  <c r="D92" i="2"/>
  <c r="D89" i="2"/>
  <c r="D86" i="2"/>
  <c r="C92" i="2"/>
  <c r="C89" i="2"/>
  <c r="C86" i="2"/>
  <c r="AA84" i="2"/>
  <c r="Z84" i="2"/>
  <c r="Y84" i="2"/>
  <c r="X84" i="2"/>
  <c r="W84" i="2"/>
  <c r="V84" i="2"/>
  <c r="U84" i="2"/>
  <c r="T84" i="2"/>
  <c r="S84" i="2"/>
  <c r="R84" i="2"/>
  <c r="Q84" i="2"/>
  <c r="P84" i="2"/>
  <c r="O84" i="2"/>
  <c r="N84" i="2"/>
  <c r="M84" i="2"/>
  <c r="L84" i="2"/>
  <c r="K84" i="2"/>
  <c r="J84" i="2"/>
  <c r="I84" i="2"/>
  <c r="H84" i="2"/>
  <c r="G84" i="2"/>
  <c r="F84" i="2"/>
  <c r="E84" i="2"/>
  <c r="D84" i="2"/>
  <c r="C84" i="2"/>
  <c r="AA82" i="2"/>
  <c r="AA79" i="2"/>
  <c r="AA76" i="2"/>
  <c r="Z82" i="2"/>
  <c r="Z79" i="2"/>
  <c r="Z76" i="2"/>
  <c r="Y82" i="2"/>
  <c r="Y79" i="2"/>
  <c r="Y76" i="2"/>
  <c r="X82" i="2"/>
  <c r="X79" i="2"/>
  <c r="X76" i="2"/>
  <c r="W82" i="2"/>
  <c r="W79" i="2"/>
  <c r="W76" i="2"/>
  <c r="V82" i="2"/>
  <c r="V79" i="2"/>
  <c r="V76" i="2"/>
  <c r="U82" i="2"/>
  <c r="U79" i="2"/>
  <c r="U76" i="2"/>
  <c r="T82" i="2"/>
  <c r="T79" i="2"/>
  <c r="T76" i="2"/>
  <c r="S82" i="2"/>
  <c r="S79" i="2"/>
  <c r="S76" i="2"/>
  <c r="R82" i="2"/>
  <c r="R79" i="2"/>
  <c r="R76" i="2"/>
  <c r="Q82" i="2"/>
  <c r="Q79" i="2"/>
  <c r="Q76" i="2"/>
  <c r="P82" i="2"/>
  <c r="P79" i="2"/>
  <c r="P76" i="2"/>
  <c r="O82" i="2"/>
  <c r="O79" i="2"/>
  <c r="O76" i="2"/>
  <c r="N82" i="2"/>
  <c r="N79" i="2"/>
  <c r="N76" i="2"/>
  <c r="M82" i="2"/>
  <c r="M79" i="2"/>
  <c r="M76" i="2"/>
  <c r="L82" i="2"/>
  <c r="L79" i="2"/>
  <c r="L76" i="2"/>
  <c r="K82" i="2"/>
  <c r="K79" i="2"/>
  <c r="K76" i="2"/>
  <c r="J82" i="2"/>
  <c r="J79" i="2"/>
  <c r="J76" i="2"/>
  <c r="I82" i="2"/>
  <c r="I79" i="2"/>
  <c r="I76" i="2"/>
  <c r="H82" i="2"/>
  <c r="H79" i="2"/>
  <c r="H76" i="2"/>
  <c r="G82" i="2"/>
  <c r="G79" i="2"/>
  <c r="G76" i="2"/>
  <c r="F82" i="2"/>
  <c r="F79" i="2"/>
  <c r="F76" i="2"/>
  <c r="E82" i="2"/>
  <c r="E79" i="2"/>
  <c r="E76" i="2"/>
  <c r="D82" i="2"/>
  <c r="D79" i="2"/>
  <c r="D76" i="2"/>
  <c r="C82" i="2"/>
  <c r="C79" i="2"/>
  <c r="C76" i="2"/>
  <c r="AA74" i="2"/>
  <c r="Z74" i="2"/>
  <c r="Y74" i="2"/>
  <c r="X74" i="2"/>
  <c r="W74" i="2"/>
  <c r="V74" i="2"/>
  <c r="U74" i="2"/>
  <c r="T74" i="2"/>
  <c r="S74" i="2"/>
  <c r="R74" i="2"/>
  <c r="Q74" i="2"/>
  <c r="P74" i="2"/>
  <c r="O74" i="2"/>
  <c r="N74" i="2"/>
  <c r="M74" i="2"/>
  <c r="L74" i="2"/>
  <c r="K74" i="2"/>
  <c r="J74" i="2"/>
  <c r="I74" i="2"/>
  <c r="H74" i="2"/>
  <c r="G74" i="2"/>
  <c r="F74" i="2"/>
  <c r="E74" i="2"/>
  <c r="D74" i="2"/>
  <c r="C74" i="2"/>
  <c r="AA72" i="2"/>
  <c r="AA69" i="2"/>
  <c r="AA66" i="2"/>
  <c r="Z72" i="2"/>
  <c r="Z69" i="2"/>
  <c r="Z66" i="2"/>
  <c r="Y72" i="2"/>
  <c r="Y69" i="2"/>
  <c r="Y66" i="2"/>
  <c r="X72" i="2"/>
  <c r="X69" i="2"/>
  <c r="X66" i="2"/>
  <c r="W72" i="2"/>
  <c r="W69" i="2"/>
  <c r="W66" i="2"/>
  <c r="V72" i="2"/>
  <c r="V69" i="2"/>
  <c r="V66" i="2"/>
  <c r="U72" i="2"/>
  <c r="U69" i="2"/>
  <c r="U66" i="2"/>
  <c r="T72" i="2"/>
  <c r="T69" i="2"/>
  <c r="T66" i="2"/>
  <c r="S72" i="2"/>
  <c r="S69" i="2"/>
  <c r="S66" i="2"/>
  <c r="R72" i="2"/>
  <c r="R69" i="2"/>
  <c r="R66" i="2"/>
  <c r="Q72" i="2"/>
  <c r="Q69" i="2"/>
  <c r="Q66" i="2"/>
  <c r="P72" i="2"/>
  <c r="P69" i="2"/>
  <c r="P66" i="2"/>
  <c r="O72" i="2"/>
  <c r="O69" i="2"/>
  <c r="O66" i="2"/>
  <c r="N72" i="2"/>
  <c r="N69" i="2"/>
  <c r="N66" i="2"/>
  <c r="M72" i="2"/>
  <c r="M69" i="2"/>
  <c r="M66" i="2"/>
  <c r="L72" i="2"/>
  <c r="L69" i="2"/>
  <c r="L66" i="2"/>
  <c r="K72" i="2"/>
  <c r="K69" i="2"/>
  <c r="K66" i="2"/>
  <c r="J72" i="2"/>
  <c r="J69" i="2"/>
  <c r="J66" i="2"/>
  <c r="I72" i="2"/>
  <c r="I69" i="2"/>
  <c r="I66" i="2"/>
  <c r="H72" i="2"/>
  <c r="H69" i="2"/>
  <c r="H66" i="2"/>
  <c r="G72" i="2"/>
  <c r="G69" i="2"/>
  <c r="G66" i="2"/>
  <c r="F72" i="2"/>
  <c r="F69" i="2"/>
  <c r="F66" i="2"/>
  <c r="E72" i="2"/>
  <c r="E69" i="2"/>
  <c r="E66" i="2"/>
  <c r="D72" i="2"/>
  <c r="D69" i="2"/>
  <c r="D66" i="2"/>
  <c r="C72" i="2"/>
  <c r="C69" i="2"/>
  <c r="C66" i="2"/>
  <c r="AA64" i="2"/>
  <c r="Z64" i="2"/>
  <c r="Y64" i="2"/>
  <c r="X64" i="2"/>
  <c r="W64" i="2"/>
  <c r="V64" i="2"/>
  <c r="U64" i="2"/>
  <c r="T64" i="2"/>
  <c r="S64" i="2"/>
  <c r="R64" i="2"/>
  <c r="Q64" i="2"/>
  <c r="P64" i="2"/>
  <c r="O64" i="2"/>
  <c r="N64" i="2"/>
  <c r="M64" i="2"/>
  <c r="L64" i="2"/>
  <c r="K64" i="2"/>
  <c r="J64" i="2"/>
  <c r="I64" i="2"/>
  <c r="H64" i="2"/>
  <c r="G64" i="2"/>
  <c r="F64" i="2"/>
  <c r="E64" i="2"/>
  <c r="D64" i="2"/>
  <c r="C64" i="2"/>
  <c r="AA62" i="2"/>
  <c r="AA59" i="2"/>
  <c r="AA56" i="2"/>
  <c r="Z62" i="2"/>
  <c r="Z59" i="2"/>
  <c r="Z56" i="2"/>
  <c r="Y62" i="2"/>
  <c r="Y59" i="2"/>
  <c r="Y56" i="2"/>
  <c r="X62" i="2"/>
  <c r="X59" i="2"/>
  <c r="X56" i="2"/>
  <c r="W62" i="2"/>
  <c r="W59" i="2"/>
  <c r="W56" i="2"/>
  <c r="V62" i="2"/>
  <c r="V59" i="2"/>
  <c r="V56" i="2"/>
  <c r="U62" i="2"/>
  <c r="U59" i="2"/>
  <c r="U56" i="2"/>
  <c r="T62" i="2"/>
  <c r="T59" i="2"/>
  <c r="T56" i="2"/>
  <c r="S62" i="2"/>
  <c r="S59" i="2"/>
  <c r="S56" i="2"/>
  <c r="R62" i="2"/>
  <c r="R59" i="2"/>
  <c r="R56" i="2"/>
  <c r="Q62" i="2"/>
  <c r="Q59" i="2"/>
  <c r="Q56" i="2"/>
  <c r="P62" i="2"/>
  <c r="P59" i="2"/>
  <c r="P56" i="2"/>
  <c r="O62" i="2"/>
  <c r="O59" i="2"/>
  <c r="O56" i="2"/>
  <c r="N62" i="2"/>
  <c r="N59" i="2"/>
  <c r="N56" i="2"/>
  <c r="M62" i="2"/>
  <c r="M59" i="2"/>
  <c r="M56" i="2"/>
  <c r="L62" i="2"/>
  <c r="L59" i="2"/>
  <c r="L56" i="2"/>
  <c r="K62" i="2"/>
  <c r="K59" i="2"/>
  <c r="K56" i="2"/>
  <c r="J62" i="2"/>
  <c r="J59" i="2"/>
  <c r="J56" i="2"/>
  <c r="I62" i="2"/>
  <c r="I59" i="2"/>
  <c r="I56" i="2"/>
  <c r="H62" i="2"/>
  <c r="H59" i="2"/>
  <c r="H56" i="2"/>
  <c r="G62" i="2"/>
  <c r="G59" i="2"/>
  <c r="G56" i="2"/>
  <c r="F62" i="2"/>
  <c r="F59" i="2"/>
  <c r="F56" i="2"/>
  <c r="E62" i="2"/>
  <c r="E59" i="2"/>
  <c r="E56" i="2"/>
  <c r="D62" i="2"/>
  <c r="D59" i="2"/>
  <c r="D56" i="2"/>
  <c r="C62" i="2"/>
  <c r="C59" i="2"/>
  <c r="C56" i="2"/>
  <c r="B100" i="3"/>
  <c r="AA54" i="2"/>
  <c r="Z54" i="2"/>
  <c r="Y54" i="2"/>
  <c r="X54" i="2"/>
  <c r="W54" i="2"/>
  <c r="V54" i="2"/>
  <c r="U54" i="2"/>
  <c r="T54" i="2"/>
  <c r="S54" i="2"/>
  <c r="R54" i="2"/>
  <c r="Q54" i="2"/>
  <c r="P54" i="2"/>
  <c r="O54" i="2"/>
  <c r="N54" i="2"/>
  <c r="M54" i="2"/>
  <c r="L54" i="2"/>
  <c r="K54" i="2"/>
  <c r="J54" i="2"/>
  <c r="I54" i="2"/>
  <c r="H54" i="2"/>
  <c r="G54" i="2"/>
  <c r="F54" i="2"/>
  <c r="E54" i="2"/>
  <c r="D54" i="2"/>
  <c r="C54" i="2"/>
  <c r="AA52" i="2"/>
  <c r="AA49" i="2"/>
  <c r="AA46" i="2"/>
  <c r="Z52" i="2"/>
  <c r="Z49" i="2"/>
  <c r="Z46" i="2"/>
  <c r="Y52" i="2"/>
  <c r="Y49" i="2"/>
  <c r="Y46" i="2"/>
  <c r="X52" i="2"/>
  <c r="X49" i="2"/>
  <c r="X46" i="2"/>
  <c r="W52" i="2"/>
  <c r="W49" i="2"/>
  <c r="W46" i="2"/>
  <c r="V52" i="2"/>
  <c r="V49" i="2"/>
  <c r="V46" i="2"/>
  <c r="U52" i="2"/>
  <c r="U49" i="2"/>
  <c r="U46" i="2"/>
  <c r="T52" i="2"/>
  <c r="T49" i="2"/>
  <c r="T46" i="2"/>
  <c r="S52" i="2"/>
  <c r="S49" i="2"/>
  <c r="S46" i="2"/>
  <c r="R52" i="2"/>
  <c r="R49" i="2"/>
  <c r="R46" i="2"/>
  <c r="Q52" i="2"/>
  <c r="Q49" i="2"/>
  <c r="Q46" i="2"/>
  <c r="P52" i="2"/>
  <c r="P49" i="2"/>
  <c r="P46" i="2"/>
  <c r="O52" i="2"/>
  <c r="O49" i="2"/>
  <c r="O46" i="2"/>
  <c r="N52" i="2"/>
  <c r="N49" i="2"/>
  <c r="N46" i="2"/>
  <c r="M52" i="2"/>
  <c r="M49" i="2"/>
  <c r="M46" i="2"/>
  <c r="L52" i="2"/>
  <c r="L49" i="2"/>
  <c r="L46" i="2"/>
  <c r="K52" i="2"/>
  <c r="K49" i="2"/>
  <c r="K46" i="2"/>
  <c r="J52" i="2"/>
  <c r="J49" i="2"/>
  <c r="J46" i="2"/>
  <c r="I52" i="2"/>
  <c r="I49" i="2"/>
  <c r="I46" i="2"/>
  <c r="H52" i="2"/>
  <c r="H49" i="2"/>
  <c r="H46" i="2"/>
  <c r="G52" i="2"/>
  <c r="G49" i="2"/>
  <c r="G46" i="2"/>
  <c r="F52" i="2"/>
  <c r="F49" i="2"/>
  <c r="F46" i="2"/>
  <c r="E52" i="2"/>
  <c r="E49" i="2"/>
  <c r="E46" i="2"/>
  <c r="D52" i="2"/>
  <c r="D49" i="2"/>
  <c r="D46" i="2"/>
  <c r="C52" i="2"/>
  <c r="C49" i="2"/>
  <c r="C46" i="2"/>
  <c r="AA44" i="2"/>
  <c r="Z44" i="2"/>
  <c r="Y44" i="2"/>
  <c r="X44" i="2"/>
  <c r="W44" i="2"/>
  <c r="V44" i="2"/>
  <c r="U44" i="2"/>
  <c r="T44" i="2"/>
  <c r="S44" i="2"/>
  <c r="R44" i="2"/>
  <c r="Q44" i="2"/>
  <c r="P44" i="2"/>
  <c r="O44" i="2"/>
  <c r="N44" i="2"/>
  <c r="M44" i="2"/>
  <c r="L44" i="2"/>
  <c r="K44" i="2"/>
  <c r="J44" i="2"/>
  <c r="I44" i="2"/>
  <c r="H44" i="2"/>
  <c r="G44" i="2"/>
  <c r="F44" i="2"/>
  <c r="E44" i="2"/>
  <c r="D44" i="2"/>
  <c r="C44" i="2"/>
  <c r="AA34" i="2"/>
  <c r="Z34" i="2"/>
  <c r="Y34" i="2"/>
  <c r="X34" i="2"/>
  <c r="W34" i="2"/>
  <c r="V34" i="2"/>
  <c r="U34" i="2"/>
  <c r="T34" i="2"/>
  <c r="S34" i="2"/>
  <c r="R34" i="2"/>
  <c r="Q34" i="2"/>
  <c r="P34" i="2"/>
  <c r="O34" i="2"/>
  <c r="N34" i="2"/>
  <c r="M34" i="2"/>
  <c r="L34" i="2"/>
  <c r="K34" i="2"/>
  <c r="J34" i="2"/>
  <c r="I34" i="2"/>
  <c r="H34" i="2"/>
  <c r="G34" i="2"/>
  <c r="F34" i="2"/>
  <c r="E34" i="2"/>
  <c r="D34" i="2"/>
  <c r="C34" i="2"/>
  <c r="AA42" i="2"/>
  <c r="AA39" i="2"/>
  <c r="AA36" i="2"/>
  <c r="Z42" i="2"/>
  <c r="Z39" i="2"/>
  <c r="Z36" i="2"/>
  <c r="Y42" i="2"/>
  <c r="Y39" i="2"/>
  <c r="Y36" i="2"/>
  <c r="X42" i="2"/>
  <c r="X39" i="2"/>
  <c r="X36" i="2"/>
  <c r="W42" i="2"/>
  <c r="W39" i="2"/>
  <c r="W36" i="2"/>
  <c r="V42" i="2"/>
  <c r="V39" i="2"/>
  <c r="V36" i="2"/>
  <c r="C42" i="2"/>
  <c r="C39" i="2"/>
  <c r="C36" i="2"/>
  <c r="U42" i="2"/>
  <c r="U39" i="2"/>
  <c r="U36" i="2"/>
  <c r="T42" i="2"/>
  <c r="T39" i="2"/>
  <c r="T36" i="2"/>
  <c r="S42" i="2"/>
  <c r="S39" i="2"/>
  <c r="S36" i="2"/>
  <c r="R42" i="2"/>
  <c r="R39" i="2"/>
  <c r="R36" i="2"/>
  <c r="Q42" i="2"/>
  <c r="Q39" i="2"/>
  <c r="Q36" i="2"/>
  <c r="P42" i="2"/>
  <c r="P39" i="2"/>
  <c r="P36" i="2"/>
  <c r="O42" i="2"/>
  <c r="O39" i="2"/>
  <c r="O36" i="2"/>
  <c r="N42" i="2"/>
  <c r="N39" i="2"/>
  <c r="N36" i="2"/>
  <c r="M42" i="2"/>
  <c r="M39" i="2"/>
  <c r="M36" i="2"/>
  <c r="L42" i="2"/>
  <c r="L39" i="2"/>
  <c r="L36" i="2"/>
  <c r="K42" i="2"/>
  <c r="K39" i="2"/>
  <c r="K36" i="2"/>
  <c r="J42" i="2"/>
  <c r="J39" i="2"/>
  <c r="J36" i="2"/>
  <c r="I42" i="2"/>
  <c r="I39" i="2"/>
  <c r="I36" i="2"/>
  <c r="H42" i="2"/>
  <c r="H39" i="2"/>
  <c r="H36" i="2"/>
  <c r="G42" i="2"/>
  <c r="G39" i="2"/>
  <c r="G36" i="2"/>
  <c r="F42" i="2"/>
  <c r="F39" i="2"/>
  <c r="F36" i="2"/>
  <c r="E42" i="2"/>
  <c r="E39" i="2"/>
  <c r="E36" i="2"/>
  <c r="D42" i="2"/>
  <c r="D39" i="2"/>
  <c r="D36" i="2"/>
  <c r="AA24" i="2"/>
  <c r="Z24" i="2"/>
  <c r="Y24" i="2"/>
  <c r="X24" i="2"/>
  <c r="W24" i="2"/>
  <c r="V24" i="2"/>
  <c r="U24" i="2"/>
  <c r="T24" i="2"/>
  <c r="S24" i="2"/>
  <c r="R24" i="2"/>
  <c r="Q24" i="2"/>
  <c r="P24" i="2"/>
  <c r="O24" i="2"/>
  <c r="N24" i="2"/>
  <c r="M24" i="2"/>
  <c r="L24" i="2"/>
  <c r="K24" i="2"/>
  <c r="J24" i="2"/>
  <c r="I24" i="2"/>
  <c r="H24" i="2"/>
  <c r="G24" i="2"/>
  <c r="F24" i="2"/>
  <c r="E24" i="2"/>
  <c r="D24" i="2"/>
  <c r="C24" i="2"/>
  <c r="AA32" i="2"/>
  <c r="AA29" i="2"/>
  <c r="AA26" i="2"/>
  <c r="Z32" i="2"/>
  <c r="Z29" i="2"/>
  <c r="Z26" i="2"/>
  <c r="Y32" i="2"/>
  <c r="Y29" i="2"/>
  <c r="Y26" i="2"/>
  <c r="X32" i="2"/>
  <c r="X29" i="2"/>
  <c r="X26" i="2"/>
  <c r="W32" i="2"/>
  <c r="W29" i="2"/>
  <c r="W26" i="2"/>
  <c r="V32" i="2"/>
  <c r="V29" i="2"/>
  <c r="V26" i="2"/>
  <c r="U32" i="2"/>
  <c r="U29" i="2"/>
  <c r="U26" i="2"/>
  <c r="T32" i="2"/>
  <c r="T29" i="2"/>
  <c r="T26" i="2"/>
  <c r="S32" i="2"/>
  <c r="S29" i="2"/>
  <c r="S26" i="2"/>
  <c r="R32" i="2"/>
  <c r="R29" i="2"/>
  <c r="R26" i="2"/>
  <c r="Q32" i="2"/>
  <c r="Q29" i="2"/>
  <c r="Q26" i="2"/>
  <c r="P32" i="2"/>
  <c r="P29" i="2"/>
  <c r="P26" i="2"/>
  <c r="O32" i="2"/>
  <c r="O29" i="2"/>
  <c r="O26" i="2"/>
  <c r="N32" i="2"/>
  <c r="N29" i="2"/>
  <c r="N26" i="2"/>
  <c r="M32" i="2"/>
  <c r="M29" i="2"/>
  <c r="M26" i="2"/>
  <c r="L32" i="2"/>
  <c r="L29" i="2"/>
  <c r="L26" i="2"/>
  <c r="K32" i="2"/>
  <c r="K29" i="2"/>
  <c r="K26" i="2"/>
  <c r="J32" i="2"/>
  <c r="J29" i="2"/>
  <c r="J26" i="2"/>
  <c r="I32" i="2"/>
  <c r="I29" i="2"/>
  <c r="I26" i="2"/>
  <c r="H32" i="2"/>
  <c r="H29" i="2"/>
  <c r="H26" i="2"/>
  <c r="G32" i="2"/>
  <c r="G29" i="2"/>
  <c r="G26" i="2"/>
  <c r="F32" i="2"/>
  <c r="F29" i="2"/>
  <c r="F26" i="2"/>
  <c r="E32" i="2"/>
  <c r="E29" i="2"/>
  <c r="E26" i="2"/>
  <c r="D32" i="2"/>
  <c r="D29" i="2"/>
  <c r="D26" i="2"/>
  <c r="C32" i="2"/>
  <c r="C29" i="2"/>
  <c r="C26" i="2"/>
  <c r="AA22" i="2"/>
  <c r="AA19" i="2"/>
  <c r="AA16" i="2"/>
  <c r="Z22" i="2"/>
  <c r="Z19" i="2"/>
  <c r="Z16" i="2"/>
  <c r="Y22" i="2"/>
  <c r="Y19" i="2"/>
  <c r="Y16" i="2"/>
  <c r="X22" i="2"/>
  <c r="X19" i="2"/>
  <c r="X16" i="2"/>
  <c r="W22" i="2"/>
  <c r="W19" i="2"/>
  <c r="W16" i="2"/>
  <c r="V22" i="2"/>
  <c r="V19" i="2"/>
  <c r="V16" i="2"/>
  <c r="U22" i="2"/>
  <c r="U19" i="2"/>
  <c r="U16" i="2"/>
  <c r="T22" i="2"/>
  <c r="T19" i="2"/>
  <c r="T16" i="2"/>
  <c r="S22" i="2"/>
  <c r="S19" i="2"/>
  <c r="S16" i="2"/>
  <c r="R22" i="2"/>
  <c r="R19" i="2"/>
  <c r="R16" i="2"/>
  <c r="Q22" i="2"/>
  <c r="Q19" i="2"/>
  <c r="Q16" i="2"/>
  <c r="P22" i="2"/>
  <c r="P19" i="2"/>
  <c r="P16" i="2"/>
  <c r="O22" i="2"/>
  <c r="O19" i="2"/>
  <c r="O16" i="2"/>
  <c r="N22" i="2"/>
  <c r="N19" i="2"/>
  <c r="N16" i="2"/>
  <c r="M22" i="2"/>
  <c r="M19" i="2"/>
  <c r="M16" i="2"/>
  <c r="L22" i="2"/>
  <c r="L19" i="2"/>
  <c r="L16" i="2"/>
  <c r="K22" i="2"/>
  <c r="K19" i="2"/>
  <c r="K16" i="2"/>
  <c r="J22" i="2"/>
  <c r="J19" i="2"/>
  <c r="J16" i="2"/>
  <c r="I22" i="2"/>
  <c r="I19" i="2"/>
  <c r="I16" i="2"/>
  <c r="H22" i="2"/>
  <c r="H19" i="2"/>
  <c r="H16" i="2"/>
  <c r="G22" i="2"/>
  <c r="G19" i="2"/>
  <c r="G16" i="2"/>
  <c r="F22" i="2"/>
  <c r="F19" i="2"/>
  <c r="F16" i="2"/>
  <c r="E22" i="2"/>
  <c r="E19" i="2"/>
  <c r="E16" i="2"/>
  <c r="D22" i="2"/>
  <c r="D19" i="2"/>
  <c r="D16" i="2"/>
  <c r="C22" i="2"/>
  <c r="C19" i="2"/>
  <c r="C16" i="2"/>
  <c r="AA6" i="2"/>
  <c r="Z6" i="2"/>
  <c r="Y6" i="2"/>
  <c r="X6" i="2"/>
  <c r="W6" i="2"/>
  <c r="V6" i="2"/>
  <c r="U6" i="2"/>
  <c r="T6" i="2"/>
  <c r="S6" i="2"/>
  <c r="R6" i="2"/>
  <c r="Q6" i="2"/>
  <c r="P6" i="2"/>
  <c r="O6" i="2"/>
  <c r="N6" i="2"/>
  <c r="M6" i="2"/>
  <c r="L6" i="2"/>
  <c r="K6" i="2"/>
  <c r="J6" i="2"/>
  <c r="I6" i="2"/>
  <c r="H6" i="2"/>
  <c r="G6" i="2"/>
  <c r="F6" i="2"/>
  <c r="E6" i="2"/>
  <c r="D6" i="2"/>
  <c r="C6" i="2"/>
  <c r="AA14" i="2"/>
  <c r="Z14" i="2"/>
  <c r="Y14" i="2"/>
  <c r="X14" i="2"/>
  <c r="W14" i="2"/>
  <c r="V14" i="2"/>
  <c r="U14" i="2"/>
  <c r="T14" i="2"/>
  <c r="S14" i="2"/>
  <c r="R14" i="2"/>
  <c r="Q14" i="2"/>
  <c r="P14" i="2"/>
  <c r="O14" i="2"/>
  <c r="N14" i="2"/>
  <c r="M14" i="2"/>
  <c r="L14" i="2"/>
  <c r="K14" i="2"/>
  <c r="J14" i="2"/>
  <c r="I14" i="2"/>
  <c r="H14" i="2"/>
  <c r="G14" i="2"/>
  <c r="F14" i="2"/>
  <c r="E14" i="2"/>
  <c r="D14" i="2"/>
  <c r="C14" i="2"/>
  <c r="U289" i="37"/>
  <c r="V289" i="37" s="1"/>
  <c r="T289" i="37"/>
  <c r="U288" i="37"/>
  <c r="V288" i="37" s="1"/>
  <c r="T288" i="37"/>
  <c r="U287" i="37"/>
  <c r="V287" i="37" s="1"/>
  <c r="T287" i="37"/>
  <c r="U286" i="37"/>
  <c r="V286" i="37" s="1"/>
  <c r="T286" i="37"/>
  <c r="U285" i="37"/>
  <c r="V285" i="37" s="1"/>
  <c r="T285" i="37"/>
  <c r="U284" i="37"/>
  <c r="V284" i="37" s="1"/>
  <c r="T284" i="37"/>
  <c r="U283" i="37"/>
  <c r="V283" i="37" s="1"/>
  <c r="T283" i="37"/>
  <c r="U282" i="37"/>
  <c r="V282" i="37" s="1"/>
  <c r="T282" i="37"/>
  <c r="T100" i="2" s="1"/>
  <c r="U281" i="37"/>
  <c r="V281" i="37" s="1"/>
  <c r="T281" i="37"/>
  <c r="U280" i="37"/>
  <c r="V280" i="37" s="1"/>
  <c r="T280" i="37"/>
  <c r="U279" i="37"/>
  <c r="V279" i="37" s="1"/>
  <c r="T279" i="37"/>
  <c r="U278" i="37"/>
  <c r="V278" i="37" s="1"/>
  <c r="T278" i="37"/>
  <c r="U277" i="37"/>
  <c r="V277" i="37" s="1"/>
  <c r="T277" i="37"/>
  <c r="U276" i="37"/>
  <c r="V276" i="37" s="1"/>
  <c r="T276" i="37"/>
  <c r="U275" i="37"/>
  <c r="V275" i="37" s="1"/>
  <c r="T275" i="37"/>
  <c r="U274" i="37"/>
  <c r="V274" i="37" s="1"/>
  <c r="T274" i="37"/>
  <c r="L100" i="2" s="1"/>
  <c r="U273" i="37"/>
  <c r="V273" i="37" s="1"/>
  <c r="T273" i="37"/>
  <c r="U272" i="37"/>
  <c r="V272" i="37" s="1"/>
  <c r="T272" i="37"/>
  <c r="U271" i="37"/>
  <c r="V271" i="37" s="1"/>
  <c r="T271" i="37"/>
  <c r="U270" i="37"/>
  <c r="V270" i="37" s="1"/>
  <c r="T270" i="37"/>
  <c r="AC269" i="37"/>
  <c r="U269" i="37"/>
  <c r="V269" i="37" s="1"/>
  <c r="T269" i="37"/>
  <c r="U268" i="37"/>
  <c r="V268" i="37" s="1"/>
  <c r="T268" i="37"/>
  <c r="AG274" i="37"/>
  <c r="U267" i="37"/>
  <c r="V267" i="37" s="1"/>
  <c r="T267" i="37"/>
  <c r="AG272" i="37"/>
  <c r="U266" i="37"/>
  <c r="V266" i="37" s="1"/>
  <c r="T266" i="37"/>
  <c r="AG267" i="37"/>
  <c r="U265" i="37"/>
  <c r="V265" i="37" s="1"/>
  <c r="T265" i="37"/>
  <c r="U260" i="37"/>
  <c r="V260" i="37" s="1"/>
  <c r="T260" i="37"/>
  <c r="U259" i="37"/>
  <c r="V259" i="37" s="1"/>
  <c r="T259" i="37"/>
  <c r="U258" i="37"/>
  <c r="V258" i="37" s="1"/>
  <c r="T258" i="37"/>
  <c r="U257" i="37"/>
  <c r="V257" i="37" s="1"/>
  <c r="T257" i="37"/>
  <c r="U256" i="37"/>
  <c r="V256" i="37" s="1"/>
  <c r="T256" i="37"/>
  <c r="U255" i="37"/>
  <c r="V255" i="37" s="1"/>
  <c r="T255" i="37"/>
  <c r="U254" i="37"/>
  <c r="V254" i="37" s="1"/>
  <c r="T254" i="37"/>
  <c r="U253" i="37"/>
  <c r="V253" i="37" s="1"/>
  <c r="T253" i="37"/>
  <c r="U252" i="37"/>
  <c r="V252" i="37" s="1"/>
  <c r="T252" i="37"/>
  <c r="U251" i="37"/>
  <c r="V251" i="37" s="1"/>
  <c r="T251" i="37"/>
  <c r="U250" i="37"/>
  <c r="V250" i="37" s="1"/>
  <c r="T250" i="37"/>
  <c r="U249" i="37"/>
  <c r="V249" i="37" s="1"/>
  <c r="T249" i="37"/>
  <c r="P90" i="2" s="1"/>
  <c r="U248" i="37"/>
  <c r="V248" i="37" s="1"/>
  <c r="T248" i="37"/>
  <c r="U247" i="37"/>
  <c r="V247" i="37" s="1"/>
  <c r="T247" i="37"/>
  <c r="U246" i="37"/>
  <c r="V246" i="37" s="1"/>
  <c r="T246" i="37"/>
  <c r="U245" i="37"/>
  <c r="V245" i="37" s="1"/>
  <c r="T245" i="37"/>
  <c r="U244" i="37"/>
  <c r="V244" i="37" s="1"/>
  <c r="T244" i="37"/>
  <c r="U243" i="37"/>
  <c r="V243" i="37" s="1"/>
  <c r="T243" i="37"/>
  <c r="U242" i="37"/>
  <c r="V242" i="37" s="1"/>
  <c r="T242" i="37"/>
  <c r="U241" i="37"/>
  <c r="V241" i="37" s="1"/>
  <c r="T241" i="37"/>
  <c r="H90" i="2" s="1"/>
  <c r="U240" i="37"/>
  <c r="V240" i="37" s="1"/>
  <c r="T240" i="37"/>
  <c r="U239" i="37"/>
  <c r="V239" i="37" s="1"/>
  <c r="T239" i="37"/>
  <c r="U238" i="37"/>
  <c r="V238" i="37" s="1"/>
  <c r="T238" i="37"/>
  <c r="U237" i="37"/>
  <c r="V237" i="37" s="1"/>
  <c r="T237" i="37"/>
  <c r="U236" i="37"/>
  <c r="V236" i="37" s="1"/>
  <c r="T236" i="37"/>
  <c r="U231" i="37"/>
  <c r="V231" i="37" s="1"/>
  <c r="T231" i="37"/>
  <c r="AA80" i="2" s="1"/>
  <c r="U230" i="37"/>
  <c r="V230" i="37" s="1"/>
  <c r="T230" i="37"/>
  <c r="U229" i="37"/>
  <c r="V229" i="37" s="1"/>
  <c r="T229" i="37"/>
  <c r="U228" i="37"/>
  <c r="V228" i="37" s="1"/>
  <c r="T228" i="37"/>
  <c r="U227" i="37"/>
  <c r="V227" i="37" s="1"/>
  <c r="T227" i="37"/>
  <c r="U226" i="37"/>
  <c r="V226" i="37" s="1"/>
  <c r="T226" i="37"/>
  <c r="U225" i="37"/>
  <c r="V225" i="37" s="1"/>
  <c r="T225" i="37"/>
  <c r="U224" i="37"/>
  <c r="V224" i="37" s="1"/>
  <c r="T224" i="37"/>
  <c r="U223" i="37"/>
  <c r="V223" i="37" s="1"/>
  <c r="T223" i="37"/>
  <c r="U222" i="37"/>
  <c r="V222" i="37" s="1"/>
  <c r="T222" i="37"/>
  <c r="U221" i="37"/>
  <c r="V221" i="37" s="1"/>
  <c r="T221" i="37"/>
  <c r="U220" i="37"/>
  <c r="V220" i="37" s="1"/>
  <c r="T220" i="37"/>
  <c r="U219" i="37"/>
  <c r="V219" i="37" s="1"/>
  <c r="T219" i="37"/>
  <c r="U218" i="37"/>
  <c r="V218" i="37" s="1"/>
  <c r="T218" i="37"/>
  <c r="U217" i="37"/>
  <c r="V217" i="37" s="1"/>
  <c r="T217" i="37"/>
  <c r="U216" i="37"/>
  <c r="V216" i="37" s="1"/>
  <c r="T216" i="37"/>
  <c r="U215" i="37"/>
  <c r="V215" i="37" s="1"/>
  <c r="T215" i="37"/>
  <c r="K80" i="2" s="1"/>
  <c r="U214" i="37"/>
  <c r="V214" i="37" s="1"/>
  <c r="T214" i="37"/>
  <c r="U213" i="37"/>
  <c r="V213" i="37" s="1"/>
  <c r="T213" i="37"/>
  <c r="U212" i="37"/>
  <c r="V212" i="37" s="1"/>
  <c r="T212" i="37"/>
  <c r="U211" i="37"/>
  <c r="V211" i="37" s="1"/>
  <c r="T211" i="37"/>
  <c r="U210" i="37"/>
  <c r="V210" i="37" s="1"/>
  <c r="T210" i="37"/>
  <c r="U209" i="37"/>
  <c r="V209" i="37" s="1"/>
  <c r="T209" i="37"/>
  <c r="U208" i="37"/>
  <c r="V208" i="37" s="1"/>
  <c r="T208" i="37"/>
  <c r="U207" i="37"/>
  <c r="V207" i="37" s="1"/>
  <c r="T207" i="37"/>
  <c r="U202" i="37"/>
  <c r="V202" i="37" s="1"/>
  <c r="T202" i="37"/>
  <c r="U201" i="37"/>
  <c r="V201" i="37" s="1"/>
  <c r="T201" i="37"/>
  <c r="U200" i="37"/>
  <c r="V200" i="37" s="1"/>
  <c r="T200" i="37"/>
  <c r="U199" i="37"/>
  <c r="V199" i="37" s="1"/>
  <c r="T199" i="37"/>
  <c r="X70" i="2" s="1"/>
  <c r="U198" i="37"/>
  <c r="V198" i="37" s="1"/>
  <c r="T198" i="37"/>
  <c r="U197" i="37"/>
  <c r="V197" i="37" s="1"/>
  <c r="T197" i="37"/>
  <c r="V70" i="2" s="1"/>
  <c r="U196" i="37"/>
  <c r="V196" i="37" s="1"/>
  <c r="T196" i="37"/>
  <c r="U195" i="37"/>
  <c r="V195" i="37" s="1"/>
  <c r="T195" i="37"/>
  <c r="U194" i="37"/>
  <c r="V194" i="37" s="1"/>
  <c r="T194" i="37"/>
  <c r="U193" i="37"/>
  <c r="V193" i="37" s="1"/>
  <c r="T193" i="37"/>
  <c r="U192" i="37"/>
  <c r="V192" i="37" s="1"/>
  <c r="T192" i="37"/>
  <c r="U191" i="37"/>
  <c r="V191" i="37" s="1"/>
  <c r="T191" i="37"/>
  <c r="P70" i="2" s="1"/>
  <c r="U190" i="37"/>
  <c r="V190" i="37" s="1"/>
  <c r="T190" i="37"/>
  <c r="U189" i="37"/>
  <c r="V189" i="37" s="1"/>
  <c r="T189" i="37"/>
  <c r="N70" i="2" s="1"/>
  <c r="U188" i="37"/>
  <c r="V188" i="37" s="1"/>
  <c r="T188" i="37"/>
  <c r="U187" i="37"/>
  <c r="V187" i="37" s="1"/>
  <c r="T187" i="37"/>
  <c r="U186" i="37"/>
  <c r="V186" i="37" s="1"/>
  <c r="T186" i="37"/>
  <c r="K70" i="2" s="1"/>
  <c r="U185" i="37"/>
  <c r="V185" i="37" s="1"/>
  <c r="T185" i="37"/>
  <c r="U184" i="37"/>
  <c r="V184" i="37" s="1"/>
  <c r="T184" i="37"/>
  <c r="U183" i="37"/>
  <c r="V183" i="37" s="1"/>
  <c r="T183" i="37"/>
  <c r="H70" i="2" s="1"/>
  <c r="U182" i="37"/>
  <c r="V182" i="37"/>
  <c r="T182" i="37"/>
  <c r="U181" i="37"/>
  <c r="V181" i="37" s="1"/>
  <c r="T181" i="37"/>
  <c r="U180" i="37"/>
  <c r="V180" i="37" s="1"/>
  <c r="T180" i="37"/>
  <c r="U179" i="37"/>
  <c r="V179" i="37" s="1"/>
  <c r="T179" i="37"/>
  <c r="U178" i="37"/>
  <c r="V178" i="37" s="1"/>
  <c r="C70" i="2" s="1"/>
  <c r="T178" i="37"/>
  <c r="U173" i="37"/>
  <c r="V173" i="37" s="1"/>
  <c r="T173" i="37"/>
  <c r="U172" i="37"/>
  <c r="V172" i="37" s="1"/>
  <c r="T172" i="37"/>
  <c r="U171" i="37"/>
  <c r="V171" i="37" s="1"/>
  <c r="T171" i="37"/>
  <c r="U170" i="37"/>
  <c r="V170" i="37" s="1"/>
  <c r="T170" i="37"/>
  <c r="U169" i="37"/>
  <c r="V169" i="37" s="1"/>
  <c r="T169" i="37"/>
  <c r="U168" i="37"/>
  <c r="V168" i="37" s="1"/>
  <c r="T168" i="37"/>
  <c r="U167" i="37"/>
  <c r="V167" i="37" s="1"/>
  <c r="T167" i="37"/>
  <c r="U166" i="37"/>
  <c r="V166" i="37" s="1"/>
  <c r="T166" i="37"/>
  <c r="T60" i="2" s="1"/>
  <c r="U165" i="37"/>
  <c r="V165" i="37" s="1"/>
  <c r="T165" i="37"/>
  <c r="U164" i="37"/>
  <c r="V164" i="37" s="1"/>
  <c r="T164" i="37"/>
  <c r="R60" i="2" s="1"/>
  <c r="U163" i="37"/>
  <c r="V163" i="37" s="1"/>
  <c r="T163" i="37"/>
  <c r="U162" i="37"/>
  <c r="V162" i="37" s="1"/>
  <c r="T162" i="37"/>
  <c r="U161" i="37"/>
  <c r="V161" i="37" s="1"/>
  <c r="T161" i="37"/>
  <c r="U160" i="37"/>
  <c r="V160" i="37" s="1"/>
  <c r="T160" i="37"/>
  <c r="U159" i="37"/>
  <c r="V159" i="37" s="1"/>
  <c r="T159" i="37"/>
  <c r="U158" i="37"/>
  <c r="V158" i="37" s="1"/>
  <c r="T158" i="37"/>
  <c r="L60" i="2" s="1"/>
  <c r="U157" i="37"/>
  <c r="V157" i="37" s="1"/>
  <c r="T157" i="37"/>
  <c r="U156" i="37"/>
  <c r="V156" i="37" s="1"/>
  <c r="T156" i="37"/>
  <c r="J60" i="2" s="1"/>
  <c r="U155" i="37"/>
  <c r="V155" i="37" s="1"/>
  <c r="T155" i="37"/>
  <c r="U154" i="37"/>
  <c r="V154" i="37" s="1"/>
  <c r="T154" i="37"/>
  <c r="U153" i="37"/>
  <c r="V153" i="37" s="1"/>
  <c r="T153" i="37"/>
  <c r="U152" i="37"/>
  <c r="V152" i="37" s="1"/>
  <c r="T152" i="37"/>
  <c r="U151" i="37"/>
  <c r="V151" i="37" s="1"/>
  <c r="T151" i="37"/>
  <c r="U150" i="37"/>
  <c r="V150" i="37" s="1"/>
  <c r="T150" i="37"/>
  <c r="U149" i="37"/>
  <c r="V149" i="37" s="1"/>
  <c r="T149" i="37"/>
  <c r="U144" i="37"/>
  <c r="V144" i="37" s="1"/>
  <c r="T144" i="37"/>
  <c r="AA50" i="2" s="1"/>
  <c r="U143" i="37"/>
  <c r="V143" i="37" s="1"/>
  <c r="T143" i="37"/>
  <c r="U142" i="37"/>
  <c r="V142" i="37" s="1"/>
  <c r="T142" i="37"/>
  <c r="Y50" i="2" s="1"/>
  <c r="U141" i="37"/>
  <c r="V141" i="37" s="1"/>
  <c r="T141" i="37"/>
  <c r="U140" i="37"/>
  <c r="V140" i="37" s="1"/>
  <c r="T140" i="37"/>
  <c r="U139" i="37"/>
  <c r="V139" i="37" s="1"/>
  <c r="T139" i="37"/>
  <c r="U138" i="37"/>
  <c r="V138" i="37" s="1"/>
  <c r="T138" i="37"/>
  <c r="U137" i="37"/>
  <c r="V137" i="37" s="1"/>
  <c r="T137" i="37"/>
  <c r="U136" i="37"/>
  <c r="V136" i="37" s="1"/>
  <c r="T136" i="37"/>
  <c r="S50" i="2" s="1"/>
  <c r="U135" i="37"/>
  <c r="V135" i="37" s="1"/>
  <c r="T135" i="37"/>
  <c r="U134" i="37"/>
  <c r="V134" i="37" s="1"/>
  <c r="T134" i="37"/>
  <c r="Q50" i="2" s="1"/>
  <c r="U133" i="37"/>
  <c r="V133" i="37" s="1"/>
  <c r="T133" i="37"/>
  <c r="U132" i="37"/>
  <c r="V132" i="37"/>
  <c r="T132" i="37"/>
  <c r="U131" i="37"/>
  <c r="V131" i="37" s="1"/>
  <c r="T131" i="37"/>
  <c r="N50" i="2" s="1"/>
  <c r="U130" i="37"/>
  <c r="V130" i="37" s="1"/>
  <c r="T130" i="37"/>
  <c r="U129" i="37"/>
  <c r="V129" i="37" s="1"/>
  <c r="T129" i="37"/>
  <c r="U128" i="37"/>
  <c r="V128" i="37" s="1"/>
  <c r="T128" i="37"/>
  <c r="U127" i="37"/>
  <c r="V127" i="37" s="1"/>
  <c r="T127" i="37"/>
  <c r="U126" i="37"/>
  <c r="V126" i="37" s="1"/>
  <c r="T126" i="37"/>
  <c r="U125" i="37"/>
  <c r="V125" i="37" s="1"/>
  <c r="T125" i="37"/>
  <c r="U124" i="37"/>
  <c r="V124" i="37" s="1"/>
  <c r="T124" i="37"/>
  <c r="U123" i="37"/>
  <c r="V123" i="37" s="1"/>
  <c r="T123" i="37"/>
  <c r="F50" i="2" s="1"/>
  <c r="U122" i="37"/>
  <c r="V122" i="37" s="1"/>
  <c r="T122" i="37"/>
  <c r="U121" i="37"/>
  <c r="V121" i="37" s="1"/>
  <c r="T121" i="37"/>
  <c r="D50" i="2" s="1"/>
  <c r="U120" i="37"/>
  <c r="V120" i="37" s="1"/>
  <c r="T120" i="37"/>
  <c r="U115" i="37"/>
  <c r="V115" i="37" s="1"/>
  <c r="T115" i="37"/>
  <c r="O115" i="37"/>
  <c r="P115" i="37" s="1"/>
  <c r="U114" i="37"/>
  <c r="V114" i="37" s="1"/>
  <c r="T114" i="37"/>
  <c r="O114" i="37"/>
  <c r="P114" i="37" s="1"/>
  <c r="U113" i="37"/>
  <c r="V113" i="37"/>
  <c r="T113" i="37"/>
  <c r="O113" i="37"/>
  <c r="P113" i="37" s="1"/>
  <c r="U112" i="37"/>
  <c r="V112" i="37" s="1"/>
  <c r="T112" i="37"/>
  <c r="O112" i="37"/>
  <c r="P112" i="37" s="1"/>
  <c r="X41" i="2" s="1"/>
  <c r="U111" i="37"/>
  <c r="V111" i="37" s="1"/>
  <c r="T111" i="37"/>
  <c r="O111" i="37"/>
  <c r="P111" i="37" s="1"/>
  <c r="U110" i="37"/>
  <c r="V110" i="37" s="1"/>
  <c r="T110" i="37"/>
  <c r="O110" i="37"/>
  <c r="P110" i="37"/>
  <c r="U109" i="37"/>
  <c r="V109" i="37" s="1"/>
  <c r="T109" i="37"/>
  <c r="O109" i="37"/>
  <c r="P109" i="37" s="1"/>
  <c r="U108" i="37"/>
  <c r="V108" i="37" s="1"/>
  <c r="T108" i="37"/>
  <c r="U107" i="37"/>
  <c r="V107" i="37" s="1"/>
  <c r="T107" i="37"/>
  <c r="AG96" i="37"/>
  <c r="U106" i="37"/>
  <c r="V106" i="37" s="1"/>
  <c r="T106" i="37"/>
  <c r="U105" i="37"/>
  <c r="V105" i="37" s="1"/>
  <c r="T105" i="37"/>
  <c r="O105" i="37"/>
  <c r="P105" i="37" s="1"/>
  <c r="Q41" i="2" s="1"/>
  <c r="U104" i="37"/>
  <c r="V104" i="37" s="1"/>
  <c r="T104" i="37"/>
  <c r="O104" i="37"/>
  <c r="P104" i="37" s="1"/>
  <c r="U103" i="37"/>
  <c r="V103" i="37" s="1"/>
  <c r="T103" i="37"/>
  <c r="O103" i="37"/>
  <c r="P103" i="37" s="1"/>
  <c r="U102" i="37"/>
  <c r="V102" i="37" s="1"/>
  <c r="T102" i="37"/>
  <c r="N40" i="2" s="1"/>
  <c r="O102" i="37"/>
  <c r="P102" i="37" s="1"/>
  <c r="U101" i="37"/>
  <c r="V101" i="37" s="1"/>
  <c r="T101" i="37"/>
  <c r="O101" i="37"/>
  <c r="P101" i="37" s="1"/>
  <c r="M41" i="2" s="1"/>
  <c r="U100" i="37"/>
  <c r="V100" i="37" s="1"/>
  <c r="T100" i="37"/>
  <c r="O100" i="37"/>
  <c r="P100" i="37" s="1"/>
  <c r="U99" i="37"/>
  <c r="V99" i="37" s="1"/>
  <c r="T99" i="37"/>
  <c r="O99" i="37"/>
  <c r="P99" i="37" s="1"/>
  <c r="U98" i="37"/>
  <c r="V98" i="37" s="1"/>
  <c r="T98" i="37"/>
  <c r="O98" i="37"/>
  <c r="P98" i="37" s="1"/>
  <c r="U97" i="37"/>
  <c r="V97" i="37" s="1"/>
  <c r="T97" i="37"/>
  <c r="O97" i="37"/>
  <c r="P97" i="37" s="1"/>
  <c r="I41" i="2" s="1"/>
  <c r="U96" i="37"/>
  <c r="V96" i="37" s="1"/>
  <c r="T96" i="37"/>
  <c r="O96" i="37"/>
  <c r="P96" i="37" s="1"/>
  <c r="U95" i="37"/>
  <c r="V95" i="37" s="1"/>
  <c r="T95" i="37"/>
  <c r="G40" i="2" s="1"/>
  <c r="O95" i="37"/>
  <c r="P95" i="37" s="1"/>
  <c r="U94" i="37"/>
  <c r="V94" i="37" s="1"/>
  <c r="T94" i="37"/>
  <c r="F40" i="2" s="1"/>
  <c r="O94" i="37"/>
  <c r="P94" i="37" s="1"/>
  <c r="F41" i="2" s="1"/>
  <c r="U93" i="37"/>
  <c r="V93" i="37" s="1"/>
  <c r="T93" i="37"/>
  <c r="O93" i="37"/>
  <c r="P93" i="37" s="1"/>
  <c r="E41" i="2" s="1"/>
  <c r="U92" i="37"/>
  <c r="V92" i="37" s="1"/>
  <c r="T92" i="37"/>
  <c r="O92" i="37"/>
  <c r="P92" i="37" s="1"/>
  <c r="U91" i="37"/>
  <c r="V91" i="37" s="1"/>
  <c r="C40" i="2" s="1"/>
  <c r="T91" i="37"/>
  <c r="O91" i="37"/>
  <c r="AG101" i="37" s="1"/>
  <c r="AC103" i="37"/>
  <c r="U86" i="37"/>
  <c r="V86" i="37" s="1"/>
  <c r="T86" i="37"/>
  <c r="O86" i="37"/>
  <c r="P86" i="37" s="1"/>
  <c r="U85" i="37"/>
  <c r="V85" i="37" s="1"/>
  <c r="T85" i="37"/>
  <c r="O85" i="37"/>
  <c r="P85" i="37" s="1"/>
  <c r="U84" i="37"/>
  <c r="V84" i="37" s="1"/>
  <c r="T84" i="37"/>
  <c r="Y30" i="2" s="1"/>
  <c r="O84" i="37"/>
  <c r="P84" i="37" s="1"/>
  <c r="U83" i="37"/>
  <c r="V83" i="37" s="1"/>
  <c r="T83" i="37"/>
  <c r="O83" i="37"/>
  <c r="P83" i="37" s="1"/>
  <c r="U82" i="37"/>
  <c r="V82" i="37" s="1"/>
  <c r="T82" i="37"/>
  <c r="O82" i="37"/>
  <c r="P82" i="37" s="1"/>
  <c r="U81" i="37"/>
  <c r="V81" i="37" s="1"/>
  <c r="T81" i="37"/>
  <c r="O81" i="37"/>
  <c r="P81" i="37" s="1"/>
  <c r="U80" i="37"/>
  <c r="V80" i="37" s="1"/>
  <c r="T80" i="37"/>
  <c r="O80" i="37"/>
  <c r="P80" i="37" s="1"/>
  <c r="U79" i="37"/>
  <c r="V79" i="37" s="1"/>
  <c r="T79" i="37"/>
  <c r="U78" i="37"/>
  <c r="V78" i="37" s="1"/>
  <c r="T78" i="37"/>
  <c r="O78" i="37"/>
  <c r="P78" i="37" s="1"/>
  <c r="U77" i="37"/>
  <c r="V77" i="37" s="1"/>
  <c r="T77" i="37"/>
  <c r="O77" i="37"/>
  <c r="P77" i="37" s="1"/>
  <c r="U76" i="37"/>
  <c r="V76" i="37" s="1"/>
  <c r="T76" i="37"/>
  <c r="Q30" i="2" s="1"/>
  <c r="O76" i="37"/>
  <c r="P76" i="37" s="1"/>
  <c r="U75" i="37"/>
  <c r="V75" i="37" s="1"/>
  <c r="T75" i="37"/>
  <c r="O75" i="37"/>
  <c r="P75" i="37" s="1"/>
  <c r="U74" i="37"/>
  <c r="V74" i="37" s="1"/>
  <c r="T74" i="37"/>
  <c r="O74" i="37"/>
  <c r="P74" i="37" s="1"/>
  <c r="U73" i="37"/>
  <c r="V73" i="37" s="1"/>
  <c r="T73" i="37"/>
  <c r="O73" i="37"/>
  <c r="P73" i="37" s="1"/>
  <c r="U72" i="37"/>
  <c r="V72" i="37" s="1"/>
  <c r="T72" i="37"/>
  <c r="O72" i="37"/>
  <c r="P72" i="37" s="1"/>
  <c r="U71" i="37"/>
  <c r="V71" i="37" s="1"/>
  <c r="T71" i="37"/>
  <c r="O71" i="37"/>
  <c r="P71" i="37" s="1"/>
  <c r="L31" i="2" s="1"/>
  <c r="U70" i="37"/>
  <c r="V70" i="37" s="1"/>
  <c r="T70" i="37"/>
  <c r="O70" i="37"/>
  <c r="P70" i="37" s="1"/>
  <c r="U69" i="37"/>
  <c r="V69" i="37" s="1"/>
  <c r="T69" i="37"/>
  <c r="O69" i="37"/>
  <c r="P69" i="37" s="1"/>
  <c r="U68" i="37"/>
  <c r="V68" i="37" s="1"/>
  <c r="T68" i="37"/>
  <c r="I30" i="2" s="1"/>
  <c r="O68" i="37"/>
  <c r="P68" i="37" s="1"/>
  <c r="U67" i="37"/>
  <c r="V67" i="37" s="1"/>
  <c r="T67" i="37"/>
  <c r="O67" i="37"/>
  <c r="P67" i="37" s="1"/>
  <c r="U66" i="37"/>
  <c r="V66" i="37" s="1"/>
  <c r="T66" i="37"/>
  <c r="O66" i="37"/>
  <c r="U65" i="37"/>
  <c r="V65" i="37" s="1"/>
  <c r="T65" i="37"/>
  <c r="O65" i="37"/>
  <c r="P65" i="37" s="1"/>
  <c r="U64" i="37"/>
  <c r="V64" i="37" s="1"/>
  <c r="T64" i="37"/>
  <c r="O64" i="37"/>
  <c r="P64" i="37" s="1"/>
  <c r="U63" i="37"/>
  <c r="V63" i="37" s="1"/>
  <c r="T63" i="37"/>
  <c r="O63" i="37"/>
  <c r="P63" i="37" s="1"/>
  <c r="D31" i="2" s="1"/>
  <c r="U62" i="37"/>
  <c r="V62" i="37" s="1"/>
  <c r="T62" i="37"/>
  <c r="O62" i="37"/>
  <c r="P62" i="37" s="1"/>
  <c r="AG77" i="37"/>
  <c r="U57" i="37"/>
  <c r="V57" i="37" s="1"/>
  <c r="T57" i="37"/>
  <c r="O57" i="37"/>
  <c r="P57" i="37" s="1"/>
  <c r="U56" i="37"/>
  <c r="V56" i="37" s="1"/>
  <c r="T56" i="37"/>
  <c r="Z20" i="2" s="1"/>
  <c r="O56" i="37"/>
  <c r="P56" i="37" s="1"/>
  <c r="U55" i="37"/>
  <c r="V55" i="37" s="1"/>
  <c r="T55" i="37"/>
  <c r="O55" i="37"/>
  <c r="P55" i="37" s="1"/>
  <c r="U54" i="37"/>
  <c r="V54" i="37" s="1"/>
  <c r="T54" i="37"/>
  <c r="O54" i="37"/>
  <c r="P54" i="37" s="1"/>
  <c r="U53" i="37"/>
  <c r="V53" i="37" s="1"/>
  <c r="T53" i="37"/>
  <c r="O53" i="37"/>
  <c r="P53" i="37" s="1"/>
  <c r="U52" i="37"/>
  <c r="V52" i="37" s="1"/>
  <c r="T52" i="37"/>
  <c r="O52" i="37"/>
  <c r="P52" i="37" s="1"/>
  <c r="U51" i="37"/>
  <c r="V51" i="37" s="1"/>
  <c r="T51" i="37"/>
  <c r="O51" i="37"/>
  <c r="P51" i="37" s="1"/>
  <c r="U21" i="2" s="1"/>
  <c r="U50" i="37"/>
  <c r="V50" i="37" s="1"/>
  <c r="T50" i="37"/>
  <c r="O50" i="37"/>
  <c r="P50" i="37" s="1"/>
  <c r="U49" i="37"/>
  <c r="V49" i="37" s="1"/>
  <c r="T49" i="37"/>
  <c r="O49" i="37"/>
  <c r="P49" i="37" s="1"/>
  <c r="S21" i="2" s="1"/>
  <c r="U48" i="37"/>
  <c r="V48" i="37" s="1"/>
  <c r="T48" i="37"/>
  <c r="R20" i="2" s="1"/>
  <c r="O48" i="37"/>
  <c r="P48" i="37" s="1"/>
  <c r="U47" i="37"/>
  <c r="V47" i="37" s="1"/>
  <c r="T47" i="37"/>
  <c r="O47" i="37"/>
  <c r="P47" i="37" s="1"/>
  <c r="U46" i="37"/>
  <c r="V46" i="37" s="1"/>
  <c r="T46" i="37"/>
  <c r="O46" i="37"/>
  <c r="P46" i="37" s="1"/>
  <c r="U45" i="37"/>
  <c r="V45" i="37" s="1"/>
  <c r="T45" i="37"/>
  <c r="O45" i="37"/>
  <c r="U44" i="37"/>
  <c r="V44" i="37" s="1"/>
  <c r="T44" i="37"/>
  <c r="U43" i="37"/>
  <c r="V43" i="37" s="1"/>
  <c r="T43" i="37"/>
  <c r="U42" i="37"/>
  <c r="V42" i="37" s="1"/>
  <c r="T42" i="37"/>
  <c r="U41" i="37"/>
  <c r="V41" i="37" s="1"/>
  <c r="T41" i="37"/>
  <c r="U40" i="37"/>
  <c r="V40" i="37" s="1"/>
  <c r="T40" i="37"/>
  <c r="J20" i="2" s="1"/>
  <c r="U39" i="37"/>
  <c r="V39" i="37" s="1"/>
  <c r="T39" i="37"/>
  <c r="U38" i="37"/>
  <c r="V38" i="37" s="1"/>
  <c r="T38" i="37"/>
  <c r="U37" i="37"/>
  <c r="V37" i="37" s="1"/>
  <c r="T37" i="37"/>
  <c r="U36" i="37"/>
  <c r="V36" i="37" s="1"/>
  <c r="T36" i="37"/>
  <c r="U35" i="37"/>
  <c r="V35" i="37" s="1"/>
  <c r="T35" i="37"/>
  <c r="U34" i="37"/>
  <c r="V34" i="37" s="1"/>
  <c r="T34" i="37"/>
  <c r="AA12" i="2"/>
  <c r="Z12" i="2"/>
  <c r="Y12" i="2"/>
  <c r="X12" i="2"/>
  <c r="W12" i="2"/>
  <c r="V12" i="2"/>
  <c r="U12" i="2"/>
  <c r="T12" i="2"/>
  <c r="S12" i="2"/>
  <c r="R12" i="2"/>
  <c r="Q12" i="2"/>
  <c r="P12" i="2"/>
  <c r="O12" i="2"/>
  <c r="N12" i="2"/>
  <c r="M12" i="2"/>
  <c r="L12" i="2"/>
  <c r="K12" i="2"/>
  <c r="J12" i="2"/>
  <c r="I12" i="2"/>
  <c r="H12" i="2"/>
  <c r="G12" i="2"/>
  <c r="F12" i="2"/>
  <c r="E12" i="2"/>
  <c r="C12" i="2"/>
  <c r="C9" i="2"/>
  <c r="T3" i="20"/>
  <c r="R3" i="20"/>
  <c r="P3" i="20"/>
  <c r="N3" i="20"/>
  <c r="L3" i="20"/>
  <c r="J3" i="20"/>
  <c r="H3" i="20"/>
  <c r="F3" i="20"/>
  <c r="D3" i="20"/>
  <c r="B3" i="20"/>
  <c r="T3" i="13"/>
  <c r="R3" i="13"/>
  <c r="P3" i="13"/>
  <c r="N3" i="13"/>
  <c r="L3" i="13"/>
  <c r="J3" i="13"/>
  <c r="H3" i="13"/>
  <c r="F3" i="13"/>
  <c r="D3" i="13"/>
  <c r="B3" i="13"/>
  <c r="T10" i="1"/>
  <c r="R10" i="1"/>
  <c r="P10" i="1"/>
  <c r="N10" i="1"/>
  <c r="L10" i="1"/>
  <c r="J10" i="1"/>
  <c r="H10" i="1"/>
  <c r="F10" i="1"/>
  <c r="D10" i="1"/>
  <c r="B10" i="1"/>
  <c r="T3" i="19"/>
  <c r="R3" i="19"/>
  <c r="P3" i="19"/>
  <c r="N3" i="19"/>
  <c r="L3" i="19"/>
  <c r="J3" i="19"/>
  <c r="H3" i="19"/>
  <c r="F3" i="19"/>
  <c r="D3" i="19"/>
  <c r="B3" i="19"/>
  <c r="T3" i="15"/>
  <c r="R3" i="15"/>
  <c r="P3" i="15"/>
  <c r="N3" i="15"/>
  <c r="L3" i="15"/>
  <c r="J3" i="15"/>
  <c r="H3" i="15"/>
  <c r="F3" i="15"/>
  <c r="D3" i="15"/>
  <c r="B3" i="15"/>
  <c r="T3" i="22"/>
  <c r="R3" i="22"/>
  <c r="P3" i="22"/>
  <c r="N3" i="22"/>
  <c r="L3" i="22"/>
  <c r="J3" i="22"/>
  <c r="H3" i="22"/>
  <c r="F3" i="22"/>
  <c r="D3" i="22"/>
  <c r="B3" i="22"/>
  <c r="T3" i="26"/>
  <c r="R3" i="26"/>
  <c r="P3" i="26"/>
  <c r="N3" i="26"/>
  <c r="L3" i="26"/>
  <c r="J3" i="26"/>
  <c r="H3" i="26"/>
  <c r="F3" i="26"/>
  <c r="D3" i="26"/>
  <c r="B3" i="26"/>
  <c r="T3" i="27"/>
  <c r="R3" i="27"/>
  <c r="P3" i="27"/>
  <c r="N3" i="27"/>
  <c r="L3" i="27"/>
  <c r="J3" i="27"/>
  <c r="H3" i="27"/>
  <c r="F3" i="27"/>
  <c r="D3" i="27"/>
  <c r="O28" i="37"/>
  <c r="P28" i="37" s="1"/>
  <c r="O27" i="37"/>
  <c r="P27" i="37" s="1"/>
  <c r="O26" i="37"/>
  <c r="P26" i="37" s="1"/>
  <c r="O25" i="37"/>
  <c r="P25" i="37" s="1"/>
  <c r="O24" i="37"/>
  <c r="P24" i="37" s="1"/>
  <c r="O23" i="37"/>
  <c r="P23" i="37" s="1"/>
  <c r="O22" i="37"/>
  <c r="P22" i="37" s="1"/>
  <c r="O21" i="37"/>
  <c r="P21" i="37" s="1"/>
  <c r="O20" i="37"/>
  <c r="P20" i="37" s="1"/>
  <c r="O19" i="37"/>
  <c r="P19" i="37" s="1"/>
  <c r="R11" i="2" s="1"/>
  <c r="O18" i="37"/>
  <c r="P18" i="37" s="1"/>
  <c r="O17" i="37"/>
  <c r="P17" i="37" s="1"/>
  <c r="O16" i="37"/>
  <c r="P16" i="37" s="1"/>
  <c r="O15" i="37"/>
  <c r="P15" i="37" s="1"/>
  <c r="O14" i="37"/>
  <c r="P14" i="37" s="1"/>
  <c r="O13" i="37"/>
  <c r="P13" i="37" s="1"/>
  <c r="O12" i="37"/>
  <c r="P12" i="37" s="1"/>
  <c r="O11" i="37"/>
  <c r="P11" i="37" s="1"/>
  <c r="J11" i="2" s="1"/>
  <c r="O10" i="37"/>
  <c r="P10" i="37" s="1"/>
  <c r="O9" i="37"/>
  <c r="P9" i="37" s="1"/>
  <c r="O8" i="37"/>
  <c r="P8" i="37" s="1"/>
  <c r="O7" i="37"/>
  <c r="P7" i="37" s="1"/>
  <c r="O6" i="37"/>
  <c r="P6" i="37" s="1"/>
  <c r="O5" i="37"/>
  <c r="O4" i="37"/>
  <c r="P4" i="37" s="1"/>
  <c r="AG7" i="37"/>
  <c r="AA4" i="2"/>
  <c r="Z4" i="2"/>
  <c r="Y4" i="2"/>
  <c r="X4" i="2"/>
  <c r="W4" i="2"/>
  <c r="V4" i="2"/>
  <c r="U4" i="2"/>
  <c r="T4" i="2"/>
  <c r="S4" i="2"/>
  <c r="R4" i="2"/>
  <c r="Q4" i="2"/>
  <c r="P4" i="2"/>
  <c r="O4" i="2"/>
  <c r="N4" i="2"/>
  <c r="M4" i="2"/>
  <c r="L4" i="2"/>
  <c r="K4" i="2"/>
  <c r="J4" i="2"/>
  <c r="I4" i="2"/>
  <c r="H4" i="2"/>
  <c r="G4" i="2"/>
  <c r="F4" i="2"/>
  <c r="E4" i="2"/>
  <c r="D4" i="2"/>
  <c r="C4" i="2"/>
  <c r="U28" i="37"/>
  <c r="V28" i="37" s="1"/>
  <c r="T28" i="37"/>
  <c r="U27" i="37"/>
  <c r="V27" i="37" s="1"/>
  <c r="T27" i="37"/>
  <c r="U26" i="37"/>
  <c r="V26" i="37"/>
  <c r="T26" i="37"/>
  <c r="U25" i="37"/>
  <c r="V25" i="37" s="1"/>
  <c r="T25" i="37"/>
  <c r="U24" i="37"/>
  <c r="V24" i="37" s="1"/>
  <c r="T24" i="37"/>
  <c r="U23" i="37"/>
  <c r="V23" i="37" s="1"/>
  <c r="T23" i="37"/>
  <c r="U22" i="37"/>
  <c r="V22" i="37" s="1"/>
  <c r="T22" i="37"/>
  <c r="U10" i="2" s="1"/>
  <c r="U21" i="37"/>
  <c r="V21" i="37" s="1"/>
  <c r="T21" i="37"/>
  <c r="T10" i="2" s="1"/>
  <c r="U20" i="37"/>
  <c r="V20" i="37" s="1"/>
  <c r="T20" i="37"/>
  <c r="U19" i="37"/>
  <c r="V19" i="37" s="1"/>
  <c r="T19" i="37"/>
  <c r="U18" i="37"/>
  <c r="V18" i="37" s="1"/>
  <c r="T18" i="37"/>
  <c r="U17" i="37"/>
  <c r="V17" i="37" s="1"/>
  <c r="T17" i="37"/>
  <c r="U16" i="37"/>
  <c r="V16" i="37" s="1"/>
  <c r="T16" i="37"/>
  <c r="U15" i="37"/>
  <c r="V15" i="37" s="1"/>
  <c r="T15" i="37"/>
  <c r="U14" i="37"/>
  <c r="V14" i="37" s="1"/>
  <c r="T14" i="37"/>
  <c r="U13" i="37"/>
  <c r="V13" i="37" s="1"/>
  <c r="T13" i="37"/>
  <c r="L10" i="2" s="1"/>
  <c r="U12" i="37"/>
  <c r="V12" i="37" s="1"/>
  <c r="T12" i="37"/>
  <c r="U11" i="37"/>
  <c r="V11" i="37" s="1"/>
  <c r="T11" i="37"/>
  <c r="J10" i="2" s="1"/>
  <c r="U10" i="37"/>
  <c r="V10" i="37" s="1"/>
  <c r="T10" i="37"/>
  <c r="U9" i="37"/>
  <c r="V9" i="37" s="1"/>
  <c r="T9" i="37"/>
  <c r="U8" i="37"/>
  <c r="V8" i="37" s="1"/>
  <c r="T8" i="37"/>
  <c r="U7" i="37"/>
  <c r="V7" i="37" s="1"/>
  <c r="T7" i="37"/>
  <c r="U6" i="37"/>
  <c r="V6" i="37" s="1"/>
  <c r="T6" i="37"/>
  <c r="U5" i="37"/>
  <c r="V5" i="37" s="1"/>
  <c r="T5" i="37"/>
  <c r="D10" i="2" s="1"/>
  <c r="U4" i="37"/>
  <c r="V4" i="37" s="1"/>
  <c r="T4" i="37"/>
  <c r="D28" i="35"/>
  <c r="D313" i="35"/>
  <c r="D281" i="35"/>
  <c r="D249" i="35"/>
  <c r="D217" i="35"/>
  <c r="D185" i="35"/>
  <c r="D153" i="35"/>
  <c r="D121" i="35"/>
  <c r="D89" i="35"/>
  <c r="E311" i="35"/>
  <c r="E279" i="35"/>
  <c r="E215" i="35"/>
  <c r="E151" i="35"/>
  <c r="E119" i="35"/>
  <c r="E304" i="35"/>
  <c r="C304" i="35"/>
  <c r="F272" i="35"/>
  <c r="J26" i="18" s="1"/>
  <c r="E272" i="35"/>
  <c r="D272" i="35"/>
  <c r="C272" i="35"/>
  <c r="F240" i="35"/>
  <c r="I26" i="18" s="1"/>
  <c r="E240" i="35"/>
  <c r="D240" i="35"/>
  <c r="C240" i="35"/>
  <c r="E208" i="35"/>
  <c r="E176" i="35"/>
  <c r="C176" i="35"/>
  <c r="F144" i="35"/>
  <c r="F26" i="18" s="1"/>
  <c r="E144" i="35"/>
  <c r="D144" i="35"/>
  <c r="C144" i="35"/>
  <c r="F112" i="35"/>
  <c r="E26" i="18" s="1"/>
  <c r="E112" i="35"/>
  <c r="D112" i="35"/>
  <c r="C112" i="35"/>
  <c r="E302" i="35"/>
  <c r="E270" i="35"/>
  <c r="E238" i="35"/>
  <c r="E206" i="35"/>
  <c r="E174" i="35"/>
  <c r="E142" i="35"/>
  <c r="E110" i="35"/>
  <c r="E78" i="35"/>
  <c r="E46" i="35"/>
  <c r="C301" i="35"/>
  <c r="C269" i="35"/>
  <c r="C237" i="35"/>
  <c r="C205" i="35"/>
  <c r="C173" i="35"/>
  <c r="C141" i="35"/>
  <c r="C109" i="35"/>
  <c r="C77" i="35"/>
  <c r="C45" i="35"/>
  <c r="E298" i="35"/>
  <c r="E266" i="35"/>
  <c r="E202" i="35"/>
  <c r="C202" i="35"/>
  <c r="E170" i="35"/>
  <c r="E138" i="35"/>
  <c r="C74" i="35"/>
  <c r="E42" i="35"/>
  <c r="C297" i="35"/>
  <c r="C265" i="35"/>
  <c r="C233" i="35"/>
  <c r="C201" i="35"/>
  <c r="C73" i="35"/>
  <c r="C41" i="35"/>
  <c r="F296" i="35"/>
  <c r="K18" i="18" s="1"/>
  <c r="E296" i="35"/>
  <c r="D296" i="35"/>
  <c r="C296" i="35"/>
  <c r="F264" i="35"/>
  <c r="J18" i="18" s="1"/>
  <c r="E264" i="35"/>
  <c r="D264" i="35"/>
  <c r="C264" i="35"/>
  <c r="F232" i="35"/>
  <c r="I18" i="18" s="1"/>
  <c r="E232" i="35"/>
  <c r="D232" i="35"/>
  <c r="C232" i="35"/>
  <c r="F200" i="35"/>
  <c r="H18" i="18" s="1"/>
  <c r="E200" i="35"/>
  <c r="D200" i="35"/>
  <c r="C200" i="35"/>
  <c r="F168" i="35"/>
  <c r="G18" i="18" s="1"/>
  <c r="E168" i="35"/>
  <c r="D168" i="35"/>
  <c r="C168" i="35"/>
  <c r="F136" i="35"/>
  <c r="F18" i="18" s="1"/>
  <c r="F104" i="35"/>
  <c r="E18" i="18" s="1"/>
  <c r="F72" i="35"/>
  <c r="D18" i="18" s="1"/>
  <c r="E72" i="35"/>
  <c r="D72" i="35"/>
  <c r="C72" i="35"/>
  <c r="F40" i="35"/>
  <c r="E136" i="35"/>
  <c r="D136" i="35"/>
  <c r="C136" i="35"/>
  <c r="E104" i="35"/>
  <c r="D104" i="35"/>
  <c r="C104" i="35"/>
  <c r="E40" i="35"/>
  <c r="D40" i="35"/>
  <c r="C40" i="35"/>
  <c r="F8" i="35"/>
  <c r="E19" i="35"/>
  <c r="E16" i="35"/>
  <c r="E14" i="35"/>
  <c r="E10" i="35"/>
  <c r="D25" i="35"/>
  <c r="D8" i="35"/>
  <c r="U10" i="19"/>
  <c r="S10" i="19"/>
  <c r="Q10" i="19"/>
  <c r="O10" i="19"/>
  <c r="M10" i="19"/>
  <c r="K10" i="19"/>
  <c r="I10" i="19"/>
  <c r="G10" i="19"/>
  <c r="E10" i="19"/>
  <c r="T24" i="20"/>
  <c r="P24" i="20"/>
  <c r="N24" i="20"/>
  <c r="L24" i="20"/>
  <c r="J24" i="20"/>
  <c r="H24" i="20"/>
  <c r="F24" i="20"/>
  <c r="U10" i="20"/>
  <c r="S10" i="20"/>
  <c r="Q10" i="20"/>
  <c r="O10" i="20"/>
  <c r="M10" i="20"/>
  <c r="K10" i="20"/>
  <c r="I10" i="20"/>
  <c r="G10" i="20"/>
  <c r="E10" i="20"/>
  <c r="E80" i="35"/>
  <c r="E48" i="35"/>
  <c r="T21" i="17"/>
  <c r="T26" i="17" s="1"/>
  <c r="C298" i="35"/>
  <c r="R21" i="17"/>
  <c r="R26" i="17" s="1"/>
  <c r="C266" i="35"/>
  <c r="P21" i="17"/>
  <c r="P26" i="17" s="1"/>
  <c r="C234" i="35"/>
  <c r="N21" i="17"/>
  <c r="N26" i="17" s="1"/>
  <c r="L21" i="17"/>
  <c r="L26" i="17" s="1"/>
  <c r="C170" i="35"/>
  <c r="J21" i="17"/>
  <c r="J26" i="17" s="1"/>
  <c r="C138" i="35"/>
  <c r="H21" i="17"/>
  <c r="H26" i="17" s="1"/>
  <c r="C106" i="35"/>
  <c r="F21" i="17"/>
  <c r="F26" i="17" s="1"/>
  <c r="D21" i="17"/>
  <c r="D26" i="17" s="1"/>
  <c r="C42" i="35"/>
  <c r="B3" i="27"/>
  <c r="T19" i="19"/>
  <c r="T20" i="19" s="1"/>
  <c r="R19" i="19"/>
  <c r="R20" i="19" s="1"/>
  <c r="P19" i="19"/>
  <c r="P20" i="19" s="1"/>
  <c r="N19" i="19"/>
  <c r="N20" i="19" s="1"/>
  <c r="L19" i="19"/>
  <c r="L20" i="19" s="1"/>
  <c r="J19" i="19"/>
  <c r="J20" i="19" s="1"/>
  <c r="F19" i="19"/>
  <c r="F20" i="19" s="1"/>
  <c r="D19" i="19"/>
  <c r="D20" i="19" s="1"/>
  <c r="B19" i="19"/>
  <c r="B20" i="19" s="1"/>
  <c r="C10" i="19"/>
  <c r="AU14" i="1"/>
  <c r="AU13" i="1"/>
  <c r="AU12" i="1"/>
  <c r="AU11" i="1"/>
  <c r="AY5" i="1"/>
  <c r="E258" i="3"/>
  <c r="C10" i="35"/>
  <c r="C21" i="19"/>
  <c r="C21" i="1"/>
  <c r="C10" i="20"/>
  <c r="B24" i="20"/>
  <c r="B16" i="3"/>
  <c r="C112" i="2" s="1"/>
  <c r="B47" i="3"/>
  <c r="S17" i="27" s="1"/>
  <c r="B73" i="3"/>
  <c r="B143" i="3"/>
  <c r="B280" i="3"/>
  <c r="B285" i="3"/>
  <c r="B288" i="3"/>
  <c r="P45" i="37"/>
  <c r="H242" i="35"/>
  <c r="G242" i="35"/>
  <c r="AG100" i="37"/>
  <c r="AG104" i="37"/>
  <c r="H241" i="35"/>
  <c r="G241" i="35"/>
  <c r="AG94" i="37"/>
  <c r="AG109" i="37"/>
  <c r="AG106" i="37"/>
  <c r="AG80" i="37"/>
  <c r="AG36" i="37"/>
  <c r="AG51" i="37"/>
  <c r="F13" i="47"/>
  <c r="B13" i="47"/>
  <c r="F11" i="47"/>
  <c r="D11" i="47"/>
  <c r="B11" i="47"/>
  <c r="F12" i="47"/>
  <c r="D12" i="47"/>
  <c r="AG19" i="37"/>
  <c r="AH7" i="37"/>
  <c r="AI7" i="37" s="1"/>
  <c r="T17" i="44"/>
  <c r="D17" i="44"/>
  <c r="H17" i="43"/>
  <c r="F17" i="43"/>
  <c r="R17" i="43"/>
  <c r="P17" i="44"/>
  <c r="T17" i="43"/>
  <c r="D17" i="43"/>
  <c r="N17" i="44"/>
  <c r="L17" i="44"/>
  <c r="P17" i="43"/>
  <c r="D17" i="1"/>
  <c r="B17" i="44"/>
  <c r="J17" i="44"/>
  <c r="N17" i="43"/>
  <c r="J17" i="43"/>
  <c r="R17" i="44"/>
  <c r="B17" i="43"/>
  <c r="H17" i="44"/>
  <c r="L17" i="43"/>
  <c r="F17" i="44"/>
  <c r="L19" i="43"/>
  <c r="F19" i="43"/>
  <c r="L19" i="44"/>
  <c r="P19" i="43"/>
  <c r="D19" i="1"/>
  <c r="F19" i="44"/>
  <c r="P19" i="44"/>
  <c r="T19" i="43"/>
  <c r="D19" i="43"/>
  <c r="N19" i="44"/>
  <c r="R19" i="43"/>
  <c r="J19" i="44"/>
  <c r="N19" i="43"/>
  <c r="T19" i="44"/>
  <c r="D19" i="44"/>
  <c r="H19" i="43"/>
  <c r="B19" i="43"/>
  <c r="H19" i="44"/>
  <c r="R19" i="44"/>
  <c r="J19" i="43"/>
  <c r="D18" i="1"/>
  <c r="E19" i="1" s="1"/>
  <c r="R18" i="44"/>
  <c r="S19" i="44" s="1"/>
  <c r="B18" i="44"/>
  <c r="C19" i="44" s="1"/>
  <c r="F18" i="43"/>
  <c r="G19" i="43" s="1"/>
  <c r="L18" i="44"/>
  <c r="M19" i="44" s="1"/>
  <c r="P18" i="43"/>
  <c r="Q19" i="43" s="1"/>
  <c r="F18" i="44"/>
  <c r="G19" i="44" s="1"/>
  <c r="J18" i="43"/>
  <c r="K19" i="43" s="1"/>
  <c r="C16" i="19"/>
  <c r="H18" i="43"/>
  <c r="I19" i="43" s="1"/>
  <c r="H18" i="44"/>
  <c r="I19" i="44" s="1"/>
  <c r="L18" i="43"/>
  <c r="M19" i="43" s="1"/>
  <c r="P18" i="44"/>
  <c r="Q19" i="44" s="1"/>
  <c r="T18" i="43"/>
  <c r="U19" i="43" s="1"/>
  <c r="B18" i="43"/>
  <c r="C19" i="43" s="1"/>
  <c r="J18" i="44"/>
  <c r="K19" i="44" s="1"/>
  <c r="N18" i="43"/>
  <c r="O19" i="43" s="1"/>
  <c r="T18" i="44"/>
  <c r="U19" i="44" s="1"/>
  <c r="H14" i="44"/>
  <c r="H14" i="43"/>
  <c r="L8" i="41"/>
  <c r="T7" i="15"/>
  <c r="D7" i="15"/>
  <c r="F14" i="44"/>
  <c r="F14" i="43"/>
  <c r="J8" i="41"/>
  <c r="I146" i="35"/>
  <c r="B7" i="15"/>
  <c r="T8" i="13"/>
  <c r="D8" i="13"/>
  <c r="T14" i="44"/>
  <c r="D14" i="44"/>
  <c r="T14" i="43"/>
  <c r="D14" i="43"/>
  <c r="T14" i="1"/>
  <c r="D14" i="1"/>
  <c r="H8" i="41"/>
  <c r="P7" i="15"/>
  <c r="J14" i="44"/>
  <c r="R8" i="13"/>
  <c r="R14" i="44"/>
  <c r="B14" i="44"/>
  <c r="R14" i="43"/>
  <c r="B14" i="43"/>
  <c r="R14" i="1"/>
  <c r="I275" i="35"/>
  <c r="F8" i="41"/>
  <c r="N7" i="15"/>
  <c r="J14" i="43"/>
  <c r="P14" i="44"/>
  <c r="P14" i="43"/>
  <c r="P14" i="1"/>
  <c r="T8" i="41"/>
  <c r="L7" i="15"/>
  <c r="I147" i="35"/>
  <c r="F7" i="15"/>
  <c r="N8" i="13"/>
  <c r="N14" i="44"/>
  <c r="N14" i="43"/>
  <c r="N14" i="1"/>
  <c r="R8" i="41"/>
  <c r="B8" i="41"/>
  <c r="J7" i="15"/>
  <c r="L14" i="44"/>
  <c r="L14" i="43"/>
  <c r="P8" i="41"/>
  <c r="H7" i="15"/>
  <c r="J8" i="13"/>
  <c r="N8" i="41"/>
  <c r="B8" i="19"/>
  <c r="T7" i="22"/>
  <c r="AG273" i="37" s="1"/>
  <c r="D7" i="22"/>
  <c r="AG41" i="37" s="1"/>
  <c r="R7" i="22"/>
  <c r="AG244" i="37" s="1"/>
  <c r="B7" i="22"/>
  <c r="P7" i="22"/>
  <c r="AH215" i="37" s="1"/>
  <c r="AI215" i="37" s="1"/>
  <c r="N7" i="22"/>
  <c r="L7" i="22"/>
  <c r="AG157" i="37" s="1"/>
  <c r="J7" i="22"/>
  <c r="AH128" i="37" s="1"/>
  <c r="AI128" i="37" s="1"/>
  <c r="H7" i="22"/>
  <c r="AH99" i="37" s="1"/>
  <c r="AI99" i="37" s="1"/>
  <c r="F7" i="22"/>
  <c r="AG70" i="37" s="1"/>
  <c r="AG6" i="37"/>
  <c r="P42" i="37"/>
  <c r="P37" i="37"/>
  <c r="P43" i="37"/>
  <c r="M21" i="2" s="1"/>
  <c r="P35" i="37"/>
  <c r="E21" i="2" s="1"/>
  <c r="AG98" i="37"/>
  <c r="AG67" i="37"/>
  <c r="H16" i="35"/>
  <c r="G16" i="35"/>
  <c r="AG13" i="37"/>
  <c r="AH64" i="37"/>
  <c r="H85" i="35"/>
  <c r="G85" i="35"/>
  <c r="AD66" i="37"/>
  <c r="AC66" i="37" s="1"/>
  <c r="AH66" i="37"/>
  <c r="AG64" i="37"/>
  <c r="AG66" i="37"/>
  <c r="AG69" i="37"/>
  <c r="AH67" i="37"/>
  <c r="AI67" i="37" s="1"/>
  <c r="AH187" i="37"/>
  <c r="AI187" i="37" s="1"/>
  <c r="AH238" i="37"/>
  <c r="R13" i="44" s="1"/>
  <c r="AH180" i="37"/>
  <c r="N13" i="44" s="1"/>
  <c r="H213" i="35"/>
  <c r="G213" i="35"/>
  <c r="AH183" i="37"/>
  <c r="AI183" i="37" s="1"/>
  <c r="AD185" i="37"/>
  <c r="AE185" i="37" s="1"/>
  <c r="AG40" i="37"/>
  <c r="AG42" i="37"/>
  <c r="C80" i="35"/>
  <c r="E169" i="35"/>
  <c r="E105" i="35"/>
  <c r="AC272" i="37"/>
  <c r="AG9" i="37"/>
  <c r="AG93" i="37"/>
  <c r="AC265" i="37"/>
  <c r="I245" i="35"/>
  <c r="I241" i="35"/>
  <c r="H148" i="35"/>
  <c r="G148" i="35"/>
  <c r="H244" i="35"/>
  <c r="G244" i="35"/>
  <c r="H84" i="35"/>
  <c r="G84" i="35"/>
  <c r="H212" i="35"/>
  <c r="G212" i="35"/>
  <c r="H276" i="35"/>
  <c r="G276" i="35"/>
  <c r="H52" i="35"/>
  <c r="G52" i="35"/>
  <c r="H116" i="35"/>
  <c r="G116" i="35"/>
  <c r="H180" i="35"/>
  <c r="G180" i="35"/>
  <c r="H20" i="35"/>
  <c r="G20" i="35"/>
  <c r="E233" i="35"/>
  <c r="E265" i="35"/>
  <c r="AH6" i="37"/>
  <c r="B13" i="44" s="1"/>
  <c r="AH8" i="37"/>
  <c r="AG71" i="37"/>
  <c r="AG95" i="37"/>
  <c r="AC95" i="37"/>
  <c r="AG266" i="37"/>
  <c r="AG33" i="37"/>
  <c r="AH274" i="37"/>
  <c r="T6" i="15" s="1"/>
  <c r="AG38" i="37"/>
  <c r="AG270" i="37"/>
  <c r="AG265" i="37"/>
  <c r="E297" i="35"/>
  <c r="E201" i="35"/>
  <c r="AH40" i="37"/>
  <c r="AI40" i="37" s="1"/>
  <c r="AH46" i="37"/>
  <c r="D7" i="13" s="1"/>
  <c r="H55" i="35"/>
  <c r="G55" i="35"/>
  <c r="AH42" i="37"/>
  <c r="D6" i="15" s="1"/>
  <c r="AH13" i="37"/>
  <c r="AI13" i="37" s="1"/>
  <c r="AH104" i="37"/>
  <c r="H7" i="13" s="1"/>
  <c r="H274" i="35"/>
  <c r="G274" i="35"/>
  <c r="Q37" i="41"/>
  <c r="I242" i="35"/>
  <c r="M210" i="35"/>
  <c r="H210" i="35"/>
  <c r="G210" i="35"/>
  <c r="M50" i="35"/>
  <c r="H50" i="35"/>
  <c r="G50" i="35"/>
  <c r="M273" i="35"/>
  <c r="H273" i="35"/>
  <c r="G273" i="35"/>
  <c r="I271" i="35"/>
  <c r="I239" i="35"/>
  <c r="I207" i="35"/>
  <c r="AH109" i="37"/>
  <c r="AH106" i="37"/>
  <c r="AI106" i="37" s="1"/>
  <c r="AD103" i="37"/>
  <c r="AH80" i="37"/>
  <c r="AH77" i="37"/>
  <c r="AI77" i="37" s="1"/>
  <c r="AH51" i="37"/>
  <c r="D6" i="48" s="1"/>
  <c r="AD45" i="37"/>
  <c r="B6" i="48"/>
  <c r="B7" i="47"/>
  <c r="AH11" i="37"/>
  <c r="O216" i="35"/>
  <c r="AI19" i="37"/>
  <c r="O280" i="35"/>
  <c r="O312" i="35"/>
  <c r="M280" i="35"/>
  <c r="N280" i="35"/>
  <c r="N312" i="35"/>
  <c r="M312" i="35"/>
  <c r="N184" i="35"/>
  <c r="M184" i="35"/>
  <c r="M216" i="35"/>
  <c r="N216" i="35"/>
  <c r="O184" i="35"/>
  <c r="H82" i="35"/>
  <c r="G82" i="35"/>
  <c r="M82" i="35"/>
  <c r="I213" i="35"/>
  <c r="AH98" i="37"/>
  <c r="H81" i="35"/>
  <c r="G81" i="35"/>
  <c r="I85" i="35"/>
  <c r="AC91" i="37"/>
  <c r="I16" i="35"/>
  <c r="P108" i="37"/>
  <c r="T41" i="2" s="1"/>
  <c r="AG91" i="37"/>
  <c r="N147" i="35"/>
  <c r="AH267" i="37"/>
  <c r="AH270" i="37"/>
  <c r="AI270" i="37" s="1"/>
  <c r="I304" i="35"/>
  <c r="N245" i="35"/>
  <c r="N275" i="35"/>
  <c r="AH272" i="37"/>
  <c r="AH266" i="37"/>
  <c r="AH265" i="37"/>
  <c r="I244" i="35"/>
  <c r="H48" i="35"/>
  <c r="G48" i="35"/>
  <c r="M242" i="35"/>
  <c r="M146" i="35"/>
  <c r="I276" i="35"/>
  <c r="M249" i="35"/>
  <c r="M241" i="35"/>
  <c r="M274" i="35"/>
  <c r="I148" i="35"/>
  <c r="AH93" i="37"/>
  <c r="I116" i="35"/>
  <c r="I180" i="35"/>
  <c r="I84" i="35"/>
  <c r="AH96" i="37"/>
  <c r="AI96" i="37" s="1"/>
  <c r="AD272" i="37"/>
  <c r="AE272" i="37" s="1"/>
  <c r="AH91" i="37"/>
  <c r="AG156" i="37"/>
  <c r="AG154" i="37"/>
  <c r="AG159" i="37"/>
  <c r="AG129" i="37"/>
  <c r="E205" i="35"/>
  <c r="E173" i="35"/>
  <c r="C238" i="35"/>
  <c r="C270" i="35"/>
  <c r="O43" i="35"/>
  <c r="H46" i="35"/>
  <c r="G46" i="35"/>
  <c r="AH100" i="37"/>
  <c r="H6" i="15" s="1"/>
  <c r="I19" i="15" s="1"/>
  <c r="I279" i="35"/>
  <c r="I270" i="35"/>
  <c r="N241" i="35"/>
  <c r="I238" i="35"/>
  <c r="I78" i="35"/>
  <c r="I210" i="35"/>
  <c r="I274" i="35"/>
  <c r="E37" i="41"/>
  <c r="I50" i="35"/>
  <c r="I273" i="35"/>
  <c r="N52" i="35"/>
  <c r="I52" i="35"/>
  <c r="N20" i="35"/>
  <c r="I20" i="35"/>
  <c r="H122" i="35"/>
  <c r="G122" i="35"/>
  <c r="H90" i="35"/>
  <c r="G90" i="35"/>
  <c r="H282" i="35"/>
  <c r="G282" i="35"/>
  <c r="H250" i="35"/>
  <c r="G250" i="35"/>
  <c r="H218" i="35"/>
  <c r="G218" i="35"/>
  <c r="I249" i="35"/>
  <c r="H111" i="35"/>
  <c r="G111" i="35"/>
  <c r="I215" i="35"/>
  <c r="L152" i="35"/>
  <c r="H24" i="35"/>
  <c r="G24" i="35"/>
  <c r="N85" i="35"/>
  <c r="C312" i="35"/>
  <c r="C216" i="35"/>
  <c r="C280" i="35"/>
  <c r="C184" i="35"/>
  <c r="H117" i="35"/>
  <c r="G117" i="35"/>
  <c r="I81" i="35"/>
  <c r="N212" i="35"/>
  <c r="I212" i="35"/>
  <c r="C206" i="35"/>
  <c r="I206" i="35"/>
  <c r="O139" i="35"/>
  <c r="N213" i="35"/>
  <c r="O171" i="35"/>
  <c r="G37" i="41"/>
  <c r="D82" i="35"/>
  <c r="I82" i="35"/>
  <c r="P79" i="37"/>
  <c r="T31" i="2" s="1"/>
  <c r="N146" i="35"/>
  <c r="H208" i="35"/>
  <c r="G208" i="35"/>
  <c r="O37" i="19"/>
  <c r="H309" i="35"/>
  <c r="G309" i="35"/>
  <c r="U37" i="41"/>
  <c r="D306" i="35"/>
  <c r="L304" i="35"/>
  <c r="H304" i="35"/>
  <c r="G304" i="35"/>
  <c r="E242" i="35"/>
  <c r="N84" i="35"/>
  <c r="N116" i="35"/>
  <c r="N276" i="35"/>
  <c r="N180" i="35"/>
  <c r="N244" i="35"/>
  <c r="H314" i="35"/>
  <c r="G314" i="35"/>
  <c r="I309" i="35"/>
  <c r="N148" i="35"/>
  <c r="C78" i="35"/>
  <c r="E146" i="35"/>
  <c r="E241" i="35"/>
  <c r="I80" i="35"/>
  <c r="G37" i="19"/>
  <c r="E37" i="19"/>
  <c r="L265" i="35"/>
  <c r="D274" i="35"/>
  <c r="M114" i="35"/>
  <c r="O215" i="35"/>
  <c r="N279" i="35"/>
  <c r="O279" i="35"/>
  <c r="D241" i="35"/>
  <c r="L106" i="35"/>
  <c r="L138" i="35"/>
  <c r="L170" i="35"/>
  <c r="L201" i="35"/>
  <c r="L10" i="35"/>
  <c r="L297" i="35"/>
  <c r="F9" i="35"/>
  <c r="B19" i="18" s="1"/>
  <c r="L137" i="35"/>
  <c r="L105" i="35"/>
  <c r="L234" i="35"/>
  <c r="D242" i="35"/>
  <c r="L74" i="35"/>
  <c r="L298" i="35"/>
  <c r="F173" i="35"/>
  <c r="G23" i="18" s="1"/>
  <c r="L266" i="35"/>
  <c r="D273" i="35"/>
  <c r="D210" i="35"/>
  <c r="L202" i="35"/>
  <c r="L42" i="35"/>
  <c r="H21" i="35"/>
  <c r="G21" i="35"/>
  <c r="AC124" i="37"/>
  <c r="AG125" i="37"/>
  <c r="AC156" i="37"/>
  <c r="AG151" i="37"/>
  <c r="AC149" i="37"/>
  <c r="AC153" i="37"/>
  <c r="H89" i="35"/>
  <c r="G89" i="35"/>
  <c r="L205" i="35"/>
  <c r="O75" i="35"/>
  <c r="O107" i="35"/>
  <c r="O203" i="35"/>
  <c r="E273" i="35"/>
  <c r="I55" i="35"/>
  <c r="N55" i="35"/>
  <c r="O55" i="35"/>
  <c r="M55" i="35"/>
  <c r="AH71" i="37"/>
  <c r="F6" i="15" s="1"/>
  <c r="AD69" i="37"/>
  <c r="AC69" i="37" s="1"/>
  <c r="M279" i="35"/>
  <c r="N215" i="35"/>
  <c r="H119" i="35"/>
  <c r="G119" i="35"/>
  <c r="L55" i="35"/>
  <c r="H14" i="35"/>
  <c r="N273" i="35"/>
  <c r="L274" i="35"/>
  <c r="L210" i="35"/>
  <c r="L82" i="35"/>
  <c r="N50" i="35"/>
  <c r="L242" i="35"/>
  <c r="C242" i="35"/>
  <c r="N242" i="35"/>
  <c r="H306" i="35"/>
  <c r="G306" i="35"/>
  <c r="D50" i="35"/>
  <c r="L273" i="35"/>
  <c r="L241" i="35"/>
  <c r="H120" i="35"/>
  <c r="G120" i="35"/>
  <c r="H88" i="35"/>
  <c r="G88" i="35"/>
  <c r="I89" i="35"/>
  <c r="H56" i="35"/>
  <c r="G56" i="35"/>
  <c r="L249" i="35"/>
  <c r="F312" i="35"/>
  <c r="K34" i="18" s="1"/>
  <c r="L312" i="35"/>
  <c r="F280" i="35"/>
  <c r="J34" i="18" s="1"/>
  <c r="L280" i="35"/>
  <c r="F216" i="35"/>
  <c r="H34" i="18" s="1"/>
  <c r="L216" i="35"/>
  <c r="F184" i="35"/>
  <c r="G34" i="18" s="1"/>
  <c r="L184" i="35"/>
  <c r="H79" i="35"/>
  <c r="G79" i="35"/>
  <c r="H47" i="35"/>
  <c r="G47" i="35"/>
  <c r="M215" i="35"/>
  <c r="O24" i="35"/>
  <c r="N24" i="35"/>
  <c r="M217" i="35"/>
  <c r="H15" i="35"/>
  <c r="G15" i="35"/>
  <c r="N309" i="35"/>
  <c r="D152" i="35"/>
  <c r="M306" i="35"/>
  <c r="E50" i="35"/>
  <c r="H217" i="35"/>
  <c r="G217" i="35"/>
  <c r="H110" i="35"/>
  <c r="G110" i="35"/>
  <c r="M81" i="35"/>
  <c r="M90" i="35"/>
  <c r="M58" i="35"/>
  <c r="M26" i="35"/>
  <c r="H26" i="35"/>
  <c r="G26" i="35" s="1"/>
  <c r="M282" i="35"/>
  <c r="M250" i="35"/>
  <c r="M218" i="35"/>
  <c r="M122" i="35"/>
  <c r="E82" i="35"/>
  <c r="N274" i="35"/>
  <c r="N210" i="35"/>
  <c r="N82" i="35"/>
  <c r="E274" i="35"/>
  <c r="I208" i="35"/>
  <c r="AH158" i="37"/>
  <c r="AI158" i="37" s="1"/>
  <c r="E210" i="35"/>
  <c r="H308" i="35"/>
  <c r="G308" i="35"/>
  <c r="H302" i="35"/>
  <c r="G302" i="35"/>
  <c r="N308" i="35"/>
  <c r="I308" i="35"/>
  <c r="D81" i="35"/>
  <c r="H58" i="35"/>
  <c r="G58" i="35"/>
  <c r="N249" i="35"/>
  <c r="AH154" i="37"/>
  <c r="AI154" i="37" s="1"/>
  <c r="AH129" i="37"/>
  <c r="AH156" i="37"/>
  <c r="AI156" i="37" s="1"/>
  <c r="AH159" i="37"/>
  <c r="D146" i="35"/>
  <c r="F304" i="35"/>
  <c r="K26" i="18" s="1"/>
  <c r="F10" i="35"/>
  <c r="B20" i="18" s="1"/>
  <c r="F170" i="35"/>
  <c r="G20" i="18" s="1"/>
  <c r="F106" i="35"/>
  <c r="E20" i="18" s="1"/>
  <c r="F74" i="35"/>
  <c r="D20" i="18" s="1"/>
  <c r="F233" i="35"/>
  <c r="I19" i="18" s="1"/>
  <c r="F202" i="35"/>
  <c r="H20" i="18" s="1"/>
  <c r="D9" i="35"/>
  <c r="F169" i="35"/>
  <c r="G19" i="18" s="1"/>
  <c r="F138" i="35"/>
  <c r="F20" i="18" s="1"/>
  <c r="F242" i="35"/>
  <c r="I28" i="18" s="1"/>
  <c r="F266" i="35"/>
  <c r="J20" i="18" s="1"/>
  <c r="F205" i="35"/>
  <c r="H23" i="18" s="1"/>
  <c r="F16" i="35"/>
  <c r="B26" i="18" s="1"/>
  <c r="F42" i="35"/>
  <c r="C20" i="18" s="1"/>
  <c r="F298" i="35"/>
  <c r="F234" i="35"/>
  <c r="I20" i="18" s="1"/>
  <c r="F201" i="35"/>
  <c r="H19" i="18" s="1"/>
  <c r="I117" i="35"/>
  <c r="I18" i="35"/>
  <c r="H18" i="35"/>
  <c r="G18" i="35"/>
  <c r="D80" i="35"/>
  <c r="F80" i="35"/>
  <c r="D26" i="18" s="1"/>
  <c r="F41" i="35"/>
  <c r="C19" i="18" s="1"/>
  <c r="E73" i="35"/>
  <c r="F73" i="35"/>
  <c r="D19" i="18" s="1"/>
  <c r="L48" i="35"/>
  <c r="D48" i="35"/>
  <c r="F48" i="35"/>
  <c r="C26" i="18" s="1"/>
  <c r="E249" i="35"/>
  <c r="M314" i="35"/>
  <c r="H114" i="35"/>
  <c r="G114" i="35"/>
  <c r="D73" i="35"/>
  <c r="L80" i="35"/>
  <c r="L169" i="35"/>
  <c r="L233" i="35"/>
  <c r="D233" i="35"/>
  <c r="E9" i="35"/>
  <c r="L73" i="35"/>
  <c r="L41" i="35"/>
  <c r="E41" i="35"/>
  <c r="N21" i="35"/>
  <c r="I21" i="35"/>
  <c r="AH125" i="37"/>
  <c r="AI125" i="37" s="1"/>
  <c r="AD156" i="37"/>
  <c r="H115" i="35"/>
  <c r="AH151" i="37"/>
  <c r="L13" i="44" s="1"/>
  <c r="AD153" i="37"/>
  <c r="AE153" i="37" s="1"/>
  <c r="C14" i="35"/>
  <c r="C302" i="35"/>
  <c r="M171" i="35"/>
  <c r="O11" i="35"/>
  <c r="D201" i="35"/>
  <c r="I46" i="35"/>
  <c r="L24" i="35"/>
  <c r="L279" i="35"/>
  <c r="J55" i="35"/>
  <c r="D279" i="35"/>
  <c r="F279" i="35"/>
  <c r="J33" i="18" s="1"/>
  <c r="C279" i="35"/>
  <c r="I119" i="35"/>
  <c r="O119" i="35"/>
  <c r="N119" i="35"/>
  <c r="D55" i="35"/>
  <c r="I14" i="35"/>
  <c r="D270" i="35"/>
  <c r="D238" i="35"/>
  <c r="D78" i="35"/>
  <c r="F238" i="35"/>
  <c r="I24" i="18" s="1"/>
  <c r="L238" i="35"/>
  <c r="L270" i="35"/>
  <c r="F270" i="35"/>
  <c r="J24" i="18" s="1"/>
  <c r="L78" i="35"/>
  <c r="F78" i="35"/>
  <c r="D24" i="18" s="1"/>
  <c r="F273" i="35"/>
  <c r="J27" i="18" s="1"/>
  <c r="F241" i="35"/>
  <c r="I27" i="18" s="1"/>
  <c r="C146" i="35"/>
  <c r="F146" i="35"/>
  <c r="F28" i="18" s="1"/>
  <c r="L146" i="35"/>
  <c r="I306" i="35"/>
  <c r="J242" i="35"/>
  <c r="J146" i="35"/>
  <c r="D298" i="35"/>
  <c r="D266" i="35"/>
  <c r="D234" i="35"/>
  <c r="D42" i="35"/>
  <c r="D202" i="35"/>
  <c r="D106" i="35"/>
  <c r="D74" i="35"/>
  <c r="D138" i="35"/>
  <c r="D10" i="35"/>
  <c r="J273" i="35"/>
  <c r="C273" i="35"/>
  <c r="J241" i="35"/>
  <c r="I120" i="35"/>
  <c r="O120" i="35"/>
  <c r="N120" i="35"/>
  <c r="L89" i="35"/>
  <c r="I88" i="35"/>
  <c r="O88" i="35"/>
  <c r="N88" i="35"/>
  <c r="I56" i="35"/>
  <c r="O56" i="35"/>
  <c r="N56" i="35"/>
  <c r="I250" i="35"/>
  <c r="I282" i="35"/>
  <c r="I90" i="35"/>
  <c r="I122" i="35"/>
  <c r="F303" i="35"/>
  <c r="K25" i="18" s="1"/>
  <c r="I303" i="35"/>
  <c r="D312" i="35"/>
  <c r="J312" i="35"/>
  <c r="L271" i="35"/>
  <c r="F271" i="35"/>
  <c r="J25" i="18" s="1"/>
  <c r="D280" i="35"/>
  <c r="D271" i="35"/>
  <c r="J280" i="35"/>
  <c r="L239" i="35"/>
  <c r="F239" i="35"/>
  <c r="I25" i="18" s="1"/>
  <c r="D239" i="35"/>
  <c r="D216" i="35"/>
  <c r="L207" i="35"/>
  <c r="F207" i="35"/>
  <c r="H25" i="18" s="1"/>
  <c r="D207" i="35"/>
  <c r="J216" i="35"/>
  <c r="D184" i="35"/>
  <c r="J184" i="35"/>
  <c r="I111" i="35"/>
  <c r="I79" i="35"/>
  <c r="I47" i="35"/>
  <c r="I218" i="35"/>
  <c r="N117" i="35"/>
  <c r="I15" i="35"/>
  <c r="E81" i="35"/>
  <c r="L208" i="35"/>
  <c r="F208" i="35"/>
  <c r="H26" i="18" s="1"/>
  <c r="I217" i="35"/>
  <c r="N217" i="35"/>
  <c r="D206" i="35"/>
  <c r="L206" i="35"/>
  <c r="F206" i="35"/>
  <c r="H24" i="18" s="1"/>
  <c r="D203" i="35"/>
  <c r="D171" i="35"/>
  <c r="I110" i="35"/>
  <c r="N26" i="35"/>
  <c r="D16" i="35"/>
  <c r="I26" i="35"/>
  <c r="L81" i="35"/>
  <c r="J16" i="35"/>
  <c r="F210" i="35"/>
  <c r="H28" i="18" s="1"/>
  <c r="F274" i="35"/>
  <c r="J28" i="18" s="1"/>
  <c r="F82" i="35"/>
  <c r="D28" i="18" s="1"/>
  <c r="H185" i="35"/>
  <c r="G185" i="35"/>
  <c r="J208" i="35"/>
  <c r="D208" i="35"/>
  <c r="H176" i="35"/>
  <c r="G176" i="35"/>
  <c r="I58" i="35"/>
  <c r="N90" i="35"/>
  <c r="I302" i="35"/>
  <c r="N218" i="35"/>
  <c r="I314" i="35"/>
  <c r="F249" i="35"/>
  <c r="I35" i="18" s="1"/>
  <c r="D304" i="35"/>
  <c r="J304" i="35"/>
  <c r="N122" i="35"/>
  <c r="C37" i="41"/>
  <c r="D18" i="35"/>
  <c r="J80" i="35"/>
  <c r="I37" i="41"/>
  <c r="D114" i="35"/>
  <c r="J48" i="35"/>
  <c r="I114" i="35"/>
  <c r="D169" i="35"/>
  <c r="G115" i="35"/>
  <c r="I115" i="35"/>
  <c r="N115" i="35"/>
  <c r="N89" i="35"/>
  <c r="M203" i="35"/>
  <c r="F171" i="35"/>
  <c r="G21" i="18" s="1"/>
  <c r="F55" i="35"/>
  <c r="C33" i="18" s="1"/>
  <c r="C171" i="35"/>
  <c r="L171" i="35"/>
  <c r="J206" i="35"/>
  <c r="H80" i="35"/>
  <c r="G80" i="35"/>
  <c r="F215" i="35"/>
  <c r="H33" i="18" s="1"/>
  <c r="J215" i="35"/>
  <c r="C215" i="35"/>
  <c r="J279" i="35"/>
  <c r="D215" i="35"/>
  <c r="L215" i="35"/>
  <c r="M119" i="35"/>
  <c r="J270" i="35"/>
  <c r="J238" i="35"/>
  <c r="J78" i="35"/>
  <c r="N306" i="35"/>
  <c r="C241" i="35"/>
  <c r="F50" i="35"/>
  <c r="C28" i="18" s="1"/>
  <c r="L50" i="35"/>
  <c r="M18" i="35"/>
  <c r="J274" i="35"/>
  <c r="C274" i="35"/>
  <c r="C210" i="35"/>
  <c r="J210" i="35"/>
  <c r="E306" i="35"/>
  <c r="M178" i="35"/>
  <c r="H178" i="35"/>
  <c r="G178" i="35"/>
  <c r="E89" i="35"/>
  <c r="M120" i="35"/>
  <c r="D120" i="35"/>
  <c r="F120" i="35"/>
  <c r="E34" i="18" s="1"/>
  <c r="L120" i="35"/>
  <c r="M56" i="35"/>
  <c r="F56" i="35"/>
  <c r="C34" i="18" s="1"/>
  <c r="D56" i="35"/>
  <c r="L56" i="35"/>
  <c r="L26" i="35"/>
  <c r="L90" i="35"/>
  <c r="L250" i="35"/>
  <c r="L282" i="35"/>
  <c r="L122" i="35"/>
  <c r="J303" i="35"/>
  <c r="J271" i="35"/>
  <c r="J249" i="35"/>
  <c r="C249" i="35"/>
  <c r="J239" i="35"/>
  <c r="J207" i="35"/>
  <c r="L111" i="35"/>
  <c r="F111" i="35"/>
  <c r="E25" i="18" s="1"/>
  <c r="E26" i="35"/>
  <c r="D15" i="35"/>
  <c r="L303" i="35"/>
  <c r="I24" i="35"/>
  <c r="L203" i="35"/>
  <c r="I178" i="35"/>
  <c r="L217" i="35"/>
  <c r="F217" i="35"/>
  <c r="H35" i="18" s="1"/>
  <c r="J217" i="35"/>
  <c r="C217" i="35"/>
  <c r="E217" i="35"/>
  <c r="L218" i="35"/>
  <c r="M185" i="35"/>
  <c r="J82" i="35"/>
  <c r="C82" i="35"/>
  <c r="F26" i="35"/>
  <c r="B36" i="18" s="1"/>
  <c r="F81" i="35"/>
  <c r="D27" i="18" s="1"/>
  <c r="N81" i="35"/>
  <c r="E58" i="35"/>
  <c r="L176" i="35"/>
  <c r="L58" i="35"/>
  <c r="E90" i="35"/>
  <c r="F90" i="35"/>
  <c r="D36" i="18" s="1"/>
  <c r="H174" i="35"/>
  <c r="G174" i="35"/>
  <c r="M37" i="41"/>
  <c r="D178" i="35"/>
  <c r="F218" i="35"/>
  <c r="H36" i="18" s="1"/>
  <c r="N250" i="35"/>
  <c r="E250" i="35"/>
  <c r="E282" i="35"/>
  <c r="N282" i="35"/>
  <c r="E218" i="35"/>
  <c r="L314" i="35"/>
  <c r="E18" i="35"/>
  <c r="L114" i="35"/>
  <c r="E122" i="35"/>
  <c r="F122" i="35"/>
  <c r="E36" i="18" s="1"/>
  <c r="E114" i="35"/>
  <c r="M186" i="35"/>
  <c r="E314" i="35"/>
  <c r="F58" i="35"/>
  <c r="C36" i="18" s="1"/>
  <c r="J58" i="35"/>
  <c r="H177" i="35"/>
  <c r="G177" i="35"/>
  <c r="N58" i="35"/>
  <c r="I174" i="35"/>
  <c r="H181" i="35"/>
  <c r="I185" i="35"/>
  <c r="D110" i="35"/>
  <c r="F46" i="35"/>
  <c r="C24" i="18" s="1"/>
  <c r="J46" i="35"/>
  <c r="L46" i="35"/>
  <c r="C46" i="35"/>
  <c r="D303" i="35"/>
  <c r="C55" i="35"/>
  <c r="D14" i="35"/>
  <c r="L14" i="35"/>
  <c r="F14" i="35"/>
  <c r="B24" i="18" s="1"/>
  <c r="D119" i="35"/>
  <c r="L119" i="35"/>
  <c r="F119" i="35"/>
  <c r="E33" i="18" s="1"/>
  <c r="C119" i="35"/>
  <c r="L306" i="35"/>
  <c r="F306" i="35"/>
  <c r="K28" i="18" s="1"/>
  <c r="J50" i="35"/>
  <c r="C50" i="35"/>
  <c r="J306" i="35"/>
  <c r="J120" i="35"/>
  <c r="C120" i="35"/>
  <c r="J56" i="35"/>
  <c r="C56" i="35"/>
  <c r="J90" i="35"/>
  <c r="C90" i="35"/>
  <c r="C122" i="35"/>
  <c r="J122" i="35"/>
  <c r="D111" i="35"/>
  <c r="I175" i="35"/>
  <c r="J111" i="35"/>
  <c r="F47" i="35"/>
  <c r="C25" i="18" s="1"/>
  <c r="L47" i="35"/>
  <c r="D47" i="35"/>
  <c r="M24" i="35"/>
  <c r="C24" i="35"/>
  <c r="F24" i="35"/>
  <c r="B34" i="18" s="1"/>
  <c r="L15" i="35"/>
  <c r="F15" i="35"/>
  <c r="B25" i="18" s="1"/>
  <c r="C203" i="35"/>
  <c r="F110" i="35"/>
  <c r="L110" i="35"/>
  <c r="C110" i="35"/>
  <c r="J218" i="35"/>
  <c r="C218" i="35"/>
  <c r="L13" i="35"/>
  <c r="E13" i="35"/>
  <c r="F13" i="35"/>
  <c r="B23" i="18" s="1"/>
  <c r="L185" i="35"/>
  <c r="J26" i="35"/>
  <c r="C81" i="35"/>
  <c r="J81" i="35"/>
  <c r="I176" i="35"/>
  <c r="F176" i="35"/>
  <c r="G26" i="18" s="1"/>
  <c r="D302" i="35"/>
  <c r="L302" i="35"/>
  <c r="F302" i="35"/>
  <c r="K24" i="18" s="1"/>
  <c r="F282" i="35"/>
  <c r="J36" i="18" s="1"/>
  <c r="F250" i="35"/>
  <c r="I36" i="18" s="1"/>
  <c r="N314" i="35"/>
  <c r="F314" i="35"/>
  <c r="K36" i="18" s="1"/>
  <c r="C58" i="35"/>
  <c r="N18" i="35"/>
  <c r="M37" i="19"/>
  <c r="K37" i="19"/>
  <c r="I177" i="35"/>
  <c r="G181" i="35"/>
  <c r="H186" i="35"/>
  <c r="G186" i="35"/>
  <c r="C174" i="35"/>
  <c r="I181" i="35"/>
  <c r="N181" i="35"/>
  <c r="F203" i="35"/>
  <c r="H21" i="18" s="1"/>
  <c r="J119" i="35"/>
  <c r="C306" i="35"/>
  <c r="N178" i="35"/>
  <c r="L178" i="35"/>
  <c r="L18" i="35"/>
  <c r="F18" i="35"/>
  <c r="B28" i="18" s="1"/>
  <c r="J250" i="35"/>
  <c r="C250" i="35"/>
  <c r="C282" i="35"/>
  <c r="J282" i="35"/>
  <c r="L175" i="35"/>
  <c r="F175" i="35"/>
  <c r="G25" i="18" s="1"/>
  <c r="J47" i="35"/>
  <c r="E185" i="35"/>
  <c r="D24" i="35"/>
  <c r="J15" i="35"/>
  <c r="E178" i="35"/>
  <c r="J110" i="35"/>
  <c r="D176" i="35"/>
  <c r="J176" i="35"/>
  <c r="J302" i="35"/>
  <c r="C314" i="35"/>
  <c r="J314" i="35"/>
  <c r="L41" i="19"/>
  <c r="M177" i="35"/>
  <c r="D174" i="35"/>
  <c r="F174" i="35"/>
  <c r="G24" i="18" s="1"/>
  <c r="E177" i="35"/>
  <c r="F114" i="35"/>
  <c r="E28" i="18" s="1"/>
  <c r="N114" i="35"/>
  <c r="F185" i="35"/>
  <c r="G35" i="18" s="1"/>
  <c r="J185" i="35"/>
  <c r="N185" i="35"/>
  <c r="I186" i="35"/>
  <c r="L11" i="35"/>
  <c r="D175" i="35"/>
  <c r="C18" i="35"/>
  <c r="J175" i="35"/>
  <c r="J24" i="35"/>
  <c r="L177" i="35"/>
  <c r="D177" i="35"/>
  <c r="L174" i="35"/>
  <c r="F178" i="35"/>
  <c r="G28" i="18" s="1"/>
  <c r="C185" i="35"/>
  <c r="C114" i="35"/>
  <c r="J114" i="35"/>
  <c r="E186" i="35"/>
  <c r="L186" i="35"/>
  <c r="J174" i="35"/>
  <c r="C178" i="35"/>
  <c r="J178" i="35"/>
  <c r="F186" i="35"/>
  <c r="G36" i="18" s="1"/>
  <c r="J186" i="35"/>
  <c r="F177" i="35"/>
  <c r="G27" i="18" s="1"/>
  <c r="N177" i="35"/>
  <c r="N186" i="35"/>
  <c r="C186" i="35"/>
  <c r="J177" i="35"/>
  <c r="C177" i="35"/>
  <c r="O244" i="35"/>
  <c r="O148" i="35"/>
  <c r="D244" i="35"/>
  <c r="L244" i="35"/>
  <c r="O213" i="35"/>
  <c r="O117" i="35"/>
  <c r="M244" i="35"/>
  <c r="O147" i="35"/>
  <c r="O84" i="35"/>
  <c r="D148" i="35"/>
  <c r="L148" i="35"/>
  <c r="D275" i="35"/>
  <c r="L275" i="35"/>
  <c r="D147" i="35"/>
  <c r="L147" i="35"/>
  <c r="D213" i="35"/>
  <c r="L213" i="35"/>
  <c r="O85" i="35"/>
  <c r="O180" i="35"/>
  <c r="O53" i="35"/>
  <c r="O52" i="35"/>
  <c r="O116" i="35"/>
  <c r="O149" i="35"/>
  <c r="O182" i="35"/>
  <c r="O309" i="35"/>
  <c r="O181" i="35"/>
  <c r="M148" i="35"/>
  <c r="O275" i="35"/>
  <c r="O308" i="35"/>
  <c r="O276" i="35"/>
  <c r="O212" i="35"/>
  <c r="M52" i="35"/>
  <c r="M147" i="35"/>
  <c r="D117" i="35"/>
  <c r="L117" i="35"/>
  <c r="D149" i="35"/>
  <c r="L149" i="35"/>
  <c r="D53" i="35"/>
  <c r="L53" i="35"/>
  <c r="F244" i="35"/>
  <c r="I30" i="18" s="1"/>
  <c r="C244" i="35"/>
  <c r="D180" i="35"/>
  <c r="L180" i="35"/>
  <c r="D116" i="35"/>
  <c r="L116" i="35"/>
  <c r="D84" i="35"/>
  <c r="L84" i="35"/>
  <c r="D52" i="35"/>
  <c r="L52" i="35"/>
  <c r="D182" i="35"/>
  <c r="L182" i="35"/>
  <c r="D85" i="35"/>
  <c r="L85" i="35"/>
  <c r="M213" i="35"/>
  <c r="D309" i="35"/>
  <c r="L309" i="35"/>
  <c r="D181" i="35"/>
  <c r="L181" i="35"/>
  <c r="O22" i="35"/>
  <c r="O21" i="35"/>
  <c r="O245" i="35"/>
  <c r="F117" i="35"/>
  <c r="E31" i="18" s="1"/>
  <c r="M149" i="35"/>
  <c r="M116" i="35"/>
  <c r="M85" i="35"/>
  <c r="M275" i="35"/>
  <c r="M84" i="35"/>
  <c r="M309" i="35"/>
  <c r="M117" i="35"/>
  <c r="M53" i="35"/>
  <c r="D276" i="35"/>
  <c r="L276" i="35"/>
  <c r="J244" i="35"/>
  <c r="M180" i="35"/>
  <c r="C148" i="35"/>
  <c r="F148" i="35"/>
  <c r="F30" i="18" s="1"/>
  <c r="F52" i="35"/>
  <c r="C30" i="18" s="1"/>
  <c r="C52" i="35"/>
  <c r="F147" i="35"/>
  <c r="F29" i="18" s="1"/>
  <c r="C147" i="35"/>
  <c r="M182" i="35"/>
  <c r="D22" i="35"/>
  <c r="L22" i="35"/>
  <c r="D212" i="35"/>
  <c r="L212" i="35"/>
  <c r="F213" i="35"/>
  <c r="C213" i="35"/>
  <c r="D308" i="35"/>
  <c r="L308" i="35"/>
  <c r="O115" i="35"/>
  <c r="D21" i="35"/>
  <c r="M181" i="35"/>
  <c r="M212" i="35"/>
  <c r="L21" i="35"/>
  <c r="M308" i="35"/>
  <c r="M115" i="35"/>
  <c r="M22" i="35"/>
  <c r="M276" i="35"/>
  <c r="D115" i="35"/>
  <c r="L115" i="35"/>
  <c r="C117" i="35"/>
  <c r="C149" i="35"/>
  <c r="F149" i="35"/>
  <c r="F31" i="18" s="1"/>
  <c r="F53" i="35"/>
  <c r="C31" i="18" s="1"/>
  <c r="C53" i="35"/>
  <c r="F180" i="35"/>
  <c r="G30" i="18" s="1"/>
  <c r="C180" i="35"/>
  <c r="J148" i="35"/>
  <c r="C116" i="35"/>
  <c r="F116" i="35"/>
  <c r="E30" i="18" s="1"/>
  <c r="F84" i="35"/>
  <c r="D30" i="18" s="1"/>
  <c r="C84" i="35"/>
  <c r="J52" i="35"/>
  <c r="F275" i="35"/>
  <c r="J29" i="18" s="1"/>
  <c r="C275" i="35"/>
  <c r="J147" i="35"/>
  <c r="F182" i="35"/>
  <c r="G32" i="18" s="1"/>
  <c r="C182" i="35"/>
  <c r="C85" i="35"/>
  <c r="F85" i="35"/>
  <c r="D31" i="18" s="1"/>
  <c r="J213" i="35"/>
  <c r="C309" i="35"/>
  <c r="F309" i="35"/>
  <c r="K31" i="18" s="1"/>
  <c r="F181" i="35"/>
  <c r="G31" i="18" s="1"/>
  <c r="F21" i="35"/>
  <c r="B31" i="18" s="1"/>
  <c r="C181" i="35"/>
  <c r="M21" i="35"/>
  <c r="C115" i="35"/>
  <c r="F115" i="35"/>
  <c r="E29" i="18" s="1"/>
  <c r="J117" i="35"/>
  <c r="J149" i="35"/>
  <c r="J53" i="35"/>
  <c r="F276" i="35"/>
  <c r="J30" i="18" s="1"/>
  <c r="C276" i="35"/>
  <c r="J180" i="35"/>
  <c r="J116" i="35"/>
  <c r="J84" i="35"/>
  <c r="J275" i="35"/>
  <c r="J182" i="35"/>
  <c r="C22" i="35"/>
  <c r="F22" i="35"/>
  <c r="B32" i="18" s="1"/>
  <c r="F212" i="35"/>
  <c r="H30" i="18" s="1"/>
  <c r="C212" i="35"/>
  <c r="J85" i="35"/>
  <c r="C308" i="35"/>
  <c r="F308" i="35"/>
  <c r="K30" i="18" s="1"/>
  <c r="J309" i="35"/>
  <c r="J181" i="35"/>
  <c r="C21" i="35"/>
  <c r="J21" i="35"/>
  <c r="J115" i="35"/>
  <c r="J276" i="35"/>
  <c r="J212" i="35"/>
  <c r="J308" i="35"/>
  <c r="O20" i="35"/>
  <c r="D20" i="35"/>
  <c r="L20" i="35"/>
  <c r="M20" i="35"/>
  <c r="AG127" i="37"/>
  <c r="AC127" i="37"/>
  <c r="F20" i="35"/>
  <c r="B30" i="18" s="1"/>
  <c r="C20" i="35"/>
  <c r="AH130" i="37"/>
  <c r="AH133" i="37"/>
  <c r="J7" i="13" s="1"/>
  <c r="AD132" i="37"/>
  <c r="AE132" i="37" s="1"/>
  <c r="AH127" i="37"/>
  <c r="J6" i="22" s="1"/>
  <c r="AD127" i="37"/>
  <c r="AE127" i="37" s="1"/>
  <c r="J20" i="35"/>
  <c r="M153" i="35"/>
  <c r="H153" i="35"/>
  <c r="G153" i="35"/>
  <c r="H151" i="35"/>
  <c r="G151" i="35"/>
  <c r="I153" i="35"/>
  <c r="M154" i="35"/>
  <c r="H142" i="35"/>
  <c r="G142" i="35"/>
  <c r="H154" i="35"/>
  <c r="G154" i="35"/>
  <c r="I143" i="35"/>
  <c r="E153" i="35"/>
  <c r="N152" i="35"/>
  <c r="M152" i="35"/>
  <c r="O152" i="35"/>
  <c r="I151" i="35"/>
  <c r="O151" i="35"/>
  <c r="L153" i="35"/>
  <c r="I154" i="35"/>
  <c r="I142" i="35"/>
  <c r="F143" i="35"/>
  <c r="F25" i="18" s="1"/>
  <c r="L143" i="35"/>
  <c r="F152" i="35"/>
  <c r="F34" i="18" s="1"/>
  <c r="M151" i="35"/>
  <c r="N153" i="35"/>
  <c r="F153" i="35"/>
  <c r="F35" i="18" s="1"/>
  <c r="L154" i="35"/>
  <c r="C142" i="35"/>
  <c r="E154" i="35"/>
  <c r="N151" i="35"/>
  <c r="F151" i="35"/>
  <c r="F33" i="18" s="1"/>
  <c r="L151" i="35"/>
  <c r="D151" i="35"/>
  <c r="D143" i="35"/>
  <c r="J152" i="35"/>
  <c r="C152" i="35"/>
  <c r="J143" i="35"/>
  <c r="J151" i="35"/>
  <c r="C151" i="35"/>
  <c r="C153" i="35"/>
  <c r="J153" i="35"/>
  <c r="N154" i="35"/>
  <c r="F154" i="35"/>
  <c r="F36" i="18" s="1"/>
  <c r="L142" i="35"/>
  <c r="F142" i="35"/>
  <c r="F24" i="18" s="1"/>
  <c r="D142" i="35"/>
  <c r="J142" i="35"/>
  <c r="C154" i="35"/>
  <c r="J154" i="35"/>
  <c r="N313" i="35"/>
  <c r="H277" i="35"/>
  <c r="G277" i="35"/>
  <c r="D245" i="35"/>
  <c r="L245" i="35"/>
  <c r="H211" i="35"/>
  <c r="G211" i="35"/>
  <c r="D88" i="35"/>
  <c r="L88" i="35"/>
  <c r="D46" i="35"/>
  <c r="D41" i="35"/>
  <c r="F297" i="35"/>
  <c r="K19" i="18" s="1"/>
  <c r="F265" i="35"/>
  <c r="J19" i="18" s="1"/>
  <c r="F19" i="18"/>
  <c r="D11" i="35"/>
  <c r="D13" i="35"/>
  <c r="L9" i="35"/>
  <c r="F105" i="35"/>
  <c r="E19" i="18" s="1"/>
  <c r="L173" i="35"/>
  <c r="D205" i="35"/>
  <c r="M25" i="35"/>
  <c r="H25" i="35"/>
  <c r="G25" i="35"/>
  <c r="H307" i="35"/>
  <c r="G307" i="35"/>
  <c r="I311" i="35"/>
  <c r="O311" i="35"/>
  <c r="L313" i="35"/>
  <c r="I313" i="35"/>
  <c r="I277" i="35"/>
  <c r="N277" i="35"/>
  <c r="N211" i="35"/>
  <c r="I211" i="35"/>
  <c r="H113" i="35"/>
  <c r="G113" i="35"/>
  <c r="D79" i="35"/>
  <c r="F79" i="35"/>
  <c r="L79" i="35"/>
  <c r="M89" i="35"/>
  <c r="F89" i="35"/>
  <c r="D35" i="18" s="1"/>
  <c r="M311" i="35"/>
  <c r="M88" i="35"/>
  <c r="F88" i="35"/>
  <c r="D34" i="18" s="1"/>
  <c r="M113" i="35"/>
  <c r="M11" i="35"/>
  <c r="F11" i="35"/>
  <c r="B21" i="18" s="1"/>
  <c r="M313" i="35"/>
  <c r="M245" i="35"/>
  <c r="D173" i="35"/>
  <c r="D265" i="35"/>
  <c r="D297" i="35"/>
  <c r="D105" i="35"/>
  <c r="N25" i="35"/>
  <c r="I25" i="35"/>
  <c r="F313" i="35"/>
  <c r="K35" i="18" s="1"/>
  <c r="D311" i="35"/>
  <c r="E313" i="35"/>
  <c r="N307" i="35"/>
  <c r="I307" i="35"/>
  <c r="N311" i="35"/>
  <c r="O277" i="35"/>
  <c r="D277" i="35"/>
  <c r="D211" i="35"/>
  <c r="O211" i="35"/>
  <c r="N113" i="35"/>
  <c r="D113" i="35"/>
  <c r="I113" i="35"/>
  <c r="J79" i="35"/>
  <c r="J89" i="35"/>
  <c r="C89" i="35"/>
  <c r="C245" i="35"/>
  <c r="F245" i="35"/>
  <c r="I31" i="18" s="1"/>
  <c r="J88" i="35"/>
  <c r="C88" i="35"/>
  <c r="C313" i="35"/>
  <c r="C11" i="35"/>
  <c r="J313" i="35"/>
  <c r="F25" i="35"/>
  <c r="B35" i="18" s="1"/>
  <c r="E25" i="35"/>
  <c r="L25" i="35"/>
  <c r="O307" i="35"/>
  <c r="D307" i="35"/>
  <c r="F311" i="35"/>
  <c r="K33" i="18" s="1"/>
  <c r="L311" i="35"/>
  <c r="L277" i="35"/>
  <c r="L211" i="35"/>
  <c r="L113" i="35"/>
  <c r="F113" i="35"/>
  <c r="E27" i="18" s="1"/>
  <c r="E113" i="35"/>
  <c r="J25" i="35"/>
  <c r="J245" i="35"/>
  <c r="C25" i="35"/>
  <c r="M307" i="35"/>
  <c r="C311" i="35"/>
  <c r="L307" i="35"/>
  <c r="J311" i="35"/>
  <c r="M277" i="35"/>
  <c r="M211" i="35"/>
  <c r="J113" i="35"/>
  <c r="C113" i="35"/>
  <c r="C307" i="35"/>
  <c r="F307" i="35"/>
  <c r="K29" i="18" s="1"/>
  <c r="C277" i="35"/>
  <c r="F277" i="35"/>
  <c r="J31" i="18" s="1"/>
  <c r="F211" i="35"/>
  <c r="H29" i="18" s="1"/>
  <c r="C211" i="35"/>
  <c r="J307" i="35"/>
  <c r="J277" i="35"/>
  <c r="J211" i="35"/>
  <c r="J38" i="41"/>
  <c r="J18" i="27"/>
  <c r="N14" i="20"/>
  <c r="O15" i="20" s="1"/>
  <c r="L14" i="20"/>
  <c r="M15" i="20" s="1"/>
  <c r="D18" i="44"/>
  <c r="E19" i="44" s="1"/>
  <c r="B15" i="41"/>
  <c r="C16" i="41" s="1"/>
  <c r="S16" i="19"/>
  <c r="O16" i="19"/>
  <c r="K16" i="19"/>
  <c r="G16" i="19"/>
  <c r="J14" i="20"/>
  <c r="K15" i="20" s="1"/>
  <c r="R15" i="41"/>
  <c r="S16" i="41" s="1"/>
  <c r="N15" i="41"/>
  <c r="O16" i="41" s="1"/>
  <c r="J15" i="41"/>
  <c r="K16" i="41" s="1"/>
  <c r="F15" i="41"/>
  <c r="G16" i="41" s="1"/>
  <c r="T15" i="41"/>
  <c r="U16" i="41" s="1"/>
  <c r="P15" i="41"/>
  <c r="Q16" i="41" s="1"/>
  <c r="L15" i="41"/>
  <c r="M16" i="41" s="1"/>
  <c r="H15" i="41"/>
  <c r="I16" i="41" s="1"/>
  <c r="R14" i="20"/>
  <c r="S15" i="20" s="1"/>
  <c r="I16" i="19"/>
  <c r="P14" i="20"/>
  <c r="Q15" i="20" s="1"/>
  <c r="U16" i="19"/>
  <c r="E15" i="20"/>
  <c r="D15" i="20" s="1"/>
  <c r="B14" i="20"/>
  <c r="C15" i="20" s="1"/>
  <c r="M16" i="19"/>
  <c r="D15" i="41"/>
  <c r="E16" i="41" s="1"/>
  <c r="E16" i="19"/>
  <c r="Q16" i="19"/>
  <c r="T14" i="20"/>
  <c r="U15" i="20" s="1"/>
  <c r="D13" i="47"/>
  <c r="C19" i="1"/>
  <c r="N18" i="44"/>
  <c r="O19" i="44" s="1"/>
  <c r="R18" i="43"/>
  <c r="S19" i="43" s="1"/>
  <c r="D18" i="43"/>
  <c r="E19" i="43" s="1"/>
  <c r="T14" i="41"/>
  <c r="P14" i="41"/>
  <c r="L14" i="41"/>
  <c r="H14" i="41"/>
  <c r="R13" i="20"/>
  <c r="B13" i="20"/>
  <c r="P13" i="20"/>
  <c r="N13" i="20"/>
  <c r="B14" i="41"/>
  <c r="L13" i="20"/>
  <c r="R14" i="41"/>
  <c r="N14" i="41"/>
  <c r="J14" i="41"/>
  <c r="F14" i="41"/>
  <c r="J13" i="20"/>
  <c r="B12" i="47"/>
  <c r="D14" i="41"/>
  <c r="T13" i="20"/>
  <c r="L14" i="42"/>
  <c r="M15" i="42" s="1"/>
  <c r="J14" i="42"/>
  <c r="K15" i="42" s="1"/>
  <c r="H14" i="42"/>
  <c r="I15" i="42" s="1"/>
  <c r="F14" i="42"/>
  <c r="G15" i="42" s="1"/>
  <c r="F14" i="20"/>
  <c r="G15" i="20" s="1"/>
  <c r="T14" i="42"/>
  <c r="U15" i="42" s="1"/>
  <c r="D14" i="42"/>
  <c r="E15" i="42" s="1"/>
  <c r="F12" i="20"/>
  <c r="R12" i="42"/>
  <c r="B12" i="42"/>
  <c r="P12" i="42"/>
  <c r="N12" i="42"/>
  <c r="L12" i="42"/>
  <c r="J12" i="42"/>
  <c r="R13" i="42"/>
  <c r="B14" i="42"/>
  <c r="C15" i="42" s="1"/>
  <c r="P13" i="42"/>
  <c r="N13" i="42"/>
  <c r="L13" i="42"/>
  <c r="J13" i="42"/>
  <c r="F13" i="42"/>
  <c r="F12" i="42"/>
  <c r="N14" i="42"/>
  <c r="O15" i="42" s="1"/>
  <c r="E29" i="30"/>
  <c r="H57" i="35" s="1"/>
  <c r="G57" i="35" s="1"/>
  <c r="H12" i="42"/>
  <c r="P14" i="42"/>
  <c r="Q15" i="42" s="1"/>
  <c r="T12" i="42"/>
  <c r="R14" i="42"/>
  <c r="S15" i="42" s="1"/>
  <c r="H13" i="42"/>
  <c r="H8" i="13"/>
  <c r="B8" i="26"/>
  <c r="B13" i="42"/>
  <c r="D16" i="41"/>
  <c r="AG43" i="37" l="1"/>
  <c r="Q11" i="2"/>
  <c r="Y11" i="2"/>
  <c r="P21" i="2"/>
  <c r="U20" i="2"/>
  <c r="F30" i="2"/>
  <c r="N30" i="2"/>
  <c r="V30" i="2"/>
  <c r="Y31" i="2"/>
  <c r="R21" i="2"/>
  <c r="X90" i="2"/>
  <c r="K50" i="2"/>
  <c r="D80" i="2"/>
  <c r="L80" i="2"/>
  <c r="AH23" i="37"/>
  <c r="AI23" i="37" s="1"/>
  <c r="AG189" i="37"/>
  <c r="AH160" i="37"/>
  <c r="AI160" i="37" s="1"/>
  <c r="AG73" i="37"/>
  <c r="AH276" i="37"/>
  <c r="AI276" i="37" s="1"/>
  <c r="AG15" i="37"/>
  <c r="AH131" i="37"/>
  <c r="AI131" i="37" s="1"/>
  <c r="AH218" i="37"/>
  <c r="AI218" i="37" s="1"/>
  <c r="AG160" i="37"/>
  <c r="AG276" i="37"/>
  <c r="AH73" i="37"/>
  <c r="AI73" i="37" s="1"/>
  <c r="AG44" i="37"/>
  <c r="AG131" i="37"/>
  <c r="AH189" i="37"/>
  <c r="AI189" i="37" s="1"/>
  <c r="AG218" i="37"/>
  <c r="AH102" i="37"/>
  <c r="AI102" i="37" s="1"/>
  <c r="AH44" i="37"/>
  <c r="AI44" i="37" s="1"/>
  <c r="AG102" i="37"/>
  <c r="AH15" i="37"/>
  <c r="AI15" i="37" s="1"/>
  <c r="P236" i="37"/>
  <c r="AH254" i="37" s="1"/>
  <c r="AG256" i="37"/>
  <c r="AG251" i="37"/>
  <c r="P237" i="37"/>
  <c r="AH247" i="37" s="1"/>
  <c r="AG247" i="37"/>
  <c r="AG23" i="37"/>
  <c r="AH24" i="37"/>
  <c r="AI24" i="37" s="1"/>
  <c r="AH139" i="37"/>
  <c r="AI139" i="37" s="1"/>
  <c r="R7" i="48"/>
  <c r="AG81" i="37"/>
  <c r="AG139" i="37"/>
  <c r="L7" i="48"/>
  <c r="L9" i="48" s="1"/>
  <c r="L18" i="48" s="1"/>
  <c r="L19" i="48" s="1"/>
  <c r="P7" i="48"/>
  <c r="J7" i="48"/>
  <c r="J9" i="48" s="1"/>
  <c r="J18" i="48" s="1"/>
  <c r="J19" i="48" s="1"/>
  <c r="AC243" i="37"/>
  <c r="AD248" i="37"/>
  <c r="AE248" i="37" s="1"/>
  <c r="AC248" i="37"/>
  <c r="AG254" i="37"/>
  <c r="V60" i="2"/>
  <c r="U50" i="2"/>
  <c r="J70" i="2"/>
  <c r="R70" i="2"/>
  <c r="Q21" i="2"/>
  <c r="K100" i="2"/>
  <c r="V20" i="2"/>
  <c r="P31" i="2"/>
  <c r="X31" i="2"/>
  <c r="T21" i="2"/>
  <c r="P10" i="2"/>
  <c r="X10" i="2"/>
  <c r="S20" i="2"/>
  <c r="V21" i="2"/>
  <c r="H80" i="2"/>
  <c r="P80" i="2"/>
  <c r="J30" i="2"/>
  <c r="M31" i="2"/>
  <c r="U31" i="2"/>
  <c r="Z30" i="2"/>
  <c r="K20" i="2"/>
  <c r="R30" i="2"/>
  <c r="Y41" i="2"/>
  <c r="D90" i="2"/>
  <c r="L90" i="2"/>
  <c r="H100" i="2"/>
  <c r="P100" i="2"/>
  <c r="T90" i="2"/>
  <c r="X100" i="2"/>
  <c r="M11" i="2"/>
  <c r="U11" i="2"/>
  <c r="R41" i="2"/>
  <c r="J21" i="2"/>
  <c r="B6" i="22"/>
  <c r="B9" i="22" s="1"/>
  <c r="AI11" i="37"/>
  <c r="AG197" i="37"/>
  <c r="AI22" i="37"/>
  <c r="L42" i="19"/>
  <c r="O23" i="13"/>
  <c r="O27" i="13" s="1"/>
  <c r="N9" i="13"/>
  <c r="M38" i="38"/>
  <c r="G38" i="38"/>
  <c r="G38" i="39"/>
  <c r="E38" i="39"/>
  <c r="O38" i="39"/>
  <c r="Q38" i="38"/>
  <c r="M38" i="39"/>
  <c r="S38" i="38"/>
  <c r="K38" i="39"/>
  <c r="U38" i="39"/>
  <c r="U38" i="38"/>
  <c r="I38" i="38"/>
  <c r="Q38" i="39"/>
  <c r="I38" i="39"/>
  <c r="C38" i="39"/>
  <c r="O38" i="38"/>
  <c r="C38" i="38"/>
  <c r="E38" i="38"/>
  <c r="E40" i="38" s="1"/>
  <c r="D40" i="38" s="1"/>
  <c r="D42" i="38" s="1"/>
  <c r="S38" i="39"/>
  <c r="K38" i="38"/>
  <c r="R9" i="13"/>
  <c r="R39" i="13" s="1"/>
  <c r="S23" i="13"/>
  <c r="S27" i="13" s="1"/>
  <c r="E20" i="2"/>
  <c r="M20" i="2"/>
  <c r="X21" i="2"/>
  <c r="P41" i="2"/>
  <c r="Q40" i="2"/>
  <c r="N90" i="2"/>
  <c r="R90" i="2"/>
  <c r="N100" i="2"/>
  <c r="M33" i="19"/>
  <c r="L11" i="19"/>
  <c r="L22" i="19" s="1"/>
  <c r="M31" i="19" s="1"/>
  <c r="M32" i="19" s="1"/>
  <c r="L9" i="19"/>
  <c r="E10" i="2"/>
  <c r="N10" i="2"/>
  <c r="R10" i="2"/>
  <c r="K11" i="2"/>
  <c r="S11" i="2"/>
  <c r="W11" i="2"/>
  <c r="AA11" i="2"/>
  <c r="D30" i="2"/>
  <c r="H30" i="2"/>
  <c r="K31" i="2"/>
  <c r="L30" i="2"/>
  <c r="O31" i="2"/>
  <c r="P30" i="2"/>
  <c r="T30" i="2"/>
  <c r="X40" i="2"/>
  <c r="E50" i="2"/>
  <c r="I50" i="2"/>
  <c r="R100" i="2"/>
  <c r="J31" i="20"/>
  <c r="J32" i="20" s="1"/>
  <c r="J37" i="20"/>
  <c r="J38" i="20" s="1"/>
  <c r="J36" i="20"/>
  <c r="L35" i="42"/>
  <c r="M27" i="20"/>
  <c r="L9" i="20"/>
  <c r="L35" i="20" s="1"/>
  <c r="L36" i="42" s="1"/>
  <c r="E23" i="13"/>
  <c r="E27" i="13" s="1"/>
  <c r="D9" i="13"/>
  <c r="I40" i="2"/>
  <c r="L41" i="2"/>
  <c r="W41" i="2"/>
  <c r="Z60" i="2"/>
  <c r="Q33" i="19"/>
  <c r="T33" i="39"/>
  <c r="L33" i="39"/>
  <c r="D33" i="39"/>
  <c r="P26" i="39"/>
  <c r="H26" i="39"/>
  <c r="T26" i="38"/>
  <c r="L26" i="38"/>
  <c r="D26" i="38"/>
  <c r="P33" i="38"/>
  <c r="H33" i="38"/>
  <c r="N33" i="39"/>
  <c r="J26" i="39"/>
  <c r="R33" i="38"/>
  <c r="R33" i="39"/>
  <c r="J33" i="39"/>
  <c r="B33" i="39"/>
  <c r="N26" i="39"/>
  <c r="F26" i="39"/>
  <c r="R26" i="38"/>
  <c r="J26" i="38"/>
  <c r="B26" i="38"/>
  <c r="N33" i="38"/>
  <c r="F33" i="38"/>
  <c r="F33" i="39"/>
  <c r="B26" i="39"/>
  <c r="F26" i="38"/>
  <c r="P33" i="39"/>
  <c r="H33" i="39"/>
  <c r="T26" i="39"/>
  <c r="L26" i="39"/>
  <c r="D26" i="39"/>
  <c r="P26" i="38"/>
  <c r="H26" i="38"/>
  <c r="T33" i="38"/>
  <c r="L33" i="38"/>
  <c r="D33" i="38"/>
  <c r="R26" i="39"/>
  <c r="N26" i="38"/>
  <c r="J33" i="38"/>
  <c r="B33" i="38"/>
  <c r="J9" i="13"/>
  <c r="K23" i="13"/>
  <c r="K27" i="13" s="1"/>
  <c r="K27" i="20"/>
  <c r="J9" i="20"/>
  <c r="J42" i="20" s="1"/>
  <c r="I23" i="13"/>
  <c r="I27" i="13" s="1"/>
  <c r="H9" i="13"/>
  <c r="M10" i="2"/>
  <c r="Z10" i="2"/>
  <c r="L11" i="2"/>
  <c r="W20" i="2"/>
  <c r="Z21" i="2"/>
  <c r="AA20" i="2"/>
  <c r="S31" i="2"/>
  <c r="W31" i="2"/>
  <c r="X30" i="2"/>
  <c r="N41" i="2"/>
  <c r="O40" i="2"/>
  <c r="U40" i="2"/>
  <c r="V40" i="2"/>
  <c r="AA41" i="2"/>
  <c r="C50" i="2"/>
  <c r="F70" i="2"/>
  <c r="T80" i="2"/>
  <c r="X80" i="2"/>
  <c r="U23" i="13"/>
  <c r="U27" i="13" s="1"/>
  <c r="T9" i="13"/>
  <c r="L37" i="20"/>
  <c r="L38" i="20" s="1"/>
  <c r="L31" i="20"/>
  <c r="L32" i="20" s="1"/>
  <c r="H36" i="20"/>
  <c r="B16" i="17"/>
  <c r="P41" i="19"/>
  <c r="P42" i="19" s="1"/>
  <c r="P9" i="19"/>
  <c r="P11" i="19"/>
  <c r="P22" i="19" s="1"/>
  <c r="Q31" i="19" s="1"/>
  <c r="Q32" i="19" s="1"/>
  <c r="S70" i="2"/>
  <c r="Y80" i="2"/>
  <c r="K90" i="2"/>
  <c r="AA70" i="2"/>
  <c r="S90" i="2"/>
  <c r="G100" i="2"/>
  <c r="O100" i="2"/>
  <c r="F7" i="19"/>
  <c r="G60" i="2"/>
  <c r="O60" i="2"/>
  <c r="O80" i="2"/>
  <c r="E90" i="2"/>
  <c r="AA90" i="2"/>
  <c r="W60" i="2"/>
  <c r="W80" i="2"/>
  <c r="M90" i="2"/>
  <c r="W100" i="2"/>
  <c r="V50" i="2"/>
  <c r="U90" i="2"/>
  <c r="Q80" i="2"/>
  <c r="B7" i="41"/>
  <c r="B7" i="19"/>
  <c r="Z100" i="2"/>
  <c r="J100" i="2"/>
  <c r="O291" i="37"/>
  <c r="K290" i="37" s="1"/>
  <c r="AC283" i="37"/>
  <c r="AC284" i="37" s="1"/>
  <c r="V90" i="2"/>
  <c r="F90" i="2"/>
  <c r="O262" i="37"/>
  <c r="M261" i="37" s="1"/>
  <c r="Z80" i="2"/>
  <c r="J80" i="2"/>
  <c r="R80" i="2"/>
  <c r="O233" i="37"/>
  <c r="M232" i="37" s="1"/>
  <c r="I71" i="2"/>
  <c r="D70" i="2"/>
  <c r="L70" i="2"/>
  <c r="T70" i="2"/>
  <c r="AC196" i="37"/>
  <c r="AC198" i="37" s="1"/>
  <c r="J61" i="2"/>
  <c r="R61" i="2"/>
  <c r="Z61" i="2"/>
  <c r="P60" i="2"/>
  <c r="X60" i="2"/>
  <c r="G50" i="2"/>
  <c r="O50" i="2"/>
  <c r="W50" i="2"/>
  <c r="O146" i="37"/>
  <c r="G156" i="35" s="1"/>
  <c r="AD42" i="2"/>
  <c r="Z41" i="2"/>
  <c r="S40" i="2"/>
  <c r="Z40" i="2"/>
  <c r="O21" i="2"/>
  <c r="H21" i="2"/>
  <c r="N21" i="2"/>
  <c r="G20" i="2"/>
  <c r="O20" i="2"/>
  <c r="L20" i="2"/>
  <c r="N31" i="2"/>
  <c r="Q31" i="2"/>
  <c r="V31" i="2"/>
  <c r="P11" i="2"/>
  <c r="AD182" i="37"/>
  <c r="AE182" i="37" s="1"/>
  <c r="Q71" i="2"/>
  <c r="Y71" i="2"/>
  <c r="Y73" i="2" s="1"/>
  <c r="M81" i="2"/>
  <c r="M83" i="2" s="1"/>
  <c r="E91" i="2"/>
  <c r="U91" i="2"/>
  <c r="U93" i="2" s="1"/>
  <c r="J101" i="2"/>
  <c r="J103" i="2" s="1"/>
  <c r="R101" i="2"/>
  <c r="R103" i="2" s="1"/>
  <c r="Z101" i="2"/>
  <c r="AA100" i="2"/>
  <c r="H41" i="2"/>
  <c r="H43" i="2" s="1"/>
  <c r="O11" i="2"/>
  <c r="O13" i="2" s="1"/>
  <c r="N11" i="2"/>
  <c r="H20" i="2"/>
  <c r="Z70" i="2"/>
  <c r="J90" i="2"/>
  <c r="Z90" i="2"/>
  <c r="AD52" i="2"/>
  <c r="AD102" i="2"/>
  <c r="AE102" i="2" s="1"/>
  <c r="S61" i="2"/>
  <c r="AA61" i="2"/>
  <c r="J71" i="2"/>
  <c r="J73" i="2" s="1"/>
  <c r="Z71" i="2"/>
  <c r="Z73" i="2" s="1"/>
  <c r="S81" i="2"/>
  <c r="K91" i="2"/>
  <c r="K101" i="2"/>
  <c r="S101" i="2"/>
  <c r="S103" i="2" s="1"/>
  <c r="AA101" i="2"/>
  <c r="P33" i="37"/>
  <c r="K60" i="2"/>
  <c r="O70" i="2"/>
  <c r="C100" i="2"/>
  <c r="P91" i="37"/>
  <c r="Y10" i="2"/>
  <c r="Y21" i="2"/>
  <c r="AA21" i="2"/>
  <c r="O41" i="2"/>
  <c r="O43" i="2" s="1"/>
  <c r="Z50" i="2"/>
  <c r="S60" i="2"/>
  <c r="W70" i="2"/>
  <c r="V80" i="2"/>
  <c r="G90" i="2"/>
  <c r="W90" i="2"/>
  <c r="F100" i="2"/>
  <c r="K71" i="2"/>
  <c r="K73" i="2" s="1"/>
  <c r="S71" i="2"/>
  <c r="AA71" i="2"/>
  <c r="Y81" i="2"/>
  <c r="Q91" i="2"/>
  <c r="Q93" i="2" s="1"/>
  <c r="N20" i="2"/>
  <c r="U30" i="2"/>
  <c r="I10" i="2"/>
  <c r="V10" i="2"/>
  <c r="I20" i="2"/>
  <c r="Q20" i="2"/>
  <c r="Y20" i="2"/>
  <c r="T40" i="2"/>
  <c r="J50" i="2"/>
  <c r="S80" i="2"/>
  <c r="S100" i="2"/>
  <c r="V100" i="2"/>
  <c r="M61" i="2"/>
  <c r="U61" i="2"/>
  <c r="U63" i="2" s="1"/>
  <c r="O81" i="2"/>
  <c r="O83" i="2" s="1"/>
  <c r="G91" i="2"/>
  <c r="W91" i="2"/>
  <c r="W93" i="2" s="1"/>
  <c r="E101" i="2"/>
  <c r="E103" i="2" s="1"/>
  <c r="M101" i="2"/>
  <c r="M103" i="2" s="1"/>
  <c r="U101" i="2"/>
  <c r="I232" i="37"/>
  <c r="J40" i="2"/>
  <c r="Y40" i="2"/>
  <c r="R50" i="2"/>
  <c r="O175" i="37"/>
  <c r="O204" i="37"/>
  <c r="I203" i="37" s="1"/>
  <c r="L21" i="2"/>
  <c r="F10" i="2"/>
  <c r="F20" i="2"/>
  <c r="Z31" i="2"/>
  <c r="Z33" i="2" s="1"/>
  <c r="M40" i="2"/>
  <c r="M50" i="2"/>
  <c r="AA60" i="2"/>
  <c r="F80" i="2"/>
  <c r="N61" i="2"/>
  <c r="V61" i="2"/>
  <c r="E71" i="2"/>
  <c r="E73" i="2" s="1"/>
  <c r="M71" i="2"/>
  <c r="M73" i="2" s="1"/>
  <c r="U71" i="2"/>
  <c r="U81" i="2"/>
  <c r="U83" i="2" s="1"/>
  <c r="M91" i="2"/>
  <c r="M93" i="2" s="1"/>
  <c r="F101" i="2"/>
  <c r="N101" i="2"/>
  <c r="N103" i="2" s="1"/>
  <c r="V101" i="2"/>
  <c r="V11" i="2"/>
  <c r="V13" i="2" s="1"/>
  <c r="O61" i="2"/>
  <c r="O63" i="2" s="1"/>
  <c r="W61" i="2"/>
  <c r="F71" i="2"/>
  <c r="F73" i="2" s="1"/>
  <c r="V71" i="2"/>
  <c r="V73" i="2" s="1"/>
  <c r="K81" i="2"/>
  <c r="AA81" i="2"/>
  <c r="AA83" i="2" s="1"/>
  <c r="S91" i="2"/>
  <c r="G101" i="2"/>
  <c r="G103" i="2" s="1"/>
  <c r="O101" i="2"/>
  <c r="O103" i="2" s="1"/>
  <c r="W101" i="2"/>
  <c r="AC98" i="37"/>
  <c r="AC109" i="37" s="1"/>
  <c r="AC111" i="37" s="1"/>
  <c r="Q10" i="2"/>
  <c r="E40" i="2"/>
  <c r="R40" i="2"/>
  <c r="U41" i="2"/>
  <c r="U43" i="2" s="1"/>
  <c r="N60" i="2"/>
  <c r="G70" i="2"/>
  <c r="N80" i="2"/>
  <c r="O90" i="2"/>
  <c r="I21" i="2"/>
  <c r="G71" i="2"/>
  <c r="O71" i="2"/>
  <c r="O73" i="2" s="1"/>
  <c r="W71" i="2"/>
  <c r="W73" i="2" s="1"/>
  <c r="Q81" i="2"/>
  <c r="Q83" i="2" s="1"/>
  <c r="I91" i="2"/>
  <c r="I93" i="2" s="1"/>
  <c r="Y91" i="2"/>
  <c r="Y93" i="2" s="1"/>
  <c r="Q61" i="2"/>
  <c r="Y61" i="2"/>
  <c r="W81" i="2"/>
  <c r="O91" i="2"/>
  <c r="O93" i="2" s="1"/>
  <c r="Z91" i="2"/>
  <c r="Z93" i="2" s="1"/>
  <c r="I101" i="2"/>
  <c r="I103" i="2" s="1"/>
  <c r="Q101" i="2"/>
  <c r="Q103" i="2" s="1"/>
  <c r="Y101" i="2"/>
  <c r="Y103" i="2" s="1"/>
  <c r="L71" i="2"/>
  <c r="AC138" i="37"/>
  <c r="F41" i="18" s="1"/>
  <c r="O117" i="37"/>
  <c r="G21" i="2"/>
  <c r="G23" i="2" s="1"/>
  <c r="C10" i="2"/>
  <c r="D20" i="2"/>
  <c r="X20" i="2"/>
  <c r="G41" i="2"/>
  <c r="M60" i="2"/>
  <c r="U60" i="2"/>
  <c r="I80" i="2"/>
  <c r="E100" i="2"/>
  <c r="H71" i="2"/>
  <c r="T71" i="2"/>
  <c r="X71" i="2"/>
  <c r="X73" i="2" s="1"/>
  <c r="T11" i="2"/>
  <c r="T13" i="2" s="1"/>
  <c r="X11" i="2"/>
  <c r="X13" i="2" s="1"/>
  <c r="R31" i="2"/>
  <c r="R33" i="2" s="1"/>
  <c r="D40" i="2"/>
  <c r="H40" i="2"/>
  <c r="K41" i="2"/>
  <c r="K43" i="2" s="1"/>
  <c r="W40" i="2"/>
  <c r="M80" i="2"/>
  <c r="U80" i="2"/>
  <c r="I90" i="2"/>
  <c r="Q90" i="2"/>
  <c r="Y90" i="2"/>
  <c r="P71" i="2"/>
  <c r="O59" i="37"/>
  <c r="L58" i="37" s="1"/>
  <c r="AC167" i="37"/>
  <c r="G41" i="18" s="1"/>
  <c r="S41" i="2"/>
  <c r="S43" i="2" s="1"/>
  <c r="N15" i="44"/>
  <c r="N40" i="44" s="1"/>
  <c r="K21" i="2"/>
  <c r="K23" i="2" s="1"/>
  <c r="K10" i="2"/>
  <c r="O10" i="2"/>
  <c r="S10" i="2"/>
  <c r="W10" i="2"/>
  <c r="AA10" i="2"/>
  <c r="P20" i="2"/>
  <c r="T20" i="2"/>
  <c r="S30" i="2"/>
  <c r="V41" i="2"/>
  <c r="V43" i="2" s="1"/>
  <c r="Q60" i="2"/>
  <c r="Y60" i="2"/>
  <c r="P61" i="2"/>
  <c r="P63" i="2" s="1"/>
  <c r="T61" i="2"/>
  <c r="X61" i="2"/>
  <c r="X63" i="2" s="1"/>
  <c r="L101" i="2"/>
  <c r="L103" i="2" s="1"/>
  <c r="P101" i="2"/>
  <c r="P103" i="2" s="1"/>
  <c r="T101" i="2"/>
  <c r="T103" i="2" s="1"/>
  <c r="X101" i="2"/>
  <c r="X103" i="2" s="1"/>
  <c r="K30" i="2"/>
  <c r="O30" i="2"/>
  <c r="W30" i="2"/>
  <c r="AA30" i="2"/>
  <c r="AA40" i="2"/>
  <c r="H50" i="2"/>
  <c r="L50" i="2"/>
  <c r="P50" i="2"/>
  <c r="T50" i="2"/>
  <c r="X50" i="2"/>
  <c r="E80" i="2"/>
  <c r="F51" i="2"/>
  <c r="H51" i="2"/>
  <c r="J51" i="2"/>
  <c r="J53" i="2" s="1"/>
  <c r="L51" i="2"/>
  <c r="L53" i="2" s="1"/>
  <c r="N51" i="2"/>
  <c r="N53" i="2" s="1"/>
  <c r="P51" i="2"/>
  <c r="R51" i="2"/>
  <c r="R53" i="2" s="1"/>
  <c r="T51" i="2"/>
  <c r="V51" i="2"/>
  <c r="X51" i="2"/>
  <c r="X53" i="2" s="1"/>
  <c r="Z51" i="2"/>
  <c r="Z53" i="2" s="1"/>
  <c r="L40" i="2"/>
  <c r="P40" i="2"/>
  <c r="E70" i="2"/>
  <c r="I70" i="2"/>
  <c r="M70" i="2"/>
  <c r="Q70" i="2"/>
  <c r="U70" i="2"/>
  <c r="Y70" i="2"/>
  <c r="I100" i="2"/>
  <c r="M100" i="2"/>
  <c r="Q100" i="2"/>
  <c r="U100" i="2"/>
  <c r="Y100" i="2"/>
  <c r="E51" i="2"/>
  <c r="G51" i="2"/>
  <c r="G53" i="2" s="1"/>
  <c r="I51" i="2"/>
  <c r="I53" i="2" s="1"/>
  <c r="K51" i="2"/>
  <c r="K53" i="2" s="1"/>
  <c r="M51" i="2"/>
  <c r="M53" i="2" s="1"/>
  <c r="O51" i="2"/>
  <c r="Q51" i="2"/>
  <c r="Q53" i="2" s="1"/>
  <c r="S51" i="2"/>
  <c r="S53" i="2" s="1"/>
  <c r="U51" i="2"/>
  <c r="W51" i="2"/>
  <c r="W53" i="2" s="1"/>
  <c r="Y51" i="2"/>
  <c r="Y53" i="2" s="1"/>
  <c r="AA51" i="2"/>
  <c r="AA53" i="2" s="1"/>
  <c r="L81" i="2"/>
  <c r="L83" i="2" s="1"/>
  <c r="N81" i="2"/>
  <c r="P81" i="2"/>
  <c r="P83" i="2" s="1"/>
  <c r="R81" i="2"/>
  <c r="T81" i="2"/>
  <c r="T83" i="2" s="1"/>
  <c r="V81" i="2"/>
  <c r="X81" i="2"/>
  <c r="X83" i="2" s="1"/>
  <c r="Z81" i="2"/>
  <c r="Z83" i="2" s="1"/>
  <c r="F91" i="2"/>
  <c r="F93" i="2" s="1"/>
  <c r="H91" i="2"/>
  <c r="J91" i="2"/>
  <c r="J93" i="2" s="1"/>
  <c r="L91" i="2"/>
  <c r="L93" i="2" s="1"/>
  <c r="N91" i="2"/>
  <c r="P91" i="2"/>
  <c r="R91" i="2"/>
  <c r="R93" i="2" s="1"/>
  <c r="T91" i="2"/>
  <c r="T93" i="2" s="1"/>
  <c r="V91" i="2"/>
  <c r="V93" i="2" s="1"/>
  <c r="X91" i="2"/>
  <c r="T21" i="27"/>
  <c r="T25" i="27" s="1"/>
  <c r="R21" i="27"/>
  <c r="R25" i="27" s="1"/>
  <c r="B21" i="27"/>
  <c r="B25" i="27" s="1"/>
  <c r="P21" i="27"/>
  <c r="P25" i="27" s="1"/>
  <c r="J21" i="27"/>
  <c r="J24" i="27" s="1"/>
  <c r="D21" i="27"/>
  <c r="D25" i="27" s="1"/>
  <c r="N21" i="27"/>
  <c r="N25" i="27" s="1"/>
  <c r="L21" i="27"/>
  <c r="L25" i="27" s="1"/>
  <c r="H21" i="27"/>
  <c r="H25" i="27" s="1"/>
  <c r="F21" i="27"/>
  <c r="F25" i="27" s="1"/>
  <c r="Q17" i="27"/>
  <c r="G17" i="27"/>
  <c r="E17" i="27"/>
  <c r="C17" i="27"/>
  <c r="K17" i="27"/>
  <c r="I17" i="27"/>
  <c r="U17" i="27"/>
  <c r="O17" i="27"/>
  <c r="M17" i="27"/>
  <c r="F12" i="3"/>
  <c r="B17" i="3" s="1"/>
  <c r="DL12" i="45"/>
  <c r="DM12" i="45" s="1"/>
  <c r="DL4" i="45"/>
  <c r="DL5" i="45" s="1"/>
  <c r="DM4" i="45" s="1"/>
  <c r="DK13" i="45"/>
  <c r="DK14" i="45" s="1"/>
  <c r="DL15" i="45" s="1"/>
  <c r="DM15" i="45" s="1"/>
  <c r="J13" i="43"/>
  <c r="J15" i="43" s="1"/>
  <c r="J40" i="43" s="1"/>
  <c r="B9" i="47"/>
  <c r="BA6" i="44"/>
  <c r="AH269" i="37"/>
  <c r="AD265" i="37"/>
  <c r="AE265" i="37" s="1"/>
  <c r="AI209" i="37"/>
  <c r="AH268" i="37"/>
  <c r="AI268" i="37" s="1"/>
  <c r="AD269" i="37"/>
  <c r="AE269" i="37" s="1"/>
  <c r="F13" i="43"/>
  <c r="F15" i="43" s="1"/>
  <c r="F20" i="43" s="1"/>
  <c r="CQ12" i="43"/>
  <c r="CR12" i="43" s="1"/>
  <c r="CB12" i="44"/>
  <c r="CC13" i="44" s="1"/>
  <c r="CD13" i="44" s="1"/>
  <c r="CC12" i="44"/>
  <c r="CD12" i="44" s="1"/>
  <c r="AI185" i="37"/>
  <c r="AI167" i="37"/>
  <c r="CP12" i="43"/>
  <c r="CQ13" i="43" s="1"/>
  <c r="CR13" i="43" s="1"/>
  <c r="AH246" i="37"/>
  <c r="AH182" i="37"/>
  <c r="N7" i="19" s="1"/>
  <c r="AI69" i="37"/>
  <c r="BO4" i="44"/>
  <c r="BO5" i="44" s="1"/>
  <c r="BP4" i="44" s="1"/>
  <c r="BA13" i="44"/>
  <c r="BB13" i="44" s="1"/>
  <c r="F60" i="2"/>
  <c r="I60" i="2"/>
  <c r="H60" i="2"/>
  <c r="C60" i="2"/>
  <c r="C80" i="2"/>
  <c r="E60" i="2"/>
  <c r="Z4" i="37"/>
  <c r="C7" i="2" s="1"/>
  <c r="AI152" i="37"/>
  <c r="B22" i="52"/>
  <c r="B23" i="52"/>
  <c r="B25" i="52" s="1"/>
  <c r="D60" i="2"/>
  <c r="D100" i="2"/>
  <c r="AC286" i="37"/>
  <c r="AC285" i="37"/>
  <c r="AC287" i="37"/>
  <c r="C90" i="2"/>
  <c r="AH239" i="37"/>
  <c r="AI239" i="37" s="1"/>
  <c r="AD236" i="37"/>
  <c r="AE236" i="37" s="1"/>
  <c r="C81" i="2"/>
  <c r="H81" i="2"/>
  <c r="G80" i="2"/>
  <c r="D81" i="2"/>
  <c r="E81" i="2"/>
  <c r="J81" i="2"/>
  <c r="AH210" i="37"/>
  <c r="AI210" i="37" s="1"/>
  <c r="F81" i="2"/>
  <c r="AD219" i="37"/>
  <c r="AE219" i="37" s="1"/>
  <c r="AH220" i="37"/>
  <c r="P7" i="13" s="1"/>
  <c r="AD207" i="37"/>
  <c r="AE207" i="37" s="1"/>
  <c r="AC225" i="37"/>
  <c r="AH207" i="37"/>
  <c r="D71" i="2"/>
  <c r="AD178" i="37"/>
  <c r="AE178" i="37" s="1"/>
  <c r="AH181" i="37"/>
  <c r="N13" i="45" s="1"/>
  <c r="H214" i="35" s="1"/>
  <c r="G214" i="35" s="1"/>
  <c r="H61" i="2"/>
  <c r="C61" i="2"/>
  <c r="I61" i="2"/>
  <c r="E61" i="2"/>
  <c r="AH149" i="37"/>
  <c r="L13" i="1" s="1"/>
  <c r="D61" i="2"/>
  <c r="AD149" i="37"/>
  <c r="AE149" i="37" s="1"/>
  <c r="F61" i="2"/>
  <c r="AD161" i="37"/>
  <c r="AE161" i="37" s="1"/>
  <c r="AH162" i="37"/>
  <c r="L7" i="13" s="1"/>
  <c r="O3" i="49"/>
  <c r="J18" i="35"/>
  <c r="AG75" i="37"/>
  <c r="AG62" i="37"/>
  <c r="AG17" i="37"/>
  <c r="R11" i="52"/>
  <c r="D11" i="52"/>
  <c r="F11" i="52"/>
  <c r="N11" i="52"/>
  <c r="J11" i="52"/>
  <c r="H11" i="52"/>
  <c r="T11" i="52"/>
  <c r="L11" i="52"/>
  <c r="P11" i="52"/>
  <c r="F9" i="22"/>
  <c r="G19" i="22" s="1"/>
  <c r="F20" i="22" s="1"/>
  <c r="F25" i="22" s="1"/>
  <c r="AH41" i="37"/>
  <c r="D37" i="20" s="1"/>
  <c r="D7" i="52"/>
  <c r="R7" i="52"/>
  <c r="F7" i="52"/>
  <c r="N7" i="52"/>
  <c r="L7" i="52"/>
  <c r="H7" i="52"/>
  <c r="T7" i="52"/>
  <c r="P7" i="52"/>
  <c r="J7" i="52"/>
  <c r="F43" i="38"/>
  <c r="R43" i="38"/>
  <c r="L267" i="35" s="1"/>
  <c r="N43" i="38"/>
  <c r="J43" i="38"/>
  <c r="H43" i="38"/>
  <c r="P43" i="38"/>
  <c r="L235" i="35" s="1"/>
  <c r="D43" i="38"/>
  <c r="L43" i="38"/>
  <c r="B43" i="38"/>
  <c r="B50" i="38" s="1"/>
  <c r="T43" i="38"/>
  <c r="L299" i="35" s="1"/>
  <c r="CJ12" i="1"/>
  <c r="CK12" i="1" s="1"/>
  <c r="AI283" i="37"/>
  <c r="AH169" i="37"/>
  <c r="DE13" i="43"/>
  <c r="DF13" i="43" s="1"/>
  <c r="CQ4" i="44"/>
  <c r="CQ5" i="44" s="1"/>
  <c r="CR4" i="44" s="1"/>
  <c r="CI12" i="1"/>
  <c r="CI13" i="1" s="1"/>
  <c r="CJ14" i="1" s="1"/>
  <c r="CK14" i="1" s="1"/>
  <c r="DE4" i="43"/>
  <c r="DE5" i="43" s="1"/>
  <c r="DF4" i="43" s="1"/>
  <c r="CQ12" i="44"/>
  <c r="CR12" i="44" s="1"/>
  <c r="AI179" i="37"/>
  <c r="AI214" i="37"/>
  <c r="DE12" i="43"/>
  <c r="DF12" i="43" s="1"/>
  <c r="CQ13" i="44"/>
  <c r="CR13" i="44" s="1"/>
  <c r="BU12" i="45"/>
  <c r="BU13" i="45" s="1"/>
  <c r="BU14" i="45" s="1"/>
  <c r="BU15" i="45" s="1"/>
  <c r="BV16" i="45" s="1"/>
  <c r="BW16" i="45" s="1"/>
  <c r="BV4" i="45"/>
  <c r="BV5" i="45" s="1"/>
  <c r="BW4" i="45" s="1"/>
  <c r="AD98" i="37"/>
  <c r="AE98" i="37" s="1"/>
  <c r="N6" i="15"/>
  <c r="O19" i="15" s="1"/>
  <c r="N20" i="15" s="1"/>
  <c r="CJ4" i="44"/>
  <c r="CJ5" i="44" s="1"/>
  <c r="CK4" i="44" s="1"/>
  <c r="CC13" i="1"/>
  <c r="CD13" i="1" s="1"/>
  <c r="CI12" i="44"/>
  <c r="CJ13" i="44" s="1"/>
  <c r="CK13" i="44" s="1"/>
  <c r="BN13" i="45"/>
  <c r="BO14" i="45" s="1"/>
  <c r="BP14" i="45" s="1"/>
  <c r="CC4" i="1"/>
  <c r="CC5" i="1" s="1"/>
  <c r="CD4" i="1" s="1"/>
  <c r="CC14" i="1"/>
  <c r="CD14" i="1" s="1"/>
  <c r="BO4" i="45"/>
  <c r="BO5" i="45" s="1"/>
  <c r="BP4" i="45" s="1"/>
  <c r="BO12" i="45"/>
  <c r="BP12" i="45" s="1"/>
  <c r="BR5" i="45" s="1"/>
  <c r="CC12" i="1"/>
  <c r="CD12" i="1" s="1"/>
  <c r="AI8" i="37"/>
  <c r="P6" i="15"/>
  <c r="Q19" i="15" s="1"/>
  <c r="P20" i="15" s="1"/>
  <c r="AH82" i="37"/>
  <c r="AH198" i="37"/>
  <c r="AI198" i="37" s="1"/>
  <c r="AG285" i="37"/>
  <c r="AG227" i="37"/>
  <c r="AG140" i="37"/>
  <c r="AG111" i="37"/>
  <c r="AG24" i="37"/>
  <c r="AE69" i="37"/>
  <c r="J13" i="1"/>
  <c r="J15" i="1" s="1"/>
  <c r="AI249" i="37"/>
  <c r="AI237" i="37"/>
  <c r="AI6" i="37"/>
  <c r="AD16" i="37"/>
  <c r="AC16" i="37" s="1"/>
  <c r="AI278" i="37"/>
  <c r="AI104" i="37"/>
  <c r="B6" i="15"/>
  <c r="BV4" i="43"/>
  <c r="BV5" i="43" s="1"/>
  <c r="BW4" i="43" s="1"/>
  <c r="AI180" i="37"/>
  <c r="CQ12" i="45"/>
  <c r="CR12" i="45" s="1"/>
  <c r="AD124" i="37"/>
  <c r="AE124" i="37" s="1"/>
  <c r="AH124" i="37"/>
  <c r="J7" i="19" s="1"/>
  <c r="AC139" i="37"/>
  <c r="AH123" i="37"/>
  <c r="J13" i="45" s="1"/>
  <c r="H150" i="35" s="1"/>
  <c r="G150" i="35" s="1"/>
  <c r="AD120" i="37"/>
  <c r="AE120" i="37" s="1"/>
  <c r="J145" i="37"/>
  <c r="K40" i="2"/>
  <c r="AH94" i="37"/>
  <c r="AD91" i="37"/>
  <c r="AE91" i="37" s="1"/>
  <c r="AI100" i="37"/>
  <c r="G30" i="2"/>
  <c r="C30" i="2"/>
  <c r="F31" i="2"/>
  <c r="H31" i="2"/>
  <c r="M30" i="2"/>
  <c r="C31" i="2"/>
  <c r="E30" i="2"/>
  <c r="I31" i="2"/>
  <c r="J31" i="2"/>
  <c r="AH65" i="37"/>
  <c r="E31" i="2"/>
  <c r="AD62" i="37"/>
  <c r="AE62" i="37" s="1"/>
  <c r="P66" i="37"/>
  <c r="P88" i="37" s="1"/>
  <c r="AH62" i="37"/>
  <c r="F13" i="1" s="1"/>
  <c r="AG65" i="37"/>
  <c r="O88" i="37"/>
  <c r="C20" i="2"/>
  <c r="D21" i="2"/>
  <c r="AH36" i="37"/>
  <c r="D13" i="45" s="1"/>
  <c r="AH37" i="37"/>
  <c r="AD37" i="37"/>
  <c r="AC37" i="37" s="1"/>
  <c r="F11" i="2"/>
  <c r="G10" i="2"/>
  <c r="I11" i="2"/>
  <c r="H10" i="2"/>
  <c r="E11" i="2"/>
  <c r="O30" i="37"/>
  <c r="M29" i="37" s="1"/>
  <c r="AH9" i="37"/>
  <c r="AG4" i="37"/>
  <c r="P5" i="37"/>
  <c r="AH17" i="37"/>
  <c r="B7" i="13" s="1"/>
  <c r="J22" i="35"/>
  <c r="CW12" i="45"/>
  <c r="CX12" i="45"/>
  <c r="CY12" i="45" s="1"/>
  <c r="CX4" i="45"/>
  <c r="CX5" i="45" s="1"/>
  <c r="CY4" i="45" s="1"/>
  <c r="BA4" i="44"/>
  <c r="BA5" i="44" s="1"/>
  <c r="BB4" i="44" s="1"/>
  <c r="CC12" i="43"/>
  <c r="CD12" i="43" s="1"/>
  <c r="BA12" i="44"/>
  <c r="BB12" i="44" s="1"/>
  <c r="AP13" i="44" s="1"/>
  <c r="DL12" i="1"/>
  <c r="DM12" i="1" s="1"/>
  <c r="B13" i="43"/>
  <c r="B15" i="43" s="1"/>
  <c r="B40" i="43" s="1"/>
  <c r="CC4" i="43"/>
  <c r="CC5" i="43" s="1"/>
  <c r="CD4" i="43" s="1"/>
  <c r="BN13" i="44"/>
  <c r="BO14" i="44" s="1"/>
  <c r="BP14" i="44" s="1"/>
  <c r="DL13" i="1"/>
  <c r="DM13" i="1" s="1"/>
  <c r="DL4" i="1"/>
  <c r="DL5" i="1" s="1"/>
  <c r="DM4" i="1" s="1"/>
  <c r="BO12" i="44"/>
  <c r="BP12" i="44" s="1"/>
  <c r="BR5" i="44" s="1"/>
  <c r="BV4" i="44"/>
  <c r="BV5" i="44" s="1"/>
  <c r="BW4" i="44" s="1"/>
  <c r="BN12" i="1"/>
  <c r="BN13" i="1" s="1"/>
  <c r="BN14" i="1" s="1"/>
  <c r="BN15" i="1" s="1"/>
  <c r="BO16" i="1" s="1"/>
  <c r="BP16" i="1" s="1"/>
  <c r="BV12" i="44"/>
  <c r="BW12" i="44" s="1"/>
  <c r="CJ12" i="43"/>
  <c r="CK12" i="43" s="1"/>
  <c r="BO12" i="1"/>
  <c r="BP12" i="1" s="1"/>
  <c r="CI12" i="43"/>
  <c r="CI13" i="43" s="1"/>
  <c r="CI14" i="43" s="1"/>
  <c r="AI153" i="37"/>
  <c r="L6" i="22"/>
  <c r="M12" i="22" s="1"/>
  <c r="M15" i="22" s="1"/>
  <c r="L16" i="22" s="1"/>
  <c r="L24" i="22" s="1"/>
  <c r="DE14" i="43"/>
  <c r="DF14" i="43" s="1"/>
  <c r="CP14" i="44"/>
  <c r="CQ15" i="44" s="1"/>
  <c r="CR15" i="44" s="1"/>
  <c r="B18" i="18"/>
  <c r="C18" i="18"/>
  <c r="I3" i="49"/>
  <c r="R3" i="49"/>
  <c r="N3" i="49"/>
  <c r="Q3" i="49"/>
  <c r="P3" i="49"/>
  <c r="C3" i="49"/>
  <c r="L7" i="41"/>
  <c r="AH12" i="37"/>
  <c r="AI12" i="37" s="1"/>
  <c r="AG12" i="37"/>
  <c r="P13" i="43"/>
  <c r="P15" i="43" s="1"/>
  <c r="P20" i="43" s="1"/>
  <c r="H8" i="15"/>
  <c r="I11" i="15" s="1"/>
  <c r="B15" i="44"/>
  <c r="B40" i="44" s="1"/>
  <c r="D15" i="44"/>
  <c r="D20" i="44" s="1"/>
  <c r="B241" i="3"/>
  <c r="AI35" i="37"/>
  <c r="B83" i="3"/>
  <c r="AI71" i="37"/>
  <c r="AZ13" i="45"/>
  <c r="BA14" i="45" s="1"/>
  <c r="BB14" i="45" s="1"/>
  <c r="Q63" i="2"/>
  <c r="AI127" i="37"/>
  <c r="AI159" i="37"/>
  <c r="AH33" i="37"/>
  <c r="D13" i="1" s="1"/>
  <c r="H51" i="35" s="1"/>
  <c r="G51" i="35" s="1"/>
  <c r="AD33" i="37"/>
  <c r="AC33" i="37" s="1"/>
  <c r="L6" i="15"/>
  <c r="L8" i="15" s="1"/>
  <c r="M11" i="15" s="1"/>
  <c r="DE15" i="43"/>
  <c r="DF15" i="43" s="1"/>
  <c r="DD15" i="43"/>
  <c r="DE16" i="43" s="1"/>
  <c r="DF16" i="43" s="1"/>
  <c r="U103" i="2"/>
  <c r="AE66" i="37"/>
  <c r="H93" i="2"/>
  <c r="AA13" i="2"/>
  <c r="P23" i="2"/>
  <c r="X23" i="2"/>
  <c r="Z43" i="2"/>
  <c r="L33" i="2"/>
  <c r="T63" i="2"/>
  <c r="N23" i="2"/>
  <c r="Z63" i="2"/>
  <c r="AZ12" i="43"/>
  <c r="BA13" i="43" s="1"/>
  <c r="BB13" i="43" s="1"/>
  <c r="V53" i="2"/>
  <c r="CW14" i="1"/>
  <c r="CX15" i="1" s="1"/>
  <c r="CY15" i="1" s="1"/>
  <c r="CX14" i="1"/>
  <c r="CY14" i="1" s="1"/>
  <c r="CI13" i="45"/>
  <c r="CI14" i="45" s="1"/>
  <c r="CJ15" i="45" s="1"/>
  <c r="CK15" i="45" s="1"/>
  <c r="CJ13" i="45"/>
  <c r="CK13" i="45" s="1"/>
  <c r="E93" i="2"/>
  <c r="W83" i="2"/>
  <c r="CX12" i="1"/>
  <c r="CY12" i="1" s="1"/>
  <c r="DE4" i="44"/>
  <c r="DE5" i="44" s="1"/>
  <c r="DF4" i="44" s="1"/>
  <c r="CJ4" i="45"/>
  <c r="CJ5" i="45" s="1"/>
  <c r="CK4" i="45" s="1"/>
  <c r="AI211" i="37"/>
  <c r="M33" i="2"/>
  <c r="L43" i="2"/>
  <c r="CX4" i="1"/>
  <c r="CX5" i="1" s="1"/>
  <c r="CY4" i="1" s="1"/>
  <c r="DD12" i="44"/>
  <c r="CJ12" i="45"/>
  <c r="CK12" i="45" s="1"/>
  <c r="T43" i="2"/>
  <c r="O23" i="2"/>
  <c r="R23" i="2"/>
  <c r="Z23" i="2"/>
  <c r="I33" i="2"/>
  <c r="U33" i="2"/>
  <c r="I43" i="2"/>
  <c r="Z103" i="2"/>
  <c r="I73" i="2"/>
  <c r="BA6" i="43"/>
  <c r="N43" i="2"/>
  <c r="H73" i="2"/>
  <c r="BA12" i="43"/>
  <c r="BB12" i="43" s="1"/>
  <c r="AD8" i="37"/>
  <c r="P7" i="41"/>
  <c r="E23" i="2"/>
  <c r="M13" i="2"/>
  <c r="W33" i="2"/>
  <c r="N93" i="2"/>
  <c r="CX13" i="1"/>
  <c r="CY13" i="1" s="1"/>
  <c r="BO12" i="43"/>
  <c r="BP12" i="43" s="1"/>
  <c r="BR5" i="43" s="1"/>
  <c r="S13" i="2"/>
  <c r="M23" i="2"/>
  <c r="R43" i="2"/>
  <c r="P13" i="2"/>
  <c r="U13" i="2"/>
  <c r="Y13" i="2"/>
  <c r="AA43" i="2"/>
  <c r="R63" i="2"/>
  <c r="AA73" i="2"/>
  <c r="V103" i="2"/>
  <c r="BO4" i="43"/>
  <c r="BO5" i="43" s="1"/>
  <c r="BP4" i="43" s="1"/>
  <c r="F43" i="2"/>
  <c r="BN13" i="43"/>
  <c r="D6" i="22"/>
  <c r="E12" i="22" s="1"/>
  <c r="E15" i="22" s="1"/>
  <c r="D16" i="22" s="1"/>
  <c r="D24" i="22" s="1"/>
  <c r="H23" i="2"/>
  <c r="V23" i="2"/>
  <c r="Y33" i="2"/>
  <c r="M43" i="2"/>
  <c r="P73" i="2"/>
  <c r="Q73" i="2"/>
  <c r="Y43" i="2"/>
  <c r="Q13" i="2"/>
  <c r="Q33" i="2"/>
  <c r="T33" i="2"/>
  <c r="K13" i="2"/>
  <c r="AA23" i="2"/>
  <c r="O33" i="2"/>
  <c r="CC13" i="43"/>
  <c r="CD13" i="43" s="1"/>
  <c r="G12" i="22"/>
  <c r="G15" i="22" s="1"/>
  <c r="F16" i="22" s="1"/>
  <c r="F24" i="22" s="1"/>
  <c r="L13" i="2"/>
  <c r="P38" i="19"/>
  <c r="P59" i="19" s="1"/>
  <c r="DL14" i="1"/>
  <c r="DM14" i="1" s="1"/>
  <c r="V33" i="2"/>
  <c r="N33" i="2"/>
  <c r="DK15" i="1"/>
  <c r="DK16" i="1" s="1"/>
  <c r="DL17" i="1" s="1"/>
  <c r="DM17" i="1" s="1"/>
  <c r="H61" i="13"/>
  <c r="C113" i="2"/>
  <c r="F88" i="2" s="1"/>
  <c r="AI274" i="37"/>
  <c r="W13" i="2"/>
  <c r="BU13" i="44"/>
  <c r="Y83" i="2"/>
  <c r="P33" i="2"/>
  <c r="CB14" i="43"/>
  <c r="CC15" i="43" s="1"/>
  <c r="CD15" i="43" s="1"/>
  <c r="R7" i="41"/>
  <c r="U53" i="2"/>
  <c r="DL4" i="44"/>
  <c r="DL5" i="44" s="1"/>
  <c r="DM4" i="44" s="1"/>
  <c r="J23" i="2"/>
  <c r="T73" i="2"/>
  <c r="E53" i="2"/>
  <c r="BH12" i="44"/>
  <c r="BI12" i="44" s="1"/>
  <c r="BG13" i="44"/>
  <c r="DK12" i="44"/>
  <c r="CP12" i="45"/>
  <c r="D61" i="13"/>
  <c r="BH4" i="44"/>
  <c r="BH5" i="44" s="1"/>
  <c r="BI4" i="44" s="1"/>
  <c r="BU12" i="43"/>
  <c r="Q23" i="2"/>
  <c r="Y23" i="2"/>
  <c r="I23" i="2"/>
  <c r="O53" i="2"/>
  <c r="J63" i="2"/>
  <c r="P93" i="2"/>
  <c r="X93" i="2"/>
  <c r="E43" i="2"/>
  <c r="P53" i="2"/>
  <c r="T53" i="2"/>
  <c r="AI151" i="37"/>
  <c r="R7" i="19"/>
  <c r="X43" i="2"/>
  <c r="U23" i="2"/>
  <c r="X33" i="2"/>
  <c r="Q43" i="2"/>
  <c r="T61" i="13"/>
  <c r="N61" i="13"/>
  <c r="F61" i="13"/>
  <c r="E87" i="35" s="1"/>
  <c r="F13" i="44"/>
  <c r="F15" i="44" s="1"/>
  <c r="F40" i="44" s="1"/>
  <c r="AI64" i="37"/>
  <c r="AG186" i="37"/>
  <c r="AH186" i="37"/>
  <c r="AI186" i="37" s="1"/>
  <c r="H17" i="35"/>
  <c r="G17" i="35" s="1"/>
  <c r="AI42" i="37"/>
  <c r="AI80" i="37"/>
  <c r="F6" i="48"/>
  <c r="B223" i="3"/>
  <c r="AI265" i="37"/>
  <c r="T13" i="1"/>
  <c r="T15" i="1" s="1"/>
  <c r="AI46" i="37"/>
  <c r="AI130" i="37"/>
  <c r="AI191" i="37"/>
  <c r="AI275" i="37"/>
  <c r="AI129" i="37"/>
  <c r="J6" i="15"/>
  <c r="K19" i="15" s="1"/>
  <c r="J20" i="15" s="1"/>
  <c r="AI91" i="37"/>
  <c r="H13" i="1"/>
  <c r="H15" i="1" s="1"/>
  <c r="AI266" i="37"/>
  <c r="T13" i="43"/>
  <c r="T15" i="43" s="1"/>
  <c r="T40" i="43" s="1"/>
  <c r="N13" i="1"/>
  <c r="N15" i="1" s="1"/>
  <c r="AI178" i="37"/>
  <c r="P61" i="13"/>
  <c r="E247" i="35" s="1"/>
  <c r="N6" i="48"/>
  <c r="AI196" i="37"/>
  <c r="AI272" i="37"/>
  <c r="T6" i="22"/>
  <c r="U12" i="22" s="1"/>
  <c r="U15" i="22" s="1"/>
  <c r="T16" i="22" s="1"/>
  <c r="T24" i="22" s="1"/>
  <c r="D13" i="43"/>
  <c r="D15" i="43" s="1"/>
  <c r="D40" i="43" s="1"/>
  <c r="AI34" i="37"/>
  <c r="J13" i="44"/>
  <c r="J15" i="44" s="1"/>
  <c r="J40" i="44" s="1"/>
  <c r="AI122" i="37"/>
  <c r="AI188" i="37"/>
  <c r="R13" i="1"/>
  <c r="R15" i="1" s="1"/>
  <c r="R40" i="1" s="1"/>
  <c r="AI236" i="37"/>
  <c r="P6" i="48"/>
  <c r="AI225" i="37"/>
  <c r="L13" i="43"/>
  <c r="L15" i="43" s="1"/>
  <c r="L20" i="43" s="1"/>
  <c r="AI150" i="37"/>
  <c r="B7" i="48"/>
  <c r="B9" i="48" s="1"/>
  <c r="B18" i="48" s="1"/>
  <c r="B19" i="48" s="1"/>
  <c r="AH168" i="37"/>
  <c r="AG226" i="37"/>
  <c r="AH52" i="37"/>
  <c r="D7" i="47" s="1"/>
  <c r="D9" i="47" s="1"/>
  <c r="T7" i="48"/>
  <c r="T9" i="48" s="1"/>
  <c r="T18" i="48" s="1"/>
  <c r="T19" i="48" s="1"/>
  <c r="AH284" i="37"/>
  <c r="AG52" i="37"/>
  <c r="AH110" i="37"/>
  <c r="AH226" i="37"/>
  <c r="P7" i="47" s="1"/>
  <c r="P9" i="47" s="1"/>
  <c r="AG284" i="37"/>
  <c r="AG110" i="37"/>
  <c r="AG168" i="37"/>
  <c r="AG255" i="37"/>
  <c r="AH197" i="37"/>
  <c r="AI197" i="37" s="1"/>
  <c r="AH81" i="37"/>
  <c r="F7" i="47" s="1"/>
  <c r="F9" i="47" s="1"/>
  <c r="AH255" i="37"/>
  <c r="AI255" i="37" s="1"/>
  <c r="AI138" i="37"/>
  <c r="R61" i="13"/>
  <c r="K93" i="2"/>
  <c r="AI109" i="37"/>
  <c r="M63" i="2"/>
  <c r="AI51" i="37"/>
  <c r="F103" i="2"/>
  <c r="U73" i="2"/>
  <c r="G93" i="2"/>
  <c r="W63" i="2"/>
  <c r="S93" i="2"/>
  <c r="S73" i="2"/>
  <c r="N83" i="2"/>
  <c r="R83" i="2"/>
  <c r="V83" i="2"/>
  <c r="W103" i="2"/>
  <c r="Y63" i="2"/>
  <c r="N8" i="9"/>
  <c r="O10" i="9" s="1"/>
  <c r="N11" i="9" s="1"/>
  <c r="N22" i="9" s="1"/>
  <c r="N63" i="2"/>
  <c r="D7" i="48"/>
  <c r="D9" i="48" s="1"/>
  <c r="D18" i="48" s="1"/>
  <c r="D19" i="48" s="1"/>
  <c r="AG99" i="37"/>
  <c r="AH157" i="37"/>
  <c r="AI157" i="37" s="1"/>
  <c r="L61" i="13"/>
  <c r="E183" i="35" s="1"/>
  <c r="E189" i="35" s="1"/>
  <c r="AH273" i="37"/>
  <c r="AI273" i="37" s="1"/>
  <c r="J15" i="42"/>
  <c r="J35" i="42" s="1"/>
  <c r="H6" i="48"/>
  <c r="F13" i="20"/>
  <c r="AG53" i="37"/>
  <c r="B16" i="47"/>
  <c r="F16" i="47"/>
  <c r="F8" i="20"/>
  <c r="D16" i="47"/>
  <c r="P43" i="2"/>
  <c r="K83" i="2"/>
  <c r="D13" i="42"/>
  <c r="N15" i="42"/>
  <c r="N35" i="42" s="1"/>
  <c r="AG128" i="37"/>
  <c r="P15" i="42"/>
  <c r="P35" i="42" s="1"/>
  <c r="B15" i="42"/>
  <c r="B35" i="42" s="1"/>
  <c r="R15" i="42"/>
  <c r="R35" i="42" s="1"/>
  <c r="P9" i="22"/>
  <c r="Q19" i="22" s="1"/>
  <c r="P20" i="22" s="1"/>
  <c r="D15" i="42"/>
  <c r="D35" i="42" s="1"/>
  <c r="T15" i="42"/>
  <c r="T35" i="42" s="1"/>
  <c r="F15" i="42"/>
  <c r="F35" i="42" s="1"/>
  <c r="H15" i="42"/>
  <c r="H35" i="42" s="1"/>
  <c r="AG215" i="37"/>
  <c r="L23" i="2"/>
  <c r="S33" i="2"/>
  <c r="Q12" i="22"/>
  <c r="Q15" i="22" s="1"/>
  <c r="P16" i="22" s="1"/>
  <c r="P24" i="22" s="1"/>
  <c r="J7" i="47"/>
  <c r="J9" i="47" s="1"/>
  <c r="R15" i="43"/>
  <c r="R40" i="43" s="1"/>
  <c r="F7" i="48"/>
  <c r="AH70" i="37"/>
  <c r="AI70" i="37" s="1"/>
  <c r="AH244" i="37"/>
  <c r="AI244" i="37" s="1"/>
  <c r="H7" i="48"/>
  <c r="N7" i="48"/>
  <c r="R15" i="44"/>
  <c r="R40" i="44" s="1"/>
  <c r="P15" i="44"/>
  <c r="P40" i="44" s="1"/>
  <c r="L15" i="44"/>
  <c r="L40" i="44" s="1"/>
  <c r="N15" i="43"/>
  <c r="N40" i="43" s="1"/>
  <c r="J13" i="2"/>
  <c r="R13" i="2"/>
  <c r="J61" i="13"/>
  <c r="R71" i="2"/>
  <c r="R73" i="2" s="1"/>
  <c r="K61" i="2"/>
  <c r="R6" i="15"/>
  <c r="CB15" i="1"/>
  <c r="CC15" i="1"/>
  <c r="CD15" i="1" s="1"/>
  <c r="P204" i="37"/>
  <c r="BA14" i="44"/>
  <c r="BB14" i="44" s="1"/>
  <c r="AZ14" i="44"/>
  <c r="H6" i="22"/>
  <c r="H9" i="22" s="1"/>
  <c r="I19" i="22" s="1"/>
  <c r="H20" i="22" s="1"/>
  <c r="AI98" i="37"/>
  <c r="AC45" i="37"/>
  <c r="AE45" i="37"/>
  <c r="P117" i="37"/>
  <c r="AP14" i="45"/>
  <c r="AA31" i="2"/>
  <c r="AA33" i="2" s="1"/>
  <c r="O12" i="22"/>
  <c r="O15" i="22" s="1"/>
  <c r="N16" i="22" s="1"/>
  <c r="N24" i="22" s="1"/>
  <c r="N9" i="22"/>
  <c r="O19" i="22" s="1"/>
  <c r="N20" i="22" s="1"/>
  <c r="AE156" i="37"/>
  <c r="D8" i="15"/>
  <c r="E19" i="15"/>
  <c r="D20" i="15" s="1"/>
  <c r="H11" i="2"/>
  <c r="AH53" i="37"/>
  <c r="AI66" i="37"/>
  <c r="F7" i="41"/>
  <c r="DE4" i="1"/>
  <c r="DE5" i="1" s="1"/>
  <c r="DF4" i="1" s="1"/>
  <c r="DE12" i="1"/>
  <c r="DF12" i="1" s="1"/>
  <c r="DD12" i="1"/>
  <c r="BG12" i="43"/>
  <c r="BH12" i="43"/>
  <c r="BI12" i="43" s="1"/>
  <c r="BH4" i="43"/>
  <c r="BH5" i="43" s="1"/>
  <c r="BI4" i="43" s="1"/>
  <c r="DL12" i="43"/>
  <c r="DM12" i="43" s="1"/>
  <c r="DK12" i="43"/>
  <c r="DL4" i="43"/>
  <c r="DL5" i="43" s="1"/>
  <c r="DM4" i="43" s="1"/>
  <c r="CW12" i="44"/>
  <c r="CX4" i="44"/>
  <c r="CX5" i="44" s="1"/>
  <c r="CY4" i="44" s="1"/>
  <c r="CX12" i="44"/>
  <c r="CY12" i="44" s="1"/>
  <c r="CC4" i="45"/>
  <c r="CC5" i="45" s="1"/>
  <c r="CD4" i="45" s="1"/>
  <c r="CC12" i="45"/>
  <c r="CD12" i="45" s="1"/>
  <c r="CB12" i="45"/>
  <c r="S83" i="2"/>
  <c r="AI133" i="37"/>
  <c r="W43" i="2"/>
  <c r="AE103" i="37"/>
  <c r="S63" i="2"/>
  <c r="P291" i="37"/>
  <c r="K103" i="2"/>
  <c r="G73" i="2"/>
  <c r="V63" i="2"/>
  <c r="H53" i="2"/>
  <c r="AA63" i="2"/>
  <c r="L73" i="2"/>
  <c r="L28" i="20"/>
  <c r="K33" i="2"/>
  <c r="G43" i="2"/>
  <c r="P233" i="37"/>
  <c r="T23" i="2"/>
  <c r="R8" i="9"/>
  <c r="S10" i="9" s="1"/>
  <c r="R11" i="9" s="1"/>
  <c r="R22" i="9" s="1"/>
  <c r="AA103" i="2"/>
  <c r="P146" i="37"/>
  <c r="P262" i="37"/>
  <c r="Q260" i="37" s="1"/>
  <c r="I81" i="2"/>
  <c r="F53" i="2"/>
  <c r="P175" i="37"/>
  <c r="L61" i="2"/>
  <c r="L63" i="2" s="1"/>
  <c r="AI92" i="37"/>
  <c r="H13" i="43"/>
  <c r="H15" i="43" s="1"/>
  <c r="H40" i="43" s="1"/>
  <c r="BH12" i="45"/>
  <c r="BI12" i="45" s="1"/>
  <c r="BG12" i="45"/>
  <c r="H101" i="2"/>
  <c r="T13" i="44"/>
  <c r="T15" i="44" s="1"/>
  <c r="T20" i="44" s="1"/>
  <c r="AI267" i="37"/>
  <c r="Z11" i="2"/>
  <c r="Z13" i="2" s="1"/>
  <c r="W21" i="2"/>
  <c r="W23" i="2" s="1"/>
  <c r="AE190" i="37"/>
  <c r="BV12" i="1"/>
  <c r="BW12" i="1" s="1"/>
  <c r="BV4" i="1"/>
  <c r="BV5" i="1" s="1"/>
  <c r="BW4" i="1" s="1"/>
  <c r="BU12" i="1"/>
  <c r="BA6" i="45"/>
  <c r="BA4" i="45"/>
  <c r="BA5" i="45" s="1"/>
  <c r="BB4" i="45" s="1"/>
  <c r="BA12" i="45"/>
  <c r="BB12" i="45" s="1"/>
  <c r="DD12" i="45"/>
  <c r="DE4" i="45"/>
  <c r="DE5" i="45" s="1"/>
  <c r="DF4" i="45" s="1"/>
  <c r="R6" i="22"/>
  <c r="AI243" i="37"/>
  <c r="AI238" i="37"/>
  <c r="CP12" i="1"/>
  <c r="CQ4" i="1"/>
  <c r="CQ5" i="1" s="1"/>
  <c r="CR4" i="1" s="1"/>
  <c r="CQ12" i="1"/>
  <c r="CR12" i="1" s="1"/>
  <c r="CW12" i="43"/>
  <c r="CX12" i="43"/>
  <c r="CY12" i="43" s="1"/>
  <c r="CX4" i="43"/>
  <c r="CX5" i="43" s="1"/>
  <c r="CY4" i="43" s="1"/>
  <c r="AI93" i="37"/>
  <c r="H13" i="44"/>
  <c r="H15" i="44" s="1"/>
  <c r="H40" i="44" s="1"/>
  <c r="S23" i="2"/>
  <c r="BA4" i="1"/>
  <c r="BA5" i="1" s="1"/>
  <c r="BB4" i="1" s="1"/>
  <c r="BA6" i="1"/>
  <c r="BA12" i="1"/>
  <c r="BB12" i="1" s="1"/>
  <c r="AZ12" i="1"/>
  <c r="AI217" i="37"/>
  <c r="BH12" i="1"/>
  <c r="BI12" i="1" s="1"/>
  <c r="BH4" i="1"/>
  <c r="BH5" i="1" s="1"/>
  <c r="BI4" i="1" s="1"/>
  <c r="BG12" i="1"/>
  <c r="N13" i="2"/>
  <c r="U19" i="15"/>
  <c r="T20" i="15" s="1"/>
  <c r="T8" i="15"/>
  <c r="G19" i="15"/>
  <c r="F20" i="15" s="1"/>
  <c r="F8" i="15"/>
  <c r="K12" i="22"/>
  <c r="K15" i="22" s="1"/>
  <c r="J16" i="22" s="1"/>
  <c r="J24" i="22" s="1"/>
  <c r="J9" i="22"/>
  <c r="K19" i="22" s="1"/>
  <c r="J20" i="22" s="1"/>
  <c r="F21" i="2"/>
  <c r="F23" i="2" s="1"/>
  <c r="J28" i="20"/>
  <c r="F8" i="9"/>
  <c r="G10" i="9" s="1"/>
  <c r="F11" i="9" s="1"/>
  <c r="F22" i="9" s="1"/>
  <c r="H8" i="9"/>
  <c r="I14" i="9" s="1"/>
  <c r="H15" i="9" s="1"/>
  <c r="L8" i="9"/>
  <c r="M14" i="9" s="1"/>
  <c r="L15" i="9" s="1"/>
  <c r="T8" i="9"/>
  <c r="U10" i="9" s="1"/>
  <c r="T11" i="9" s="1"/>
  <c r="T22" i="9" s="1"/>
  <c r="D8" i="9"/>
  <c r="E10" i="9" s="1"/>
  <c r="D11" i="9" s="1"/>
  <c r="D22" i="9" s="1"/>
  <c r="P8" i="9"/>
  <c r="Q14" i="9" s="1"/>
  <c r="P15" i="9" s="1"/>
  <c r="J8" i="9"/>
  <c r="K14" i="9" s="1"/>
  <c r="J15" i="9" s="1"/>
  <c r="B8" i="9"/>
  <c r="C10" i="9" s="1"/>
  <c r="B11" i="9" s="1"/>
  <c r="B22" i="9" s="1"/>
  <c r="J26" i="27"/>
  <c r="J59" i="41"/>
  <c r="H31" i="18"/>
  <c r="D25" i="18"/>
  <c r="E24" i="18"/>
  <c r="K20" i="18"/>
  <c r="J38" i="19"/>
  <c r="H38" i="41"/>
  <c r="F38" i="19"/>
  <c r="P18" i="27"/>
  <c r="B18" i="27"/>
  <c r="R18" i="27"/>
  <c r="D38" i="41"/>
  <c r="N38" i="41"/>
  <c r="R38" i="19"/>
  <c r="T38" i="41"/>
  <c r="F38" i="41"/>
  <c r="B38" i="41"/>
  <c r="N38" i="19"/>
  <c r="D38" i="19"/>
  <c r="T18" i="27"/>
  <c r="R38" i="41"/>
  <c r="N18" i="27"/>
  <c r="P38" i="41"/>
  <c r="D18" i="27"/>
  <c r="H20" i="15"/>
  <c r="H18" i="27"/>
  <c r="L38" i="19"/>
  <c r="L38" i="41"/>
  <c r="L18" i="27"/>
  <c r="F18" i="27"/>
  <c r="L43" i="35" l="1"/>
  <c r="AD40" i="37"/>
  <c r="AH43" i="37"/>
  <c r="AI43" i="37" s="1"/>
  <c r="AC142" i="37"/>
  <c r="AC140" i="37"/>
  <c r="AC141" i="37"/>
  <c r="AI207" i="37"/>
  <c r="P13" i="1"/>
  <c r="N232" i="37"/>
  <c r="G252" i="35"/>
  <c r="L232" i="37"/>
  <c r="L42" i="20"/>
  <c r="P9" i="48"/>
  <c r="P18" i="48" s="1"/>
  <c r="P19" i="48" s="1"/>
  <c r="P22" i="48" s="1"/>
  <c r="H20" i="1"/>
  <c r="H32" i="1" s="1"/>
  <c r="H40" i="1"/>
  <c r="H41" i="1" s="1"/>
  <c r="T40" i="1"/>
  <c r="T41" i="1" s="1"/>
  <c r="L40" i="43"/>
  <c r="L41" i="43" s="1"/>
  <c r="J41" i="43"/>
  <c r="F40" i="43"/>
  <c r="F41" i="43" s="1"/>
  <c r="P40" i="43"/>
  <c r="P41" i="43" s="1"/>
  <c r="B41" i="43"/>
  <c r="J40" i="1"/>
  <c r="J41" i="1" s="1"/>
  <c r="J41" i="44"/>
  <c r="T40" i="44"/>
  <c r="T41" i="44" s="1"/>
  <c r="D40" i="44"/>
  <c r="D41" i="44" s="1"/>
  <c r="N40" i="1"/>
  <c r="N41" i="1" s="1"/>
  <c r="AI247" i="37"/>
  <c r="R7" i="20"/>
  <c r="AI254" i="37"/>
  <c r="R6" i="48"/>
  <c r="R9" i="48" s="1"/>
  <c r="R18" i="48" s="1"/>
  <c r="R19" i="48" s="1"/>
  <c r="R24" i="48" s="1"/>
  <c r="R25" i="48" s="1"/>
  <c r="AD243" i="37"/>
  <c r="AE243" i="37" s="1"/>
  <c r="AE262" i="37" s="1"/>
  <c r="I284" i="35" s="1"/>
  <c r="AH251" i="37"/>
  <c r="AH256" i="37"/>
  <c r="AC254" i="37"/>
  <c r="AC256" i="37" s="1"/>
  <c r="J35" i="20"/>
  <c r="J36" i="42" s="1"/>
  <c r="H41" i="43"/>
  <c r="N41" i="44"/>
  <c r="AC258" i="37"/>
  <c r="AC255" i="37"/>
  <c r="N261" i="37"/>
  <c r="J261" i="37"/>
  <c r="L261" i="37"/>
  <c r="G284" i="35"/>
  <c r="AC257" i="37"/>
  <c r="D41" i="43"/>
  <c r="B41" i="44"/>
  <c r="L36" i="20"/>
  <c r="C12" i="22"/>
  <c r="C15" i="22" s="1"/>
  <c r="B16" i="22" s="1"/>
  <c r="D36" i="20"/>
  <c r="N36" i="20"/>
  <c r="T36" i="20"/>
  <c r="L32" i="43"/>
  <c r="P32" i="43"/>
  <c r="D33" i="44"/>
  <c r="D32" i="44"/>
  <c r="T33" i="44"/>
  <c r="T32" i="44"/>
  <c r="F32" i="43"/>
  <c r="P36" i="20"/>
  <c r="D11" i="2"/>
  <c r="D13" i="2" s="1"/>
  <c r="AD11" i="37"/>
  <c r="Q27" i="20"/>
  <c r="P9" i="20"/>
  <c r="F17" i="47"/>
  <c r="F24" i="47"/>
  <c r="F26" i="47" s="1"/>
  <c r="S33" i="19"/>
  <c r="B9" i="13"/>
  <c r="B48" i="13" s="1"/>
  <c r="B61" i="13" s="1"/>
  <c r="E23" i="35" s="1"/>
  <c r="C23" i="13"/>
  <c r="C27" i="13" s="1"/>
  <c r="H183" i="35"/>
  <c r="G183" i="35" s="1"/>
  <c r="M23" i="13"/>
  <c r="M27" i="13" s="1"/>
  <c r="L9" i="13"/>
  <c r="H247" i="35"/>
  <c r="G247" i="35" s="1"/>
  <c r="Q23" i="13"/>
  <c r="Q27" i="13" s="1"/>
  <c r="P9" i="13"/>
  <c r="F41" i="19"/>
  <c r="F42" i="19" s="1"/>
  <c r="F9" i="19"/>
  <c r="F50" i="19" s="1"/>
  <c r="G33" i="19"/>
  <c r="F11" i="19"/>
  <c r="F22" i="19" s="1"/>
  <c r="G31" i="19" s="1"/>
  <c r="G32" i="19" s="1"/>
  <c r="K42" i="13"/>
  <c r="K33" i="13"/>
  <c r="J14" i="13"/>
  <c r="J15" i="13" s="1"/>
  <c r="K24" i="13"/>
  <c r="P31" i="20"/>
  <c r="P32" i="20" s="1"/>
  <c r="U27" i="20"/>
  <c r="T9" i="20"/>
  <c r="T35" i="20" s="1"/>
  <c r="T36" i="42" s="1"/>
  <c r="O33" i="19"/>
  <c r="E24" i="13"/>
  <c r="E33" i="13"/>
  <c r="D14" i="13"/>
  <c r="D15" i="13" s="1"/>
  <c r="E42" i="13"/>
  <c r="R14" i="13"/>
  <c r="R15" i="13" s="1"/>
  <c r="S42" i="13"/>
  <c r="S33" i="13"/>
  <c r="S24" i="13"/>
  <c r="F36" i="20"/>
  <c r="F9" i="20"/>
  <c r="F35" i="20" s="1"/>
  <c r="F36" i="42" s="1"/>
  <c r="F31" i="20"/>
  <c r="F37" i="20"/>
  <c r="P24" i="47"/>
  <c r="P26" i="47" s="1"/>
  <c r="P17" i="47"/>
  <c r="O27" i="20"/>
  <c r="N9" i="20"/>
  <c r="K33" i="19"/>
  <c r="J9" i="19"/>
  <c r="J11" i="19"/>
  <c r="J22" i="19" s="1"/>
  <c r="K31" i="19" s="1"/>
  <c r="K32" i="19" s="1"/>
  <c r="B24" i="47"/>
  <c r="B26" i="47" s="1"/>
  <c r="B17" i="47"/>
  <c r="C33" i="19"/>
  <c r="B9" i="19"/>
  <c r="B11" i="19"/>
  <c r="B22" i="19" s="1"/>
  <c r="C30" i="19" s="1"/>
  <c r="N37" i="20"/>
  <c r="N38" i="20" s="1"/>
  <c r="T31" i="20"/>
  <c r="T32" i="20" s="1"/>
  <c r="P37" i="20"/>
  <c r="P38" i="20" s="1"/>
  <c r="O33" i="13"/>
  <c r="O42" i="13"/>
  <c r="O24" i="13"/>
  <c r="N14" i="13"/>
  <c r="N15" i="13" s="1"/>
  <c r="J24" i="47"/>
  <c r="J26" i="47" s="1"/>
  <c r="J17" i="47"/>
  <c r="D17" i="47"/>
  <c r="D24" i="47"/>
  <c r="D26" i="47" s="1"/>
  <c r="E27" i="20"/>
  <c r="D27" i="20" s="1"/>
  <c r="D28" i="20" s="1"/>
  <c r="D9" i="20"/>
  <c r="I57" i="35" s="1"/>
  <c r="T14" i="13"/>
  <c r="T15" i="13" s="1"/>
  <c r="U24" i="13"/>
  <c r="U33" i="13"/>
  <c r="U42" i="13"/>
  <c r="I24" i="13"/>
  <c r="I42" i="13"/>
  <c r="I33" i="13"/>
  <c r="H14" i="13"/>
  <c r="H15" i="13" s="1"/>
  <c r="D31" i="20"/>
  <c r="D32" i="20" s="1"/>
  <c r="M57" i="35" s="1"/>
  <c r="N31" i="20"/>
  <c r="N32" i="20" s="1"/>
  <c r="T37" i="20"/>
  <c r="T38" i="20" s="1"/>
  <c r="F28" i="42"/>
  <c r="R28" i="42"/>
  <c r="S33" i="41"/>
  <c r="R9" i="41"/>
  <c r="R50" i="41" s="1"/>
  <c r="R11" i="41"/>
  <c r="R22" i="41" s="1"/>
  <c r="S31" i="41" s="1"/>
  <c r="S32" i="41" s="1"/>
  <c r="P9" i="41"/>
  <c r="P11" i="41"/>
  <c r="P22" i="41" s="1"/>
  <c r="Q31" i="41" s="1"/>
  <c r="Q32" i="41" s="1"/>
  <c r="Q33" i="41"/>
  <c r="M33" i="41"/>
  <c r="L11" i="41"/>
  <c r="L22" i="41" s="1"/>
  <c r="M31" i="41" s="1"/>
  <c r="M32" i="41" s="1"/>
  <c r="L9" i="41"/>
  <c r="F41" i="41"/>
  <c r="F42" i="41" s="1"/>
  <c r="G33" i="41"/>
  <c r="F9" i="41"/>
  <c r="F11" i="41"/>
  <c r="F22" i="41" s="1"/>
  <c r="G31" i="41" s="1"/>
  <c r="G32" i="41" s="1"/>
  <c r="B41" i="41"/>
  <c r="B42" i="41" s="1"/>
  <c r="C33" i="41"/>
  <c r="B11" i="41"/>
  <c r="B22" i="41" s="1"/>
  <c r="C31" i="41" s="1"/>
  <c r="C32" i="41" s="1"/>
  <c r="B9" i="41"/>
  <c r="B50" i="41" s="1"/>
  <c r="R41" i="19"/>
  <c r="R42" i="19" s="1"/>
  <c r="R11" i="19"/>
  <c r="R22" i="19" s="1"/>
  <c r="S31" i="19" s="1"/>
  <c r="S32" i="19" s="1"/>
  <c r="R9" i="19"/>
  <c r="N11" i="19"/>
  <c r="N22" i="19" s="1"/>
  <c r="O31" i="19" s="1"/>
  <c r="O32" i="19" s="1"/>
  <c r="N9" i="19"/>
  <c r="I145" i="37"/>
  <c r="AC168" i="37"/>
  <c r="AC200" i="37"/>
  <c r="AC170" i="37"/>
  <c r="L145" i="37"/>
  <c r="AC199" i="37"/>
  <c r="AC169" i="37"/>
  <c r="H41" i="18"/>
  <c r="AC171" i="37"/>
  <c r="AC197" i="37"/>
  <c r="AI37" i="37"/>
  <c r="D7" i="41"/>
  <c r="K145" i="37"/>
  <c r="G316" i="35"/>
  <c r="T7" i="41"/>
  <c r="T7" i="19"/>
  <c r="K41" i="18"/>
  <c r="AD95" i="37"/>
  <c r="AE95" i="37" s="1"/>
  <c r="AE117" i="37" s="1"/>
  <c r="E43" i="18" s="1"/>
  <c r="AH95" i="37"/>
  <c r="H7" i="41" s="1"/>
  <c r="H41" i="41" s="1"/>
  <c r="H42" i="41" s="1"/>
  <c r="R41" i="41"/>
  <c r="R42" i="41" s="1"/>
  <c r="L41" i="41"/>
  <c r="L42" i="41" s="1"/>
  <c r="P41" i="41"/>
  <c r="P42" i="41" s="1"/>
  <c r="N20" i="44"/>
  <c r="I290" i="37"/>
  <c r="M290" i="37"/>
  <c r="N290" i="37"/>
  <c r="J290" i="37"/>
  <c r="L290" i="37"/>
  <c r="K261" i="37"/>
  <c r="I261" i="37"/>
  <c r="P50" i="19"/>
  <c r="Q26" i="19"/>
  <c r="Q25" i="19"/>
  <c r="K232" i="37"/>
  <c r="J232" i="37"/>
  <c r="L50" i="19"/>
  <c r="M25" i="19"/>
  <c r="M26" i="19"/>
  <c r="N145" i="37"/>
  <c r="M145" i="37"/>
  <c r="P59" i="37"/>
  <c r="Q37" i="37" s="1"/>
  <c r="J58" i="37"/>
  <c r="F13" i="2"/>
  <c r="L174" i="37"/>
  <c r="M174" i="37"/>
  <c r="J174" i="37"/>
  <c r="K174" i="37"/>
  <c r="G188" i="35"/>
  <c r="N174" i="37"/>
  <c r="I174" i="37"/>
  <c r="J203" i="37"/>
  <c r="N203" i="37"/>
  <c r="M203" i="37"/>
  <c r="K203" i="37"/>
  <c r="G220" i="35"/>
  <c r="CP13" i="43"/>
  <c r="CQ14" i="43" s="1"/>
  <c r="CR14" i="43" s="1"/>
  <c r="L203" i="37"/>
  <c r="AH101" i="37"/>
  <c r="AI101" i="37" s="1"/>
  <c r="DK15" i="45"/>
  <c r="DL16" i="45" s="1"/>
  <c r="DM16" i="45" s="1"/>
  <c r="E63" i="2"/>
  <c r="J25" i="27"/>
  <c r="J27" i="27" s="1"/>
  <c r="G60" i="35"/>
  <c r="I58" i="37"/>
  <c r="N116" i="37"/>
  <c r="I116" i="37"/>
  <c r="L116" i="37"/>
  <c r="J116" i="37"/>
  <c r="M116" i="37"/>
  <c r="G124" i="35"/>
  <c r="K116" i="37"/>
  <c r="K58" i="37"/>
  <c r="M58" i="37"/>
  <c r="N58" i="37"/>
  <c r="H33" i="2"/>
  <c r="E13" i="2"/>
  <c r="H83" i="2"/>
  <c r="I83" i="2"/>
  <c r="D33" i="2"/>
  <c r="E83" i="2"/>
  <c r="I13" i="2"/>
  <c r="K63" i="2"/>
  <c r="C33" i="2"/>
  <c r="F33" i="2"/>
  <c r="J33" i="2"/>
  <c r="C63" i="2"/>
  <c r="D83" i="2"/>
  <c r="F83" i="2"/>
  <c r="H63" i="2"/>
  <c r="I63" i="2"/>
  <c r="AI269" i="37"/>
  <c r="DL14" i="45"/>
  <c r="DM14" i="45" s="1"/>
  <c r="J83" i="2"/>
  <c r="H248" i="35"/>
  <c r="G248" i="35" s="1"/>
  <c r="AE291" i="37"/>
  <c r="I316" i="35" s="1"/>
  <c r="N7" i="41"/>
  <c r="CB13" i="44"/>
  <c r="CB14" i="44" s="1"/>
  <c r="CB15" i="44" s="1"/>
  <c r="T13" i="45"/>
  <c r="H310" i="35" s="1"/>
  <c r="G310" i="35" s="1"/>
  <c r="AI182" i="37"/>
  <c r="AP14" i="44"/>
  <c r="AD283" i="37"/>
  <c r="AD286" i="37" s="1"/>
  <c r="C83" i="2"/>
  <c r="AI220" i="37"/>
  <c r="AI246" i="37"/>
  <c r="N44" i="38"/>
  <c r="N49" i="38" s="1"/>
  <c r="BU16" i="45"/>
  <c r="BV17" i="45" s="1"/>
  <c r="BW17" i="45" s="1"/>
  <c r="BV13" i="45"/>
  <c r="BW13" i="45" s="1"/>
  <c r="AD167" i="37"/>
  <c r="AD169" i="37" s="1"/>
  <c r="AE175" i="37"/>
  <c r="I188" i="35" s="1"/>
  <c r="BV15" i="45"/>
  <c r="BW15" i="45" s="1"/>
  <c r="P13" i="45"/>
  <c r="H246" i="35" s="1"/>
  <c r="G246" i="35" s="1"/>
  <c r="AE204" i="37"/>
  <c r="H43" i="18" s="1"/>
  <c r="D73" i="2"/>
  <c r="AD72" i="2" s="1"/>
  <c r="AE72" i="2" s="1"/>
  <c r="AD196" i="37"/>
  <c r="AD200" i="37" s="1"/>
  <c r="AI41" i="37"/>
  <c r="BV14" i="45"/>
  <c r="BW14" i="45" s="1"/>
  <c r="R13" i="45"/>
  <c r="H278" i="35" s="1"/>
  <c r="G278" i="35" s="1"/>
  <c r="AE37" i="37"/>
  <c r="AI181" i="37"/>
  <c r="AE233" i="37"/>
  <c r="I43" i="18" s="1"/>
  <c r="R44" i="13"/>
  <c r="R45" i="13" s="1"/>
  <c r="AI149" i="37"/>
  <c r="AG169" i="37"/>
  <c r="R30" i="13"/>
  <c r="R54" i="13"/>
  <c r="R62" i="13" s="1"/>
  <c r="F63" i="2"/>
  <c r="D63" i="2"/>
  <c r="F26" i="22"/>
  <c r="P44" i="43"/>
  <c r="J23" i="52"/>
  <c r="J25" i="52" s="1"/>
  <c r="J22" i="52"/>
  <c r="D23" i="52"/>
  <c r="D25" i="52" s="1"/>
  <c r="D22" i="52"/>
  <c r="P23" i="52"/>
  <c r="P25" i="52" s="1"/>
  <c r="P22" i="52"/>
  <c r="R22" i="52"/>
  <c r="R23" i="52"/>
  <c r="R25" i="52" s="1"/>
  <c r="L44" i="43"/>
  <c r="T23" i="52"/>
  <c r="T25" i="52" s="1"/>
  <c r="T22" i="52"/>
  <c r="H22" i="52"/>
  <c r="H23" i="52"/>
  <c r="H25" i="52" s="1"/>
  <c r="L23" i="52"/>
  <c r="L25" i="52" s="1"/>
  <c r="L22" i="52"/>
  <c r="AD225" i="37"/>
  <c r="AD226" i="37" s="1"/>
  <c r="N23" i="52"/>
  <c r="N25" i="52" s="1"/>
  <c r="N22" i="52"/>
  <c r="F44" i="43"/>
  <c r="F23" i="52"/>
  <c r="F25" i="52" s="1"/>
  <c r="F22" i="52"/>
  <c r="D44" i="38"/>
  <c r="L44" i="38"/>
  <c r="L49" i="38" s="1"/>
  <c r="H44" i="38"/>
  <c r="H49" i="38" s="1"/>
  <c r="B44" i="38"/>
  <c r="F44" i="38"/>
  <c r="T44" i="38"/>
  <c r="T49" i="38" s="1"/>
  <c r="C299" i="35" s="1"/>
  <c r="J44" i="38"/>
  <c r="J49" i="38" s="1"/>
  <c r="R44" i="38"/>
  <c r="R48" i="38" s="1"/>
  <c r="F267" i="35" s="1"/>
  <c r="J21" i="18" s="1"/>
  <c r="AC228" i="37"/>
  <c r="AC226" i="37"/>
  <c r="AC229" i="37"/>
  <c r="I41" i="18"/>
  <c r="AC227" i="37"/>
  <c r="N8" i="15"/>
  <c r="O11" i="15" s="1"/>
  <c r="H209" i="35"/>
  <c r="G209" i="35" s="1"/>
  <c r="AI162" i="37"/>
  <c r="H179" i="35"/>
  <c r="G179" i="35" s="1"/>
  <c r="P44" i="38"/>
  <c r="P48" i="38" s="1"/>
  <c r="F235" i="35" s="1"/>
  <c r="AY1" i="44"/>
  <c r="BA1" i="44" s="1"/>
  <c r="C19" i="22"/>
  <c r="B20" i="22" s="1"/>
  <c r="B24" i="22"/>
  <c r="L50" i="38"/>
  <c r="D50" i="38"/>
  <c r="D43" i="35" s="1"/>
  <c r="P50" i="38"/>
  <c r="H50" i="38"/>
  <c r="J50" i="38"/>
  <c r="N50" i="38"/>
  <c r="T50" i="38"/>
  <c r="R50" i="38"/>
  <c r="F50" i="38"/>
  <c r="CI14" i="1"/>
  <c r="CI15" i="1" s="1"/>
  <c r="CI16" i="1" s="1"/>
  <c r="CJ13" i="1"/>
  <c r="CK13" i="1" s="1"/>
  <c r="AH140" i="37"/>
  <c r="AI140" i="37" s="1"/>
  <c r="B37" i="20"/>
  <c r="CI13" i="44"/>
  <c r="CJ14" i="44" s="1"/>
  <c r="CK14" i="44" s="1"/>
  <c r="AG82" i="37"/>
  <c r="AH285" i="37"/>
  <c r="AI285" i="37" s="1"/>
  <c r="AI124" i="37"/>
  <c r="BN14" i="45"/>
  <c r="BN15" i="45" s="1"/>
  <c r="AE16" i="37"/>
  <c r="AG198" i="37"/>
  <c r="BO13" i="1"/>
  <c r="BP13" i="1" s="1"/>
  <c r="BR5" i="1" s="1"/>
  <c r="AD51" i="37"/>
  <c r="AD53" i="37" s="1"/>
  <c r="J20" i="43"/>
  <c r="DK17" i="1"/>
  <c r="DL18" i="1" s="1"/>
  <c r="DM18" i="1" s="1"/>
  <c r="P8" i="15"/>
  <c r="Q15" i="15" s="1"/>
  <c r="P16" i="15" s="1"/>
  <c r="P24" i="15" s="1"/>
  <c r="AH111" i="37"/>
  <c r="AI111" i="37" s="1"/>
  <c r="B28" i="20"/>
  <c r="AE146" i="37"/>
  <c r="I156" i="35" s="1"/>
  <c r="AH227" i="37"/>
  <c r="J7" i="41"/>
  <c r="D9" i="22"/>
  <c r="E19" i="22" s="1"/>
  <c r="D20" i="22" s="1"/>
  <c r="D23" i="22" s="1"/>
  <c r="J20" i="1"/>
  <c r="J46" i="20"/>
  <c r="J49" i="20"/>
  <c r="AI36" i="37"/>
  <c r="J45" i="20"/>
  <c r="DD16" i="43"/>
  <c r="DD17" i="43" s="1"/>
  <c r="DD18" i="43" s="1"/>
  <c r="DD19" i="43" s="1"/>
  <c r="DE20" i="43" s="1"/>
  <c r="DF20" i="43" s="1"/>
  <c r="P30" i="37"/>
  <c r="Q10" i="37" s="1"/>
  <c r="D23" i="2"/>
  <c r="AD22" i="2" s="1"/>
  <c r="AE22" i="2" s="1"/>
  <c r="CW15" i="1"/>
  <c r="CW16" i="1" s="1"/>
  <c r="AE52" i="2"/>
  <c r="CJ14" i="45"/>
  <c r="CK14" i="45" s="1"/>
  <c r="AC62" i="37"/>
  <c r="D7" i="19"/>
  <c r="AI81" i="37"/>
  <c r="AD109" i="37"/>
  <c r="AD113" i="37" s="1"/>
  <c r="BN14" i="44"/>
  <c r="P34" i="19"/>
  <c r="CP15" i="44"/>
  <c r="CP16" i="44" s="1"/>
  <c r="CQ17" i="44" s="1"/>
  <c r="CR17" i="44" s="1"/>
  <c r="AZ13" i="43"/>
  <c r="BA14" i="43" s="1"/>
  <c r="BB14" i="43" s="1"/>
  <c r="O8" i="2"/>
  <c r="M15" i="15"/>
  <c r="L16" i="15" s="1"/>
  <c r="L24" i="15" s="1"/>
  <c r="BN16" i="1"/>
  <c r="BO15" i="1"/>
  <c r="BP15" i="1" s="1"/>
  <c r="H13" i="2"/>
  <c r="BO14" i="1"/>
  <c r="BP14" i="1" s="1"/>
  <c r="M19" i="15"/>
  <c r="L20" i="15" s="1"/>
  <c r="L25" i="15" s="1"/>
  <c r="L9" i="22"/>
  <c r="M19" i="22" s="1"/>
  <c r="L20" i="22" s="1"/>
  <c r="L25" i="22" s="1"/>
  <c r="L26" i="22" s="1"/>
  <c r="CJ13" i="43"/>
  <c r="CK13" i="43" s="1"/>
  <c r="H23" i="35"/>
  <c r="G23" i="35" s="1"/>
  <c r="AI62" i="37"/>
  <c r="B8" i="15"/>
  <c r="C19" i="15"/>
  <c r="B20" i="15" s="1"/>
  <c r="B25" i="15" s="1"/>
  <c r="AI9" i="37"/>
  <c r="I15" i="15"/>
  <c r="H16" i="15" s="1"/>
  <c r="H24" i="15" s="1"/>
  <c r="AZ14" i="45"/>
  <c r="BA15" i="45" s="1"/>
  <c r="BB15" i="45" s="1"/>
  <c r="E33" i="2"/>
  <c r="AI123" i="37"/>
  <c r="AD138" i="37"/>
  <c r="AD141" i="37" s="1"/>
  <c r="AC110" i="37"/>
  <c r="AC112" i="37"/>
  <c r="E41" i="18"/>
  <c r="AC113" i="37"/>
  <c r="AI94" i="37"/>
  <c r="H13" i="45"/>
  <c r="N87" i="37"/>
  <c r="J87" i="37"/>
  <c r="I87" i="37"/>
  <c r="L87" i="37"/>
  <c r="M87" i="37"/>
  <c r="G92" i="35"/>
  <c r="K87" i="37"/>
  <c r="AD74" i="37"/>
  <c r="AH75" i="37"/>
  <c r="F7" i="13" s="1"/>
  <c r="F23" i="22"/>
  <c r="F13" i="45"/>
  <c r="AI65" i="37"/>
  <c r="H54" i="35"/>
  <c r="G54" i="35" s="1"/>
  <c r="AY1" i="43"/>
  <c r="BA1" i="43" s="1"/>
  <c r="L29" i="37"/>
  <c r="AY1" i="1"/>
  <c r="BA1" i="1" s="1"/>
  <c r="K29" i="37"/>
  <c r="J29" i="37"/>
  <c r="AY1" i="45"/>
  <c r="BA1" i="45" s="1"/>
  <c r="G28" i="35"/>
  <c r="I29" i="37"/>
  <c r="N29" i="37"/>
  <c r="AH4" i="37"/>
  <c r="B13" i="1" s="1"/>
  <c r="AI17" i="37"/>
  <c r="AD4" i="37"/>
  <c r="CX13" i="45"/>
  <c r="CY13" i="45" s="1"/>
  <c r="CW13" i="45"/>
  <c r="CI15" i="43"/>
  <c r="CJ15" i="43"/>
  <c r="CK15" i="43" s="1"/>
  <c r="CJ14" i="43"/>
  <c r="CK14" i="43" s="1"/>
  <c r="I58" i="2"/>
  <c r="R68" i="2"/>
  <c r="D15" i="1"/>
  <c r="D40" i="1" s="1"/>
  <c r="T38" i="2"/>
  <c r="B20" i="44"/>
  <c r="AI33" i="37"/>
  <c r="O38" i="2"/>
  <c r="Y38" i="2"/>
  <c r="W38" i="2"/>
  <c r="CB15" i="43"/>
  <c r="CC16" i="43" s="1"/>
  <c r="CD16" i="43" s="1"/>
  <c r="J98" i="2"/>
  <c r="P54" i="19"/>
  <c r="O14" i="9"/>
  <c r="N15" i="9" s="1"/>
  <c r="N20" i="9" s="1"/>
  <c r="N21" i="9" s="1"/>
  <c r="T20" i="1"/>
  <c r="D48" i="2"/>
  <c r="D51" i="2" s="1"/>
  <c r="D53" i="2" s="1"/>
  <c r="W98" i="2"/>
  <c r="F38" i="2"/>
  <c r="I38" i="2"/>
  <c r="Y68" i="2"/>
  <c r="M18" i="2"/>
  <c r="P58" i="2"/>
  <c r="C28" i="2"/>
  <c r="L48" i="2"/>
  <c r="V38" i="2"/>
  <c r="X28" i="2"/>
  <c r="J48" i="2"/>
  <c r="K48" i="2"/>
  <c r="E28" i="2"/>
  <c r="P28" i="2"/>
  <c r="AA8" i="2"/>
  <c r="C48" i="2"/>
  <c r="C51" i="2" s="1"/>
  <c r="AA68" i="2"/>
  <c r="J28" i="2"/>
  <c r="Z78" i="2"/>
  <c r="Z48" i="2"/>
  <c r="D68" i="2"/>
  <c r="H68" i="2"/>
  <c r="Z8" i="2"/>
  <c r="J88" i="2"/>
  <c r="U98" i="2"/>
  <c r="N18" i="2"/>
  <c r="L68" i="2"/>
  <c r="F48" i="2"/>
  <c r="H88" i="2"/>
  <c r="S58" i="2"/>
  <c r="X98" i="2"/>
  <c r="W8" i="2"/>
  <c r="B14" i="17"/>
  <c r="N6" i="17"/>
  <c r="F6" i="17"/>
  <c r="J6" i="17"/>
  <c r="P6" i="17"/>
  <c r="T6" i="17"/>
  <c r="D6" i="17"/>
  <c r="R6" i="17"/>
  <c r="L6" i="17"/>
  <c r="H6" i="17"/>
  <c r="U8" i="2"/>
  <c r="O18" i="2"/>
  <c r="K38" i="2"/>
  <c r="O78" i="2"/>
  <c r="G18" i="2"/>
  <c r="G78" i="2"/>
  <c r="G81" i="2" s="1"/>
  <c r="C38" i="2"/>
  <c r="Y18" i="2"/>
  <c r="V88" i="2"/>
  <c r="W18" i="2"/>
  <c r="S38" i="2"/>
  <c r="G38" i="2"/>
  <c r="AA18" i="2"/>
  <c r="V68" i="2"/>
  <c r="Y78" i="2"/>
  <c r="T78" i="2"/>
  <c r="Q58" i="2"/>
  <c r="M68" i="2"/>
  <c r="T18" i="2"/>
  <c r="Z18" i="2"/>
  <c r="AA58" i="2"/>
  <c r="K88" i="2"/>
  <c r="I8" i="2"/>
  <c r="AA38" i="2"/>
  <c r="N98" i="2"/>
  <c r="CP14" i="43"/>
  <c r="CP15" i="43" s="1"/>
  <c r="X58" i="2"/>
  <c r="C68" i="2"/>
  <c r="C71" i="2" s="1"/>
  <c r="C73" i="2" s="1"/>
  <c r="W78" i="2"/>
  <c r="K18" i="2"/>
  <c r="Y98" i="2"/>
  <c r="S98" i="2"/>
  <c r="T58" i="2"/>
  <c r="V28" i="2"/>
  <c r="N68" i="2"/>
  <c r="G68" i="2"/>
  <c r="T9" i="22"/>
  <c r="U19" i="22" s="1"/>
  <c r="T20" i="22" s="1"/>
  <c r="T25" i="22" s="1"/>
  <c r="T26" i="22" s="1"/>
  <c r="X18" i="2"/>
  <c r="Q8" i="2"/>
  <c r="J18" i="2"/>
  <c r="O48" i="2"/>
  <c r="R78" i="2"/>
  <c r="H48" i="2"/>
  <c r="H18" i="2"/>
  <c r="I28" i="2"/>
  <c r="R38" i="2"/>
  <c r="K68" i="2"/>
  <c r="AA98" i="2"/>
  <c r="E68" i="2"/>
  <c r="G98" i="2"/>
  <c r="F58" i="2"/>
  <c r="S18" i="2"/>
  <c r="M78" i="2"/>
  <c r="AA48" i="2"/>
  <c r="O28" i="2"/>
  <c r="P38" i="2"/>
  <c r="E98" i="2"/>
  <c r="W28" i="2"/>
  <c r="Q28" i="2"/>
  <c r="C18" i="2"/>
  <c r="C21" i="2" s="1"/>
  <c r="C23" i="2" s="1"/>
  <c r="S78" i="2"/>
  <c r="L18" i="2"/>
  <c r="N28" i="2"/>
  <c r="I68" i="2"/>
  <c r="AA78" i="2"/>
  <c r="F98" i="2"/>
  <c r="V18" i="2"/>
  <c r="P48" i="2"/>
  <c r="G88" i="2"/>
  <c r="T88" i="2"/>
  <c r="U18" i="2"/>
  <c r="T98" i="2"/>
  <c r="L88" i="2"/>
  <c r="N88" i="2"/>
  <c r="E8" i="2"/>
  <c r="K58" i="2"/>
  <c r="J68" i="2"/>
  <c r="F18" i="2"/>
  <c r="U28" i="2"/>
  <c r="P8" i="2"/>
  <c r="J78" i="2"/>
  <c r="M48" i="2"/>
  <c r="T28" i="2"/>
  <c r="AE33" i="37"/>
  <c r="H30" i="13"/>
  <c r="H36" i="13"/>
  <c r="H39" i="13"/>
  <c r="CI15" i="45"/>
  <c r="F20" i="44"/>
  <c r="F41" i="44"/>
  <c r="P53" i="19"/>
  <c r="H9" i="48"/>
  <c r="H18" i="48" s="1"/>
  <c r="H19" i="48" s="1"/>
  <c r="H24" i="48" s="1"/>
  <c r="H25" i="48" s="1"/>
  <c r="J20" i="44"/>
  <c r="BN14" i="43"/>
  <c r="BO14" i="43"/>
  <c r="BP14" i="43" s="1"/>
  <c r="AE8" i="37"/>
  <c r="AC8" i="37"/>
  <c r="H44" i="13"/>
  <c r="H45" i="13" s="1"/>
  <c r="I12" i="22"/>
  <c r="I15" i="22" s="1"/>
  <c r="H16" i="22" s="1"/>
  <c r="H24" i="22" s="1"/>
  <c r="H54" i="13"/>
  <c r="H62" i="13" s="1"/>
  <c r="DL16" i="1"/>
  <c r="DM16" i="1" s="1"/>
  <c r="DD13" i="44"/>
  <c r="DE13" i="44"/>
  <c r="DF13" i="44" s="1"/>
  <c r="R7" i="47"/>
  <c r="R9" i="47" s="1"/>
  <c r="B20" i="43"/>
  <c r="BU14" i="44"/>
  <c r="BV14" i="44"/>
  <c r="BW14" i="44" s="1"/>
  <c r="P68" i="2"/>
  <c r="N8" i="2"/>
  <c r="H78" i="2"/>
  <c r="T8" i="2"/>
  <c r="S88" i="2"/>
  <c r="Z28" i="2"/>
  <c r="X38" i="2"/>
  <c r="L38" i="2"/>
  <c r="R88" i="2"/>
  <c r="Q38" i="2"/>
  <c r="Y8" i="2"/>
  <c r="L98" i="2"/>
  <c r="R8" i="2"/>
  <c r="K28" i="2"/>
  <c r="Z98" i="2"/>
  <c r="P78" i="2"/>
  <c r="N58" i="2"/>
  <c r="V78" i="2"/>
  <c r="F28" i="2"/>
  <c r="P98" i="2"/>
  <c r="D8" i="2"/>
  <c r="Q68" i="2"/>
  <c r="E48" i="2"/>
  <c r="I48" i="2"/>
  <c r="S8" i="2"/>
  <c r="V48" i="2"/>
  <c r="K8" i="2"/>
  <c r="Z58" i="2"/>
  <c r="H8" i="2"/>
  <c r="L78" i="2"/>
  <c r="X88" i="2"/>
  <c r="C98" i="2"/>
  <c r="C101" i="2" s="1"/>
  <c r="C103" i="2" s="1"/>
  <c r="E18" i="2"/>
  <c r="F8" i="2"/>
  <c r="O88" i="2"/>
  <c r="E38" i="2"/>
  <c r="I78" i="2"/>
  <c r="R48" i="2"/>
  <c r="W48" i="2"/>
  <c r="Q48" i="2"/>
  <c r="G28" i="2"/>
  <c r="AA88" i="2"/>
  <c r="E78" i="2"/>
  <c r="U38" i="2"/>
  <c r="C8" i="2"/>
  <c r="C11" i="2" s="1"/>
  <c r="C13" i="2" s="1"/>
  <c r="V8" i="2"/>
  <c r="V98" i="2"/>
  <c r="Q88" i="2"/>
  <c r="S48" i="2"/>
  <c r="R28" i="2"/>
  <c r="Y28" i="2"/>
  <c r="G8" i="2"/>
  <c r="G11" i="2" s="1"/>
  <c r="G13" i="2" s="1"/>
  <c r="Y88" i="2"/>
  <c r="G48" i="2"/>
  <c r="H38" i="2"/>
  <c r="O68" i="2"/>
  <c r="I18" i="2"/>
  <c r="J8" i="2"/>
  <c r="Q18" i="2"/>
  <c r="W58" i="2"/>
  <c r="U78" i="2"/>
  <c r="I88" i="2"/>
  <c r="D38" i="2"/>
  <c r="D41" i="2" s="1"/>
  <c r="D43" i="2" s="1"/>
  <c r="D18" i="2"/>
  <c r="U68" i="2"/>
  <c r="H98" i="2"/>
  <c r="K98" i="2"/>
  <c r="C78" i="2"/>
  <c r="E58" i="2"/>
  <c r="Y58" i="2"/>
  <c r="M8" i="2"/>
  <c r="Y48" i="2"/>
  <c r="Q78" i="2"/>
  <c r="S28" i="2"/>
  <c r="O98" i="2"/>
  <c r="F78" i="2"/>
  <c r="U48" i="2"/>
  <c r="J38" i="2"/>
  <c r="S68" i="2"/>
  <c r="H58" i="2"/>
  <c r="E88" i="2"/>
  <c r="D88" i="2"/>
  <c r="D91" i="2" s="1"/>
  <c r="D93" i="2" s="1"/>
  <c r="J58" i="2"/>
  <c r="AA28" i="2"/>
  <c r="O58" i="2"/>
  <c r="L8" i="2"/>
  <c r="M98" i="2"/>
  <c r="N48" i="2"/>
  <c r="T48" i="2"/>
  <c r="AI226" i="37"/>
  <c r="M28" i="2"/>
  <c r="U58" i="2"/>
  <c r="G58" i="2"/>
  <c r="G61" i="2" s="1"/>
  <c r="G63" i="2" s="1"/>
  <c r="AD61" i="2" s="1"/>
  <c r="AE61" i="2" s="1"/>
  <c r="N38" i="2"/>
  <c r="Z88" i="2"/>
  <c r="P18" i="2"/>
  <c r="M88" i="2"/>
  <c r="X68" i="2"/>
  <c r="U88" i="2"/>
  <c r="R18" i="2"/>
  <c r="D58" i="2"/>
  <c r="L28" i="2"/>
  <c r="X78" i="2"/>
  <c r="V58" i="2"/>
  <c r="D78" i="2"/>
  <c r="D28" i="2"/>
  <c r="R98" i="2"/>
  <c r="L58" i="2"/>
  <c r="D98" i="2"/>
  <c r="D101" i="2" s="1"/>
  <c r="T68" i="2"/>
  <c r="AI52" i="37"/>
  <c r="X8" i="2"/>
  <c r="W88" i="2"/>
  <c r="P88" i="2"/>
  <c r="X48" i="2"/>
  <c r="Z38" i="2"/>
  <c r="M38" i="2"/>
  <c r="Z68" i="2"/>
  <c r="M58" i="2"/>
  <c r="I98" i="2"/>
  <c r="W68" i="2"/>
  <c r="N78" i="2"/>
  <c r="C88" i="2"/>
  <c r="C91" i="2" s="1"/>
  <c r="C93" i="2" s="1"/>
  <c r="AD92" i="2" s="1"/>
  <c r="AE92" i="2" s="1"/>
  <c r="R58" i="2"/>
  <c r="F68" i="2"/>
  <c r="H28" i="2"/>
  <c r="K78" i="2"/>
  <c r="C58" i="2"/>
  <c r="Q98" i="2"/>
  <c r="AI82" i="37"/>
  <c r="T41" i="43"/>
  <c r="T20" i="43"/>
  <c r="CP13" i="45"/>
  <c r="CQ13" i="45"/>
  <c r="CR13" i="45" s="1"/>
  <c r="F9" i="48"/>
  <c r="F18" i="48" s="1"/>
  <c r="F19" i="48" s="1"/>
  <c r="F22" i="48" s="1"/>
  <c r="DK13" i="44"/>
  <c r="DL13" i="44"/>
  <c r="DM13" i="44" s="1"/>
  <c r="BH14" i="44"/>
  <c r="BI14" i="44" s="1"/>
  <c r="BG14" i="44"/>
  <c r="N7" i="47"/>
  <c r="N9" i="47" s="1"/>
  <c r="L34" i="19"/>
  <c r="I10" i="9"/>
  <c r="H11" i="9" s="1"/>
  <c r="H22" i="9" s="1"/>
  <c r="N20" i="1"/>
  <c r="N28" i="20"/>
  <c r="BV13" i="43"/>
  <c r="BW13" i="43" s="1"/>
  <c r="BU13" i="43"/>
  <c r="F28" i="20"/>
  <c r="F42" i="42"/>
  <c r="H20" i="43"/>
  <c r="G11" i="15"/>
  <c r="G15" i="15"/>
  <c r="F16" i="15" s="1"/>
  <c r="F24" i="15" s="1"/>
  <c r="E11" i="15"/>
  <c r="E15" i="15"/>
  <c r="D16" i="15" s="1"/>
  <c r="D24" i="15" s="1"/>
  <c r="D20" i="43"/>
  <c r="T28" i="20"/>
  <c r="AI168" i="37"/>
  <c r="L7" i="47"/>
  <c r="L9" i="47" s="1"/>
  <c r="J8" i="15"/>
  <c r="E27" i="30"/>
  <c r="AI110" i="37"/>
  <c r="H7" i="47"/>
  <c r="H9" i="47" s="1"/>
  <c r="U11" i="15"/>
  <c r="U15" i="15"/>
  <c r="T16" i="15" s="1"/>
  <c r="T24" i="15" s="1"/>
  <c r="AI53" i="37"/>
  <c r="T54" i="13"/>
  <c r="T62" i="13" s="1"/>
  <c r="AI284" i="37"/>
  <c r="T7" i="47"/>
  <c r="T9" i="47" s="1"/>
  <c r="N9" i="48"/>
  <c r="N18" i="48" s="1"/>
  <c r="N19" i="48" s="1"/>
  <c r="N24" i="48" s="1"/>
  <c r="N25" i="48" s="1"/>
  <c r="F34" i="19"/>
  <c r="R42" i="42"/>
  <c r="AI169" i="37"/>
  <c r="R32" i="42"/>
  <c r="L32" i="42"/>
  <c r="D32" i="42"/>
  <c r="F32" i="42"/>
  <c r="D44" i="44"/>
  <c r="R41" i="1"/>
  <c r="R20" i="1"/>
  <c r="N41" i="43"/>
  <c r="N20" i="43"/>
  <c r="L20" i="44"/>
  <c r="L41" i="44"/>
  <c r="R41" i="43"/>
  <c r="R20" i="43"/>
  <c r="P41" i="44"/>
  <c r="P20" i="44"/>
  <c r="T39" i="13"/>
  <c r="R41" i="44"/>
  <c r="R20" i="44"/>
  <c r="S14" i="9"/>
  <c r="R15" i="9" s="1"/>
  <c r="R20" i="9" s="1"/>
  <c r="R21" i="9" s="1"/>
  <c r="Q280" i="37"/>
  <c r="Q272" i="37"/>
  <c r="H316" i="35"/>
  <c r="Q277" i="37"/>
  <c r="Q282" i="37"/>
  <c r="Q287" i="37"/>
  <c r="Q266" i="37"/>
  <c r="Q281" i="37"/>
  <c r="Q274" i="37"/>
  <c r="Q285" i="37"/>
  <c r="Q270" i="37"/>
  <c r="Q267" i="37"/>
  <c r="Q284" i="37"/>
  <c r="Q289" i="37"/>
  <c r="Q268" i="37"/>
  <c r="Q273" i="37"/>
  <c r="Q275" i="37"/>
  <c r="Q271" i="37"/>
  <c r="Q269" i="37"/>
  <c r="Q288" i="37"/>
  <c r="Q265" i="37"/>
  <c r="Q283" i="37"/>
  <c r="Q276" i="37"/>
  <c r="Q279" i="37"/>
  <c r="Q278" i="37"/>
  <c r="CW13" i="44"/>
  <c r="CX13" i="44"/>
  <c r="CY13" i="44" s="1"/>
  <c r="Q184" i="37"/>
  <c r="Q183" i="37"/>
  <c r="Q178" i="37"/>
  <c r="Q181" i="37"/>
  <c r="Q195" i="37"/>
  <c r="Q199" i="37"/>
  <c r="Q198" i="37"/>
  <c r="Q196" i="37"/>
  <c r="Q191" i="37"/>
  <c r="Q187" i="37"/>
  <c r="H220" i="35"/>
  <c r="Q192" i="37"/>
  <c r="Q185" i="37"/>
  <c r="Q197" i="37"/>
  <c r="Q201" i="37"/>
  <c r="Q200" i="37"/>
  <c r="Q190" i="37"/>
  <c r="Q194" i="37"/>
  <c r="Q186" i="37"/>
  <c r="Q182" i="37"/>
  <c r="Q179" i="37"/>
  <c r="Q188" i="37"/>
  <c r="Q180" i="37"/>
  <c r="Q202" i="37"/>
  <c r="Q64" i="37"/>
  <c r="Q62" i="37"/>
  <c r="Q82" i="37"/>
  <c r="Q69" i="37"/>
  <c r="Q73" i="37"/>
  <c r="Q76" i="37"/>
  <c r="Q74" i="37"/>
  <c r="Q72" i="37"/>
  <c r="Q83" i="37"/>
  <c r="Q79" i="37"/>
  <c r="Q65" i="37"/>
  <c r="Q63" i="37"/>
  <c r="Q71" i="37"/>
  <c r="Q70" i="37"/>
  <c r="Q80" i="37"/>
  <c r="Q77" i="37"/>
  <c r="Q68" i="37"/>
  <c r="Q75" i="37"/>
  <c r="H92" i="35"/>
  <c r="Q78" i="37"/>
  <c r="Q81" i="37"/>
  <c r="Q85" i="37"/>
  <c r="Q84" i="37"/>
  <c r="Q67" i="37"/>
  <c r="CB16" i="1"/>
  <c r="CC16" i="1"/>
  <c r="CD16" i="1" s="1"/>
  <c r="Q223" i="37"/>
  <c r="Q217" i="37"/>
  <c r="Q215" i="37"/>
  <c r="Q224" i="37"/>
  <c r="Q221" i="37"/>
  <c r="Q212" i="37"/>
  <c r="Q208" i="37"/>
  <c r="H252" i="35"/>
  <c r="Q207" i="37"/>
  <c r="Q228" i="37"/>
  <c r="Q220" i="37"/>
  <c r="Q214" i="37"/>
  <c r="Q230" i="37"/>
  <c r="Q226" i="37"/>
  <c r="Q211" i="37"/>
  <c r="Q219" i="37"/>
  <c r="Q229" i="37"/>
  <c r="Q213" i="37"/>
  <c r="Q222" i="37"/>
  <c r="Q218" i="37"/>
  <c r="Q209" i="37"/>
  <c r="Q227" i="37"/>
  <c r="Q216" i="37"/>
  <c r="Q225" i="37"/>
  <c r="Q231" i="37"/>
  <c r="Q210" i="37"/>
  <c r="DK13" i="43"/>
  <c r="DL13" i="43"/>
  <c r="DM13" i="43" s="1"/>
  <c r="CC13" i="45"/>
  <c r="CD13" i="45" s="1"/>
  <c r="CB13" i="45"/>
  <c r="D42" i="42"/>
  <c r="D28" i="42"/>
  <c r="Q193" i="37"/>
  <c r="Q286" i="37"/>
  <c r="Q92" i="37"/>
  <c r="Q95" i="37"/>
  <c r="Q112" i="37"/>
  <c r="Q111" i="37"/>
  <c r="Q106" i="37"/>
  <c r="Q104" i="37"/>
  <c r="Q115" i="37"/>
  <c r="Q114" i="37"/>
  <c r="Q99" i="37"/>
  <c r="Q98" i="37"/>
  <c r="Q113" i="37"/>
  <c r="Q105" i="37"/>
  <c r="Q102" i="37"/>
  <c r="Q108" i="37"/>
  <c r="H124" i="35"/>
  <c r="Q103" i="37"/>
  <c r="Q93" i="37"/>
  <c r="Q91" i="37"/>
  <c r="Q96" i="37"/>
  <c r="Q94" i="37"/>
  <c r="Q107" i="37"/>
  <c r="Q101" i="37"/>
  <c r="Q110" i="37"/>
  <c r="Q109" i="37"/>
  <c r="Q97" i="37"/>
  <c r="Q100" i="37"/>
  <c r="Q66" i="37"/>
  <c r="S19" i="15"/>
  <c r="R20" i="15" s="1"/>
  <c r="R25" i="15" s="1"/>
  <c r="R8" i="15"/>
  <c r="BH13" i="43"/>
  <c r="BI13" i="43" s="1"/>
  <c r="BG13" i="43"/>
  <c r="Q86" i="37"/>
  <c r="J41" i="2"/>
  <c r="AE42" i="2"/>
  <c r="BA15" i="44"/>
  <c r="BB15" i="44" s="1"/>
  <c r="AZ15" i="44"/>
  <c r="Q189" i="37"/>
  <c r="Q125" i="37"/>
  <c r="H156" i="35"/>
  <c r="Q142" i="37"/>
  <c r="Q131" i="37"/>
  <c r="Q135" i="37"/>
  <c r="Q130" i="37"/>
  <c r="Q132" i="37"/>
  <c r="Q136" i="37"/>
  <c r="Q129" i="37"/>
  <c r="Q123" i="37"/>
  <c r="Q121" i="37"/>
  <c r="Q140" i="37"/>
  <c r="Q122" i="37"/>
  <c r="Q124" i="37"/>
  <c r="Q128" i="37"/>
  <c r="Q143" i="37"/>
  <c r="Q133" i="37"/>
  <c r="Q120" i="37"/>
  <c r="Q127" i="37"/>
  <c r="Q144" i="37"/>
  <c r="Q139" i="37"/>
  <c r="Q137" i="37"/>
  <c r="Q138" i="37"/>
  <c r="Q134" i="37"/>
  <c r="Q141" i="37"/>
  <c r="Q126" i="37"/>
  <c r="DE13" i="1"/>
  <c r="DF13" i="1" s="1"/>
  <c r="DD13" i="1"/>
  <c r="N71" i="2"/>
  <c r="BA13" i="1"/>
  <c r="BB13" i="1" s="1"/>
  <c r="AP13" i="1" s="1"/>
  <c r="AZ13" i="1"/>
  <c r="H20" i="44"/>
  <c r="H41" i="44"/>
  <c r="CQ13" i="1"/>
  <c r="CR13" i="1" s="1"/>
  <c r="CP13" i="1"/>
  <c r="DD13" i="45"/>
  <c r="DE13" i="45"/>
  <c r="DF13" i="45" s="1"/>
  <c r="H103" i="2"/>
  <c r="H284" i="35"/>
  <c r="Q251" i="37"/>
  <c r="Q240" i="37"/>
  <c r="Q239" i="37"/>
  <c r="Q243" i="37"/>
  <c r="Q255" i="37"/>
  <c r="Q236" i="37"/>
  <c r="Q244" i="37"/>
  <c r="Q237" i="37"/>
  <c r="Q241" i="37"/>
  <c r="Q256" i="37"/>
  <c r="Q254" i="37"/>
  <c r="Q253" i="37"/>
  <c r="Q248" i="37"/>
  <c r="Q259" i="37"/>
  <c r="Q252" i="37"/>
  <c r="Q247" i="37"/>
  <c r="Q258" i="37"/>
  <c r="Q246" i="37"/>
  <c r="Q238" i="37"/>
  <c r="Q257" i="37"/>
  <c r="Q242" i="37"/>
  <c r="Q249" i="37"/>
  <c r="Q250" i="37"/>
  <c r="Q245" i="37"/>
  <c r="G14" i="9"/>
  <c r="F15" i="9" s="1"/>
  <c r="F20" i="9" s="1"/>
  <c r="F21" i="9" s="1"/>
  <c r="AP13" i="45"/>
  <c r="AA91" i="2"/>
  <c r="BG13" i="45"/>
  <c r="BH13" i="45"/>
  <c r="BI13" i="45" s="1"/>
  <c r="P28" i="20"/>
  <c r="BH13" i="1"/>
  <c r="BI13" i="1" s="1"/>
  <c r="BG13" i="1"/>
  <c r="CW13" i="43"/>
  <c r="CX13" i="43"/>
  <c r="CY13" i="43" s="1"/>
  <c r="L54" i="19"/>
  <c r="L53" i="19"/>
  <c r="BV13" i="1"/>
  <c r="BW13" i="1" s="1"/>
  <c r="BU13" i="1"/>
  <c r="S12" i="22"/>
  <c r="S15" i="22" s="1"/>
  <c r="R16" i="22" s="1"/>
  <c r="R24" i="22" s="1"/>
  <c r="R9" i="22"/>
  <c r="S19" i="22" s="1"/>
  <c r="R20" i="22" s="1"/>
  <c r="R25" i="22" s="1"/>
  <c r="H188" i="35"/>
  <c r="Q150" i="37"/>
  <c r="Q162" i="37"/>
  <c r="Q149" i="37"/>
  <c r="Q165" i="37"/>
  <c r="Q163" i="37"/>
  <c r="Q167" i="37"/>
  <c r="Q160" i="37"/>
  <c r="Q159" i="37"/>
  <c r="Q161" i="37"/>
  <c r="Q168" i="37"/>
  <c r="Q156" i="37"/>
  <c r="Q164" i="37"/>
  <c r="Q153" i="37"/>
  <c r="Q154" i="37"/>
  <c r="Q151" i="37"/>
  <c r="Q158" i="37"/>
  <c r="Q157" i="37"/>
  <c r="Q169" i="37"/>
  <c r="Q155" i="37"/>
  <c r="Q171" i="37"/>
  <c r="Q170" i="37"/>
  <c r="Q152" i="37"/>
  <c r="Q172" i="37"/>
  <c r="Q173" i="37"/>
  <c r="Q166" i="37"/>
  <c r="T44" i="44"/>
  <c r="J39" i="13"/>
  <c r="J54" i="13"/>
  <c r="J62" i="13" s="1"/>
  <c r="D39" i="13"/>
  <c r="D54" i="13"/>
  <c r="D62" i="13" s="1"/>
  <c r="M10" i="9"/>
  <c r="L11" i="9" s="1"/>
  <c r="L22" i="9" s="1"/>
  <c r="L28" i="42"/>
  <c r="L42" i="42"/>
  <c r="L46" i="20"/>
  <c r="L45" i="20"/>
  <c r="L49" i="20"/>
  <c r="K10" i="9"/>
  <c r="J11" i="9" s="1"/>
  <c r="J22" i="9" s="1"/>
  <c r="C14" i="9"/>
  <c r="B15" i="9" s="1"/>
  <c r="B18" i="9" s="1"/>
  <c r="U14" i="9"/>
  <c r="T15" i="9" s="1"/>
  <c r="T20" i="9" s="1"/>
  <c r="T21" i="9" s="1"/>
  <c r="E14" i="9"/>
  <c r="D15" i="9" s="1"/>
  <c r="D20" i="9" s="1"/>
  <c r="D21" i="9" s="1"/>
  <c r="Q10" i="9"/>
  <c r="P11" i="9" s="1"/>
  <c r="P22" i="9" s="1"/>
  <c r="N23" i="22"/>
  <c r="N25" i="22"/>
  <c r="N26" i="22" s="1"/>
  <c r="H59" i="41"/>
  <c r="F26" i="27"/>
  <c r="F27" i="27" s="1"/>
  <c r="F24" i="27"/>
  <c r="L20" i="9"/>
  <c r="L21" i="9" s="1"/>
  <c r="H26" i="27"/>
  <c r="H27" i="27" s="1"/>
  <c r="H24" i="27"/>
  <c r="H25" i="22"/>
  <c r="L22" i="48"/>
  <c r="L24" i="48"/>
  <c r="L25" i="48" s="1"/>
  <c r="T24" i="27"/>
  <c r="T26" i="27"/>
  <c r="T27" i="27" s="1"/>
  <c r="B59" i="41"/>
  <c r="T59" i="41"/>
  <c r="J59" i="19"/>
  <c r="D145" i="35" s="1"/>
  <c r="D22" i="48"/>
  <c r="D24" i="48"/>
  <c r="D25" i="48" s="1"/>
  <c r="L24" i="27"/>
  <c r="L26" i="27"/>
  <c r="L27" i="27" s="1"/>
  <c r="J25" i="15"/>
  <c r="N59" i="19"/>
  <c r="D209" i="35" s="1"/>
  <c r="R59" i="19"/>
  <c r="N24" i="27"/>
  <c r="N26" i="27"/>
  <c r="N27" i="27" s="1"/>
  <c r="R26" i="27"/>
  <c r="R27" i="27" s="1"/>
  <c r="R24" i="27"/>
  <c r="P25" i="22"/>
  <c r="P26" i="22" s="1"/>
  <c r="P23" i="22"/>
  <c r="H25" i="15"/>
  <c r="F59" i="41"/>
  <c r="L59" i="41"/>
  <c r="D26" i="27"/>
  <c r="D27" i="27" s="1"/>
  <c r="D24" i="27"/>
  <c r="F25" i="15"/>
  <c r="R59" i="41"/>
  <c r="T25" i="15"/>
  <c r="B26" i="27"/>
  <c r="B27" i="27" s="1"/>
  <c r="B24" i="27"/>
  <c r="D59" i="19"/>
  <c r="D49" i="35" s="1"/>
  <c r="J22" i="48"/>
  <c r="J24" i="48"/>
  <c r="J25" i="48" s="1"/>
  <c r="J23" i="22"/>
  <c r="J25" i="22"/>
  <c r="J26" i="22" s="1"/>
  <c r="N59" i="41"/>
  <c r="P20" i="9"/>
  <c r="P21" i="9" s="1"/>
  <c r="L59" i="19"/>
  <c r="T22" i="48"/>
  <c r="T24" i="48"/>
  <c r="T25" i="48" s="1"/>
  <c r="N25" i="15"/>
  <c r="H20" i="9"/>
  <c r="H21" i="9" s="1"/>
  <c r="B22" i="48"/>
  <c r="B24" i="48"/>
  <c r="B25" i="48" s="1"/>
  <c r="P26" i="27"/>
  <c r="P27" i="27" s="1"/>
  <c r="P24" i="27"/>
  <c r="P25" i="15"/>
  <c r="D59" i="41"/>
  <c r="D25" i="15"/>
  <c r="P59" i="41"/>
  <c r="J20" i="9"/>
  <c r="J21" i="9" s="1"/>
  <c r="F59" i="19"/>
  <c r="P24" i="48" l="1"/>
  <c r="P25" i="48" s="1"/>
  <c r="B13" i="45"/>
  <c r="H44" i="1"/>
  <c r="R22" i="48"/>
  <c r="Q46" i="37"/>
  <c r="Q50" i="37"/>
  <c r="Q39" i="37"/>
  <c r="D48" i="38"/>
  <c r="F43" i="35" s="1"/>
  <c r="C21" i="18" s="1"/>
  <c r="M43" i="35"/>
  <c r="Q47" i="37"/>
  <c r="H60" i="35"/>
  <c r="Q36" i="37"/>
  <c r="Q52" i="37"/>
  <c r="Q49" i="37"/>
  <c r="Q40" i="37"/>
  <c r="Q54" i="37"/>
  <c r="Q38" i="37"/>
  <c r="Q56" i="37"/>
  <c r="Q55" i="37"/>
  <c r="Q43" i="37"/>
  <c r="Q48" i="37"/>
  <c r="Q53" i="37"/>
  <c r="Q33" i="37"/>
  <c r="Q35" i="37"/>
  <c r="Q44" i="37"/>
  <c r="Q34" i="37"/>
  <c r="Q51" i="37"/>
  <c r="Q45" i="37"/>
  <c r="Q42" i="37"/>
  <c r="Q57" i="37"/>
  <c r="Q41" i="37"/>
  <c r="AC40" i="37"/>
  <c r="AC51" i="37" s="1"/>
  <c r="AC55" i="37" s="1"/>
  <c r="AE40" i="37"/>
  <c r="AE59" i="37" s="1"/>
  <c r="C43" i="18" s="1"/>
  <c r="J41" i="18"/>
  <c r="F54" i="19"/>
  <c r="AD254" i="37"/>
  <c r="AD256" i="37" s="1"/>
  <c r="T42" i="20"/>
  <c r="AI251" i="37"/>
  <c r="AI256" i="37"/>
  <c r="P42" i="20"/>
  <c r="P35" i="20"/>
  <c r="P36" i="42" s="1"/>
  <c r="N42" i="20"/>
  <c r="N35" i="20"/>
  <c r="N36" i="42" s="1"/>
  <c r="D42" i="20"/>
  <c r="D35" i="20"/>
  <c r="D36" i="42" s="1"/>
  <c r="F53" i="19"/>
  <c r="F61" i="19" s="1"/>
  <c r="B53" i="41"/>
  <c r="B54" i="41"/>
  <c r="J33" i="44"/>
  <c r="J32" i="44"/>
  <c r="N32" i="43"/>
  <c r="D32" i="43"/>
  <c r="N45" i="20"/>
  <c r="R33" i="44"/>
  <c r="R32" i="44"/>
  <c r="L33" i="44"/>
  <c r="L32" i="44"/>
  <c r="T32" i="1"/>
  <c r="T34" i="1"/>
  <c r="T33" i="1"/>
  <c r="H33" i="44"/>
  <c r="H32" i="44"/>
  <c r="N49" i="20"/>
  <c r="J33" i="1"/>
  <c r="J32" i="1"/>
  <c r="P33" i="44"/>
  <c r="P32" i="44"/>
  <c r="R33" i="1"/>
  <c r="R32" i="1"/>
  <c r="N46" i="20"/>
  <c r="T32" i="43"/>
  <c r="F34" i="44"/>
  <c r="F33" i="44"/>
  <c r="F32" i="44"/>
  <c r="J32" i="43"/>
  <c r="N34" i="44"/>
  <c r="N33" i="44"/>
  <c r="N32" i="44"/>
  <c r="R32" i="43"/>
  <c r="N32" i="1"/>
  <c r="H32" i="43"/>
  <c r="B31" i="20"/>
  <c r="B32" i="20" s="1"/>
  <c r="B9" i="20"/>
  <c r="C27" i="20"/>
  <c r="AE11" i="37"/>
  <c r="AC11" i="37"/>
  <c r="C26" i="41"/>
  <c r="C25" i="41"/>
  <c r="C31" i="19"/>
  <c r="N24" i="47"/>
  <c r="N26" i="47" s="1"/>
  <c r="N17" i="47"/>
  <c r="R24" i="47"/>
  <c r="R26" i="47" s="1"/>
  <c r="R27" i="47" s="1"/>
  <c r="R41" i="47" s="1"/>
  <c r="R17" i="47"/>
  <c r="D8" i="17"/>
  <c r="D11" i="17"/>
  <c r="D16" i="17" s="1"/>
  <c r="F11" i="17"/>
  <c r="F16" i="17" s="1"/>
  <c r="F8" i="17"/>
  <c r="G23" i="13"/>
  <c r="G27" i="13" s="1"/>
  <c r="F9" i="13"/>
  <c r="S27" i="20"/>
  <c r="R9" i="20"/>
  <c r="R37" i="20"/>
  <c r="R31" i="20"/>
  <c r="R32" i="20" s="1"/>
  <c r="M281" i="35" s="1"/>
  <c r="U33" i="19"/>
  <c r="U34" i="13"/>
  <c r="U35" i="13" s="1"/>
  <c r="U28" i="13"/>
  <c r="U29" i="13" s="1"/>
  <c r="O28" i="13"/>
  <c r="O29" i="13" s="1"/>
  <c r="O34" i="13"/>
  <c r="O35" i="13" s="1"/>
  <c r="S28" i="13"/>
  <c r="S29" i="13" s="1"/>
  <c r="S34" i="13"/>
  <c r="S35" i="13" s="1"/>
  <c r="M24" i="13"/>
  <c r="M33" i="13"/>
  <c r="M42" i="13"/>
  <c r="L14" i="13"/>
  <c r="B14" i="13"/>
  <c r="C42" i="13"/>
  <c r="C33" i="13"/>
  <c r="C24" i="13"/>
  <c r="H11" i="17"/>
  <c r="H16" i="17" s="1"/>
  <c r="H8" i="17"/>
  <c r="T8" i="17"/>
  <c r="T11" i="17"/>
  <c r="T16" i="17" s="1"/>
  <c r="N8" i="17"/>
  <c r="N11" i="17"/>
  <c r="N16" i="17" s="1"/>
  <c r="I34" i="13"/>
  <c r="I35" i="13" s="1"/>
  <c r="I28" i="13"/>
  <c r="I29" i="13" s="1"/>
  <c r="Q24" i="13"/>
  <c r="Q42" i="13"/>
  <c r="Q33" i="13"/>
  <c r="P14" i="13"/>
  <c r="P15" i="13" s="1"/>
  <c r="H24" i="47"/>
  <c r="H26" i="47" s="1"/>
  <c r="H17" i="47"/>
  <c r="L8" i="17"/>
  <c r="L11" i="17"/>
  <c r="L16" i="17" s="1"/>
  <c r="P11" i="17"/>
  <c r="P16" i="17" s="1"/>
  <c r="P8" i="17"/>
  <c r="B32" i="44"/>
  <c r="B34" i="44"/>
  <c r="B33" i="44"/>
  <c r="N44" i="44"/>
  <c r="K28" i="13"/>
  <c r="K29" i="13" s="1"/>
  <c r="K34" i="13"/>
  <c r="K35" i="13" s="1"/>
  <c r="T24" i="47"/>
  <c r="T26" i="47" s="1"/>
  <c r="T17" i="47"/>
  <c r="L24" i="47"/>
  <c r="L26" i="47" s="1"/>
  <c r="L17" i="47"/>
  <c r="B32" i="43"/>
  <c r="R8" i="17"/>
  <c r="R11" i="17"/>
  <c r="R16" i="17" s="1"/>
  <c r="J11" i="17"/>
  <c r="J16" i="17" s="1"/>
  <c r="J8" i="17"/>
  <c r="H49" i="35"/>
  <c r="G49" i="35" s="1"/>
  <c r="E33" i="19"/>
  <c r="D11" i="19"/>
  <c r="D22" i="19" s="1"/>
  <c r="E31" i="19" s="1"/>
  <c r="E32" i="19" s="1"/>
  <c r="D9" i="19"/>
  <c r="E34" i="13"/>
  <c r="E35" i="13" s="1"/>
  <c r="E28" i="13"/>
  <c r="E29" i="13" s="1"/>
  <c r="N28" i="42"/>
  <c r="T41" i="41"/>
  <c r="T42" i="41" s="1"/>
  <c r="U33" i="41"/>
  <c r="T11" i="41"/>
  <c r="T22" i="41" s="1"/>
  <c r="U31" i="41" s="1"/>
  <c r="U32" i="41" s="1"/>
  <c r="T9" i="41"/>
  <c r="T50" i="41" s="1"/>
  <c r="N11" i="41"/>
  <c r="N22" i="41" s="1"/>
  <c r="O31" i="41" s="1"/>
  <c r="O32" i="41" s="1"/>
  <c r="O33" i="41"/>
  <c r="N9" i="41"/>
  <c r="N50" i="41" s="1"/>
  <c r="H9" i="41"/>
  <c r="H54" i="41" s="1"/>
  <c r="H11" i="41"/>
  <c r="H22" i="41" s="1"/>
  <c r="I31" i="41" s="1"/>
  <c r="I32" i="41" s="1"/>
  <c r="I33" i="41"/>
  <c r="D11" i="41"/>
  <c r="D22" i="41" s="1"/>
  <c r="E31" i="41" s="1"/>
  <c r="E32" i="41" s="1"/>
  <c r="E33" i="41"/>
  <c r="D9" i="41"/>
  <c r="K33" i="41"/>
  <c r="J11" i="41"/>
  <c r="J22" i="41" s="1"/>
  <c r="K31" i="41" s="1"/>
  <c r="K32" i="41" s="1"/>
  <c r="J9" i="41"/>
  <c r="T11" i="19"/>
  <c r="T22" i="19" s="1"/>
  <c r="U31" i="19" s="1"/>
  <c r="U32" i="19" s="1"/>
  <c r="T9" i="19"/>
  <c r="G26" i="19"/>
  <c r="G25" i="19"/>
  <c r="B32" i="42"/>
  <c r="D41" i="41"/>
  <c r="D42" i="41" s="1"/>
  <c r="C41" i="2"/>
  <c r="C43" i="2" s="1"/>
  <c r="J41" i="41"/>
  <c r="J42" i="41" s="1"/>
  <c r="AI95" i="37"/>
  <c r="H7" i="19"/>
  <c r="R54" i="41"/>
  <c r="R53" i="41"/>
  <c r="E14" i="17"/>
  <c r="E20" i="17"/>
  <c r="U14" i="17"/>
  <c r="U20" i="17"/>
  <c r="Q14" i="17"/>
  <c r="Q20" i="17"/>
  <c r="K20" i="17"/>
  <c r="K14" i="17"/>
  <c r="G14" i="17"/>
  <c r="G20" i="17"/>
  <c r="H22" i="17"/>
  <c r="H27" i="17" s="1"/>
  <c r="H28" i="17" s="1"/>
  <c r="I14" i="17"/>
  <c r="I20" i="17"/>
  <c r="N14" i="17"/>
  <c r="O20" i="17"/>
  <c r="O14" i="17"/>
  <c r="M20" i="17"/>
  <c r="M14" i="17"/>
  <c r="S14" i="17"/>
  <c r="S20" i="17"/>
  <c r="N32" i="42"/>
  <c r="B42" i="42"/>
  <c r="B49" i="42"/>
  <c r="DK16" i="45"/>
  <c r="DK17" i="45" s="1"/>
  <c r="DK18" i="45" s="1"/>
  <c r="DL19" i="45" s="1"/>
  <c r="DM19" i="45" s="1"/>
  <c r="N41" i="41"/>
  <c r="N42" i="41" s="1"/>
  <c r="B54" i="19"/>
  <c r="B41" i="19"/>
  <c r="B42" i="19" s="1"/>
  <c r="M17" i="35" s="1"/>
  <c r="F32" i="20"/>
  <c r="R50" i="19"/>
  <c r="S25" i="19"/>
  <c r="S26" i="19"/>
  <c r="S25" i="41"/>
  <c r="S26" i="41"/>
  <c r="Q26" i="41"/>
  <c r="Q25" i="41"/>
  <c r="L50" i="41"/>
  <c r="M26" i="41"/>
  <c r="M25" i="41"/>
  <c r="F50" i="41"/>
  <c r="G26" i="41"/>
  <c r="G25" i="41"/>
  <c r="B50" i="19"/>
  <c r="H45" i="41"/>
  <c r="H46" i="41" s="1"/>
  <c r="B45" i="41"/>
  <c r="B46" i="41" s="1"/>
  <c r="L45" i="19"/>
  <c r="L46" i="19" s="1"/>
  <c r="F45" i="19"/>
  <c r="F46" i="19" s="1"/>
  <c r="P45" i="19"/>
  <c r="P46" i="19" s="1"/>
  <c r="F22" i="17"/>
  <c r="F25" i="17" s="1"/>
  <c r="AF6" i="2"/>
  <c r="K43" i="18"/>
  <c r="AD32" i="2"/>
  <c r="AE32" i="2" s="1"/>
  <c r="CC15" i="44"/>
  <c r="CD15" i="44" s="1"/>
  <c r="J34" i="44" s="1"/>
  <c r="AD82" i="2"/>
  <c r="AE82" i="2" s="1"/>
  <c r="AI227" i="37"/>
  <c r="B27" i="47"/>
  <c r="B41" i="47" s="1"/>
  <c r="J27" i="47"/>
  <c r="D27" i="47"/>
  <c r="D41" i="47" s="1"/>
  <c r="F27" i="47"/>
  <c r="P27" i="47"/>
  <c r="L248" i="35" s="1"/>
  <c r="B36" i="47"/>
  <c r="B44" i="47" s="1"/>
  <c r="R33" i="47"/>
  <c r="D36" i="47"/>
  <c r="D44" i="47" s="1"/>
  <c r="I248" i="35"/>
  <c r="CC14" i="44"/>
  <c r="CD14" i="44" s="1"/>
  <c r="AD287" i="37"/>
  <c r="AD198" i="37"/>
  <c r="P53" i="41"/>
  <c r="P50" i="41"/>
  <c r="G43" i="18"/>
  <c r="AD255" i="37"/>
  <c r="R58" i="13"/>
  <c r="AD199" i="37"/>
  <c r="BU17" i="45"/>
  <c r="BU18" i="45" s="1"/>
  <c r="AD284" i="37"/>
  <c r="AD197" i="37"/>
  <c r="K42" i="18"/>
  <c r="D49" i="20"/>
  <c r="AD258" i="37"/>
  <c r="AD285" i="37"/>
  <c r="J43" i="18"/>
  <c r="N48" i="38"/>
  <c r="N51" i="38"/>
  <c r="H42" i="18"/>
  <c r="D45" i="20"/>
  <c r="D46" i="20"/>
  <c r="AD170" i="37"/>
  <c r="AD168" i="37"/>
  <c r="AD171" i="37"/>
  <c r="AD55" i="37"/>
  <c r="G42" i="18"/>
  <c r="H281" i="35"/>
  <c r="G281" i="35" s="1"/>
  <c r="R28" i="20"/>
  <c r="I220" i="35"/>
  <c r="I252" i="35"/>
  <c r="B28" i="42"/>
  <c r="J48" i="38"/>
  <c r="R36" i="13"/>
  <c r="R59" i="13" s="1"/>
  <c r="L51" i="38"/>
  <c r="L48" i="38"/>
  <c r="AB61" i="2"/>
  <c r="O15" i="15"/>
  <c r="N16" i="15" s="1"/>
  <c r="N24" i="15" s="1"/>
  <c r="N26" i="15" s="1"/>
  <c r="CI14" i="44"/>
  <c r="CJ15" i="44" s="1"/>
  <c r="CK15" i="44" s="1"/>
  <c r="L34" i="44" s="1"/>
  <c r="I42" i="18"/>
  <c r="AD227" i="37"/>
  <c r="AD229" i="37"/>
  <c r="AD228" i="37"/>
  <c r="AB63" i="2"/>
  <c r="AD62" i="2"/>
  <c r="AE62" i="2" s="1"/>
  <c r="CJ16" i="1"/>
  <c r="CK16" i="1" s="1"/>
  <c r="CJ15" i="1"/>
  <c r="CK15" i="1" s="1"/>
  <c r="R22" i="17"/>
  <c r="R27" i="17" s="1"/>
  <c r="R28" i="17" s="1"/>
  <c r="AD56" i="2"/>
  <c r="AD57" i="2" s="1"/>
  <c r="AD60" i="2"/>
  <c r="O188" i="35" s="1"/>
  <c r="G83" i="2"/>
  <c r="AD80" i="2"/>
  <c r="O252" i="35" s="1"/>
  <c r="AB81" i="2"/>
  <c r="D103" i="2"/>
  <c r="AD96" i="2" s="1"/>
  <c r="AD100" i="2"/>
  <c r="O316" i="35" s="1"/>
  <c r="Q291" i="37"/>
  <c r="D44" i="43"/>
  <c r="N44" i="43"/>
  <c r="T44" i="43"/>
  <c r="B44" i="43"/>
  <c r="R44" i="1"/>
  <c r="P44" i="44"/>
  <c r="H44" i="43"/>
  <c r="B44" i="44"/>
  <c r="AB101" i="2"/>
  <c r="N44" i="1"/>
  <c r="Q233" i="37"/>
  <c r="J44" i="43"/>
  <c r="D49" i="38"/>
  <c r="F49" i="38"/>
  <c r="F51" i="38" s="1"/>
  <c r="F48" i="38"/>
  <c r="J51" i="38"/>
  <c r="T48" i="38"/>
  <c r="F299" i="35" s="1"/>
  <c r="K21" i="18" s="1"/>
  <c r="M299" i="35"/>
  <c r="T51" i="38"/>
  <c r="D299" i="35"/>
  <c r="D267" i="35"/>
  <c r="R49" i="38"/>
  <c r="C267" i="35" s="1"/>
  <c r="M267" i="35"/>
  <c r="H48" i="38"/>
  <c r="H51" i="38"/>
  <c r="Q262" i="37"/>
  <c r="Q204" i="37"/>
  <c r="Q175" i="37"/>
  <c r="I21" i="18"/>
  <c r="D235" i="35"/>
  <c r="P49" i="38"/>
  <c r="C235" i="35" s="1"/>
  <c r="M235" i="35"/>
  <c r="B23" i="22"/>
  <c r="B25" i="22"/>
  <c r="B26" i="22" s="1"/>
  <c r="B22" i="17"/>
  <c r="B27" i="17" s="1"/>
  <c r="B28" i="17" s="1"/>
  <c r="G31" i="2"/>
  <c r="AB31" i="2" s="1"/>
  <c r="AD52" i="37"/>
  <c r="AD54" i="37"/>
  <c r="C42" i="18"/>
  <c r="DK18" i="1"/>
  <c r="DL19" i="1" s="1"/>
  <c r="DM19" i="1" s="1"/>
  <c r="Q14" i="37"/>
  <c r="BO15" i="45"/>
  <c r="BP15" i="45" s="1"/>
  <c r="BR6" i="45" s="1"/>
  <c r="P23" i="15"/>
  <c r="P26" i="15"/>
  <c r="Q4" i="37"/>
  <c r="Q13" i="37"/>
  <c r="J56" i="20"/>
  <c r="Q11" i="15"/>
  <c r="CX16" i="1"/>
  <c r="CY16" i="1" s="1"/>
  <c r="F44" i="44"/>
  <c r="J44" i="1"/>
  <c r="F43" i="18"/>
  <c r="T34" i="19"/>
  <c r="J52" i="20"/>
  <c r="J53" i="20"/>
  <c r="J55" i="20" s="1"/>
  <c r="AB23" i="2"/>
  <c r="L26" i="15"/>
  <c r="D25" i="22"/>
  <c r="D26" i="22" s="1"/>
  <c r="DK19" i="45"/>
  <c r="DK20" i="45" s="1"/>
  <c r="U37" i="19"/>
  <c r="T38" i="19" s="1"/>
  <c r="T59" i="19" s="1"/>
  <c r="D305" i="35" s="1"/>
  <c r="AZ14" i="43"/>
  <c r="BA15" i="43" s="1"/>
  <c r="BB15" i="43" s="1"/>
  <c r="AP13" i="43" s="1"/>
  <c r="DE18" i="43"/>
  <c r="DF18" i="43" s="1"/>
  <c r="DE17" i="43"/>
  <c r="DF17" i="43" s="1"/>
  <c r="DD20" i="43"/>
  <c r="DE19" i="43"/>
  <c r="DF19" i="43" s="1"/>
  <c r="Q16" i="37"/>
  <c r="Q5" i="37"/>
  <c r="Q17" i="37"/>
  <c r="H28" i="35"/>
  <c r="Q21" i="37"/>
  <c r="Q11" i="37"/>
  <c r="P30" i="47"/>
  <c r="M248" i="35" s="1"/>
  <c r="Q12" i="37"/>
  <c r="Q22" i="37"/>
  <c r="H22" i="48"/>
  <c r="Q24" i="37"/>
  <c r="Q19" i="37"/>
  <c r="Q20" i="37"/>
  <c r="Q28" i="37"/>
  <c r="T44" i="1"/>
  <c r="P33" i="47"/>
  <c r="N248" i="35" s="1"/>
  <c r="Q26" i="37"/>
  <c r="Q8" i="37"/>
  <c r="Q25" i="37"/>
  <c r="CP17" i="44"/>
  <c r="CP18" i="44" s="1"/>
  <c r="Q9" i="37"/>
  <c r="T34" i="41"/>
  <c r="P36" i="47"/>
  <c r="P44" i="47" s="1"/>
  <c r="O248" i="35" s="1"/>
  <c r="Q15" i="37"/>
  <c r="Q18" i="37"/>
  <c r="Q23" i="37"/>
  <c r="Q7" i="37"/>
  <c r="Q27" i="37"/>
  <c r="Q6" i="37"/>
  <c r="R30" i="47"/>
  <c r="I124" i="35"/>
  <c r="R36" i="47"/>
  <c r="R44" i="47" s="1"/>
  <c r="H18" i="9"/>
  <c r="N18" i="9"/>
  <c r="D26" i="15"/>
  <c r="D23" i="15"/>
  <c r="T23" i="22"/>
  <c r="CQ16" i="44"/>
  <c r="CR16" i="44" s="1"/>
  <c r="AD111" i="37"/>
  <c r="AD112" i="37"/>
  <c r="L23" i="15"/>
  <c r="AD110" i="37"/>
  <c r="E42" i="18"/>
  <c r="H26" i="15"/>
  <c r="BN15" i="44"/>
  <c r="BO15" i="44"/>
  <c r="BP15" i="44" s="1"/>
  <c r="BR6" i="44" s="1"/>
  <c r="H23" i="15"/>
  <c r="BR6" i="1"/>
  <c r="AZ15" i="45"/>
  <c r="BA16" i="45" s="1"/>
  <c r="BB16" i="45" s="1"/>
  <c r="CQ15" i="43"/>
  <c r="CR15" i="43" s="1"/>
  <c r="N22" i="48"/>
  <c r="I37" i="19"/>
  <c r="H38" i="19" s="1"/>
  <c r="H59" i="19" s="1"/>
  <c r="AD142" i="37"/>
  <c r="L23" i="22"/>
  <c r="F42" i="18"/>
  <c r="BN17" i="1"/>
  <c r="BO17" i="1"/>
  <c r="BP17" i="1" s="1"/>
  <c r="AD140" i="37"/>
  <c r="AD139" i="37"/>
  <c r="AB51" i="2"/>
  <c r="AD50" i="2"/>
  <c r="O156" i="35" s="1"/>
  <c r="C53" i="2"/>
  <c r="CB16" i="43"/>
  <c r="CC17" i="43" s="1"/>
  <c r="CD17" i="43" s="1"/>
  <c r="C11" i="15"/>
  <c r="C15" i="15"/>
  <c r="B16" i="15" s="1"/>
  <c r="B23" i="15" s="1"/>
  <c r="P54" i="41"/>
  <c r="F42" i="20"/>
  <c r="R38" i="42"/>
  <c r="AB11" i="2"/>
  <c r="Q146" i="37"/>
  <c r="Q117" i="37"/>
  <c r="H118" i="35"/>
  <c r="G118" i="35" s="1"/>
  <c r="H86" i="35"/>
  <c r="G86" i="35" s="1"/>
  <c r="AI75" i="37"/>
  <c r="AE74" i="37"/>
  <c r="AE88" i="37" s="1"/>
  <c r="D43" i="18" s="1"/>
  <c r="AC74" i="37"/>
  <c r="AC80" i="37" s="1"/>
  <c r="AC84" i="37" s="1"/>
  <c r="AD80" i="37"/>
  <c r="F24" i="48"/>
  <c r="F25" i="48" s="1"/>
  <c r="Q88" i="37"/>
  <c r="F45" i="42"/>
  <c r="AD11" i="2"/>
  <c r="AE11" i="2" s="1"/>
  <c r="AD12" i="2"/>
  <c r="AE12" i="2" s="1"/>
  <c r="AD6" i="2"/>
  <c r="L28" i="35" s="1"/>
  <c r="AI4" i="37"/>
  <c r="AE4" i="37"/>
  <c r="AC4" i="37"/>
  <c r="AD22" i="37"/>
  <c r="AB13" i="2"/>
  <c r="B46" i="42"/>
  <c r="AD10" i="2"/>
  <c r="O28" i="35" s="1"/>
  <c r="CW14" i="45"/>
  <c r="CX14" i="45"/>
  <c r="CY14" i="45" s="1"/>
  <c r="I17" i="35"/>
  <c r="CJ16" i="43"/>
  <c r="CK16" i="43" s="1"/>
  <c r="CI16" i="43"/>
  <c r="D33" i="47"/>
  <c r="P61" i="19"/>
  <c r="H23" i="22"/>
  <c r="H26" i="22"/>
  <c r="L34" i="41"/>
  <c r="H58" i="13"/>
  <c r="H34" i="19"/>
  <c r="T23" i="15"/>
  <c r="L53" i="41"/>
  <c r="D41" i="1"/>
  <c r="N51" i="35" s="1"/>
  <c r="D20" i="1"/>
  <c r="I51" i="35"/>
  <c r="L54" i="41"/>
  <c r="F18" i="9"/>
  <c r="AD16" i="2"/>
  <c r="AD17" i="2" s="1"/>
  <c r="L14" i="17"/>
  <c r="L22" i="17"/>
  <c r="AD21" i="2"/>
  <c r="AE21" i="2" s="1"/>
  <c r="R14" i="17"/>
  <c r="D14" i="17"/>
  <c r="D22" i="17"/>
  <c r="AD20" i="2"/>
  <c r="O60" i="35" s="1"/>
  <c r="T14" i="17"/>
  <c r="T22" i="17"/>
  <c r="J44" i="44"/>
  <c r="P14" i="17"/>
  <c r="P22" i="17"/>
  <c r="J14" i="17"/>
  <c r="J22" i="17"/>
  <c r="H14" i="17"/>
  <c r="N22" i="17"/>
  <c r="N27" i="17" s="1"/>
  <c r="N28" i="17" s="1"/>
  <c r="AB21" i="2"/>
  <c r="F14" i="17"/>
  <c r="CI16" i="45"/>
  <c r="CJ16" i="45"/>
  <c r="CK16" i="45" s="1"/>
  <c r="R45" i="41"/>
  <c r="R46" i="41" s="1"/>
  <c r="DD14" i="44"/>
  <c r="DE14" i="44"/>
  <c r="DF14" i="44" s="1"/>
  <c r="BN15" i="43"/>
  <c r="BO15" i="43"/>
  <c r="BP15" i="43" s="1"/>
  <c r="B33" i="47"/>
  <c r="N42" i="42"/>
  <c r="BN16" i="45"/>
  <c r="BO16" i="45"/>
  <c r="BP16" i="45" s="1"/>
  <c r="B45" i="42"/>
  <c r="BV15" i="44"/>
  <c r="BW15" i="44" s="1"/>
  <c r="BU15" i="44"/>
  <c r="D30" i="47"/>
  <c r="CX17" i="1"/>
  <c r="CY17" i="1" s="1"/>
  <c r="CW17" i="1"/>
  <c r="R18" i="9"/>
  <c r="BU14" i="43"/>
  <c r="BV14" i="43"/>
  <c r="BW14" i="43" s="1"/>
  <c r="F49" i="42"/>
  <c r="BH15" i="44"/>
  <c r="BI15" i="44" s="1"/>
  <c r="BG15" i="44"/>
  <c r="DL14" i="44"/>
  <c r="DM14" i="44" s="1"/>
  <c r="DK14" i="44"/>
  <c r="F46" i="42"/>
  <c r="R53" i="19"/>
  <c r="R54" i="19"/>
  <c r="CQ14" i="45"/>
  <c r="CR14" i="45" s="1"/>
  <c r="CP14" i="45"/>
  <c r="T26" i="15"/>
  <c r="F26" i="15"/>
  <c r="F23" i="15"/>
  <c r="S11" i="15"/>
  <c r="S15" i="15"/>
  <c r="R16" i="15" s="1"/>
  <c r="J18" i="9"/>
  <c r="T49" i="20"/>
  <c r="T46" i="20"/>
  <c r="T45" i="20"/>
  <c r="B30" i="47"/>
  <c r="L18" i="9"/>
  <c r="N39" i="13"/>
  <c r="N54" i="13"/>
  <c r="N62" i="13" s="1"/>
  <c r="K11" i="15"/>
  <c r="K15" i="15"/>
  <c r="J16" i="15" s="1"/>
  <c r="B53" i="19"/>
  <c r="C37" i="19"/>
  <c r="B38" i="19" s="1"/>
  <c r="B59" i="19" s="1"/>
  <c r="D17" i="35" s="1"/>
  <c r="L61" i="19"/>
  <c r="R49" i="42"/>
  <c r="R45" i="42"/>
  <c r="R46" i="42"/>
  <c r="R23" i="22"/>
  <c r="R44" i="43"/>
  <c r="J30" i="47"/>
  <c r="J36" i="47"/>
  <c r="J44" i="47" s="1"/>
  <c r="J33" i="47"/>
  <c r="T30" i="13"/>
  <c r="T36" i="13"/>
  <c r="T59" i="13" s="1"/>
  <c r="L44" i="44"/>
  <c r="T44" i="13"/>
  <c r="T45" i="13" s="1"/>
  <c r="H59" i="13"/>
  <c r="H57" i="13"/>
  <c r="R26" i="22"/>
  <c r="R44" i="44"/>
  <c r="B20" i="9"/>
  <c r="B21" i="9" s="1"/>
  <c r="N73" i="2"/>
  <c r="AD70" i="2"/>
  <c r="O220" i="35" s="1"/>
  <c r="AB71" i="2"/>
  <c r="CB17" i="1"/>
  <c r="CC17" i="1"/>
  <c r="CD17" i="1" s="1"/>
  <c r="L56" i="20"/>
  <c r="J43" i="2"/>
  <c r="CX14" i="44"/>
  <c r="CY14" i="44" s="1"/>
  <c r="CW14" i="44"/>
  <c r="BH14" i="43"/>
  <c r="BI14" i="43" s="1"/>
  <c r="BG14" i="43"/>
  <c r="D49" i="42"/>
  <c r="D45" i="42"/>
  <c r="D38" i="42"/>
  <c r="D46" i="42"/>
  <c r="F53" i="41"/>
  <c r="F54" i="41"/>
  <c r="CC14" i="45"/>
  <c r="CD14" i="45" s="1"/>
  <c r="CB14" i="45"/>
  <c r="BA16" i="44"/>
  <c r="BB16" i="44" s="1"/>
  <c r="AZ16" i="44"/>
  <c r="DK14" i="43"/>
  <c r="DL14" i="43"/>
  <c r="DM14" i="43" s="1"/>
  <c r="DE14" i="1"/>
  <c r="DF14" i="1" s="1"/>
  <c r="DD14" i="1"/>
  <c r="BU14" i="1"/>
  <c r="BV14" i="1"/>
  <c r="BW14" i="1" s="1"/>
  <c r="CB16" i="44"/>
  <c r="CC16" i="44"/>
  <c r="CD16" i="44" s="1"/>
  <c r="F30" i="47"/>
  <c r="F33" i="47"/>
  <c r="F36" i="47"/>
  <c r="F44" i="47" s="1"/>
  <c r="T18" i="9"/>
  <c r="CI17" i="1"/>
  <c r="CJ17" i="1"/>
  <c r="CK17" i="1" s="1"/>
  <c r="BG14" i="45"/>
  <c r="BH14" i="45"/>
  <c r="BI14" i="45" s="1"/>
  <c r="DD14" i="45"/>
  <c r="DE14" i="45"/>
  <c r="DF14" i="45" s="1"/>
  <c r="P45" i="20"/>
  <c r="P46" i="20"/>
  <c r="P49" i="20"/>
  <c r="AA93" i="2"/>
  <c r="AB91" i="2"/>
  <c r="AD90" i="2"/>
  <c r="O284" i="35" s="1"/>
  <c r="B34" i="41"/>
  <c r="CP14" i="1"/>
  <c r="CQ14" i="1"/>
  <c r="CR14" i="1" s="1"/>
  <c r="N33" i="1" s="1"/>
  <c r="CW14" i="43"/>
  <c r="CX14" i="43"/>
  <c r="CY14" i="43" s="1"/>
  <c r="BH14" i="1"/>
  <c r="BI14" i="1" s="1"/>
  <c r="BG14" i="1"/>
  <c r="H44" i="44"/>
  <c r="CQ16" i="43"/>
  <c r="CR16" i="43" s="1"/>
  <c r="CP16" i="43"/>
  <c r="AZ14" i="1"/>
  <c r="BA14" i="1"/>
  <c r="BB14" i="1" s="1"/>
  <c r="L53" i="20"/>
  <c r="L55" i="20" s="1"/>
  <c r="L52" i="20"/>
  <c r="D36" i="13"/>
  <c r="D59" i="13" s="1"/>
  <c r="D30" i="13"/>
  <c r="D44" i="13"/>
  <c r="D45" i="13" s="1"/>
  <c r="J30" i="13"/>
  <c r="J36" i="13"/>
  <c r="J59" i="13" s="1"/>
  <c r="L45" i="42"/>
  <c r="L49" i="42"/>
  <c r="L46" i="42"/>
  <c r="J44" i="13"/>
  <c r="J45" i="13" s="1"/>
  <c r="P18" i="9"/>
  <c r="D18" i="9"/>
  <c r="H25" i="17"/>
  <c r="C41" i="18" l="1"/>
  <c r="D38" i="20"/>
  <c r="N57" i="35" s="1"/>
  <c r="L57" i="35"/>
  <c r="Q59" i="37"/>
  <c r="D51" i="38"/>
  <c r="C43" i="35"/>
  <c r="AC54" i="37"/>
  <c r="AC52" i="37"/>
  <c r="AC53" i="37"/>
  <c r="D34" i="44"/>
  <c r="R33" i="43"/>
  <c r="J33" i="43"/>
  <c r="J34" i="1"/>
  <c r="AE30" i="37"/>
  <c r="B43" i="18" s="1"/>
  <c r="DL17" i="45"/>
  <c r="DM17" i="45" s="1"/>
  <c r="DL18" i="45"/>
  <c r="DM18" i="45" s="1"/>
  <c r="J42" i="18"/>
  <c r="AD257" i="37"/>
  <c r="H34" i="44"/>
  <c r="H33" i="1"/>
  <c r="B61" i="41"/>
  <c r="R42" i="20"/>
  <c r="R35" i="20"/>
  <c r="B42" i="20"/>
  <c r="B35" i="20"/>
  <c r="B36" i="42" s="1"/>
  <c r="N56" i="20"/>
  <c r="AC22" i="37"/>
  <c r="B41" i="18" s="1"/>
  <c r="N52" i="20"/>
  <c r="N53" i="20"/>
  <c r="N55" i="20" s="1"/>
  <c r="T53" i="41"/>
  <c r="H50" i="41"/>
  <c r="I26" i="41"/>
  <c r="H53" i="41"/>
  <c r="H61" i="41" s="1"/>
  <c r="I25" i="41"/>
  <c r="AD40" i="2"/>
  <c r="O124" i="35" s="1"/>
  <c r="B46" i="20"/>
  <c r="U25" i="41"/>
  <c r="B45" i="20"/>
  <c r="U26" i="41"/>
  <c r="B49" i="20"/>
  <c r="D32" i="1"/>
  <c r="D33" i="1"/>
  <c r="T54" i="41"/>
  <c r="AB41" i="2"/>
  <c r="H11" i="19"/>
  <c r="H22" i="19" s="1"/>
  <c r="I30" i="19" s="1"/>
  <c r="H9" i="19"/>
  <c r="I33" i="19"/>
  <c r="Q34" i="13"/>
  <c r="Q35" i="13" s="1"/>
  <c r="Q28" i="13"/>
  <c r="Q29" i="13" s="1"/>
  <c r="M34" i="13"/>
  <c r="M35" i="13" s="1"/>
  <c r="M28" i="13"/>
  <c r="M29" i="13" s="1"/>
  <c r="G33" i="13"/>
  <c r="G42" i="13"/>
  <c r="G24" i="13"/>
  <c r="F14" i="13"/>
  <c r="C34" i="13"/>
  <c r="C35" i="13" s="1"/>
  <c r="C28" i="13"/>
  <c r="C29" i="13" s="1"/>
  <c r="H121" i="35"/>
  <c r="G121" i="35" s="1"/>
  <c r="I27" i="20"/>
  <c r="H9" i="20"/>
  <c r="H35" i="20" s="1"/>
  <c r="H36" i="42" s="1"/>
  <c r="H31" i="20"/>
  <c r="H32" i="20" s="1"/>
  <c r="M121" i="35" s="1"/>
  <c r="H37" i="20"/>
  <c r="R61" i="41"/>
  <c r="F27" i="17"/>
  <c r="F28" i="17" s="1"/>
  <c r="B38" i="20"/>
  <c r="B36" i="20"/>
  <c r="N54" i="41"/>
  <c r="N53" i="41"/>
  <c r="H41" i="19"/>
  <c r="H42" i="19" s="1"/>
  <c r="T28" i="42"/>
  <c r="T32" i="42"/>
  <c r="H42" i="42"/>
  <c r="H32" i="42"/>
  <c r="P42" i="42"/>
  <c r="P32" i="42"/>
  <c r="J42" i="42"/>
  <c r="J32" i="42"/>
  <c r="O26" i="41"/>
  <c r="O25" i="41"/>
  <c r="J50" i="41"/>
  <c r="K26" i="41"/>
  <c r="K25" i="41"/>
  <c r="D50" i="41"/>
  <c r="E26" i="41"/>
  <c r="E25" i="41"/>
  <c r="B58" i="41"/>
  <c r="B60" i="41" s="1"/>
  <c r="C25" i="19"/>
  <c r="C26" i="19"/>
  <c r="F58" i="19"/>
  <c r="F60" i="19" s="1"/>
  <c r="F57" i="19"/>
  <c r="F45" i="41"/>
  <c r="F46" i="41" s="1"/>
  <c r="L45" i="41"/>
  <c r="L46" i="41" s="1"/>
  <c r="B57" i="41"/>
  <c r="P45" i="41"/>
  <c r="P46" i="41" s="1"/>
  <c r="P57" i="19"/>
  <c r="P58" i="19"/>
  <c r="P60" i="19" s="1"/>
  <c r="L58" i="19"/>
  <c r="L60" i="19" s="1"/>
  <c r="L57" i="19"/>
  <c r="R45" i="19"/>
  <c r="R46" i="19" s="1"/>
  <c r="H45" i="19"/>
  <c r="H46" i="19" s="1"/>
  <c r="P61" i="41"/>
  <c r="N34" i="41"/>
  <c r="P41" i="47"/>
  <c r="D248" i="35" s="1"/>
  <c r="H28" i="20"/>
  <c r="I121" i="35"/>
  <c r="I60" i="35"/>
  <c r="R60" i="13"/>
  <c r="T27" i="47"/>
  <c r="T41" i="47" s="1"/>
  <c r="N23" i="15"/>
  <c r="H27" i="47"/>
  <c r="N27" i="47"/>
  <c r="N41" i="47" s="1"/>
  <c r="L27" i="47"/>
  <c r="J28" i="42"/>
  <c r="D56" i="20"/>
  <c r="E57" i="35" s="1"/>
  <c r="BV18" i="45"/>
  <c r="BW18" i="45" s="1"/>
  <c r="I281" i="35"/>
  <c r="R45" i="20"/>
  <c r="R46" i="20"/>
  <c r="R49" i="20"/>
  <c r="R38" i="20"/>
  <c r="R57" i="13"/>
  <c r="CI15" i="44"/>
  <c r="CJ16" i="44" s="1"/>
  <c r="CK16" i="44" s="1"/>
  <c r="AB103" i="2"/>
  <c r="DL20" i="45"/>
  <c r="DM20" i="45" s="1"/>
  <c r="AD101" i="2"/>
  <c r="AE101" i="2" s="1"/>
  <c r="F188" i="35"/>
  <c r="J188" i="35" s="1"/>
  <c r="R25" i="17"/>
  <c r="B25" i="17"/>
  <c r="G33" i="2"/>
  <c r="AD26" i="2" s="1"/>
  <c r="AD97" i="2"/>
  <c r="C316" i="35" s="1"/>
  <c r="F316" i="35"/>
  <c r="K38" i="18" s="1"/>
  <c r="D44" i="1"/>
  <c r="AB83" i="2"/>
  <c r="AD81" i="2"/>
  <c r="AE81" i="2" s="1"/>
  <c r="AD76" i="2"/>
  <c r="R51" i="38"/>
  <c r="F28" i="35"/>
  <c r="B38" i="18" s="1"/>
  <c r="T45" i="41"/>
  <c r="T46" i="41" s="1"/>
  <c r="T58" i="41" s="1"/>
  <c r="L188" i="35"/>
  <c r="C188" i="35"/>
  <c r="P51" i="38"/>
  <c r="AD30" i="2"/>
  <c r="O92" i="35" s="1"/>
  <c r="DK19" i="1"/>
  <c r="DL20" i="1" s="1"/>
  <c r="DM20" i="1" s="1"/>
  <c r="N34" i="19"/>
  <c r="P28" i="42"/>
  <c r="D34" i="19"/>
  <c r="CQ18" i="44"/>
  <c r="CR18" i="44" s="1"/>
  <c r="J53" i="41"/>
  <c r="J54" i="41"/>
  <c r="AZ16" i="45"/>
  <c r="BA17" i="45" s="1"/>
  <c r="BB17" i="45" s="1"/>
  <c r="F45" i="20"/>
  <c r="H28" i="42"/>
  <c r="I92" i="35"/>
  <c r="F46" i="20"/>
  <c r="F38" i="20"/>
  <c r="F49" i="20"/>
  <c r="F56" i="42"/>
  <c r="R39" i="47"/>
  <c r="P40" i="47"/>
  <c r="P39" i="47"/>
  <c r="F248" i="35" s="1"/>
  <c r="I34" i="18" s="1"/>
  <c r="R40" i="47"/>
  <c r="R42" i="47" s="1"/>
  <c r="AZ15" i="43"/>
  <c r="AZ16" i="43" s="1"/>
  <c r="N33" i="47"/>
  <c r="N36" i="47"/>
  <c r="N44" i="47" s="1"/>
  <c r="N30" i="47"/>
  <c r="DE21" i="43"/>
  <c r="DF21" i="43" s="1"/>
  <c r="DD21" i="43"/>
  <c r="Q30" i="37"/>
  <c r="H34" i="41"/>
  <c r="D41" i="18"/>
  <c r="AC81" i="37"/>
  <c r="AC82" i="37"/>
  <c r="AC83" i="37"/>
  <c r="BO16" i="44"/>
  <c r="BP16" i="44" s="1"/>
  <c r="BN16" i="44"/>
  <c r="D39" i="47"/>
  <c r="N25" i="17"/>
  <c r="BN18" i="1"/>
  <c r="BO18" i="1"/>
  <c r="BP18" i="1" s="1"/>
  <c r="R53" i="42"/>
  <c r="R55" i="42" s="1"/>
  <c r="B56" i="42"/>
  <c r="CB17" i="43"/>
  <c r="CC18" i="43" s="1"/>
  <c r="CD18" i="43" s="1"/>
  <c r="B24" i="15"/>
  <c r="B26" i="15" s="1"/>
  <c r="AB53" i="2"/>
  <c r="AD46" i="2"/>
  <c r="AD51" i="2"/>
  <c r="AE51" i="2" s="1"/>
  <c r="F60" i="35"/>
  <c r="C38" i="18" s="1"/>
  <c r="H60" i="13"/>
  <c r="AD84" i="37"/>
  <c r="AD82" i="37"/>
  <c r="D42" i="18"/>
  <c r="AD83" i="37"/>
  <c r="AD81" i="37"/>
  <c r="H87" i="35"/>
  <c r="G87" i="35" s="1"/>
  <c r="D53" i="41"/>
  <c r="D54" i="41"/>
  <c r="AD7" i="2"/>
  <c r="C28" i="35" s="1"/>
  <c r="H19" i="35"/>
  <c r="G19" i="35" s="1"/>
  <c r="AD26" i="37"/>
  <c r="AD25" i="37"/>
  <c r="B42" i="18"/>
  <c r="AD24" i="37"/>
  <c r="AD23" i="37"/>
  <c r="CW15" i="45"/>
  <c r="CX15" i="45"/>
  <c r="CY15" i="45" s="1"/>
  <c r="CJ17" i="43"/>
  <c r="CK17" i="43" s="1"/>
  <c r="CI17" i="43"/>
  <c r="B40" i="47"/>
  <c r="B42" i="47" s="1"/>
  <c r="L61" i="41"/>
  <c r="F38" i="42"/>
  <c r="F52" i="42" s="1"/>
  <c r="P27" i="17"/>
  <c r="P28" i="17" s="1"/>
  <c r="P25" i="17"/>
  <c r="T27" i="17"/>
  <c r="T28" i="17" s="1"/>
  <c r="T25" i="17"/>
  <c r="J25" i="17"/>
  <c r="J27" i="17"/>
  <c r="J28" i="17" s="1"/>
  <c r="L27" i="17"/>
  <c r="L28" i="17" s="1"/>
  <c r="L25" i="17"/>
  <c r="D25" i="17"/>
  <c r="D27" i="17"/>
  <c r="D28" i="17" s="1"/>
  <c r="R34" i="41"/>
  <c r="R58" i="41" s="1"/>
  <c r="CI17" i="45"/>
  <c r="CJ17" i="45"/>
  <c r="CK17" i="45" s="1"/>
  <c r="P34" i="41"/>
  <c r="DE15" i="44"/>
  <c r="DF15" i="44" s="1"/>
  <c r="DD15" i="44"/>
  <c r="BR6" i="43"/>
  <c r="BN16" i="43"/>
  <c r="BO16" i="43"/>
  <c r="BP16" i="43" s="1"/>
  <c r="N46" i="42"/>
  <c r="N49" i="42"/>
  <c r="N45" i="42"/>
  <c r="BN17" i="45"/>
  <c r="BO17" i="45"/>
  <c r="BP17" i="45" s="1"/>
  <c r="B39" i="47"/>
  <c r="B38" i="42"/>
  <c r="B52" i="42" s="1"/>
  <c r="J40" i="47"/>
  <c r="BU16" i="44"/>
  <c r="BV16" i="44"/>
  <c r="BW16" i="44" s="1"/>
  <c r="CX18" i="1"/>
  <c r="CY18" i="1" s="1"/>
  <c r="CW18" i="1"/>
  <c r="D40" i="47"/>
  <c r="D42" i="47" s="1"/>
  <c r="BU19" i="45"/>
  <c r="BV19" i="45"/>
  <c r="BW19" i="45" s="1"/>
  <c r="R34" i="19"/>
  <c r="R61" i="19"/>
  <c r="DL15" i="44"/>
  <c r="DM15" i="44" s="1"/>
  <c r="DK15" i="44"/>
  <c r="CP15" i="45"/>
  <c r="CQ15" i="45"/>
  <c r="CR15" i="45" s="1"/>
  <c r="BH16" i="44"/>
  <c r="BI16" i="44" s="1"/>
  <c r="BG16" i="44"/>
  <c r="BU15" i="43"/>
  <c r="BV15" i="43"/>
  <c r="BW15" i="43" s="1"/>
  <c r="B61" i="19"/>
  <c r="E17" i="35" s="1"/>
  <c r="E29" i="35" s="1"/>
  <c r="T52" i="20"/>
  <c r="T56" i="20"/>
  <c r="J24" i="15"/>
  <c r="J26" i="15" s="1"/>
  <c r="J23" i="15"/>
  <c r="H30" i="47"/>
  <c r="H33" i="47"/>
  <c r="H36" i="47"/>
  <c r="H44" i="47" s="1"/>
  <c r="T33" i="47"/>
  <c r="T30" i="47"/>
  <c r="T36" i="47"/>
  <c r="T44" i="47" s="1"/>
  <c r="J34" i="41"/>
  <c r="R24" i="15"/>
  <c r="R26" i="15" s="1"/>
  <c r="R23" i="15"/>
  <c r="L33" i="47"/>
  <c r="L30" i="47"/>
  <c r="L36" i="47"/>
  <c r="L44" i="47" s="1"/>
  <c r="N36" i="13"/>
  <c r="N59" i="13" s="1"/>
  <c r="N30" i="13"/>
  <c r="T53" i="20"/>
  <c r="T55" i="20" s="1"/>
  <c r="N44" i="13"/>
  <c r="N45" i="13" s="1"/>
  <c r="F61" i="41"/>
  <c r="F34" i="41"/>
  <c r="R56" i="42"/>
  <c r="R52" i="42"/>
  <c r="J46" i="42"/>
  <c r="J49" i="42"/>
  <c r="T58" i="13"/>
  <c r="T60" i="13" s="1"/>
  <c r="J41" i="47"/>
  <c r="J39" i="47"/>
  <c r="T57" i="13"/>
  <c r="P56" i="20"/>
  <c r="DD15" i="1"/>
  <c r="DE15" i="1"/>
  <c r="DF15" i="1" s="1"/>
  <c r="D56" i="42"/>
  <c r="CX15" i="44"/>
  <c r="CY15" i="44" s="1"/>
  <c r="CW15" i="44"/>
  <c r="CB18" i="1"/>
  <c r="CC18" i="1"/>
  <c r="CD18" i="1" s="1"/>
  <c r="D53" i="42"/>
  <c r="D55" i="42" s="1"/>
  <c r="D52" i="42"/>
  <c r="AD36" i="2"/>
  <c r="AB43" i="2"/>
  <c r="AD41" i="2"/>
  <c r="AE41" i="2" s="1"/>
  <c r="AD71" i="2"/>
  <c r="AE71" i="2" s="1"/>
  <c r="AD66" i="2"/>
  <c r="AB73" i="2"/>
  <c r="CP19" i="44"/>
  <c r="CQ19" i="44"/>
  <c r="CR19" i="44" s="1"/>
  <c r="F40" i="47"/>
  <c r="DK15" i="43"/>
  <c r="DL15" i="43"/>
  <c r="DM15" i="43" s="1"/>
  <c r="BG15" i="43"/>
  <c r="BH15" i="43"/>
  <c r="BI15" i="43" s="1"/>
  <c r="CC15" i="45"/>
  <c r="CD15" i="45" s="1"/>
  <c r="CB15" i="45"/>
  <c r="P52" i="20"/>
  <c r="BA17" i="44"/>
  <c r="BB17" i="44" s="1"/>
  <c r="AZ17" i="44"/>
  <c r="CB17" i="44"/>
  <c r="CC17" i="44"/>
  <c r="CD17" i="44" s="1"/>
  <c r="P53" i="20"/>
  <c r="P55" i="20" s="1"/>
  <c r="BA15" i="1"/>
  <c r="BB15" i="1" s="1"/>
  <c r="AP14" i="1" s="1"/>
  <c r="AZ15" i="1"/>
  <c r="AB93" i="2"/>
  <c r="AD86" i="2"/>
  <c r="AD91" i="2"/>
  <c r="AE91" i="2" s="1"/>
  <c r="CQ17" i="43"/>
  <c r="CR17" i="43" s="1"/>
  <c r="CP17" i="43"/>
  <c r="CX15" i="43"/>
  <c r="CY15" i="43" s="1"/>
  <c r="CW15" i="43"/>
  <c r="CQ15" i="1"/>
  <c r="CR15" i="1" s="1"/>
  <c r="CP15" i="1"/>
  <c r="BU15" i="1"/>
  <c r="BV15" i="1"/>
  <c r="BW15" i="1" s="1"/>
  <c r="BH15" i="1"/>
  <c r="BI15" i="1" s="1"/>
  <c r="BG15" i="1"/>
  <c r="BG15" i="45"/>
  <c r="BH15" i="45"/>
  <c r="BI15" i="45" s="1"/>
  <c r="DL21" i="45"/>
  <c r="DM21" i="45" s="1"/>
  <c r="DK21" i="45"/>
  <c r="DD15" i="45"/>
  <c r="DE15" i="45"/>
  <c r="DF15" i="45" s="1"/>
  <c r="CI18" i="1"/>
  <c r="CJ18" i="1"/>
  <c r="CK18" i="1" s="1"/>
  <c r="F39" i="47"/>
  <c r="F41" i="47"/>
  <c r="L38" i="42"/>
  <c r="D58" i="13"/>
  <c r="D60" i="13" s="1"/>
  <c r="D57" i="13"/>
  <c r="J58" i="13"/>
  <c r="J60" i="13" s="1"/>
  <c r="J57" i="13"/>
  <c r="L56" i="42"/>
  <c r="C60" i="35"/>
  <c r="L60" i="35"/>
  <c r="D53" i="20" l="1"/>
  <c r="D55" i="20" s="1"/>
  <c r="D52" i="20"/>
  <c r="F57" i="35" s="1"/>
  <c r="C35" i="18" s="1"/>
  <c r="H58" i="41"/>
  <c r="I28" i="35"/>
  <c r="C57" i="35"/>
  <c r="N33" i="43"/>
  <c r="R34" i="44"/>
  <c r="AC24" i="37"/>
  <c r="P34" i="44"/>
  <c r="L33" i="43"/>
  <c r="T34" i="44"/>
  <c r="AC25" i="37"/>
  <c r="R36" i="42"/>
  <c r="R36" i="20"/>
  <c r="T61" i="41"/>
  <c r="AC23" i="37"/>
  <c r="AC26" i="37"/>
  <c r="N61" i="41"/>
  <c r="B56" i="20"/>
  <c r="B53" i="20"/>
  <c r="B55" i="20" s="1"/>
  <c r="G28" i="13"/>
  <c r="G29" i="13" s="1"/>
  <c r="G34" i="13"/>
  <c r="G35" i="13" s="1"/>
  <c r="I31" i="19"/>
  <c r="I32" i="19" s="1"/>
  <c r="B52" i="20"/>
  <c r="H50" i="19"/>
  <c r="H58" i="19" s="1"/>
  <c r="H60" i="19" s="1"/>
  <c r="H53" i="19"/>
  <c r="I25" i="19"/>
  <c r="H54" i="19"/>
  <c r="I26" i="19"/>
  <c r="J38" i="42"/>
  <c r="J53" i="42" s="1"/>
  <c r="J55" i="42" s="1"/>
  <c r="H49" i="42"/>
  <c r="H46" i="42"/>
  <c r="H45" i="42"/>
  <c r="P46" i="42"/>
  <c r="P49" i="42"/>
  <c r="P45" i="42"/>
  <c r="J45" i="42"/>
  <c r="J56" i="42" s="1"/>
  <c r="H45" i="20"/>
  <c r="P58" i="41"/>
  <c r="P60" i="41" s="1"/>
  <c r="F58" i="41"/>
  <c r="F60" i="41" s="1"/>
  <c r="CI16" i="44"/>
  <c r="CI17" i="44" s="1"/>
  <c r="L58" i="41"/>
  <c r="L60" i="41" s="1"/>
  <c r="L57" i="41"/>
  <c r="R60" i="41"/>
  <c r="P57" i="41"/>
  <c r="N45" i="41"/>
  <c r="N46" i="41" s="1"/>
  <c r="B45" i="19"/>
  <c r="B46" i="19" s="1"/>
  <c r="N17" i="35" s="1"/>
  <c r="H46" i="20"/>
  <c r="H49" i="20"/>
  <c r="T46" i="42"/>
  <c r="T42" i="42"/>
  <c r="R57" i="41"/>
  <c r="H60" i="41"/>
  <c r="H57" i="41"/>
  <c r="F57" i="41"/>
  <c r="T60" i="41"/>
  <c r="T57" i="41"/>
  <c r="P42" i="47"/>
  <c r="C248" i="35"/>
  <c r="J248" i="35"/>
  <c r="L281" i="35"/>
  <c r="N281" i="35"/>
  <c r="R53" i="20"/>
  <c r="R52" i="20"/>
  <c r="F281" i="35" s="1"/>
  <c r="R56" i="20"/>
  <c r="E281" i="35" s="1"/>
  <c r="G38" i="18"/>
  <c r="DK20" i="1"/>
  <c r="DL21" i="1" s="1"/>
  <c r="DM21" i="1" s="1"/>
  <c r="AD31" i="2"/>
  <c r="AE31" i="2" s="1"/>
  <c r="AB33" i="2"/>
  <c r="L316" i="35"/>
  <c r="J316" i="35"/>
  <c r="J28" i="35"/>
  <c r="AD77" i="2"/>
  <c r="F252" i="35"/>
  <c r="J60" i="35"/>
  <c r="AD47" i="2"/>
  <c r="F156" i="35"/>
  <c r="AD87" i="2"/>
  <c r="F284" i="35"/>
  <c r="AD67" i="2"/>
  <c r="F220" i="35"/>
  <c r="T49" i="42"/>
  <c r="T45" i="42"/>
  <c r="T38" i="42"/>
  <c r="J61" i="41"/>
  <c r="J45" i="41"/>
  <c r="J46" i="41" s="1"/>
  <c r="J58" i="41" s="1"/>
  <c r="AZ17" i="45"/>
  <c r="BA18" i="45" s="1"/>
  <c r="BB18" i="45" s="1"/>
  <c r="AP15" i="45" s="1"/>
  <c r="C32" i="19"/>
  <c r="B34" i="19" s="1"/>
  <c r="H38" i="42"/>
  <c r="F56" i="20"/>
  <c r="F53" i="20"/>
  <c r="F55" i="20" s="1"/>
  <c r="F52" i="20"/>
  <c r="BA16" i="43"/>
  <c r="BB16" i="43" s="1"/>
  <c r="N39" i="47"/>
  <c r="N40" i="47"/>
  <c r="N42" i="47" s="1"/>
  <c r="DD22" i="43"/>
  <c r="DE22" i="43"/>
  <c r="DF22" i="43" s="1"/>
  <c r="CJ17" i="44"/>
  <c r="CK17" i="44" s="1"/>
  <c r="F53" i="42"/>
  <c r="F55" i="42" s="1"/>
  <c r="BO17" i="44"/>
  <c r="BP17" i="44" s="1"/>
  <c r="BN17" i="44"/>
  <c r="CB18" i="43"/>
  <c r="CB19" i="43" s="1"/>
  <c r="BN19" i="1"/>
  <c r="BO19" i="1"/>
  <c r="BP19" i="1" s="1"/>
  <c r="D45" i="41"/>
  <c r="D46" i="41" s="1"/>
  <c r="D61" i="41"/>
  <c r="AD37" i="2"/>
  <c r="F124" i="35"/>
  <c r="AD27" i="2"/>
  <c r="F92" i="35"/>
  <c r="D34" i="41"/>
  <c r="CX16" i="45"/>
  <c r="CY16" i="45" s="1"/>
  <c r="CW16" i="45"/>
  <c r="CI18" i="43"/>
  <c r="CJ18" i="43"/>
  <c r="CK18" i="43" s="1"/>
  <c r="CJ18" i="45"/>
  <c r="CK18" i="45" s="1"/>
  <c r="CI18" i="45"/>
  <c r="N56" i="42"/>
  <c r="F42" i="47"/>
  <c r="B53" i="42"/>
  <c r="B55" i="42" s="1"/>
  <c r="DE16" i="44"/>
  <c r="DF16" i="44" s="1"/>
  <c r="DD16" i="44"/>
  <c r="BN17" i="43"/>
  <c r="BO17" i="43"/>
  <c r="BP17" i="43" s="1"/>
  <c r="AZ17" i="43"/>
  <c r="BA17" i="43"/>
  <c r="BB17" i="43" s="1"/>
  <c r="N38" i="42"/>
  <c r="J42" i="47"/>
  <c r="BN18" i="45"/>
  <c r="BO18" i="45"/>
  <c r="BP18" i="45" s="1"/>
  <c r="CX19" i="1"/>
  <c r="CY19" i="1" s="1"/>
  <c r="CW19" i="1"/>
  <c r="BU17" i="44"/>
  <c r="BV17" i="44"/>
  <c r="BW17" i="44" s="1"/>
  <c r="DL16" i="44"/>
  <c r="DM16" i="44" s="1"/>
  <c r="DK16" i="44"/>
  <c r="CP16" i="45"/>
  <c r="CQ16" i="45"/>
  <c r="CR16" i="45" s="1"/>
  <c r="BU16" i="43"/>
  <c r="BV16" i="43"/>
  <c r="BW16" i="43" s="1"/>
  <c r="R58" i="19"/>
  <c r="R60" i="19" s="1"/>
  <c r="R57" i="19"/>
  <c r="BG17" i="44"/>
  <c r="BH17" i="44"/>
  <c r="BI17" i="44" s="1"/>
  <c r="BV20" i="45"/>
  <c r="BW20" i="45" s="1"/>
  <c r="BU20" i="45"/>
  <c r="L41" i="47"/>
  <c r="L39" i="47"/>
  <c r="N58" i="13"/>
  <c r="N60" i="13" s="1"/>
  <c r="N57" i="13"/>
  <c r="L17" i="35"/>
  <c r="L40" i="47"/>
  <c r="T39" i="47"/>
  <c r="T40" i="47"/>
  <c r="T42" i="47" s="1"/>
  <c r="H40" i="47"/>
  <c r="H41" i="47"/>
  <c r="H39" i="47"/>
  <c r="P38" i="42"/>
  <c r="CX16" i="44"/>
  <c r="CY16" i="44" s="1"/>
  <c r="CW16" i="44"/>
  <c r="AZ18" i="44"/>
  <c r="BA18" i="44"/>
  <c r="BB18" i="44" s="1"/>
  <c r="CB16" i="45"/>
  <c r="CC16" i="45"/>
  <c r="CD16" i="45" s="1"/>
  <c r="DL16" i="43"/>
  <c r="DM16" i="43" s="1"/>
  <c r="DK16" i="43"/>
  <c r="CP20" i="44"/>
  <c r="CQ20" i="44"/>
  <c r="CR20" i="44" s="1"/>
  <c r="DE16" i="1"/>
  <c r="DF16" i="1" s="1"/>
  <c r="DD16" i="1"/>
  <c r="BH16" i="43"/>
  <c r="BI16" i="43" s="1"/>
  <c r="BG16" i="43"/>
  <c r="CC19" i="1"/>
  <c r="CD19" i="1" s="1"/>
  <c r="CB19" i="1"/>
  <c r="CW16" i="43"/>
  <c r="CX16" i="43"/>
  <c r="CY16" i="43" s="1"/>
  <c r="DL22" i="45"/>
  <c r="DM22" i="45" s="1"/>
  <c r="DK22" i="45"/>
  <c r="CI19" i="1"/>
  <c r="CJ19" i="1"/>
  <c r="CK19" i="1" s="1"/>
  <c r="BH16" i="45"/>
  <c r="BI16" i="45" s="1"/>
  <c r="BG16" i="45"/>
  <c r="BV16" i="1"/>
  <c r="BW16" i="1" s="1"/>
  <c r="BU16" i="1"/>
  <c r="CC18" i="44"/>
  <c r="CD18" i="44" s="1"/>
  <c r="CB18" i="44"/>
  <c r="DE16" i="45"/>
  <c r="DF16" i="45" s="1"/>
  <c r="DD16" i="45"/>
  <c r="CP16" i="1"/>
  <c r="CQ16" i="1"/>
  <c r="CR16" i="1" s="1"/>
  <c r="CQ18" i="43"/>
  <c r="CR18" i="43" s="1"/>
  <c r="CP18" i="43"/>
  <c r="BH16" i="1"/>
  <c r="BI16" i="1" s="1"/>
  <c r="BG16" i="1"/>
  <c r="AZ16" i="1"/>
  <c r="BA16" i="1"/>
  <c r="BB16" i="1" s="1"/>
  <c r="L53" i="42"/>
  <c r="L55" i="42" s="1"/>
  <c r="L52" i="42"/>
  <c r="J57" i="35" l="1"/>
  <c r="F33" i="43"/>
  <c r="R34" i="43"/>
  <c r="H53" i="42"/>
  <c r="H55" i="42" s="1"/>
  <c r="B33" i="43"/>
  <c r="H57" i="19"/>
  <c r="H61" i="19"/>
  <c r="H56" i="42"/>
  <c r="P56" i="42"/>
  <c r="J52" i="42"/>
  <c r="H56" i="20"/>
  <c r="E121" i="35" s="1"/>
  <c r="N58" i="41"/>
  <c r="N60" i="41" s="1"/>
  <c r="N57" i="41"/>
  <c r="D58" i="41"/>
  <c r="D60" i="41" s="1"/>
  <c r="B58" i="19"/>
  <c r="B60" i="19" s="1"/>
  <c r="D57" i="41"/>
  <c r="J60" i="41"/>
  <c r="J57" i="41"/>
  <c r="DK21" i="1"/>
  <c r="DK22" i="1" s="1"/>
  <c r="DK23" i="1" s="1"/>
  <c r="J35" i="18"/>
  <c r="J281" i="35"/>
  <c r="C281" i="35"/>
  <c r="R55" i="20"/>
  <c r="AZ18" i="45"/>
  <c r="BA19" i="45" s="1"/>
  <c r="BB19" i="45" s="1"/>
  <c r="T53" i="42"/>
  <c r="T55" i="42" s="1"/>
  <c r="I38" i="18"/>
  <c r="J252" i="35"/>
  <c r="L252" i="35"/>
  <c r="C252" i="35"/>
  <c r="F38" i="18"/>
  <c r="J156" i="35"/>
  <c r="C156" i="35"/>
  <c r="L156" i="35"/>
  <c r="J38" i="18"/>
  <c r="J284" i="35"/>
  <c r="L284" i="35"/>
  <c r="C284" i="35"/>
  <c r="H38" i="18"/>
  <c r="J220" i="35"/>
  <c r="C220" i="35"/>
  <c r="L220" i="35"/>
  <c r="B57" i="19"/>
  <c r="F17" i="35" s="1"/>
  <c r="B27" i="18" s="1"/>
  <c r="T52" i="42"/>
  <c r="T56" i="42"/>
  <c r="H52" i="42"/>
  <c r="DE23" i="43"/>
  <c r="DF23" i="43" s="1"/>
  <c r="DD23" i="43"/>
  <c r="CI18" i="44"/>
  <c r="CJ18" i="44"/>
  <c r="CK18" i="44" s="1"/>
  <c r="CC19" i="43"/>
  <c r="CD19" i="43" s="1"/>
  <c r="BO18" i="44"/>
  <c r="BP18" i="44" s="1"/>
  <c r="BN18" i="44"/>
  <c r="BO20" i="1"/>
  <c r="BP20" i="1" s="1"/>
  <c r="BN20" i="1"/>
  <c r="E38" i="18"/>
  <c r="J124" i="35"/>
  <c r="C124" i="35"/>
  <c r="L124" i="35"/>
  <c r="L92" i="35"/>
  <c r="C92" i="35"/>
  <c r="D38" i="18"/>
  <c r="J92" i="35"/>
  <c r="CW17" i="45"/>
  <c r="CX17" i="45"/>
  <c r="CY17" i="45" s="1"/>
  <c r="CJ19" i="43"/>
  <c r="CK19" i="43" s="1"/>
  <c r="CI19" i="43"/>
  <c r="CJ19" i="45"/>
  <c r="CK19" i="45" s="1"/>
  <c r="CI19" i="45"/>
  <c r="BA18" i="43"/>
  <c r="BB18" i="43" s="1"/>
  <c r="AZ18" i="43"/>
  <c r="BO18" i="43"/>
  <c r="BP18" i="43" s="1"/>
  <c r="BN18" i="43"/>
  <c r="DE17" i="44"/>
  <c r="DF17" i="44" s="1"/>
  <c r="DD17" i="44"/>
  <c r="N52" i="42"/>
  <c r="N53" i="42"/>
  <c r="N55" i="42" s="1"/>
  <c r="BN19" i="45"/>
  <c r="BO19" i="45"/>
  <c r="BP19" i="45" s="1"/>
  <c r="BV18" i="44"/>
  <c r="BW18" i="44" s="1"/>
  <c r="BU18" i="44"/>
  <c r="CW20" i="1"/>
  <c r="CX20" i="1"/>
  <c r="CY20" i="1" s="1"/>
  <c r="CP17" i="45"/>
  <c r="CQ17" i="45"/>
  <c r="CR17" i="45" s="1"/>
  <c r="BU17" i="43"/>
  <c r="BV17" i="43"/>
  <c r="BW17" i="43" s="1"/>
  <c r="BG18" i="44"/>
  <c r="BH18" i="44"/>
  <c r="BI18" i="44" s="1"/>
  <c r="BU21" i="45"/>
  <c r="BV21" i="45"/>
  <c r="BW21" i="45" s="1"/>
  <c r="DK17" i="44"/>
  <c r="DL17" i="44"/>
  <c r="DM17" i="44" s="1"/>
  <c r="L42" i="47"/>
  <c r="H42" i="47"/>
  <c r="J17" i="35"/>
  <c r="C17" i="35"/>
  <c r="P53" i="42"/>
  <c r="P55" i="42" s="1"/>
  <c r="P52" i="42"/>
  <c r="CB17" i="45"/>
  <c r="CC17" i="45"/>
  <c r="CD17" i="45" s="1"/>
  <c r="CB20" i="1"/>
  <c r="CC20" i="1"/>
  <c r="CD20" i="1" s="1"/>
  <c r="CQ21" i="44"/>
  <c r="CR21" i="44" s="1"/>
  <c r="CP21" i="44"/>
  <c r="CW17" i="44"/>
  <c r="CX17" i="44"/>
  <c r="CY17" i="44" s="1"/>
  <c r="BA19" i="44"/>
  <c r="BB19" i="44" s="1"/>
  <c r="AZ19" i="44"/>
  <c r="BG17" i="43"/>
  <c r="BH17" i="43"/>
  <c r="BI17" i="43" s="1"/>
  <c r="DE17" i="1"/>
  <c r="DF17" i="1" s="1"/>
  <c r="DD17" i="1"/>
  <c r="DL17" i="43"/>
  <c r="DM17" i="43" s="1"/>
  <c r="DK17" i="43"/>
  <c r="DE17" i="45"/>
  <c r="DF17" i="45" s="1"/>
  <c r="DD17" i="45"/>
  <c r="CP17" i="1"/>
  <c r="CQ17" i="1"/>
  <c r="CR17" i="1" s="1"/>
  <c r="BG17" i="45"/>
  <c r="BH17" i="45"/>
  <c r="BI17" i="45" s="1"/>
  <c r="CB19" i="44"/>
  <c r="CC19" i="44"/>
  <c r="CD19" i="44" s="1"/>
  <c r="CW17" i="43"/>
  <c r="CX17" i="43"/>
  <c r="CY17" i="43" s="1"/>
  <c r="BV17" i="1"/>
  <c r="BW17" i="1" s="1"/>
  <c r="BU17" i="1"/>
  <c r="CQ19" i="43"/>
  <c r="CR19" i="43" s="1"/>
  <c r="CP19" i="43"/>
  <c r="CJ20" i="1"/>
  <c r="CK20" i="1" s="1"/>
  <c r="CI20" i="1"/>
  <c r="BA17" i="1"/>
  <c r="BB17" i="1" s="1"/>
  <c r="AZ17" i="1"/>
  <c r="CC20" i="43"/>
  <c r="CD20" i="43" s="1"/>
  <c r="CB20" i="43"/>
  <c r="BH17" i="1"/>
  <c r="BI17" i="1" s="1"/>
  <c r="BG17" i="1"/>
  <c r="DL23" i="45"/>
  <c r="DM23" i="45" s="1"/>
  <c r="DK23" i="45"/>
  <c r="P33" i="43" l="1"/>
  <c r="D34" i="1"/>
  <c r="R34" i="1"/>
  <c r="N34" i="1"/>
  <c r="D33" i="43"/>
  <c r="H33" i="43"/>
  <c r="H34" i="1"/>
  <c r="T33" i="43"/>
  <c r="DL23" i="1"/>
  <c r="DM23" i="1" s="1"/>
  <c r="DL22" i="1"/>
  <c r="DM22" i="1" s="1"/>
  <c r="AZ19" i="45"/>
  <c r="AZ20" i="45" s="1"/>
  <c r="DE24" i="43"/>
  <c r="DF24" i="43" s="1"/>
  <c r="DD24" i="43"/>
  <c r="CJ19" i="44"/>
  <c r="CK19" i="44" s="1"/>
  <c r="CI19" i="44"/>
  <c r="BN19" i="44"/>
  <c r="BO19" i="44"/>
  <c r="BP19" i="44" s="1"/>
  <c r="BN21" i="1"/>
  <c r="BO21" i="1"/>
  <c r="BP21" i="1" s="1"/>
  <c r="F30" i="13"/>
  <c r="F36" i="13"/>
  <c r="F59" i="13" s="1"/>
  <c r="D87" i="35" s="1"/>
  <c r="CW18" i="45"/>
  <c r="CX18" i="45"/>
  <c r="CY18" i="45" s="1"/>
  <c r="CJ20" i="43"/>
  <c r="CK20" i="43" s="1"/>
  <c r="CI20" i="43"/>
  <c r="CJ20" i="45"/>
  <c r="CK20" i="45" s="1"/>
  <c r="CI20" i="45"/>
  <c r="DD18" i="44"/>
  <c r="DE18" i="44"/>
  <c r="DF18" i="44" s="1"/>
  <c r="BN19" i="43"/>
  <c r="BO19" i="43"/>
  <c r="BP19" i="43" s="1"/>
  <c r="BA19" i="43"/>
  <c r="BB19" i="43" s="1"/>
  <c r="AZ19" i="43"/>
  <c r="BN20" i="45"/>
  <c r="BO20" i="45"/>
  <c r="BP20" i="45" s="1"/>
  <c r="CW21" i="1"/>
  <c r="CX21" i="1"/>
  <c r="CY21" i="1" s="1"/>
  <c r="BV19" i="44"/>
  <c r="BW19" i="44" s="1"/>
  <c r="BU19" i="44"/>
  <c r="BU22" i="45"/>
  <c r="BV22" i="45"/>
  <c r="BW22" i="45" s="1"/>
  <c r="BH19" i="44"/>
  <c r="BI19" i="44" s="1"/>
  <c r="BG19" i="44"/>
  <c r="CQ18" i="45"/>
  <c r="CR18" i="45" s="1"/>
  <c r="CP18" i="45"/>
  <c r="BV18" i="43"/>
  <c r="BW18" i="43" s="1"/>
  <c r="BU18" i="43"/>
  <c r="DK18" i="44"/>
  <c r="DL18" i="44"/>
  <c r="DM18" i="44" s="1"/>
  <c r="DL18" i="43"/>
  <c r="DM18" i="43" s="1"/>
  <c r="DK18" i="43"/>
  <c r="CQ22" i="44"/>
  <c r="CR22" i="44" s="1"/>
  <c r="CP22" i="44"/>
  <c r="DE18" i="1"/>
  <c r="DF18" i="1" s="1"/>
  <c r="DD18" i="1"/>
  <c r="BH18" i="43"/>
  <c r="BI18" i="43" s="1"/>
  <c r="BG18" i="43"/>
  <c r="CC21" i="1"/>
  <c r="CD21" i="1" s="1"/>
  <c r="CB21" i="1"/>
  <c r="BA20" i="44"/>
  <c r="BB20" i="44" s="1"/>
  <c r="AZ20" i="44"/>
  <c r="CX18" i="44"/>
  <c r="CY18" i="44" s="1"/>
  <c r="CW18" i="44"/>
  <c r="CB18" i="45"/>
  <c r="CC18" i="45"/>
  <c r="CD18" i="45" s="1"/>
  <c r="DD18" i="45"/>
  <c r="DE18" i="45"/>
  <c r="DF18" i="45" s="1"/>
  <c r="CC20" i="44"/>
  <c r="CD20" i="44" s="1"/>
  <c r="CB20" i="44"/>
  <c r="DK24" i="1"/>
  <c r="DL24" i="1"/>
  <c r="DM24" i="1" s="1"/>
  <c r="CQ20" i="43"/>
  <c r="CR20" i="43" s="1"/>
  <c r="CP20" i="43"/>
  <c r="BG18" i="1"/>
  <c r="BH18" i="1"/>
  <c r="BI18" i="1" s="1"/>
  <c r="AZ18" i="1"/>
  <c r="BA18" i="1"/>
  <c r="BB18" i="1" s="1"/>
  <c r="BU18" i="1"/>
  <c r="BV18" i="1"/>
  <c r="BW18" i="1" s="1"/>
  <c r="DL24" i="45"/>
  <c r="DM24" i="45" s="1"/>
  <c r="DK24" i="45"/>
  <c r="CQ18" i="1"/>
  <c r="CR18" i="1" s="1"/>
  <c r="CP18" i="1"/>
  <c r="CC21" i="43"/>
  <c r="CD21" i="43" s="1"/>
  <c r="CB21" i="43"/>
  <c r="CJ21" i="1"/>
  <c r="CK21" i="1" s="1"/>
  <c r="CI21" i="1"/>
  <c r="CW18" i="43"/>
  <c r="CX18" i="43"/>
  <c r="CY18" i="43" s="1"/>
  <c r="BH18" i="45"/>
  <c r="BI18" i="45" s="1"/>
  <c r="BG18" i="45"/>
  <c r="BA20" i="45" l="1"/>
  <c r="BB20" i="45" s="1"/>
  <c r="DE25" i="43"/>
  <c r="DF25" i="43" s="1"/>
  <c r="DD25" i="43"/>
  <c r="CJ20" i="44"/>
  <c r="CK20" i="44" s="1"/>
  <c r="CI20" i="44"/>
  <c r="BO20" i="44"/>
  <c r="BP20" i="44" s="1"/>
  <c r="BN20" i="44"/>
  <c r="BO22" i="1"/>
  <c r="BP22" i="1" s="1"/>
  <c r="BN22" i="1"/>
  <c r="L87" i="35"/>
  <c r="CW19" i="45"/>
  <c r="CX19" i="45"/>
  <c r="CY19" i="45" s="1"/>
  <c r="CI21" i="43"/>
  <c r="CJ21" i="43"/>
  <c r="CK21" i="43" s="1"/>
  <c r="CJ21" i="45"/>
  <c r="CK21" i="45" s="1"/>
  <c r="CI21" i="45"/>
  <c r="AZ20" i="43"/>
  <c r="BA20" i="43"/>
  <c r="BB20" i="43" s="1"/>
  <c r="AP14" i="43" s="1"/>
  <c r="BN20" i="43"/>
  <c r="BO20" i="43"/>
  <c r="BP20" i="43" s="1"/>
  <c r="DD19" i="44"/>
  <c r="DE19" i="44"/>
  <c r="DF19" i="44" s="1"/>
  <c r="BN21" i="45"/>
  <c r="BO21" i="45"/>
  <c r="BP21" i="45" s="1"/>
  <c r="BU20" i="44"/>
  <c r="BV20" i="44"/>
  <c r="BW20" i="44" s="1"/>
  <c r="CX22" i="1"/>
  <c r="CY22" i="1" s="1"/>
  <c r="CW22" i="1"/>
  <c r="BV19" i="43"/>
  <c r="BW19" i="43" s="1"/>
  <c r="BU19" i="43"/>
  <c r="CQ19" i="45"/>
  <c r="CR19" i="45" s="1"/>
  <c r="CP19" i="45"/>
  <c r="BH20" i="44"/>
  <c r="BI20" i="44" s="1"/>
  <c r="BG20" i="44"/>
  <c r="DL19" i="44"/>
  <c r="DM19" i="44" s="1"/>
  <c r="DK19" i="44"/>
  <c r="BU23" i="45"/>
  <c r="BV23" i="45"/>
  <c r="BW23" i="45" s="1"/>
  <c r="CC22" i="1"/>
  <c r="CD22" i="1" s="1"/>
  <c r="CB22" i="1"/>
  <c r="CB19" i="45"/>
  <c r="CC19" i="45"/>
  <c r="CD19" i="45" s="1"/>
  <c r="CQ23" i="44"/>
  <c r="CR23" i="44" s="1"/>
  <c r="CP23" i="44"/>
  <c r="CX19" i="44"/>
  <c r="CY19" i="44" s="1"/>
  <c r="CW19" i="44"/>
  <c r="BA21" i="44"/>
  <c r="BB21" i="44" s="1"/>
  <c r="AZ21" i="44"/>
  <c r="BG19" i="43"/>
  <c r="BH19" i="43"/>
  <c r="BI19" i="43" s="1"/>
  <c r="DE19" i="1"/>
  <c r="DF19" i="1" s="1"/>
  <c r="DD19" i="1"/>
  <c r="DL19" i="43"/>
  <c r="DM19" i="43" s="1"/>
  <c r="DK19" i="43"/>
  <c r="CI22" i="1"/>
  <c r="CJ22" i="1"/>
  <c r="CK22" i="1" s="1"/>
  <c r="BV19" i="1"/>
  <c r="BW19" i="1" s="1"/>
  <c r="BU19" i="1"/>
  <c r="BA19" i="1"/>
  <c r="BB19" i="1" s="1"/>
  <c r="AZ19" i="1"/>
  <c r="DL25" i="1"/>
  <c r="DM25" i="1" s="1"/>
  <c r="DK25" i="1"/>
  <c r="CB22" i="43"/>
  <c r="CC22" i="43"/>
  <c r="CD22" i="43" s="1"/>
  <c r="BH19" i="1"/>
  <c r="BI19" i="1" s="1"/>
  <c r="BG19" i="1"/>
  <c r="DE19" i="45"/>
  <c r="DF19" i="45" s="1"/>
  <c r="DD19" i="45"/>
  <c r="BH19" i="45"/>
  <c r="BI19" i="45" s="1"/>
  <c r="BG19" i="45"/>
  <c r="DL25" i="45"/>
  <c r="DM25" i="45" s="1"/>
  <c r="DK25" i="45"/>
  <c r="CB21" i="44"/>
  <c r="CC21" i="44"/>
  <c r="CD21" i="44" s="1"/>
  <c r="CQ19" i="1"/>
  <c r="CR19" i="1" s="1"/>
  <c r="CP19" i="1"/>
  <c r="CP21" i="43"/>
  <c r="CQ21" i="43"/>
  <c r="CR21" i="43" s="1"/>
  <c r="AZ21" i="45"/>
  <c r="BA21" i="45"/>
  <c r="BB21" i="45" s="1"/>
  <c r="CW19" i="43"/>
  <c r="CX19" i="43"/>
  <c r="CY19" i="43" s="1"/>
  <c r="J34" i="43" l="1"/>
  <c r="DE26" i="43"/>
  <c r="DF26" i="43" s="1"/>
  <c r="DD26" i="43"/>
  <c r="CI21" i="44"/>
  <c r="CJ21" i="44"/>
  <c r="CK21" i="44" s="1"/>
  <c r="BO21" i="44"/>
  <c r="BP21" i="44" s="1"/>
  <c r="BN21" i="44"/>
  <c r="BO23" i="1"/>
  <c r="BP23" i="1" s="1"/>
  <c r="BN23" i="1"/>
  <c r="CX20" i="45"/>
  <c r="CY20" i="45" s="1"/>
  <c r="CW20" i="45"/>
  <c r="CJ22" i="43"/>
  <c r="CK22" i="43" s="1"/>
  <c r="CI22" i="43"/>
  <c r="CI22" i="45"/>
  <c r="CJ22" i="45"/>
  <c r="CK22" i="45" s="1"/>
  <c r="DD20" i="44"/>
  <c r="DE20" i="44"/>
  <c r="DF20" i="44" s="1"/>
  <c r="BO21" i="43"/>
  <c r="BP21" i="43" s="1"/>
  <c r="BN21" i="43"/>
  <c r="BA21" i="43"/>
  <c r="BB21" i="43" s="1"/>
  <c r="AZ21" i="43"/>
  <c r="BO22" i="45"/>
  <c r="BP22" i="45" s="1"/>
  <c r="BN22" i="45"/>
  <c r="CW23" i="1"/>
  <c r="CX23" i="1"/>
  <c r="CY23" i="1" s="1"/>
  <c r="BV21" i="44"/>
  <c r="BW21" i="44" s="1"/>
  <c r="BU21" i="44"/>
  <c r="DK20" i="44"/>
  <c r="DL20" i="44"/>
  <c r="DM20" i="44" s="1"/>
  <c r="BG21" i="44"/>
  <c r="BH21" i="44"/>
  <c r="BI21" i="44" s="1"/>
  <c r="BV24" i="45"/>
  <c r="BW24" i="45" s="1"/>
  <c r="BU24" i="45"/>
  <c r="CQ20" i="45"/>
  <c r="CR20" i="45" s="1"/>
  <c r="CP20" i="45"/>
  <c r="BV20" i="43"/>
  <c r="BW20" i="43" s="1"/>
  <c r="BU20" i="43"/>
  <c r="DK20" i="43"/>
  <c r="DL20" i="43"/>
  <c r="DM20" i="43" s="1"/>
  <c r="CQ24" i="44"/>
  <c r="CR24" i="44" s="1"/>
  <c r="CP24" i="44"/>
  <c r="DE20" i="1"/>
  <c r="DF20" i="1" s="1"/>
  <c r="DD20" i="1"/>
  <c r="BH20" i="43"/>
  <c r="BI20" i="43" s="1"/>
  <c r="BG20" i="43"/>
  <c r="CB20" i="45"/>
  <c r="CC20" i="45"/>
  <c r="CD20" i="45" s="1"/>
  <c r="BA22" i="44"/>
  <c r="BB22" i="44" s="1"/>
  <c r="AZ22" i="44"/>
  <c r="CB23" i="1"/>
  <c r="CC23" i="1"/>
  <c r="CD23" i="1" s="1"/>
  <c r="CX20" i="44"/>
  <c r="CY20" i="44" s="1"/>
  <c r="CW20" i="44"/>
  <c r="CC22" i="44"/>
  <c r="CD22" i="44" s="1"/>
  <c r="CB22" i="44"/>
  <c r="BH20" i="45"/>
  <c r="BI20" i="45" s="1"/>
  <c r="BG20" i="45"/>
  <c r="CB23" i="43"/>
  <c r="CC23" i="43"/>
  <c r="CD23" i="43" s="1"/>
  <c r="DL26" i="1"/>
  <c r="DM26" i="1" s="1"/>
  <c r="DK26" i="1"/>
  <c r="CI23" i="1"/>
  <c r="CJ23" i="1"/>
  <c r="CK23" i="1" s="1"/>
  <c r="BA22" i="45"/>
  <c r="BB22" i="45" s="1"/>
  <c r="AZ22" i="45"/>
  <c r="DE20" i="45"/>
  <c r="DF20" i="45" s="1"/>
  <c r="DD20" i="45"/>
  <c r="CQ20" i="1"/>
  <c r="CR20" i="1" s="1"/>
  <c r="CP20" i="1"/>
  <c r="BA20" i="1"/>
  <c r="BB20" i="1" s="1"/>
  <c r="AZ20" i="1"/>
  <c r="DL26" i="45"/>
  <c r="DM26" i="45" s="1"/>
  <c r="DK26" i="45"/>
  <c r="BU20" i="1"/>
  <c r="BV20" i="1"/>
  <c r="BW20" i="1" s="1"/>
  <c r="CX20" i="43"/>
  <c r="CY20" i="43" s="1"/>
  <c r="CW20" i="43"/>
  <c r="CP22" i="43"/>
  <c r="CQ22" i="43"/>
  <c r="CR22" i="43" s="1"/>
  <c r="BH20" i="1"/>
  <c r="BI20" i="1" s="1"/>
  <c r="BG20" i="1"/>
  <c r="L34" i="43" l="1"/>
  <c r="N34" i="43"/>
  <c r="DD27" i="43"/>
  <c r="DE27" i="43"/>
  <c r="DF27" i="43" s="1"/>
  <c r="CI22" i="44"/>
  <c r="CJ22" i="44"/>
  <c r="CK22" i="44" s="1"/>
  <c r="BN22" i="44"/>
  <c r="BO22" i="44"/>
  <c r="BP22" i="44" s="1"/>
  <c r="BN24" i="1"/>
  <c r="BO24" i="1"/>
  <c r="BP24" i="1" s="1"/>
  <c r="CX21" i="45"/>
  <c r="CY21" i="45" s="1"/>
  <c r="CW21" i="45"/>
  <c r="CJ23" i="43"/>
  <c r="CK23" i="43" s="1"/>
  <c r="CI23" i="43"/>
  <c r="CI23" i="45"/>
  <c r="CJ23" i="45"/>
  <c r="CK23" i="45" s="1"/>
  <c r="BA22" i="43"/>
  <c r="BB22" i="43" s="1"/>
  <c r="AZ22" i="43"/>
  <c r="BO22" i="43"/>
  <c r="BP22" i="43" s="1"/>
  <c r="BN22" i="43"/>
  <c r="DE21" i="44"/>
  <c r="DF21" i="44" s="1"/>
  <c r="DD21" i="44"/>
  <c r="BN23" i="45"/>
  <c r="BO23" i="45"/>
  <c r="BP23" i="45" s="1"/>
  <c r="BV22" i="44"/>
  <c r="BW22" i="44" s="1"/>
  <c r="BU22" i="44"/>
  <c r="CX24" i="1"/>
  <c r="CY24" i="1" s="1"/>
  <c r="CW24" i="1"/>
  <c r="CQ21" i="45"/>
  <c r="CR21" i="45" s="1"/>
  <c r="CP21" i="45"/>
  <c r="BV25" i="45"/>
  <c r="BW25" i="45" s="1"/>
  <c r="BU25" i="45"/>
  <c r="BU21" i="43"/>
  <c r="BV21" i="43"/>
  <c r="BW21" i="43" s="1"/>
  <c r="BG22" i="44"/>
  <c r="BH22" i="44"/>
  <c r="BI22" i="44" s="1"/>
  <c r="DK21" i="44"/>
  <c r="DL21" i="44"/>
  <c r="DM21" i="44" s="1"/>
  <c r="AZ23" i="44"/>
  <c r="BA23" i="44"/>
  <c r="BB23" i="44" s="1"/>
  <c r="DD21" i="1"/>
  <c r="DE21" i="1"/>
  <c r="DF21" i="1" s="1"/>
  <c r="CW21" i="44"/>
  <c r="CX21" i="44"/>
  <c r="CY21" i="44" s="1"/>
  <c r="CP25" i="44"/>
  <c r="CQ25" i="44"/>
  <c r="CR25" i="44" s="1"/>
  <c r="CB21" i="45"/>
  <c r="CC21" i="45"/>
  <c r="CD21" i="45" s="1"/>
  <c r="DL21" i="43"/>
  <c r="DM21" i="43" s="1"/>
  <c r="DK21" i="43"/>
  <c r="CB24" i="1"/>
  <c r="CC24" i="1"/>
  <c r="CD24" i="1" s="1"/>
  <c r="BG21" i="43"/>
  <c r="BH21" i="43"/>
  <c r="BI21" i="43" s="1"/>
  <c r="CW21" i="43"/>
  <c r="CX21" i="43"/>
  <c r="CY21" i="43" s="1"/>
  <c r="DL27" i="45"/>
  <c r="DM27" i="45" s="1"/>
  <c r="DK27" i="45"/>
  <c r="DD21" i="45"/>
  <c r="DE21" i="45"/>
  <c r="DF21" i="45" s="1"/>
  <c r="BH21" i="45"/>
  <c r="BI21" i="45" s="1"/>
  <c r="BG21" i="45"/>
  <c r="BG21" i="1"/>
  <c r="BH21" i="1"/>
  <c r="BI21" i="1" s="1"/>
  <c r="BV21" i="1"/>
  <c r="BW21" i="1" s="1"/>
  <c r="BU21" i="1"/>
  <c r="CP21" i="1"/>
  <c r="CQ21" i="1"/>
  <c r="CR21" i="1" s="1"/>
  <c r="AZ23" i="45"/>
  <c r="BA23" i="45"/>
  <c r="BB23" i="45" s="1"/>
  <c r="CB23" i="44"/>
  <c r="CC23" i="44"/>
  <c r="CD23" i="44" s="1"/>
  <c r="CB24" i="43"/>
  <c r="CC24" i="43"/>
  <c r="CD24" i="43" s="1"/>
  <c r="AZ21" i="1"/>
  <c r="BA21" i="1"/>
  <c r="BB21" i="1" s="1"/>
  <c r="CJ24" i="1"/>
  <c r="CK24" i="1" s="1"/>
  <c r="CI24" i="1"/>
  <c r="CQ23" i="43"/>
  <c r="CR23" i="43" s="1"/>
  <c r="CP23" i="43"/>
  <c r="DK27" i="1"/>
  <c r="DL27" i="1"/>
  <c r="DM27" i="1" s="1"/>
  <c r="R35" i="43" l="1"/>
  <c r="R47" i="43"/>
  <c r="R36" i="43"/>
  <c r="F34" i="43"/>
  <c r="T36" i="1"/>
  <c r="T35" i="1"/>
  <c r="T47" i="1"/>
  <c r="B34" i="43"/>
  <c r="DE28" i="43"/>
  <c r="DF28" i="43" s="1"/>
  <c r="DD28" i="43"/>
  <c r="CI23" i="44"/>
  <c r="CJ23" i="44"/>
  <c r="CK23" i="44" s="1"/>
  <c r="BN23" i="44"/>
  <c r="BO23" i="44"/>
  <c r="BP23" i="44" s="1"/>
  <c r="BO25" i="1"/>
  <c r="BP25" i="1" s="1"/>
  <c r="BR7" i="1" s="1"/>
  <c r="BN25" i="1"/>
  <c r="CW22" i="45"/>
  <c r="CX22" i="45"/>
  <c r="CY22" i="45" s="1"/>
  <c r="CJ24" i="43"/>
  <c r="CK24" i="43" s="1"/>
  <c r="CI24" i="43"/>
  <c r="CI24" i="45"/>
  <c r="CJ24" i="45"/>
  <c r="CK24" i="45" s="1"/>
  <c r="DE22" i="44"/>
  <c r="DF22" i="44" s="1"/>
  <c r="DD22" i="44"/>
  <c r="BO23" i="43"/>
  <c r="BP23" i="43" s="1"/>
  <c r="BN23" i="43"/>
  <c r="AZ23" i="43"/>
  <c r="BA23" i="43"/>
  <c r="BB23" i="43" s="1"/>
  <c r="BO24" i="45"/>
  <c r="BP24" i="45" s="1"/>
  <c r="BN24" i="45"/>
  <c r="CX25" i="1"/>
  <c r="CY25" i="1" s="1"/>
  <c r="CW25" i="1"/>
  <c r="BU23" i="44"/>
  <c r="BV23" i="44"/>
  <c r="BW23" i="44" s="1"/>
  <c r="BG23" i="44"/>
  <c r="BH23" i="44"/>
  <c r="BI23" i="44" s="1"/>
  <c r="BU22" i="43"/>
  <c r="BV22" i="43"/>
  <c r="BW22" i="43" s="1"/>
  <c r="BV26" i="45"/>
  <c r="BW26" i="45" s="1"/>
  <c r="BU26" i="45"/>
  <c r="DK22" i="44"/>
  <c r="DL22" i="44"/>
  <c r="DM22" i="44" s="1"/>
  <c r="CQ22" i="45"/>
  <c r="CR22" i="45" s="1"/>
  <c r="CP22" i="45"/>
  <c r="CB22" i="45"/>
  <c r="CC22" i="45"/>
  <c r="CD22" i="45" s="1"/>
  <c r="BH22" i="43"/>
  <c r="BI22" i="43" s="1"/>
  <c r="BG22" i="43"/>
  <c r="CP26" i="44"/>
  <c r="CQ26" i="44"/>
  <c r="CR26" i="44" s="1"/>
  <c r="CB25" i="1"/>
  <c r="CC25" i="1"/>
  <c r="CD25" i="1" s="1"/>
  <c r="CW22" i="44"/>
  <c r="CX22" i="44"/>
  <c r="CY22" i="44" s="1"/>
  <c r="DD22" i="1"/>
  <c r="DE22" i="1"/>
  <c r="DF22" i="1" s="1"/>
  <c r="BA24" i="44"/>
  <c r="BB24" i="44" s="1"/>
  <c r="AZ24" i="44"/>
  <c r="DL22" i="43"/>
  <c r="DM22" i="43" s="1"/>
  <c r="DK22" i="43"/>
  <c r="CQ24" i="43"/>
  <c r="CR24" i="43" s="1"/>
  <c r="CP24" i="43"/>
  <c r="BH22" i="45"/>
  <c r="BI22" i="45" s="1"/>
  <c r="BG22" i="45"/>
  <c r="CP22" i="1"/>
  <c r="CQ22" i="1"/>
  <c r="CR22" i="1" s="1"/>
  <c r="BV22" i="1"/>
  <c r="BW22" i="1" s="1"/>
  <c r="BU22" i="1"/>
  <c r="DK28" i="45"/>
  <c r="DL28" i="45"/>
  <c r="DM28" i="45" s="1"/>
  <c r="CB25" i="43"/>
  <c r="CC25" i="43"/>
  <c r="CD25" i="43" s="1"/>
  <c r="DD22" i="45"/>
  <c r="DE22" i="45"/>
  <c r="DF22" i="45" s="1"/>
  <c r="CB24" i="44"/>
  <c r="CC24" i="44"/>
  <c r="CD24" i="44" s="1"/>
  <c r="DK28" i="1"/>
  <c r="DL28" i="1"/>
  <c r="DM28" i="1" s="1"/>
  <c r="CI25" i="1"/>
  <c r="CJ25" i="1"/>
  <c r="CK25" i="1" s="1"/>
  <c r="AZ22" i="1"/>
  <c r="BA22" i="1"/>
  <c r="BB22" i="1" s="1"/>
  <c r="AZ24" i="45"/>
  <c r="BA24" i="45"/>
  <c r="BB24" i="45" s="1"/>
  <c r="BG22" i="1"/>
  <c r="BH22" i="1"/>
  <c r="BI22" i="1" s="1"/>
  <c r="CX22" i="43"/>
  <c r="CY22" i="43" s="1"/>
  <c r="CW22" i="43"/>
  <c r="H34" i="43" l="1"/>
  <c r="P34" i="43"/>
  <c r="T34" i="43"/>
  <c r="D34" i="43"/>
  <c r="DE29" i="43"/>
  <c r="DF29" i="43" s="1"/>
  <c r="DD29" i="43"/>
  <c r="CI24" i="44"/>
  <c r="CJ24" i="44"/>
  <c r="CK24" i="44" s="1"/>
  <c r="BN24" i="44"/>
  <c r="BO24" i="44"/>
  <c r="BP24" i="44" s="1"/>
  <c r="BO26" i="1"/>
  <c r="BP26" i="1" s="1"/>
  <c r="BN26" i="1"/>
  <c r="CW23" i="45"/>
  <c r="CX23" i="45"/>
  <c r="CY23" i="45" s="1"/>
  <c r="CJ25" i="43"/>
  <c r="CK25" i="43" s="1"/>
  <c r="CI25" i="43"/>
  <c r="CJ25" i="45"/>
  <c r="CK25" i="45" s="1"/>
  <c r="CI25" i="45"/>
  <c r="BA24" i="43"/>
  <c r="BB24" i="43" s="1"/>
  <c r="AZ24" i="43"/>
  <c r="BN24" i="43"/>
  <c r="BO24" i="43"/>
  <c r="BP24" i="43" s="1"/>
  <c r="DD23" i="44"/>
  <c r="DE23" i="44"/>
  <c r="DF23" i="44" s="1"/>
  <c r="BN25" i="45"/>
  <c r="BO25" i="45"/>
  <c r="BP25" i="45" s="1"/>
  <c r="BR7" i="45" s="1"/>
  <c r="BV24" i="44"/>
  <c r="BW24" i="44" s="1"/>
  <c r="BU24" i="44"/>
  <c r="CW26" i="1"/>
  <c r="CX26" i="1"/>
  <c r="CY26" i="1" s="1"/>
  <c r="BV27" i="45"/>
  <c r="BW27" i="45" s="1"/>
  <c r="BU27" i="45"/>
  <c r="CQ23" i="45"/>
  <c r="CR23" i="45" s="1"/>
  <c r="CP23" i="45"/>
  <c r="BU23" i="43"/>
  <c r="BV23" i="43"/>
  <c r="BW23" i="43" s="1"/>
  <c r="DK23" i="44"/>
  <c r="DL23" i="44"/>
  <c r="DM23" i="44" s="1"/>
  <c r="BG24" i="44"/>
  <c r="BH24" i="44"/>
  <c r="BI24" i="44" s="1"/>
  <c r="BG23" i="43"/>
  <c r="BH23" i="43"/>
  <c r="BI23" i="43" s="1"/>
  <c r="CB23" i="45"/>
  <c r="CC23" i="45"/>
  <c r="CD23" i="45" s="1"/>
  <c r="DL23" i="43"/>
  <c r="DM23" i="43" s="1"/>
  <c r="DK23" i="43"/>
  <c r="CW23" i="44"/>
  <c r="CX23" i="44"/>
  <c r="CY23" i="44" s="1"/>
  <c r="CC26" i="1"/>
  <c r="CD26" i="1" s="1"/>
  <c r="CB26" i="1"/>
  <c r="AZ25" i="44"/>
  <c r="BA25" i="44"/>
  <c r="BB25" i="44" s="1"/>
  <c r="AP15" i="44" s="1"/>
  <c r="DD23" i="1"/>
  <c r="DE23" i="1"/>
  <c r="DF23" i="1" s="1"/>
  <c r="CQ27" i="44"/>
  <c r="CR27" i="44" s="1"/>
  <c r="CP27" i="44"/>
  <c r="CI26" i="1"/>
  <c r="CJ26" i="1"/>
  <c r="CK26" i="1" s="1"/>
  <c r="CC26" i="43"/>
  <c r="CD26" i="43" s="1"/>
  <c r="CB26" i="43"/>
  <c r="CP23" i="1"/>
  <c r="CQ23" i="1"/>
  <c r="CR23" i="1" s="1"/>
  <c r="BG23" i="1"/>
  <c r="BH23" i="1"/>
  <c r="BI23" i="1" s="1"/>
  <c r="DK29" i="1"/>
  <c r="DL29" i="1"/>
  <c r="DM29" i="1" s="1"/>
  <c r="DK29" i="45"/>
  <c r="DL29" i="45"/>
  <c r="DM29" i="45" s="1"/>
  <c r="BG23" i="45"/>
  <c r="BH23" i="45"/>
  <c r="BI23" i="45" s="1"/>
  <c r="BV23" i="1"/>
  <c r="BW23" i="1" s="1"/>
  <c r="BU23" i="1"/>
  <c r="BA25" i="45"/>
  <c r="BB25" i="45" s="1"/>
  <c r="AZ25" i="45"/>
  <c r="CB25" i="44"/>
  <c r="CC25" i="44"/>
  <c r="CD25" i="44" s="1"/>
  <c r="AZ23" i="1"/>
  <c r="BA23" i="1"/>
  <c r="BB23" i="1" s="1"/>
  <c r="DD23" i="45"/>
  <c r="DE23" i="45"/>
  <c r="DF23" i="45" s="1"/>
  <c r="CP25" i="43"/>
  <c r="CQ25" i="43"/>
  <c r="CR25" i="43" s="1"/>
  <c r="CX23" i="43"/>
  <c r="CY23" i="43" s="1"/>
  <c r="CW23" i="43"/>
  <c r="N47" i="44" l="1"/>
  <c r="N36" i="44"/>
  <c r="N35" i="44"/>
  <c r="DE30" i="43"/>
  <c r="DF30" i="43" s="1"/>
  <c r="DD30" i="43"/>
  <c r="CI25" i="44"/>
  <c r="CJ25" i="44"/>
  <c r="CK25" i="44" s="1"/>
  <c r="BN25" i="44"/>
  <c r="BO25" i="44"/>
  <c r="BP25" i="44" s="1"/>
  <c r="BR7" i="44" s="1"/>
  <c r="BN27" i="1"/>
  <c r="BO27" i="1"/>
  <c r="BP27" i="1" s="1"/>
  <c r="CX24" i="45"/>
  <c r="CY24" i="45" s="1"/>
  <c r="CW24" i="45"/>
  <c r="CJ26" i="43"/>
  <c r="CK26" i="43" s="1"/>
  <c r="CI26" i="43"/>
  <c r="CJ26" i="45"/>
  <c r="CK26" i="45" s="1"/>
  <c r="CI26" i="45"/>
  <c r="DE24" i="44"/>
  <c r="DF24" i="44" s="1"/>
  <c r="DD24" i="44"/>
  <c r="BN25" i="43"/>
  <c r="BO25" i="43"/>
  <c r="BP25" i="43" s="1"/>
  <c r="BR7" i="43" s="1"/>
  <c r="BA25" i="43"/>
  <c r="BB25" i="43" s="1"/>
  <c r="AZ25" i="43"/>
  <c r="BN26" i="45"/>
  <c r="BO26" i="45"/>
  <c r="BP26" i="45" s="1"/>
  <c r="CX27" i="1"/>
  <c r="CY27" i="1" s="1"/>
  <c r="CW27" i="1"/>
  <c r="BU25" i="44"/>
  <c r="BV25" i="44"/>
  <c r="BW25" i="44" s="1"/>
  <c r="DK24" i="44"/>
  <c r="DL24" i="44"/>
  <c r="DM24" i="44" s="1"/>
  <c r="BV24" i="43"/>
  <c r="BW24" i="43" s="1"/>
  <c r="BU24" i="43"/>
  <c r="CQ24" i="45"/>
  <c r="CR24" i="45" s="1"/>
  <c r="CP24" i="45"/>
  <c r="BH25" i="44"/>
  <c r="BI25" i="44" s="1"/>
  <c r="BG25" i="44"/>
  <c r="BV28" i="45"/>
  <c r="BW28" i="45" s="1"/>
  <c r="BU28" i="45"/>
  <c r="DE24" i="1"/>
  <c r="DF24" i="1" s="1"/>
  <c r="DD24" i="1"/>
  <c r="CX24" i="44"/>
  <c r="CY24" i="44" s="1"/>
  <c r="CW24" i="44"/>
  <c r="CB24" i="45"/>
  <c r="CC24" i="45"/>
  <c r="CD24" i="45" s="1"/>
  <c r="BA26" i="44"/>
  <c r="BB26" i="44" s="1"/>
  <c r="AZ26" i="44"/>
  <c r="DK24" i="43"/>
  <c r="DL24" i="43"/>
  <c r="DM24" i="43" s="1"/>
  <c r="BH24" i="43"/>
  <c r="BI24" i="43" s="1"/>
  <c r="BG24" i="43"/>
  <c r="CQ28" i="44"/>
  <c r="CR28" i="44" s="1"/>
  <c r="CP28" i="44"/>
  <c r="CC27" i="1"/>
  <c r="CD27" i="1" s="1"/>
  <c r="CB27" i="1"/>
  <c r="CP26" i="43"/>
  <c r="CQ26" i="43"/>
  <c r="CR26" i="43" s="1"/>
  <c r="AZ24" i="1"/>
  <c r="BA24" i="1"/>
  <c r="BB24" i="1" s="1"/>
  <c r="BU24" i="1"/>
  <c r="BV24" i="1"/>
  <c r="BW24" i="1" s="1"/>
  <c r="CI27" i="1"/>
  <c r="CJ27" i="1"/>
  <c r="CK27" i="1" s="1"/>
  <c r="DL30" i="1"/>
  <c r="DM30" i="1" s="1"/>
  <c r="DK30" i="1"/>
  <c r="DL30" i="45"/>
  <c r="DM30" i="45" s="1"/>
  <c r="DK30" i="45"/>
  <c r="CC26" i="44"/>
  <c r="CD26" i="44" s="1"/>
  <c r="CB26" i="44"/>
  <c r="DE24" i="45"/>
  <c r="DF24" i="45" s="1"/>
  <c r="DD24" i="45"/>
  <c r="BA26" i="45"/>
  <c r="BB26" i="45" s="1"/>
  <c r="AZ26" i="45"/>
  <c r="BH24" i="1"/>
  <c r="BI24" i="1" s="1"/>
  <c r="BG24" i="1"/>
  <c r="CW24" i="43"/>
  <c r="CX24" i="43"/>
  <c r="CY24" i="43" s="1"/>
  <c r="BG24" i="45"/>
  <c r="BH24" i="45"/>
  <c r="BI24" i="45" s="1"/>
  <c r="CB27" i="43"/>
  <c r="CC27" i="43"/>
  <c r="CD27" i="43" s="1"/>
  <c r="CQ24" i="1"/>
  <c r="CR24" i="1" s="1"/>
  <c r="CP24" i="1"/>
  <c r="J35" i="43" l="1"/>
  <c r="J36" i="43"/>
  <c r="J47" i="43"/>
  <c r="J35" i="1"/>
  <c r="J47" i="1"/>
  <c r="J36" i="1"/>
  <c r="AP15" i="43"/>
  <c r="DD31" i="43"/>
  <c r="DE31" i="43"/>
  <c r="DF31" i="43" s="1"/>
  <c r="CI26" i="44"/>
  <c r="CJ26" i="44"/>
  <c r="CK26" i="44" s="1"/>
  <c r="BO26" i="44"/>
  <c r="BP26" i="44" s="1"/>
  <c r="BN26" i="44"/>
  <c r="BO28" i="1"/>
  <c r="BP28" i="1" s="1"/>
  <c r="BN28" i="1"/>
  <c r="CX25" i="45"/>
  <c r="CY25" i="45" s="1"/>
  <c r="CW25" i="45"/>
  <c r="CI27" i="43"/>
  <c r="CJ27" i="43"/>
  <c r="CK27" i="43" s="1"/>
  <c r="CJ27" i="45"/>
  <c r="CK27" i="45" s="1"/>
  <c r="CI27" i="45"/>
  <c r="AZ26" i="43"/>
  <c r="BA26" i="43"/>
  <c r="BB26" i="43" s="1"/>
  <c r="BO26" i="43"/>
  <c r="BP26" i="43" s="1"/>
  <c r="BN26" i="43"/>
  <c r="DD25" i="44"/>
  <c r="DE25" i="44"/>
  <c r="DF25" i="44" s="1"/>
  <c r="BO27" i="45"/>
  <c r="BP27" i="45" s="1"/>
  <c r="BN27" i="45"/>
  <c r="BV26" i="44"/>
  <c r="BW26" i="44" s="1"/>
  <c r="BU26" i="44"/>
  <c r="CX28" i="1"/>
  <c r="CY28" i="1" s="1"/>
  <c r="CW28" i="1"/>
  <c r="CP25" i="45"/>
  <c r="CQ25" i="45"/>
  <c r="CR25" i="45" s="1"/>
  <c r="BU29" i="45"/>
  <c r="BV29" i="45"/>
  <c r="BW29" i="45" s="1"/>
  <c r="BU25" i="43"/>
  <c r="BV25" i="43"/>
  <c r="BW25" i="43" s="1"/>
  <c r="BH26" i="44"/>
  <c r="BI26" i="44" s="1"/>
  <c r="BG26" i="44"/>
  <c r="DL25" i="44"/>
  <c r="DM25" i="44" s="1"/>
  <c r="DK25" i="44"/>
  <c r="DE25" i="1"/>
  <c r="DF25" i="1" s="1"/>
  <c r="DD25" i="1"/>
  <c r="CC28" i="1"/>
  <c r="CD28" i="1" s="1"/>
  <c r="CB28" i="1"/>
  <c r="BH25" i="43"/>
  <c r="BI25" i="43" s="1"/>
  <c r="BG25" i="43"/>
  <c r="AZ27" i="44"/>
  <c r="BA27" i="44"/>
  <c r="BB27" i="44" s="1"/>
  <c r="DK25" i="43"/>
  <c r="DL25" i="43"/>
  <c r="DM25" i="43" s="1"/>
  <c r="CB25" i="45"/>
  <c r="CC25" i="45"/>
  <c r="CD25" i="45" s="1"/>
  <c r="CQ29" i="44"/>
  <c r="CR29" i="44" s="1"/>
  <c r="CP29" i="44"/>
  <c r="CW25" i="44"/>
  <c r="CX25" i="44"/>
  <c r="CY25" i="44" s="1"/>
  <c r="DL31" i="45"/>
  <c r="DM31" i="45" s="1"/>
  <c r="DK31" i="45"/>
  <c r="CI28" i="1"/>
  <c r="CJ28" i="1"/>
  <c r="CK28" i="1" s="1"/>
  <c r="BG25" i="1"/>
  <c r="BH25" i="1"/>
  <c r="BI25" i="1" s="1"/>
  <c r="BU25" i="1"/>
  <c r="BV25" i="1"/>
  <c r="BW25" i="1" s="1"/>
  <c r="CB28" i="43"/>
  <c r="CC28" i="43"/>
  <c r="CD28" i="43" s="1"/>
  <c r="DD25" i="45"/>
  <c r="DE25" i="45"/>
  <c r="DF25" i="45" s="1"/>
  <c r="BH25" i="45"/>
  <c r="BI25" i="45" s="1"/>
  <c r="BG25" i="45"/>
  <c r="AZ27" i="45"/>
  <c r="BA27" i="45"/>
  <c r="BB27" i="45" s="1"/>
  <c r="CB27" i="44"/>
  <c r="CC27" i="44"/>
  <c r="CD27" i="44" s="1"/>
  <c r="BA25" i="1"/>
  <c r="BB25" i="1" s="1"/>
  <c r="AP15" i="1" s="1"/>
  <c r="AZ25" i="1"/>
  <c r="DK31" i="1"/>
  <c r="DL31" i="1"/>
  <c r="DM31" i="1" s="1"/>
  <c r="CQ27" i="43"/>
  <c r="CR27" i="43" s="1"/>
  <c r="CP27" i="43"/>
  <c r="CP25" i="1"/>
  <c r="CQ25" i="1"/>
  <c r="CR25" i="1" s="1"/>
  <c r="CX25" i="43"/>
  <c r="CY25" i="43" s="1"/>
  <c r="CW25" i="43"/>
  <c r="J35" i="44" l="1"/>
  <c r="J47" i="44"/>
  <c r="J36" i="44"/>
  <c r="L35" i="43"/>
  <c r="L47" i="43"/>
  <c r="L36" i="43"/>
  <c r="N35" i="43"/>
  <c r="N36" i="43"/>
  <c r="N47" i="43"/>
  <c r="B35" i="44"/>
  <c r="B36" i="44"/>
  <c r="B47" i="44"/>
  <c r="DD32" i="43"/>
  <c r="DE32" i="43"/>
  <c r="DF32" i="43" s="1"/>
  <c r="CI27" i="44"/>
  <c r="CJ27" i="44"/>
  <c r="CK27" i="44" s="1"/>
  <c r="BN27" i="44"/>
  <c r="BO27" i="44"/>
  <c r="BP27" i="44" s="1"/>
  <c r="BO29" i="1"/>
  <c r="BP29" i="1" s="1"/>
  <c r="BN29" i="1"/>
  <c r="CX26" i="45"/>
  <c r="CY26" i="45" s="1"/>
  <c r="CW26" i="45"/>
  <c r="CJ28" i="43"/>
  <c r="CK28" i="43" s="1"/>
  <c r="CI28" i="43"/>
  <c r="CI28" i="45"/>
  <c r="CJ28" i="45"/>
  <c r="CK28" i="45" s="1"/>
  <c r="DE26" i="44"/>
  <c r="DF26" i="44" s="1"/>
  <c r="DD26" i="44"/>
  <c r="BO27" i="43"/>
  <c r="BP27" i="43" s="1"/>
  <c r="BN27" i="43"/>
  <c r="BA27" i="43"/>
  <c r="BB27" i="43" s="1"/>
  <c r="AZ27" i="43"/>
  <c r="BO28" i="45"/>
  <c r="BP28" i="45" s="1"/>
  <c r="BN28" i="45"/>
  <c r="CX29" i="1"/>
  <c r="CY29" i="1" s="1"/>
  <c r="CW29" i="1"/>
  <c r="BV27" i="44"/>
  <c r="BW27" i="44" s="1"/>
  <c r="BU27" i="44"/>
  <c r="BU26" i="43"/>
  <c r="BV26" i="43"/>
  <c r="BW26" i="43" s="1"/>
  <c r="BU30" i="45"/>
  <c r="BV30" i="45"/>
  <c r="BW30" i="45" s="1"/>
  <c r="DK26" i="44"/>
  <c r="DL26" i="44"/>
  <c r="DM26" i="44" s="1"/>
  <c r="BG27" i="44"/>
  <c r="BH27" i="44"/>
  <c r="BI27" i="44" s="1"/>
  <c r="CP26" i="45"/>
  <c r="CQ26" i="45"/>
  <c r="CR26" i="45" s="1"/>
  <c r="CC26" i="45"/>
  <c r="CD26" i="45" s="1"/>
  <c r="CB26" i="45"/>
  <c r="DD26" i="1"/>
  <c r="DE26" i="1"/>
  <c r="DF26" i="1" s="1"/>
  <c r="AZ28" i="44"/>
  <c r="BA28" i="44"/>
  <c r="BB28" i="44" s="1"/>
  <c r="CX26" i="44"/>
  <c r="CY26" i="44" s="1"/>
  <c r="CW26" i="44"/>
  <c r="DK26" i="43"/>
  <c r="DL26" i="43"/>
  <c r="DM26" i="43" s="1"/>
  <c r="BH26" i="43"/>
  <c r="BI26" i="43" s="1"/>
  <c r="BG26" i="43"/>
  <c r="CQ30" i="44"/>
  <c r="CR30" i="44" s="1"/>
  <c r="CP30" i="44"/>
  <c r="CB29" i="1"/>
  <c r="CC29" i="1"/>
  <c r="CD29" i="1" s="1"/>
  <c r="CX26" i="43"/>
  <c r="CY26" i="43" s="1"/>
  <c r="CW26" i="43"/>
  <c r="CC28" i="44"/>
  <c r="CD28" i="44" s="1"/>
  <c r="CB28" i="44"/>
  <c r="CQ26" i="1"/>
  <c r="CR26" i="1" s="1"/>
  <c r="CP26" i="1"/>
  <c r="AZ28" i="45"/>
  <c r="BA28" i="45"/>
  <c r="BB28" i="45" s="1"/>
  <c r="DD26" i="45"/>
  <c r="DE26" i="45"/>
  <c r="DF26" i="45" s="1"/>
  <c r="DK32" i="1"/>
  <c r="DL32" i="1"/>
  <c r="DM32" i="1" s="1"/>
  <c r="CP28" i="43"/>
  <c r="CQ28" i="43"/>
  <c r="CR28" i="43" s="1"/>
  <c r="BA26" i="1"/>
  <c r="BB26" i="1" s="1"/>
  <c r="AZ26" i="1"/>
  <c r="DL32" i="45"/>
  <c r="DM32" i="45" s="1"/>
  <c r="DK32" i="45"/>
  <c r="CC29" i="43"/>
  <c r="CD29" i="43" s="1"/>
  <c r="CB29" i="43"/>
  <c r="BG26" i="1"/>
  <c r="BH26" i="1"/>
  <c r="BI26" i="1" s="1"/>
  <c r="BH26" i="45"/>
  <c r="BI26" i="45" s="1"/>
  <c r="BG26" i="45"/>
  <c r="BV26" i="1"/>
  <c r="BW26" i="1" s="1"/>
  <c r="BU26" i="1"/>
  <c r="CJ29" i="1"/>
  <c r="CK29" i="1" s="1"/>
  <c r="CI29" i="1"/>
  <c r="H35" i="44" l="1"/>
  <c r="H47" i="44"/>
  <c r="H36" i="44"/>
  <c r="F35" i="43"/>
  <c r="F47" i="43"/>
  <c r="F36" i="43"/>
  <c r="L35" i="44"/>
  <c r="L36" i="44"/>
  <c r="L47" i="44"/>
  <c r="D35" i="44"/>
  <c r="D36" i="44"/>
  <c r="D47" i="44"/>
  <c r="F35" i="44"/>
  <c r="F36" i="44"/>
  <c r="F47" i="44"/>
  <c r="B35" i="43"/>
  <c r="B36" i="43"/>
  <c r="B47" i="43"/>
  <c r="DE33" i="43"/>
  <c r="DF33" i="43" s="1"/>
  <c r="DD33" i="43"/>
  <c r="CJ28" i="44"/>
  <c r="CK28" i="44" s="1"/>
  <c r="CI28" i="44"/>
  <c r="BO28" i="44"/>
  <c r="BP28" i="44" s="1"/>
  <c r="BN28" i="44"/>
  <c r="BN30" i="1"/>
  <c r="BO30" i="1"/>
  <c r="BP30" i="1" s="1"/>
  <c r="CX27" i="45"/>
  <c r="CY27" i="45" s="1"/>
  <c r="CW27" i="45"/>
  <c r="CJ29" i="43"/>
  <c r="CK29" i="43" s="1"/>
  <c r="CI29" i="43"/>
  <c r="CI29" i="45"/>
  <c r="CJ29" i="45"/>
  <c r="CK29" i="45" s="1"/>
  <c r="AZ28" i="43"/>
  <c r="BA28" i="43"/>
  <c r="BB28" i="43" s="1"/>
  <c r="BN28" i="43"/>
  <c r="BO28" i="43"/>
  <c r="BP28" i="43" s="1"/>
  <c r="DD27" i="44"/>
  <c r="DE27" i="44"/>
  <c r="DF27" i="44" s="1"/>
  <c r="BN29" i="45"/>
  <c r="BO29" i="45"/>
  <c r="BP29" i="45" s="1"/>
  <c r="BV28" i="44"/>
  <c r="BW28" i="44" s="1"/>
  <c r="BU28" i="44"/>
  <c r="CX30" i="1"/>
  <c r="CY30" i="1" s="1"/>
  <c r="CW30" i="1"/>
  <c r="DK27" i="44"/>
  <c r="DL27" i="44"/>
  <c r="DM27" i="44" s="1"/>
  <c r="CP27" i="45"/>
  <c r="CQ27" i="45"/>
  <c r="CR27" i="45" s="1"/>
  <c r="BU31" i="45"/>
  <c r="BV31" i="45"/>
  <c r="BW31" i="45" s="1"/>
  <c r="BH28" i="44"/>
  <c r="BI28" i="44" s="1"/>
  <c r="BG28" i="44"/>
  <c r="BU27" i="43"/>
  <c r="BV27" i="43"/>
  <c r="BW27" i="43" s="1"/>
  <c r="CP31" i="44"/>
  <c r="CQ31" i="44"/>
  <c r="CR31" i="44" s="1"/>
  <c r="AZ29" i="44"/>
  <c r="BA29" i="44"/>
  <c r="BB29" i="44" s="1"/>
  <c r="BG27" i="43"/>
  <c r="BH27" i="43"/>
  <c r="BI27" i="43" s="1"/>
  <c r="CB30" i="1"/>
  <c r="CC30" i="1"/>
  <c r="CD30" i="1" s="1"/>
  <c r="DE27" i="1"/>
  <c r="DF27" i="1" s="1"/>
  <c r="DD27" i="1"/>
  <c r="CB27" i="45"/>
  <c r="CC27" i="45"/>
  <c r="CD27" i="45" s="1"/>
  <c r="DL27" i="43"/>
  <c r="DM27" i="43" s="1"/>
  <c r="DK27" i="43"/>
  <c r="CW27" i="44"/>
  <c r="CX27" i="44"/>
  <c r="CY27" i="44" s="1"/>
  <c r="CP29" i="43"/>
  <c r="CQ29" i="43"/>
  <c r="CR29" i="43" s="1"/>
  <c r="DE27" i="45"/>
  <c r="DF27" i="45" s="1"/>
  <c r="DD27" i="45"/>
  <c r="DL33" i="45"/>
  <c r="DM33" i="45" s="1"/>
  <c r="DK33" i="45"/>
  <c r="BH27" i="1"/>
  <c r="BI27" i="1" s="1"/>
  <c r="BG27" i="1"/>
  <c r="DL33" i="1"/>
  <c r="DM33" i="1" s="1"/>
  <c r="DK33" i="1"/>
  <c r="AZ29" i="45"/>
  <c r="BA29" i="45"/>
  <c r="BB29" i="45" s="1"/>
  <c r="BU27" i="1"/>
  <c r="BV27" i="1"/>
  <c r="BW27" i="1" s="1"/>
  <c r="AZ27" i="1"/>
  <c r="BA27" i="1"/>
  <c r="BB27" i="1" s="1"/>
  <c r="CI30" i="1"/>
  <c r="CJ30" i="1"/>
  <c r="CK30" i="1" s="1"/>
  <c r="BH27" i="45"/>
  <c r="BI27" i="45" s="1"/>
  <c r="BG27" i="45"/>
  <c r="CB30" i="43"/>
  <c r="CC30" i="43"/>
  <c r="CD30" i="43" s="1"/>
  <c r="CQ27" i="1"/>
  <c r="CR27" i="1" s="1"/>
  <c r="CP27" i="1"/>
  <c r="CB29" i="44"/>
  <c r="CC29" i="44"/>
  <c r="CD29" i="44" s="1"/>
  <c r="CW27" i="43"/>
  <c r="CX27" i="43"/>
  <c r="CY27" i="43" s="1"/>
  <c r="P35" i="44" l="1"/>
  <c r="P47" i="44"/>
  <c r="P36" i="44"/>
  <c r="H35" i="43"/>
  <c r="H36" i="43"/>
  <c r="H47" i="43"/>
  <c r="H35" i="1"/>
  <c r="H36" i="1"/>
  <c r="H47" i="1"/>
  <c r="D35" i="43"/>
  <c r="D47" i="43"/>
  <c r="D36" i="43"/>
  <c r="T35" i="43"/>
  <c r="T36" i="43"/>
  <c r="T47" i="43"/>
  <c r="R35" i="1"/>
  <c r="R36" i="1"/>
  <c r="R47" i="1"/>
  <c r="P35" i="43"/>
  <c r="P47" i="43"/>
  <c r="P36" i="43"/>
  <c r="T35" i="44"/>
  <c r="T36" i="44"/>
  <c r="T47" i="44"/>
  <c r="R35" i="44"/>
  <c r="R47" i="44"/>
  <c r="R36" i="44"/>
  <c r="N35" i="1"/>
  <c r="N47" i="1"/>
  <c r="N36" i="1"/>
  <c r="D35" i="1"/>
  <c r="D47" i="1"/>
  <c r="D36" i="1"/>
  <c r="DD34" i="43"/>
  <c r="DE34" i="43"/>
  <c r="DF34" i="43" s="1"/>
  <c r="CJ29" i="44"/>
  <c r="CK29" i="44" s="1"/>
  <c r="CI29" i="44"/>
  <c r="BN29" i="44"/>
  <c r="BO29" i="44"/>
  <c r="BP29" i="44" s="1"/>
  <c r="BN31" i="1"/>
  <c r="BO31" i="1"/>
  <c r="BP31" i="1" s="1"/>
  <c r="CW28" i="45"/>
  <c r="CX28" i="45"/>
  <c r="CY28" i="45" s="1"/>
  <c r="CJ30" i="43"/>
  <c r="CK30" i="43" s="1"/>
  <c r="CI30" i="43"/>
  <c r="CJ30" i="45"/>
  <c r="CK30" i="45" s="1"/>
  <c r="CI30" i="45"/>
  <c r="DD28" i="44"/>
  <c r="DE28" i="44"/>
  <c r="DF28" i="44" s="1"/>
  <c r="BN29" i="43"/>
  <c r="BO29" i="43"/>
  <c r="BP29" i="43" s="1"/>
  <c r="BA29" i="43"/>
  <c r="BB29" i="43" s="1"/>
  <c r="AZ29" i="43"/>
  <c r="BO30" i="45"/>
  <c r="BP30" i="45" s="1"/>
  <c r="BN30" i="45"/>
  <c r="CW31" i="1"/>
  <c r="CX31" i="1"/>
  <c r="CY31" i="1" s="1"/>
  <c r="BU29" i="44"/>
  <c r="BV29" i="44"/>
  <c r="BW29" i="44" s="1"/>
  <c r="BV32" i="45"/>
  <c r="BW32" i="45" s="1"/>
  <c r="BU32" i="45"/>
  <c r="CQ28" i="45"/>
  <c r="CR28" i="45" s="1"/>
  <c r="CP28" i="45"/>
  <c r="BV28" i="43"/>
  <c r="BW28" i="43" s="1"/>
  <c r="BU28" i="43"/>
  <c r="DL28" i="44"/>
  <c r="DM28" i="44" s="1"/>
  <c r="DK28" i="44"/>
  <c r="BG29" i="44"/>
  <c r="BH29" i="44"/>
  <c r="BI29" i="44" s="1"/>
  <c r="CW28" i="44"/>
  <c r="CX28" i="44"/>
  <c r="CY28" i="44" s="1"/>
  <c r="BG28" i="43"/>
  <c r="BH28" i="43"/>
  <c r="BI28" i="43" s="1"/>
  <c r="AZ30" i="44"/>
  <c r="BA30" i="44"/>
  <c r="BB30" i="44" s="1"/>
  <c r="DK28" i="43"/>
  <c r="DL28" i="43"/>
  <c r="DM28" i="43" s="1"/>
  <c r="DE28" i="1"/>
  <c r="DF28" i="1" s="1"/>
  <c r="DD28" i="1"/>
  <c r="CB28" i="45"/>
  <c r="CC28" i="45"/>
  <c r="CD28" i="45" s="1"/>
  <c r="CC31" i="1"/>
  <c r="CD31" i="1" s="1"/>
  <c r="CB31" i="1"/>
  <c r="CP32" i="44"/>
  <c r="CQ32" i="44"/>
  <c r="CR32" i="44" s="1"/>
  <c r="CI31" i="1"/>
  <c r="CJ31" i="1"/>
  <c r="CK31" i="1" s="1"/>
  <c r="CQ30" i="43"/>
  <c r="CR30" i="43" s="1"/>
  <c r="CP30" i="43"/>
  <c r="DL34" i="45"/>
  <c r="DM34" i="45" s="1"/>
  <c r="DK34" i="45"/>
  <c r="CX28" i="43"/>
  <c r="CY28" i="43" s="1"/>
  <c r="CW28" i="43"/>
  <c r="AZ28" i="1"/>
  <c r="BA28" i="1"/>
  <c r="BB28" i="1" s="1"/>
  <c r="AZ30" i="45"/>
  <c r="BA30" i="45"/>
  <c r="BB30" i="45" s="1"/>
  <c r="DL34" i="1"/>
  <c r="DM34" i="1" s="1"/>
  <c r="DK34" i="1"/>
  <c r="CB30" i="44"/>
  <c r="CC30" i="44"/>
  <c r="CD30" i="44" s="1"/>
  <c r="CB31" i="43"/>
  <c r="CC31" i="43"/>
  <c r="CD31" i="43" s="1"/>
  <c r="BU28" i="1"/>
  <c r="BV28" i="1"/>
  <c r="BW28" i="1" s="1"/>
  <c r="CQ28" i="1"/>
  <c r="CR28" i="1" s="1"/>
  <c r="CP28" i="1"/>
  <c r="BG28" i="45"/>
  <c r="BH28" i="45"/>
  <c r="BI28" i="45" s="1"/>
  <c r="BG28" i="1"/>
  <c r="BH28" i="1"/>
  <c r="BI28" i="1" s="1"/>
  <c r="DE28" i="45"/>
  <c r="DF28" i="45" s="1"/>
  <c r="DD28" i="45"/>
  <c r="DE35" i="43" l="1"/>
  <c r="DF35" i="43" s="1"/>
  <c r="DD35" i="43"/>
  <c r="CI30" i="44"/>
  <c r="CJ30" i="44"/>
  <c r="CK30" i="44" s="1"/>
  <c r="BO30" i="44"/>
  <c r="BP30" i="44" s="1"/>
  <c r="BN30" i="44"/>
  <c r="BN32" i="1"/>
  <c r="BO32" i="1"/>
  <c r="BP32" i="1" s="1"/>
  <c r="CW29" i="45"/>
  <c r="CX29" i="45"/>
  <c r="CY29" i="45" s="1"/>
  <c r="CI31" i="43"/>
  <c r="CJ31" i="43"/>
  <c r="CK31" i="43" s="1"/>
  <c r="CJ31" i="45"/>
  <c r="CK31" i="45" s="1"/>
  <c r="CI31" i="45"/>
  <c r="BA30" i="43"/>
  <c r="BB30" i="43" s="1"/>
  <c r="AZ30" i="43"/>
  <c r="BO30" i="43"/>
  <c r="BP30" i="43" s="1"/>
  <c r="BN30" i="43"/>
  <c r="DE29" i="44"/>
  <c r="DF29" i="44" s="1"/>
  <c r="DD29" i="44"/>
  <c r="BN31" i="45"/>
  <c r="BO31" i="45"/>
  <c r="BP31" i="45" s="1"/>
  <c r="BV30" i="44"/>
  <c r="BW30" i="44" s="1"/>
  <c r="BU30" i="44"/>
  <c r="CX32" i="1"/>
  <c r="CY32" i="1" s="1"/>
  <c r="CW32" i="1"/>
  <c r="DK29" i="44"/>
  <c r="DL29" i="44"/>
  <c r="DM29" i="44" s="1"/>
  <c r="BV29" i="43"/>
  <c r="BW29" i="43" s="1"/>
  <c r="BU29" i="43"/>
  <c r="CQ29" i="45"/>
  <c r="CR29" i="45" s="1"/>
  <c r="CP29" i="45"/>
  <c r="BU33" i="45"/>
  <c r="BV33" i="45"/>
  <c r="BW33" i="45" s="1"/>
  <c r="BH30" i="44"/>
  <c r="BI30" i="44" s="1"/>
  <c r="BG30" i="44"/>
  <c r="CC29" i="45"/>
  <c r="CD29" i="45" s="1"/>
  <c r="CB29" i="45"/>
  <c r="DK29" i="43"/>
  <c r="DL29" i="43"/>
  <c r="DM29" i="43" s="1"/>
  <c r="BG29" i="43"/>
  <c r="BH29" i="43"/>
  <c r="BI29" i="43" s="1"/>
  <c r="CP33" i="44"/>
  <c r="CQ33" i="44"/>
  <c r="CR33" i="44" s="1"/>
  <c r="AZ31" i="44"/>
  <c r="BA31" i="44"/>
  <c r="BB31" i="44" s="1"/>
  <c r="CB32" i="1"/>
  <c r="CC32" i="1"/>
  <c r="CD32" i="1" s="1"/>
  <c r="DE29" i="1"/>
  <c r="DF29" i="1" s="1"/>
  <c r="DD29" i="1"/>
  <c r="CX29" i="44"/>
  <c r="CY29" i="44" s="1"/>
  <c r="CW29" i="44"/>
  <c r="CB31" i="44"/>
  <c r="CC31" i="44"/>
  <c r="CD31" i="44" s="1"/>
  <c r="BH29" i="45"/>
  <c r="BI29" i="45" s="1"/>
  <c r="BG29" i="45"/>
  <c r="DD29" i="45"/>
  <c r="DE29" i="45"/>
  <c r="DF29" i="45" s="1"/>
  <c r="CP29" i="1"/>
  <c r="CQ29" i="1"/>
  <c r="CR29" i="1" s="1"/>
  <c r="DL35" i="1"/>
  <c r="DM35" i="1" s="1"/>
  <c r="DK35" i="1"/>
  <c r="DL35" i="45"/>
  <c r="DM35" i="45" s="1"/>
  <c r="DK35" i="45"/>
  <c r="BV29" i="1"/>
  <c r="BW29" i="1" s="1"/>
  <c r="BU29" i="1"/>
  <c r="BA31" i="45"/>
  <c r="BB31" i="45" s="1"/>
  <c r="AZ31" i="45"/>
  <c r="CQ31" i="43"/>
  <c r="CR31" i="43" s="1"/>
  <c r="CP31" i="43"/>
  <c r="BG29" i="1"/>
  <c r="BH29" i="1"/>
  <c r="BI29" i="1" s="1"/>
  <c r="CC32" i="43"/>
  <c r="CD32" i="43" s="1"/>
  <c r="CB32" i="43"/>
  <c r="AZ29" i="1"/>
  <c r="BA29" i="1"/>
  <c r="BB29" i="1" s="1"/>
  <c r="CI32" i="1"/>
  <c r="CJ32" i="1"/>
  <c r="CK32" i="1" s="1"/>
  <c r="CX29" i="43"/>
  <c r="CY29" i="43" s="1"/>
  <c r="CW29" i="43"/>
  <c r="DD36" i="43" l="1"/>
  <c r="DE36" i="43"/>
  <c r="DF36" i="43" s="1"/>
  <c r="CI31" i="44"/>
  <c r="CJ31" i="44"/>
  <c r="CK31" i="44" s="1"/>
  <c r="BN31" i="44"/>
  <c r="BO31" i="44"/>
  <c r="BP31" i="44" s="1"/>
  <c r="BO33" i="1"/>
  <c r="BP33" i="1" s="1"/>
  <c r="BN33" i="1"/>
  <c r="CW30" i="45"/>
  <c r="CX30" i="45"/>
  <c r="CY30" i="45" s="1"/>
  <c r="CJ32" i="43"/>
  <c r="CK32" i="43" s="1"/>
  <c r="CI32" i="43"/>
  <c r="CJ32" i="45"/>
  <c r="CK32" i="45" s="1"/>
  <c r="CI32" i="45"/>
  <c r="DD30" i="44"/>
  <c r="DE30" i="44"/>
  <c r="DF30" i="44" s="1"/>
  <c r="BO31" i="43"/>
  <c r="BP31" i="43" s="1"/>
  <c r="BN31" i="43"/>
  <c r="BA31" i="43"/>
  <c r="BB31" i="43" s="1"/>
  <c r="AZ31" i="43"/>
  <c r="BO32" i="45"/>
  <c r="BP32" i="45" s="1"/>
  <c r="BN32" i="45"/>
  <c r="CX33" i="1"/>
  <c r="CY33" i="1" s="1"/>
  <c r="CW33" i="1"/>
  <c r="BV31" i="44"/>
  <c r="BW31" i="44" s="1"/>
  <c r="BU31" i="44"/>
  <c r="CQ30" i="45"/>
  <c r="CR30" i="45" s="1"/>
  <c r="CP30" i="45"/>
  <c r="DK30" i="44"/>
  <c r="DL30" i="44"/>
  <c r="DM30" i="44" s="1"/>
  <c r="BG31" i="44"/>
  <c r="BH31" i="44"/>
  <c r="BI31" i="44" s="1"/>
  <c r="BU30" i="43"/>
  <c r="BV30" i="43"/>
  <c r="BW30" i="43" s="1"/>
  <c r="BV34" i="45"/>
  <c r="BW34" i="45" s="1"/>
  <c r="BU34" i="45"/>
  <c r="DD30" i="1"/>
  <c r="DE30" i="1"/>
  <c r="DF30" i="1" s="1"/>
  <c r="CQ34" i="44"/>
  <c r="CR34" i="44" s="1"/>
  <c r="CP34" i="44"/>
  <c r="CB33" i="1"/>
  <c r="CC33" i="1"/>
  <c r="CD33" i="1" s="1"/>
  <c r="CX30" i="44"/>
  <c r="CY30" i="44" s="1"/>
  <c r="CW30" i="44"/>
  <c r="AZ32" i="44"/>
  <c r="BA32" i="44"/>
  <c r="BB32" i="44" s="1"/>
  <c r="BG30" i="43"/>
  <c r="BH30" i="43"/>
  <c r="BI30" i="43" s="1"/>
  <c r="DL30" i="43"/>
  <c r="DM30" i="43" s="1"/>
  <c r="DK30" i="43"/>
  <c r="CB30" i="45"/>
  <c r="CC30" i="45"/>
  <c r="CD30" i="45" s="1"/>
  <c r="CJ33" i="1"/>
  <c r="CK33" i="1" s="1"/>
  <c r="CI33" i="1"/>
  <c r="CW30" i="43"/>
  <c r="CX30" i="43"/>
  <c r="CY30" i="43" s="1"/>
  <c r="BU30" i="1"/>
  <c r="BV30" i="1"/>
  <c r="BW30" i="1" s="1"/>
  <c r="DK36" i="1"/>
  <c r="DL36" i="1"/>
  <c r="DM36" i="1" s="1"/>
  <c r="BH30" i="1"/>
  <c r="BI30" i="1" s="1"/>
  <c r="BG30" i="1"/>
  <c r="CQ32" i="43"/>
  <c r="CR32" i="43" s="1"/>
  <c r="CP32" i="43"/>
  <c r="BG30" i="45"/>
  <c r="BH30" i="45"/>
  <c r="BI30" i="45" s="1"/>
  <c r="BA30" i="1"/>
  <c r="BB30" i="1" s="1"/>
  <c r="AZ30" i="1"/>
  <c r="CQ30" i="1"/>
  <c r="CR30" i="1" s="1"/>
  <c r="CP30" i="1"/>
  <c r="CC33" i="43"/>
  <c r="CD33" i="43" s="1"/>
  <c r="CB33" i="43"/>
  <c r="DD30" i="45"/>
  <c r="DE30" i="45"/>
  <c r="DF30" i="45" s="1"/>
  <c r="CB32" i="44"/>
  <c r="CC32" i="44"/>
  <c r="CD32" i="44" s="1"/>
  <c r="BA32" i="45"/>
  <c r="BB32" i="45" s="1"/>
  <c r="AZ32" i="45"/>
  <c r="DL36" i="45"/>
  <c r="DM36" i="45" s="1"/>
  <c r="DK36" i="45"/>
  <c r="DE37" i="43" l="1"/>
  <c r="DF37" i="43" s="1"/>
  <c r="DD37" i="43"/>
  <c r="CJ32" i="44"/>
  <c r="CK32" i="44" s="1"/>
  <c r="CI32" i="44"/>
  <c r="BN32" i="44"/>
  <c r="BO32" i="44"/>
  <c r="BP32" i="44" s="1"/>
  <c r="BN34" i="1"/>
  <c r="BO34" i="1"/>
  <c r="BP34" i="1" s="1"/>
  <c r="CX31" i="45"/>
  <c r="CY31" i="45" s="1"/>
  <c r="CW31" i="45"/>
  <c r="CJ33" i="43"/>
  <c r="CK33" i="43" s="1"/>
  <c r="CI33" i="43"/>
  <c r="CJ33" i="45"/>
  <c r="CK33" i="45" s="1"/>
  <c r="CI33" i="45"/>
  <c r="AZ32" i="43"/>
  <c r="BA32" i="43"/>
  <c r="BB32" i="43" s="1"/>
  <c r="BN32" i="43"/>
  <c r="BO32" i="43"/>
  <c r="BP32" i="43" s="1"/>
  <c r="DD31" i="44"/>
  <c r="DE31" i="44"/>
  <c r="DF31" i="44" s="1"/>
  <c r="BN33" i="45"/>
  <c r="BO33" i="45"/>
  <c r="BP33" i="45" s="1"/>
  <c r="BU32" i="44"/>
  <c r="BV32" i="44"/>
  <c r="BW32" i="44" s="1"/>
  <c r="CW34" i="1"/>
  <c r="CX34" i="1"/>
  <c r="CY34" i="1" s="1"/>
  <c r="DK31" i="44"/>
  <c r="DL31" i="44"/>
  <c r="DM31" i="44" s="1"/>
  <c r="BV35" i="45"/>
  <c r="BW35" i="45" s="1"/>
  <c r="BU35" i="45"/>
  <c r="CP31" i="45"/>
  <c r="CQ31" i="45"/>
  <c r="CR31" i="45" s="1"/>
  <c r="BG32" i="44"/>
  <c r="BH32" i="44"/>
  <c r="BI32" i="44" s="1"/>
  <c r="BV31" i="43"/>
  <c r="BW31" i="43" s="1"/>
  <c r="BU31" i="43"/>
  <c r="AZ33" i="44"/>
  <c r="BA33" i="44"/>
  <c r="BB33" i="44" s="1"/>
  <c r="CX31" i="44"/>
  <c r="CY31" i="44" s="1"/>
  <c r="CW31" i="44"/>
  <c r="CB31" i="45"/>
  <c r="CC31" i="45"/>
  <c r="CD31" i="45" s="1"/>
  <c r="DK31" i="43"/>
  <c r="DL31" i="43"/>
  <c r="DM31" i="43" s="1"/>
  <c r="CP35" i="44"/>
  <c r="CQ35" i="44"/>
  <c r="CR35" i="44" s="1"/>
  <c r="BG31" i="43"/>
  <c r="BH31" i="43"/>
  <c r="BI31" i="43" s="1"/>
  <c r="CB34" i="1"/>
  <c r="CC34" i="1"/>
  <c r="CD34" i="1" s="1"/>
  <c r="DE31" i="1"/>
  <c r="DF31" i="1" s="1"/>
  <c r="DD31" i="1"/>
  <c r="AZ33" i="45"/>
  <c r="BA33" i="45"/>
  <c r="BB33" i="45" s="1"/>
  <c r="BH31" i="1"/>
  <c r="BI31" i="1" s="1"/>
  <c r="BG31" i="1"/>
  <c r="BG31" i="45"/>
  <c r="BH31" i="45"/>
  <c r="BI31" i="45" s="1"/>
  <c r="CP31" i="1"/>
  <c r="CQ31" i="1"/>
  <c r="CR31" i="1" s="1"/>
  <c r="CB33" i="44"/>
  <c r="CC33" i="44"/>
  <c r="CD33" i="44" s="1"/>
  <c r="CW31" i="43"/>
  <c r="CX31" i="43"/>
  <c r="CY31" i="43" s="1"/>
  <c r="CI34" i="1"/>
  <c r="CJ34" i="1"/>
  <c r="CK34" i="1" s="1"/>
  <c r="CQ33" i="43"/>
  <c r="CR33" i="43" s="1"/>
  <c r="CP33" i="43"/>
  <c r="DD31" i="45"/>
  <c r="DE31" i="45"/>
  <c r="DF31" i="45" s="1"/>
  <c r="DK37" i="1"/>
  <c r="DL37" i="1"/>
  <c r="DM37" i="1" s="1"/>
  <c r="BU31" i="1"/>
  <c r="BV31" i="1"/>
  <c r="BW31" i="1" s="1"/>
  <c r="DK37" i="45"/>
  <c r="DL37" i="45"/>
  <c r="DM37" i="45" s="1"/>
  <c r="CC34" i="43"/>
  <c r="CD34" i="43" s="1"/>
  <c r="CB34" i="43"/>
  <c r="BA31" i="1"/>
  <c r="BB31" i="1" s="1"/>
  <c r="AZ31" i="1"/>
  <c r="DD38" i="43" l="1"/>
  <c r="DE38" i="43"/>
  <c r="DF38" i="43" s="1"/>
  <c r="DL6" i="43"/>
  <c r="CJ33" i="44"/>
  <c r="CK33" i="44" s="1"/>
  <c r="CI33" i="44"/>
  <c r="BO33" i="44"/>
  <c r="BP33" i="44" s="1"/>
  <c r="BN33" i="44"/>
  <c r="BO35" i="1"/>
  <c r="BP35" i="1" s="1"/>
  <c r="BN35" i="1"/>
  <c r="CX32" i="45"/>
  <c r="CY32" i="45" s="1"/>
  <c r="CW32" i="45"/>
  <c r="CI34" i="43"/>
  <c r="CJ34" i="43"/>
  <c r="CK34" i="43" s="1"/>
  <c r="CI34" i="45"/>
  <c r="CJ34" i="45"/>
  <c r="CK34" i="45" s="1"/>
  <c r="DE32" i="44"/>
  <c r="DF32" i="44" s="1"/>
  <c r="DD32" i="44"/>
  <c r="BO33" i="43"/>
  <c r="BP33" i="43" s="1"/>
  <c r="BN33" i="43"/>
  <c r="AZ33" i="43"/>
  <c r="BA33" i="43"/>
  <c r="BB33" i="43" s="1"/>
  <c r="BO34" i="45"/>
  <c r="BP34" i="45" s="1"/>
  <c r="BN34" i="45"/>
  <c r="CW35" i="1"/>
  <c r="CX35" i="1"/>
  <c r="CY35" i="1" s="1"/>
  <c r="BV33" i="44"/>
  <c r="BW33" i="44" s="1"/>
  <c r="BU33" i="44"/>
  <c r="BG33" i="44"/>
  <c r="BH33" i="44"/>
  <c r="BI33" i="44" s="1"/>
  <c r="CQ32" i="45"/>
  <c r="CR32" i="45" s="1"/>
  <c r="CP32" i="45"/>
  <c r="BV32" i="43"/>
  <c r="BW32" i="43" s="1"/>
  <c r="BU32" i="43"/>
  <c r="BU36" i="45"/>
  <c r="BV36" i="45"/>
  <c r="BW36" i="45" s="1"/>
  <c r="DL32" i="44"/>
  <c r="DM32" i="44" s="1"/>
  <c r="DK32" i="44"/>
  <c r="BG32" i="43"/>
  <c r="BH32" i="43"/>
  <c r="BI32" i="43" s="1"/>
  <c r="CX32" i="44"/>
  <c r="CY32" i="44" s="1"/>
  <c r="CW32" i="44"/>
  <c r="DE32" i="1"/>
  <c r="DF32" i="1" s="1"/>
  <c r="DD32" i="1"/>
  <c r="DK32" i="43"/>
  <c r="DL32" i="43"/>
  <c r="DM32" i="43" s="1"/>
  <c r="AZ34" i="44"/>
  <c r="BA34" i="44"/>
  <c r="BB34" i="44" s="1"/>
  <c r="CC32" i="45"/>
  <c r="CD32" i="45" s="1"/>
  <c r="CB32" i="45"/>
  <c r="CC35" i="1"/>
  <c r="CD35" i="1" s="1"/>
  <c r="CB35" i="1"/>
  <c r="CP36" i="44"/>
  <c r="CQ36" i="44"/>
  <c r="CR36" i="44" s="1"/>
  <c r="CP34" i="43"/>
  <c r="CQ34" i="43"/>
  <c r="CR34" i="43" s="1"/>
  <c r="DK38" i="45"/>
  <c r="DL38" i="45"/>
  <c r="DM38" i="45" s="1"/>
  <c r="BG32" i="45"/>
  <c r="BH32" i="45"/>
  <c r="BI32" i="45" s="1"/>
  <c r="BH32" i="1"/>
  <c r="BI32" i="1" s="1"/>
  <c r="BG32" i="1"/>
  <c r="BA32" i="1"/>
  <c r="BB32" i="1" s="1"/>
  <c r="AZ32" i="1"/>
  <c r="CP32" i="1"/>
  <c r="CQ32" i="1"/>
  <c r="CR32" i="1" s="1"/>
  <c r="BU32" i="1"/>
  <c r="BV32" i="1"/>
  <c r="BW32" i="1" s="1"/>
  <c r="DD32" i="45"/>
  <c r="DE32" i="45"/>
  <c r="DF32" i="45" s="1"/>
  <c r="CC35" i="43"/>
  <c r="CD35" i="43" s="1"/>
  <c r="CB35" i="43"/>
  <c r="CI35" i="1"/>
  <c r="CJ35" i="1"/>
  <c r="CK35" i="1" s="1"/>
  <c r="BA34" i="45"/>
  <c r="BB34" i="45" s="1"/>
  <c r="AZ34" i="45"/>
  <c r="DK38" i="1"/>
  <c r="DL38" i="1"/>
  <c r="DM38" i="1" s="1"/>
  <c r="CW32" i="43"/>
  <c r="CX32" i="43"/>
  <c r="CY32" i="43" s="1"/>
  <c r="CC34" i="44"/>
  <c r="CD34" i="44" s="1"/>
  <c r="CB34" i="44"/>
  <c r="DD39" i="43" l="1"/>
  <c r="DE39" i="43"/>
  <c r="DF39" i="43" s="1"/>
  <c r="CJ34" i="44"/>
  <c r="CK34" i="44" s="1"/>
  <c r="CI34" i="44"/>
  <c r="BO34" i="44"/>
  <c r="BP34" i="44" s="1"/>
  <c r="BN34" i="44"/>
  <c r="BO36" i="1"/>
  <c r="BP36" i="1" s="1"/>
  <c r="BN36" i="1"/>
  <c r="CW33" i="45"/>
  <c r="CX33" i="45"/>
  <c r="CY33" i="45" s="1"/>
  <c r="CI35" i="43"/>
  <c r="CJ35" i="43"/>
  <c r="CK35" i="43" s="1"/>
  <c r="CI35" i="45"/>
  <c r="CJ35" i="45"/>
  <c r="CK35" i="45" s="1"/>
  <c r="BA34" i="43"/>
  <c r="BB34" i="43" s="1"/>
  <c r="AZ34" i="43"/>
  <c r="BN34" i="43"/>
  <c r="BO34" i="43"/>
  <c r="BP34" i="43" s="1"/>
  <c r="DD33" i="44"/>
  <c r="DE33" i="44"/>
  <c r="DF33" i="44" s="1"/>
  <c r="BO35" i="45"/>
  <c r="BP35" i="45" s="1"/>
  <c r="BN35" i="45"/>
  <c r="BU34" i="44"/>
  <c r="BV34" i="44"/>
  <c r="BW34" i="44" s="1"/>
  <c r="CX36" i="1"/>
  <c r="CY36" i="1" s="1"/>
  <c r="CW36" i="1"/>
  <c r="BV37" i="45"/>
  <c r="BW37" i="45" s="1"/>
  <c r="BU37" i="45"/>
  <c r="BU33" i="43"/>
  <c r="BV33" i="43"/>
  <c r="BW33" i="43" s="1"/>
  <c r="DL33" i="44"/>
  <c r="DM33" i="44" s="1"/>
  <c r="DK33" i="44"/>
  <c r="CQ33" i="45"/>
  <c r="CR33" i="45" s="1"/>
  <c r="CP33" i="45"/>
  <c r="BH34" i="44"/>
  <c r="BI34" i="44" s="1"/>
  <c r="BG34" i="44"/>
  <c r="CB36" i="1"/>
  <c r="CC36" i="1"/>
  <c r="CD36" i="1" s="1"/>
  <c r="CX33" i="44"/>
  <c r="CY33" i="44" s="1"/>
  <c r="CW33" i="44"/>
  <c r="AZ35" i="44"/>
  <c r="BA35" i="44"/>
  <c r="BB35" i="44" s="1"/>
  <c r="DL33" i="43"/>
  <c r="DM33" i="43" s="1"/>
  <c r="DK33" i="43"/>
  <c r="CC33" i="45"/>
  <c r="CD33" i="45" s="1"/>
  <c r="CB33" i="45"/>
  <c r="DE33" i="1"/>
  <c r="DF33" i="1" s="1"/>
  <c r="DD33" i="1"/>
  <c r="CP37" i="44"/>
  <c r="CQ37" i="44"/>
  <c r="CR37" i="44" s="1"/>
  <c r="BH33" i="43"/>
  <c r="BI33" i="43" s="1"/>
  <c r="BG33" i="43"/>
  <c r="CC36" i="43"/>
  <c r="CD36" i="43" s="1"/>
  <c r="CB36" i="43"/>
  <c r="DD33" i="45"/>
  <c r="DE33" i="45"/>
  <c r="DF33" i="45" s="1"/>
  <c r="AZ33" i="1"/>
  <c r="BA33" i="1"/>
  <c r="BB33" i="1" s="1"/>
  <c r="CX33" i="43"/>
  <c r="CY33" i="43" s="1"/>
  <c r="CW33" i="43"/>
  <c r="BG33" i="45"/>
  <c r="BH33" i="45"/>
  <c r="BI33" i="45" s="1"/>
  <c r="DL39" i="1"/>
  <c r="DM39" i="1" s="1"/>
  <c r="DK39" i="1"/>
  <c r="CI36" i="1"/>
  <c r="CJ36" i="1"/>
  <c r="CK36" i="1" s="1"/>
  <c r="BU33" i="1"/>
  <c r="BV33" i="1"/>
  <c r="BW33" i="1" s="1"/>
  <c r="CP35" i="43"/>
  <c r="CQ35" i="43"/>
  <c r="CR35" i="43" s="1"/>
  <c r="CC35" i="44"/>
  <c r="CD35" i="44" s="1"/>
  <c r="CB35" i="44"/>
  <c r="AZ35" i="45"/>
  <c r="BA35" i="45"/>
  <c r="BB35" i="45" s="1"/>
  <c r="BH33" i="1"/>
  <c r="BI33" i="1" s="1"/>
  <c r="BG33" i="1"/>
  <c r="DK39" i="45"/>
  <c r="DL39" i="45"/>
  <c r="DM39" i="45" s="1"/>
  <c r="CP33" i="1"/>
  <c r="CQ33" i="1"/>
  <c r="CR33" i="1" s="1"/>
  <c r="DD40" i="43" l="1"/>
  <c r="DE40" i="43"/>
  <c r="DF40" i="43" s="1"/>
  <c r="CJ35" i="44"/>
  <c r="CK35" i="44" s="1"/>
  <c r="CI35" i="44"/>
  <c r="BO35" i="44"/>
  <c r="BP35" i="44" s="1"/>
  <c r="BN35" i="44"/>
  <c r="BN37" i="1"/>
  <c r="BO37" i="1"/>
  <c r="BP37" i="1" s="1"/>
  <c r="CX34" i="45"/>
  <c r="CY34" i="45" s="1"/>
  <c r="CW34" i="45"/>
  <c r="CI36" i="43"/>
  <c r="CJ36" i="43"/>
  <c r="CK36" i="43" s="1"/>
  <c r="CI36" i="45"/>
  <c r="CJ36" i="45"/>
  <c r="CK36" i="45" s="1"/>
  <c r="DD34" i="44"/>
  <c r="DE34" i="44"/>
  <c r="DF34" i="44" s="1"/>
  <c r="BN35" i="43"/>
  <c r="BO35" i="43"/>
  <c r="BP35" i="43" s="1"/>
  <c r="BA35" i="43"/>
  <c r="BB35" i="43" s="1"/>
  <c r="AZ35" i="43"/>
  <c r="BN36" i="45"/>
  <c r="BO36" i="45"/>
  <c r="BP36" i="45" s="1"/>
  <c r="CW37" i="1"/>
  <c r="CX37" i="1"/>
  <c r="CY37" i="1" s="1"/>
  <c r="BV35" i="44"/>
  <c r="BW35" i="44" s="1"/>
  <c r="BU35" i="44"/>
  <c r="CP34" i="45"/>
  <c r="CQ34" i="45"/>
  <c r="CR34" i="45" s="1"/>
  <c r="DK34" i="44"/>
  <c r="DL34" i="44"/>
  <c r="DM34" i="44" s="1"/>
  <c r="BG35" i="44"/>
  <c r="BH35" i="44"/>
  <c r="BI35" i="44" s="1"/>
  <c r="BU34" i="43"/>
  <c r="BV34" i="43"/>
  <c r="BW34" i="43" s="1"/>
  <c r="CC6" i="45"/>
  <c r="BV38" i="45"/>
  <c r="BW38" i="45" s="1"/>
  <c r="BU38" i="45"/>
  <c r="CC34" i="45"/>
  <c r="CD34" i="45" s="1"/>
  <c r="CB34" i="45"/>
  <c r="CC37" i="1"/>
  <c r="CD37" i="1" s="1"/>
  <c r="CB37" i="1"/>
  <c r="BH34" i="43"/>
  <c r="BI34" i="43" s="1"/>
  <c r="BG34" i="43"/>
  <c r="DL34" i="43"/>
  <c r="DM34" i="43" s="1"/>
  <c r="DK34" i="43"/>
  <c r="AZ36" i="44"/>
  <c r="BA36" i="44"/>
  <c r="BB36" i="44" s="1"/>
  <c r="CP38" i="44"/>
  <c r="CX6" i="44"/>
  <c r="CQ38" i="44"/>
  <c r="CR38" i="44" s="1"/>
  <c r="CW34" i="44"/>
  <c r="CX34" i="44"/>
  <c r="CY34" i="44" s="1"/>
  <c r="DE34" i="1"/>
  <c r="DF34" i="1" s="1"/>
  <c r="DD34" i="1"/>
  <c r="CI37" i="1"/>
  <c r="CJ37" i="1"/>
  <c r="CK37" i="1" s="1"/>
  <c r="DD34" i="45"/>
  <c r="DE34" i="45"/>
  <c r="DF34" i="45" s="1"/>
  <c r="CQ34" i="1"/>
  <c r="CR34" i="1" s="1"/>
  <c r="CP34" i="1"/>
  <c r="CC37" i="43"/>
  <c r="CD37" i="43" s="1"/>
  <c r="CB37" i="43"/>
  <c r="DK40" i="45"/>
  <c r="DL40" i="45"/>
  <c r="DM40" i="45" s="1"/>
  <c r="AZ36" i="45"/>
  <c r="BA36" i="45"/>
  <c r="BB36" i="45" s="1"/>
  <c r="BU34" i="1"/>
  <c r="BV34" i="1"/>
  <c r="BW34" i="1" s="1"/>
  <c r="BG34" i="45"/>
  <c r="BH34" i="45"/>
  <c r="BI34" i="45" s="1"/>
  <c r="BG34" i="1"/>
  <c r="BH34" i="1"/>
  <c r="BI34" i="1" s="1"/>
  <c r="CC36" i="44"/>
  <c r="CD36" i="44" s="1"/>
  <c r="CB36" i="44"/>
  <c r="CX34" i="43"/>
  <c r="CY34" i="43" s="1"/>
  <c r="CW34" i="43"/>
  <c r="DK40" i="1"/>
  <c r="DL40" i="1"/>
  <c r="DM40" i="1" s="1"/>
  <c r="CP36" i="43"/>
  <c r="CQ36" i="43"/>
  <c r="CR36" i="43" s="1"/>
  <c r="BA34" i="1"/>
  <c r="BB34" i="1" s="1"/>
  <c r="AZ34" i="1"/>
  <c r="DD41" i="43" l="1"/>
  <c r="DE41" i="43"/>
  <c r="DF41" i="43" s="1"/>
  <c r="CI36" i="44"/>
  <c r="CJ36" i="44"/>
  <c r="CK36" i="44" s="1"/>
  <c r="BN36" i="44"/>
  <c r="BO36" i="44"/>
  <c r="BP36" i="44" s="1"/>
  <c r="BN38" i="1"/>
  <c r="BV6" i="1"/>
  <c r="BO38" i="1"/>
  <c r="BP38" i="1" s="1"/>
  <c r="CW35" i="45"/>
  <c r="CX35" i="45"/>
  <c r="CY35" i="45" s="1"/>
  <c r="CJ37" i="43"/>
  <c r="CK37" i="43" s="1"/>
  <c r="CI37" i="43"/>
  <c r="CI37" i="45"/>
  <c r="CJ37" i="45"/>
  <c r="CK37" i="45" s="1"/>
  <c r="AZ36" i="43"/>
  <c r="BA36" i="43"/>
  <c r="BB36" i="43" s="1"/>
  <c r="BN36" i="43"/>
  <c r="BO36" i="43"/>
  <c r="BP36" i="43" s="1"/>
  <c r="DE35" i="44"/>
  <c r="DF35" i="44" s="1"/>
  <c r="DD35" i="44"/>
  <c r="BO37" i="45"/>
  <c r="BP37" i="45" s="1"/>
  <c r="BN37" i="45"/>
  <c r="BU36" i="44"/>
  <c r="BV36" i="44"/>
  <c r="BW36" i="44" s="1"/>
  <c r="CW38" i="1"/>
  <c r="CX38" i="1"/>
  <c r="CY38" i="1" s="1"/>
  <c r="DE6" i="1"/>
  <c r="BV39" i="45"/>
  <c r="BW39" i="45" s="1"/>
  <c r="BU39" i="45"/>
  <c r="BU35" i="43"/>
  <c r="BV35" i="43"/>
  <c r="BW35" i="43" s="1"/>
  <c r="BH36" i="44"/>
  <c r="BI36" i="44" s="1"/>
  <c r="BG36" i="44"/>
  <c r="DL35" i="44"/>
  <c r="DM35" i="44" s="1"/>
  <c r="DK35" i="44"/>
  <c r="CQ35" i="45"/>
  <c r="CR35" i="45" s="1"/>
  <c r="CP35" i="45"/>
  <c r="CP39" i="44"/>
  <c r="CQ39" i="44"/>
  <c r="CR39" i="44" s="1"/>
  <c r="DL35" i="43"/>
  <c r="DM35" i="43" s="1"/>
  <c r="DK35" i="43"/>
  <c r="CW35" i="44"/>
  <c r="CX35" i="44"/>
  <c r="CY35" i="44" s="1"/>
  <c r="BH35" i="43"/>
  <c r="BI35" i="43" s="1"/>
  <c r="BG35" i="43"/>
  <c r="CC35" i="45"/>
  <c r="CD35" i="45" s="1"/>
  <c r="CB35" i="45"/>
  <c r="DD35" i="1"/>
  <c r="DE35" i="1"/>
  <c r="DF35" i="1" s="1"/>
  <c r="BA37" i="44"/>
  <c r="BB37" i="44" s="1"/>
  <c r="AZ37" i="44"/>
  <c r="CC38" i="1"/>
  <c r="CD38" i="1" s="1"/>
  <c r="CJ6" i="1"/>
  <c r="CB38" i="1"/>
  <c r="CP37" i="43"/>
  <c r="CQ37" i="43"/>
  <c r="CR37" i="43" s="1"/>
  <c r="BG35" i="45"/>
  <c r="BH35" i="45"/>
  <c r="BI35" i="45" s="1"/>
  <c r="DL41" i="45"/>
  <c r="DM41" i="45" s="1"/>
  <c r="DK41" i="45"/>
  <c r="DD35" i="45"/>
  <c r="DE35" i="45"/>
  <c r="DF35" i="45" s="1"/>
  <c r="AZ35" i="1"/>
  <c r="BA35" i="1"/>
  <c r="BB35" i="1" s="1"/>
  <c r="BG35" i="1"/>
  <c r="BH35" i="1"/>
  <c r="BI35" i="1" s="1"/>
  <c r="CQ35" i="1"/>
  <c r="CR35" i="1" s="1"/>
  <c r="CP35" i="1"/>
  <c r="CC37" i="44"/>
  <c r="CD37" i="44" s="1"/>
  <c r="CB37" i="44"/>
  <c r="DL41" i="1"/>
  <c r="DM41" i="1" s="1"/>
  <c r="DK41" i="1"/>
  <c r="CW35" i="43"/>
  <c r="CX35" i="43"/>
  <c r="CY35" i="43" s="1"/>
  <c r="BU35" i="1"/>
  <c r="BV35" i="1"/>
  <c r="BW35" i="1" s="1"/>
  <c r="CJ38" i="1"/>
  <c r="CK38" i="1" s="1"/>
  <c r="CQ6" i="1"/>
  <c r="CI38" i="1"/>
  <c r="AZ37" i="45"/>
  <c r="BA37" i="45"/>
  <c r="BB37" i="45" s="1"/>
  <c r="CB38" i="43"/>
  <c r="CJ6" i="43"/>
  <c r="CC38" i="43"/>
  <c r="CD38" i="43" s="1"/>
  <c r="R49" i="43" l="1"/>
  <c r="R57" i="43" s="1"/>
  <c r="R48" i="43"/>
  <c r="R54" i="43" s="1"/>
  <c r="CI37" i="44"/>
  <c r="CJ37" i="44"/>
  <c r="CK37" i="44" s="1"/>
  <c r="BO37" i="44"/>
  <c r="BP37" i="44" s="1"/>
  <c r="BN37" i="44"/>
  <c r="BN39" i="1"/>
  <c r="BO39" i="1"/>
  <c r="BP39" i="1" s="1"/>
  <c r="CW36" i="45"/>
  <c r="CX36" i="45"/>
  <c r="CY36" i="45" s="1"/>
  <c r="CI38" i="43"/>
  <c r="CJ38" i="43"/>
  <c r="CK38" i="43" s="1"/>
  <c r="CQ6" i="43"/>
  <c r="CQ6" i="45"/>
  <c r="CJ38" i="45"/>
  <c r="CK38" i="45" s="1"/>
  <c r="CI38" i="45"/>
  <c r="DD36" i="44"/>
  <c r="DE36" i="44"/>
  <c r="DF36" i="44" s="1"/>
  <c r="BO37" i="43"/>
  <c r="BP37" i="43" s="1"/>
  <c r="BN37" i="43"/>
  <c r="BA37" i="43"/>
  <c r="BB37" i="43" s="1"/>
  <c r="AZ37" i="43"/>
  <c r="BO38" i="45"/>
  <c r="BP38" i="45" s="1"/>
  <c r="BV6" i="45"/>
  <c r="BN38" i="45"/>
  <c r="CW39" i="1"/>
  <c r="CX39" i="1"/>
  <c r="CY39" i="1" s="1"/>
  <c r="BU37" i="44"/>
  <c r="BV37" i="44"/>
  <c r="BW37" i="44" s="1"/>
  <c r="BG37" i="44"/>
  <c r="BH37" i="44"/>
  <c r="BI37" i="44" s="1"/>
  <c r="CQ36" i="45"/>
  <c r="CR36" i="45" s="1"/>
  <c r="CP36" i="45"/>
  <c r="BU36" i="43"/>
  <c r="BV36" i="43"/>
  <c r="BW36" i="43" s="1"/>
  <c r="DK36" i="44"/>
  <c r="DL36" i="44"/>
  <c r="DM36" i="44" s="1"/>
  <c r="BV40" i="45"/>
  <c r="BW40" i="45" s="1"/>
  <c r="BU40" i="45"/>
  <c r="CB39" i="1"/>
  <c r="CC39" i="1"/>
  <c r="CD39" i="1" s="1"/>
  <c r="CB36" i="45"/>
  <c r="CC36" i="45"/>
  <c r="CD36" i="45" s="1"/>
  <c r="AZ38" i="44"/>
  <c r="BH6" i="44"/>
  <c r="BA38" i="44"/>
  <c r="BB38" i="44" s="1"/>
  <c r="BH36" i="43"/>
  <c r="BI36" i="43" s="1"/>
  <c r="BG36" i="43"/>
  <c r="DK36" i="43"/>
  <c r="DL36" i="43"/>
  <c r="DM36" i="43" s="1"/>
  <c r="DE36" i="1"/>
  <c r="DF36" i="1" s="1"/>
  <c r="DD36" i="1"/>
  <c r="CP40" i="44"/>
  <c r="CQ40" i="44"/>
  <c r="CR40" i="44" s="1"/>
  <c r="CX36" i="44"/>
  <c r="CY36" i="44" s="1"/>
  <c r="CW36" i="44"/>
  <c r="CW36" i="43"/>
  <c r="CX36" i="43"/>
  <c r="CY36" i="43" s="1"/>
  <c r="BG36" i="45"/>
  <c r="BH36" i="45"/>
  <c r="BI36" i="45" s="1"/>
  <c r="BH6" i="45"/>
  <c r="BA38" i="45"/>
  <c r="BB38" i="45" s="1"/>
  <c r="AZ38" i="45"/>
  <c r="CI39" i="1"/>
  <c r="CJ39" i="1"/>
  <c r="CK39" i="1" s="1"/>
  <c r="T49" i="1"/>
  <c r="T57" i="1" s="1"/>
  <c r="T48" i="1"/>
  <c r="T54" i="1" s="1"/>
  <c r="BA36" i="1"/>
  <c r="BB36" i="1" s="1"/>
  <c r="AZ36" i="1"/>
  <c r="CX6" i="43"/>
  <c r="CQ38" i="43"/>
  <c r="CR38" i="43" s="1"/>
  <c r="CP38" i="43"/>
  <c r="CB38" i="44"/>
  <c r="CJ6" i="44"/>
  <c r="CC38" i="44"/>
  <c r="CD38" i="44" s="1"/>
  <c r="DD36" i="45"/>
  <c r="DE36" i="45"/>
  <c r="DF36" i="45" s="1"/>
  <c r="BU36" i="1"/>
  <c r="BV36" i="1"/>
  <c r="BW36" i="1" s="1"/>
  <c r="CB39" i="43"/>
  <c r="CC39" i="43"/>
  <c r="CD39" i="43" s="1"/>
  <c r="CQ36" i="1"/>
  <c r="CR36" i="1" s="1"/>
  <c r="CP36" i="1"/>
  <c r="BG36" i="1"/>
  <c r="BH36" i="1"/>
  <c r="BI36" i="1" s="1"/>
  <c r="R37" i="43" l="1"/>
  <c r="CI38" i="44"/>
  <c r="CQ6" i="44"/>
  <c r="CJ38" i="44"/>
  <c r="CK38" i="44" s="1"/>
  <c r="BV6" i="44"/>
  <c r="BN38" i="44"/>
  <c r="BO38" i="44"/>
  <c r="BP38" i="44" s="1"/>
  <c r="BO40" i="1"/>
  <c r="BP40" i="1" s="1"/>
  <c r="BN40" i="1"/>
  <c r="CW37" i="45"/>
  <c r="CX37" i="45"/>
  <c r="CY37" i="45" s="1"/>
  <c r="CJ39" i="43"/>
  <c r="CK39" i="43" s="1"/>
  <c r="CI39" i="43"/>
  <c r="CI39" i="45"/>
  <c r="CJ39" i="45"/>
  <c r="CK39" i="45" s="1"/>
  <c r="BA38" i="43"/>
  <c r="BB38" i="43" s="1"/>
  <c r="BH6" i="43"/>
  <c r="AZ38" i="43"/>
  <c r="BN38" i="43"/>
  <c r="BV6" i="43"/>
  <c r="BO38" i="43"/>
  <c r="BP38" i="43" s="1"/>
  <c r="DE37" i="44"/>
  <c r="DF37" i="44" s="1"/>
  <c r="DD37" i="44"/>
  <c r="BO39" i="45"/>
  <c r="BP39" i="45" s="1"/>
  <c r="BN39" i="45"/>
  <c r="BU38" i="44"/>
  <c r="BV38" i="44"/>
  <c r="BW38" i="44" s="1"/>
  <c r="CC6" i="44"/>
  <c r="CX40" i="1"/>
  <c r="CY40" i="1" s="1"/>
  <c r="CW40" i="1"/>
  <c r="BU37" i="43"/>
  <c r="BV37" i="43"/>
  <c r="BW37" i="43" s="1"/>
  <c r="CP37" i="45"/>
  <c r="CQ37" i="45"/>
  <c r="CR37" i="45" s="1"/>
  <c r="DK37" i="44"/>
  <c r="DL37" i="44"/>
  <c r="DM37" i="44" s="1"/>
  <c r="BU41" i="45"/>
  <c r="BV41" i="45"/>
  <c r="BW41" i="45" s="1"/>
  <c r="BG38" i="44"/>
  <c r="BO6" i="44"/>
  <c r="BH38" i="44"/>
  <c r="BI38" i="44" s="1"/>
  <c r="CC37" i="45"/>
  <c r="CD37" i="45" s="1"/>
  <c r="CB37" i="45"/>
  <c r="CX37" i="44"/>
  <c r="CY37" i="44" s="1"/>
  <c r="CW37" i="44"/>
  <c r="DD37" i="1"/>
  <c r="DE37" i="1"/>
  <c r="DF37" i="1" s="1"/>
  <c r="BA39" i="44"/>
  <c r="BB39" i="44" s="1"/>
  <c r="AZ39" i="44"/>
  <c r="CP41" i="44"/>
  <c r="CQ41" i="44"/>
  <c r="CR41" i="44" s="1"/>
  <c r="DK37" i="43"/>
  <c r="DL37" i="43"/>
  <c r="DM37" i="43" s="1"/>
  <c r="BG37" i="43"/>
  <c r="BH37" i="43"/>
  <c r="BI37" i="43" s="1"/>
  <c r="CC40" i="1"/>
  <c r="CD40" i="1" s="1"/>
  <c r="CB40" i="1"/>
  <c r="BG37" i="1"/>
  <c r="BH37" i="1"/>
  <c r="BI37" i="1" s="1"/>
  <c r="DE37" i="45"/>
  <c r="DF37" i="45" s="1"/>
  <c r="DD37" i="45"/>
  <c r="BA39" i="45"/>
  <c r="BB39" i="45" s="1"/>
  <c r="AZ39" i="45"/>
  <c r="CP39" i="43"/>
  <c r="CQ39" i="43"/>
  <c r="CR39" i="43" s="1"/>
  <c r="CP37" i="1"/>
  <c r="CQ37" i="1"/>
  <c r="CR37" i="1" s="1"/>
  <c r="BV37" i="1"/>
  <c r="BW37" i="1" s="1"/>
  <c r="BU37" i="1"/>
  <c r="CW37" i="43"/>
  <c r="CX37" i="43"/>
  <c r="CY37" i="43" s="1"/>
  <c r="AZ37" i="1"/>
  <c r="BA37" i="1"/>
  <c r="BB37" i="1" s="1"/>
  <c r="CB40" i="43"/>
  <c r="CC40" i="43"/>
  <c r="CD40" i="43" s="1"/>
  <c r="CC39" i="44"/>
  <c r="CD39" i="44" s="1"/>
  <c r="CB39" i="44"/>
  <c r="T37" i="1"/>
  <c r="CJ40" i="1"/>
  <c r="CK40" i="1" s="1"/>
  <c r="CI40" i="1"/>
  <c r="BH37" i="45"/>
  <c r="BI37" i="45" s="1"/>
  <c r="BG37" i="45"/>
  <c r="R52" i="43" l="1"/>
  <c r="DE2" i="43" s="1"/>
  <c r="R53" i="43"/>
  <c r="R55" i="43" s="1"/>
  <c r="CJ39" i="44"/>
  <c r="CK39" i="44" s="1"/>
  <c r="CI39" i="44"/>
  <c r="BN39" i="44"/>
  <c r="BO39" i="44"/>
  <c r="BP39" i="44" s="1"/>
  <c r="BO41" i="1"/>
  <c r="BP41" i="1" s="1"/>
  <c r="BN41" i="1"/>
  <c r="CX38" i="45"/>
  <c r="CY38" i="45" s="1"/>
  <c r="CW38" i="45"/>
  <c r="DE6" i="45"/>
  <c r="CI40" i="43"/>
  <c r="CJ40" i="43"/>
  <c r="CK40" i="43" s="1"/>
  <c r="CJ40" i="45"/>
  <c r="CK40" i="45" s="1"/>
  <c r="CI40" i="45"/>
  <c r="BO39" i="43"/>
  <c r="BP39" i="43" s="1"/>
  <c r="BN39" i="43"/>
  <c r="AZ39" i="43"/>
  <c r="BA39" i="43"/>
  <c r="BB39" i="43" s="1"/>
  <c r="DD38" i="44"/>
  <c r="DL6" i="44"/>
  <c r="DE38" i="44"/>
  <c r="DF38" i="44" s="1"/>
  <c r="BN40" i="45"/>
  <c r="BO40" i="45"/>
  <c r="BP40" i="45" s="1"/>
  <c r="BU39" i="44"/>
  <c r="BV39" i="44"/>
  <c r="BW39" i="44" s="1"/>
  <c r="CX41" i="1"/>
  <c r="CY41" i="1" s="1"/>
  <c r="CW41" i="1"/>
  <c r="CP38" i="45"/>
  <c r="CQ38" i="45"/>
  <c r="CR38" i="45" s="1"/>
  <c r="CX6" i="45"/>
  <c r="BH39" i="44"/>
  <c r="BI39" i="44" s="1"/>
  <c r="BG39" i="44"/>
  <c r="BV38" i="43"/>
  <c r="BW38" i="43" s="1"/>
  <c r="BU38" i="43"/>
  <c r="CC6" i="43"/>
  <c r="DL38" i="44"/>
  <c r="DM38" i="44" s="1"/>
  <c r="DK38" i="44"/>
  <c r="BG38" i="43"/>
  <c r="BH38" i="43"/>
  <c r="BI38" i="43" s="1"/>
  <c r="BO6" i="43"/>
  <c r="CJ6" i="45"/>
  <c r="CB38" i="45"/>
  <c r="CC38" i="45"/>
  <c r="CD38" i="45" s="1"/>
  <c r="DL38" i="43"/>
  <c r="DM38" i="43" s="1"/>
  <c r="DK38" i="43"/>
  <c r="CW38" i="44"/>
  <c r="DE6" i="44"/>
  <c r="CX38" i="44"/>
  <c r="CY38" i="44" s="1"/>
  <c r="N48" i="44"/>
  <c r="N54" i="44" s="1"/>
  <c r="N49" i="44"/>
  <c r="N57" i="44" s="1"/>
  <c r="CC41" i="1"/>
  <c r="CD41" i="1" s="1"/>
  <c r="CB41" i="1"/>
  <c r="BA40" i="44"/>
  <c r="BB40" i="44" s="1"/>
  <c r="AZ40" i="44"/>
  <c r="DD38" i="1"/>
  <c r="DE38" i="1"/>
  <c r="DF38" i="1" s="1"/>
  <c r="DL6" i="1"/>
  <c r="BA38" i="1"/>
  <c r="BB38" i="1" s="1"/>
  <c r="BH6" i="1"/>
  <c r="AZ38" i="1"/>
  <c r="CC40" i="44"/>
  <c r="CD40" i="44" s="1"/>
  <c r="CB40" i="44"/>
  <c r="DE6" i="43"/>
  <c r="CW38" i="43"/>
  <c r="CX38" i="43"/>
  <c r="CY38" i="43" s="1"/>
  <c r="BG38" i="1"/>
  <c r="BO6" i="1"/>
  <c r="BH38" i="1"/>
  <c r="BI38" i="1" s="1"/>
  <c r="CX6" i="1"/>
  <c r="CQ38" i="1"/>
  <c r="CR38" i="1" s="1"/>
  <c r="CP38" i="1"/>
  <c r="BA40" i="45"/>
  <c r="BB40" i="45" s="1"/>
  <c r="AZ40" i="45"/>
  <c r="CJ41" i="1"/>
  <c r="CK41" i="1" s="1"/>
  <c r="CI41" i="1"/>
  <c r="BU38" i="1"/>
  <c r="CC6" i="1"/>
  <c r="BV38" i="1"/>
  <c r="BW38" i="1" s="1"/>
  <c r="CP40" i="43"/>
  <c r="CQ40" i="43"/>
  <c r="CR40" i="43" s="1"/>
  <c r="DE38" i="45"/>
  <c r="DF38" i="45" s="1"/>
  <c r="DD38" i="45"/>
  <c r="DL6" i="45"/>
  <c r="BO6" i="45"/>
  <c r="BH38" i="45"/>
  <c r="BI38" i="45" s="1"/>
  <c r="BG38" i="45"/>
  <c r="CB41" i="43"/>
  <c r="CC41" i="43"/>
  <c r="CD41" i="43" s="1"/>
  <c r="T53" i="1"/>
  <c r="T55" i="1" s="1"/>
  <c r="T52" i="1"/>
  <c r="DL2" i="1" s="1"/>
  <c r="CI40" i="44" l="1"/>
  <c r="CJ40" i="44"/>
  <c r="CK40" i="44" s="1"/>
  <c r="BO40" i="44"/>
  <c r="BP40" i="44" s="1"/>
  <c r="BN40" i="44"/>
  <c r="BR8" i="1"/>
  <c r="BR9" i="1" s="1"/>
  <c r="BR10" i="1" s="1"/>
  <c r="CX39" i="45"/>
  <c r="CY39" i="45" s="1"/>
  <c r="CW39" i="45"/>
  <c r="CI41" i="43"/>
  <c r="CJ41" i="43"/>
  <c r="CK41" i="43" s="1"/>
  <c r="CI41" i="45"/>
  <c r="CJ41" i="45"/>
  <c r="CK41" i="45" s="1"/>
  <c r="BA40" i="43"/>
  <c r="BB40" i="43" s="1"/>
  <c r="AZ40" i="43"/>
  <c r="BO40" i="43"/>
  <c r="BP40" i="43" s="1"/>
  <c r="BN40" i="43"/>
  <c r="DD39" i="44"/>
  <c r="DE39" i="44"/>
  <c r="DF39" i="44" s="1"/>
  <c r="BO41" i="45"/>
  <c r="BP41" i="45" s="1"/>
  <c r="BN41" i="45"/>
  <c r="J48" i="43"/>
  <c r="J54" i="43" s="1"/>
  <c r="BV40" i="44"/>
  <c r="BW40" i="44" s="1"/>
  <c r="BU40" i="44"/>
  <c r="DK39" i="44"/>
  <c r="DL39" i="44"/>
  <c r="DM39" i="44" s="1"/>
  <c r="BG40" i="44"/>
  <c r="BH40" i="44"/>
  <c r="BI40" i="44" s="1"/>
  <c r="BV39" i="43"/>
  <c r="BW39" i="43" s="1"/>
  <c r="BU39" i="43"/>
  <c r="CP39" i="45"/>
  <c r="CQ39" i="45"/>
  <c r="CR39" i="45" s="1"/>
  <c r="N37" i="44"/>
  <c r="DK39" i="43"/>
  <c r="DL39" i="43"/>
  <c r="DM39" i="43" s="1"/>
  <c r="CC39" i="45"/>
  <c r="CD39" i="45" s="1"/>
  <c r="CB39" i="45"/>
  <c r="J49" i="1"/>
  <c r="J57" i="1" s="1"/>
  <c r="J48" i="1"/>
  <c r="J54" i="1" s="1"/>
  <c r="J37" i="1"/>
  <c r="CX39" i="44"/>
  <c r="CY39" i="44" s="1"/>
  <c r="CW39" i="44"/>
  <c r="BG39" i="43"/>
  <c r="BH39" i="43"/>
  <c r="BI39" i="43" s="1"/>
  <c r="DE39" i="1"/>
  <c r="DF39" i="1" s="1"/>
  <c r="DD39" i="1"/>
  <c r="J49" i="43"/>
  <c r="J57" i="43" s="1"/>
  <c r="BA41" i="44"/>
  <c r="BB41" i="44" s="1"/>
  <c r="AZ41" i="44"/>
  <c r="CP41" i="43"/>
  <c r="CQ41" i="43"/>
  <c r="CR41" i="43" s="1"/>
  <c r="BG39" i="45"/>
  <c r="BH39" i="45"/>
  <c r="BI39" i="45" s="1"/>
  <c r="AZ41" i="45"/>
  <c r="BA41" i="45"/>
  <c r="BB41" i="45" s="1"/>
  <c r="CP39" i="1"/>
  <c r="CQ39" i="1"/>
  <c r="CR39" i="1" s="1"/>
  <c r="CB41" i="44"/>
  <c r="CC41" i="44"/>
  <c r="CD41" i="44" s="1"/>
  <c r="CX39" i="43"/>
  <c r="CY39" i="43" s="1"/>
  <c r="CW39" i="43"/>
  <c r="BU39" i="1"/>
  <c r="BV39" i="1"/>
  <c r="BW39" i="1" s="1"/>
  <c r="BA39" i="1"/>
  <c r="BB39" i="1" s="1"/>
  <c r="AZ39" i="1"/>
  <c r="BH39" i="1"/>
  <c r="BI39" i="1" s="1"/>
  <c r="BG39" i="1"/>
  <c r="DE39" i="45"/>
  <c r="DF39" i="45" s="1"/>
  <c r="DD39" i="45"/>
  <c r="J37" i="43" l="1"/>
  <c r="J52" i="43" s="1"/>
  <c r="CC2" i="43" s="1"/>
  <c r="N49" i="43"/>
  <c r="N57" i="43" s="1"/>
  <c r="AP16" i="44"/>
  <c r="AP17" i="44" s="1"/>
  <c r="AP18" i="44" s="1"/>
  <c r="L49" i="43"/>
  <c r="L57" i="43" s="1"/>
  <c r="CI41" i="44"/>
  <c r="CJ41" i="44"/>
  <c r="CK41" i="44" s="1"/>
  <c r="BO41" i="44"/>
  <c r="BP41" i="44" s="1"/>
  <c r="BN41" i="44"/>
  <c r="CW40" i="45"/>
  <c r="CX40" i="45"/>
  <c r="CY40" i="45" s="1"/>
  <c r="L48" i="43"/>
  <c r="L54" i="43" s="1"/>
  <c r="DE40" i="44"/>
  <c r="DF40" i="44" s="1"/>
  <c r="DD40" i="44"/>
  <c r="BN41" i="43"/>
  <c r="BO41" i="43"/>
  <c r="BP41" i="43" s="1"/>
  <c r="AZ41" i="43"/>
  <c r="BA41" i="43"/>
  <c r="BB41" i="43" s="1"/>
  <c r="N48" i="43"/>
  <c r="N54" i="43" s="1"/>
  <c r="BR8" i="45"/>
  <c r="BR9" i="45" s="1"/>
  <c r="BR10" i="45" s="1"/>
  <c r="BV41" i="44"/>
  <c r="BW41" i="44" s="1"/>
  <c r="BU41" i="44"/>
  <c r="BU40" i="43"/>
  <c r="BV40" i="43"/>
  <c r="BW40" i="43" s="1"/>
  <c r="BG41" i="44"/>
  <c r="BH41" i="44"/>
  <c r="BI41" i="44" s="1"/>
  <c r="B48" i="44"/>
  <c r="B54" i="44" s="1"/>
  <c r="CQ40" i="45"/>
  <c r="CR40" i="45" s="1"/>
  <c r="CP40" i="45"/>
  <c r="DL40" i="44"/>
  <c r="DM40" i="44" s="1"/>
  <c r="DK40" i="44"/>
  <c r="N53" i="44"/>
  <c r="N55" i="44" s="1"/>
  <c r="N52" i="44"/>
  <c r="CQ2" i="44" s="1"/>
  <c r="DK40" i="43"/>
  <c r="DL40" i="43"/>
  <c r="DM40" i="43" s="1"/>
  <c r="BH40" i="43"/>
  <c r="BI40" i="43" s="1"/>
  <c r="BG40" i="43"/>
  <c r="J52" i="1"/>
  <c r="CC2" i="1" s="1"/>
  <c r="J53" i="1"/>
  <c r="J55" i="1" s="1"/>
  <c r="B49" i="44"/>
  <c r="B57" i="44" s="1"/>
  <c r="DE40" i="1"/>
  <c r="DF40" i="1" s="1"/>
  <c r="DD40" i="1"/>
  <c r="CX40" i="44"/>
  <c r="CY40" i="44" s="1"/>
  <c r="CW40" i="44"/>
  <c r="CB40" i="45"/>
  <c r="CC40" i="45"/>
  <c r="CD40" i="45" s="1"/>
  <c r="CQ40" i="1"/>
  <c r="CR40" i="1" s="1"/>
  <c r="CP40" i="1"/>
  <c r="AP16" i="45"/>
  <c r="AP17" i="45" s="1"/>
  <c r="AP18" i="45" s="1"/>
  <c r="DD40" i="45"/>
  <c r="DE40" i="45"/>
  <c r="DF40" i="45" s="1"/>
  <c r="CX40" i="43"/>
  <c r="CY40" i="43" s="1"/>
  <c r="CW40" i="43"/>
  <c r="BG40" i="1"/>
  <c r="BH40" i="1"/>
  <c r="BI40" i="1" s="1"/>
  <c r="BU40" i="1"/>
  <c r="BV40" i="1"/>
  <c r="BW40" i="1" s="1"/>
  <c r="J49" i="44"/>
  <c r="J57" i="44" s="1"/>
  <c r="J48" i="44"/>
  <c r="J54" i="44" s="1"/>
  <c r="AZ40" i="1"/>
  <c r="BA40" i="1"/>
  <c r="BB40" i="1" s="1"/>
  <c r="BH40" i="45"/>
  <c r="BI40" i="45" s="1"/>
  <c r="BG40" i="45"/>
  <c r="J53" i="43" l="1"/>
  <c r="J55" i="43" s="1"/>
  <c r="F48" i="43"/>
  <c r="F54" i="43" s="1"/>
  <c r="H49" i="44"/>
  <c r="H57" i="44" s="1"/>
  <c r="BR8" i="44"/>
  <c r="BR9" i="44" s="1"/>
  <c r="BR10" i="44" s="1"/>
  <c r="L49" i="44"/>
  <c r="L57" i="44" s="1"/>
  <c r="L48" i="44"/>
  <c r="L54" i="44" s="1"/>
  <c r="F49" i="44"/>
  <c r="F57" i="44" s="1"/>
  <c r="F48" i="44"/>
  <c r="F54" i="44" s="1"/>
  <c r="L37" i="43"/>
  <c r="L52" i="43" s="1"/>
  <c r="CJ2" i="43" s="1"/>
  <c r="CW41" i="45"/>
  <c r="CX41" i="45"/>
  <c r="CY41" i="45" s="1"/>
  <c r="F49" i="43"/>
  <c r="F57" i="43" s="1"/>
  <c r="B48" i="43"/>
  <c r="B54" i="43" s="1"/>
  <c r="AP16" i="43"/>
  <c r="AP17" i="43" s="1"/>
  <c r="AP18" i="43" s="1"/>
  <c r="B49" i="43"/>
  <c r="B57" i="43" s="1"/>
  <c r="DE41" i="44"/>
  <c r="DF41" i="44" s="1"/>
  <c r="DD41" i="44"/>
  <c r="BR8" i="43"/>
  <c r="BR9" i="43" s="1"/>
  <c r="BR10" i="43" s="1"/>
  <c r="H48" i="44"/>
  <c r="H54" i="44" s="1"/>
  <c r="DL41" i="44"/>
  <c r="DM41" i="44" s="1"/>
  <c r="DK41" i="44"/>
  <c r="CP41" i="45"/>
  <c r="CQ41" i="45"/>
  <c r="CR41" i="45" s="1"/>
  <c r="BV41" i="43"/>
  <c r="BW41" i="43" s="1"/>
  <c r="BU41" i="43"/>
  <c r="D48" i="44"/>
  <c r="D54" i="44" s="1"/>
  <c r="D49" i="44"/>
  <c r="D57" i="44" s="1"/>
  <c r="DK41" i="43"/>
  <c r="DL41" i="43"/>
  <c r="DM41" i="43" s="1"/>
  <c r="CB41" i="45"/>
  <c r="CC41" i="45"/>
  <c r="CD41" i="45" s="1"/>
  <c r="B37" i="44"/>
  <c r="CW41" i="44"/>
  <c r="CX41" i="44"/>
  <c r="CY41" i="44" s="1"/>
  <c r="DD41" i="1"/>
  <c r="DE41" i="1"/>
  <c r="DF41" i="1" s="1"/>
  <c r="BH41" i="43"/>
  <c r="BI41" i="43" s="1"/>
  <c r="BG41" i="43"/>
  <c r="CX41" i="43"/>
  <c r="CY41" i="43" s="1"/>
  <c r="CW41" i="43"/>
  <c r="N37" i="43"/>
  <c r="BH41" i="45"/>
  <c r="BI41" i="45" s="1"/>
  <c r="BG41" i="45"/>
  <c r="DE41" i="45"/>
  <c r="DF41" i="45" s="1"/>
  <c r="DD41" i="45"/>
  <c r="CP41" i="1"/>
  <c r="CQ41" i="1"/>
  <c r="CR41" i="1" s="1"/>
  <c r="BV41" i="1"/>
  <c r="BW41" i="1" s="1"/>
  <c r="BU41" i="1"/>
  <c r="BA41" i="1"/>
  <c r="BB41" i="1" s="1"/>
  <c r="AZ41" i="1"/>
  <c r="BH41" i="1"/>
  <c r="BI41" i="1" s="1"/>
  <c r="BG41" i="1"/>
  <c r="J37" i="44"/>
  <c r="N49" i="1" l="1"/>
  <c r="N57" i="1" s="1"/>
  <c r="P49" i="44"/>
  <c r="P57" i="44" s="1"/>
  <c r="T48" i="43"/>
  <c r="T54" i="43" s="1"/>
  <c r="R49" i="1"/>
  <c r="R57" i="1" s="1"/>
  <c r="D48" i="43"/>
  <c r="D54" i="43" s="1"/>
  <c r="F37" i="44"/>
  <c r="F52" i="44" s="1"/>
  <c r="BO2" i="44" s="1"/>
  <c r="L37" i="44"/>
  <c r="L53" i="43"/>
  <c r="L55" i="43" s="1"/>
  <c r="F37" i="43"/>
  <c r="F52" i="43" s="1"/>
  <c r="BO2" i="43" s="1"/>
  <c r="R49" i="44"/>
  <c r="R57" i="44" s="1"/>
  <c r="R48" i="44"/>
  <c r="R54" i="44" s="1"/>
  <c r="B37" i="43"/>
  <c r="H37" i="44"/>
  <c r="H53" i="44" s="1"/>
  <c r="H55" i="44" s="1"/>
  <c r="H49" i="43"/>
  <c r="H57" i="43" s="1"/>
  <c r="H48" i="43"/>
  <c r="H54" i="43" s="1"/>
  <c r="D49" i="1"/>
  <c r="D57" i="1" s="1"/>
  <c r="O51" i="35" s="1"/>
  <c r="D37" i="44"/>
  <c r="T49" i="44"/>
  <c r="T57" i="44" s="1"/>
  <c r="T48" i="44"/>
  <c r="T54" i="44" s="1"/>
  <c r="B52" i="44"/>
  <c r="BA2" i="44" s="1"/>
  <c r="B53" i="44"/>
  <c r="B55" i="44" s="1"/>
  <c r="R48" i="1"/>
  <c r="R54" i="1" s="1"/>
  <c r="T49" i="43"/>
  <c r="T57" i="43" s="1"/>
  <c r="P48" i="44"/>
  <c r="P54" i="44" s="1"/>
  <c r="D49" i="43"/>
  <c r="D57" i="43" s="1"/>
  <c r="AP16" i="1"/>
  <c r="AP17" i="1" s="1"/>
  <c r="AP18" i="1" s="1"/>
  <c r="J52" i="44"/>
  <c r="CC2" i="44" s="1"/>
  <c r="J53" i="44"/>
  <c r="J55" i="44" s="1"/>
  <c r="N52" i="43"/>
  <c r="CQ2" i="43" s="1"/>
  <c r="N53" i="43"/>
  <c r="N55" i="43" s="1"/>
  <c r="H49" i="1"/>
  <c r="H57" i="1" s="1"/>
  <c r="H48" i="1"/>
  <c r="H54" i="1" s="1"/>
  <c r="N48" i="1"/>
  <c r="N54" i="1" s="1"/>
  <c r="D48" i="1"/>
  <c r="P48" i="43"/>
  <c r="P54" i="43" s="1"/>
  <c r="P49" i="43"/>
  <c r="P57" i="43" s="1"/>
  <c r="D37" i="1" l="1"/>
  <c r="D52" i="1" s="1"/>
  <c r="F53" i="44"/>
  <c r="F55" i="44" s="1"/>
  <c r="L53" i="44"/>
  <c r="L55" i="44" s="1"/>
  <c r="L52" i="44"/>
  <c r="CJ2" i="44" s="1"/>
  <c r="F53" i="43"/>
  <c r="F55" i="43" s="1"/>
  <c r="P37" i="44"/>
  <c r="P53" i="44" s="1"/>
  <c r="P55" i="44" s="1"/>
  <c r="R37" i="44"/>
  <c r="R52" i="44" s="1"/>
  <c r="DE2" i="44" s="1"/>
  <c r="B52" i="43"/>
  <c r="BA2" i="43" s="1"/>
  <c r="B53" i="43"/>
  <c r="B55" i="43" s="1"/>
  <c r="H52" i="44"/>
  <c r="BV2" i="44" s="1"/>
  <c r="H37" i="43"/>
  <c r="H52" i="43" s="1"/>
  <c r="BV2" i="43" s="1"/>
  <c r="R37" i="1"/>
  <c r="R52" i="1" s="1"/>
  <c r="DE2" i="1" s="1"/>
  <c r="T37" i="44"/>
  <c r="D52" i="44"/>
  <c r="BH2" i="44" s="1"/>
  <c r="D53" i="44"/>
  <c r="D55" i="44" s="1"/>
  <c r="T37" i="43"/>
  <c r="T52" i="43" s="1"/>
  <c r="DL2" i="43" s="1"/>
  <c r="H37" i="1"/>
  <c r="H52" i="1" s="1"/>
  <c r="BV2" i="1" s="1"/>
  <c r="D37" i="43"/>
  <c r="D52" i="43" s="1"/>
  <c r="BH2" i="43" s="1"/>
  <c r="M51" i="35"/>
  <c r="N37" i="1"/>
  <c r="P37" i="43"/>
  <c r="D54" i="1"/>
  <c r="D51" i="35" s="1"/>
  <c r="L51" i="35"/>
  <c r="D53" i="1" l="1"/>
  <c r="D55" i="1" s="1"/>
  <c r="P52" i="44"/>
  <c r="CX2" i="44" s="1"/>
  <c r="R53" i="44"/>
  <c r="R55" i="44" s="1"/>
  <c r="H53" i="43"/>
  <c r="H55" i="43" s="1"/>
  <c r="R53" i="1"/>
  <c r="R55" i="1" s="1"/>
  <c r="T53" i="44"/>
  <c r="T55" i="44" s="1"/>
  <c r="T52" i="44"/>
  <c r="DL2" i="44" s="1"/>
  <c r="D53" i="43"/>
  <c r="D55" i="43" s="1"/>
  <c r="T53" i="43"/>
  <c r="T55" i="43" s="1"/>
  <c r="H53" i="1"/>
  <c r="H55" i="1" s="1"/>
  <c r="N53" i="1"/>
  <c r="N55" i="1" s="1"/>
  <c r="N52" i="1"/>
  <c r="CQ2" i="1" s="1"/>
  <c r="C51" i="35"/>
  <c r="F51" i="35"/>
  <c r="BH2" i="1"/>
  <c r="P53" i="43"/>
  <c r="P55" i="43" s="1"/>
  <c r="P52" i="43"/>
  <c r="CX2" i="43" s="1"/>
  <c r="C29" i="18" l="1"/>
  <c r="J51" i="35"/>
  <c r="D107" i="35" l="1"/>
  <c r="B9" i="26"/>
  <c r="D139" i="35"/>
  <c r="H145" i="35" l="1"/>
  <c r="G145" i="35" s="1"/>
  <c r="H243" i="35"/>
  <c r="G243" i="35" s="1"/>
  <c r="P15" i="1"/>
  <c r="P40" i="1" s="1"/>
  <c r="L15" i="1"/>
  <c r="L40" i="1" s="1"/>
  <c r="B15" i="1"/>
  <c r="B40" i="1" s="1"/>
  <c r="H305" i="35"/>
  <c r="G305" i="35" s="1"/>
  <c r="P15" i="45"/>
  <c r="D15" i="45"/>
  <c r="B15" i="45"/>
  <c r="B40" i="45" s="1"/>
  <c r="N15" i="45"/>
  <c r="T15" i="45"/>
  <c r="L15" i="45"/>
  <c r="L40" i="45" s="1"/>
  <c r="J15" i="45"/>
  <c r="H15" i="45"/>
  <c r="F15" i="45"/>
  <c r="R15" i="45"/>
  <c r="K11" i="26"/>
  <c r="K15" i="26"/>
  <c r="J16" i="26" s="1"/>
  <c r="J21" i="26" s="1"/>
  <c r="I15" i="26"/>
  <c r="H16" i="26" s="1"/>
  <c r="H21" i="26" s="1"/>
  <c r="I11" i="26"/>
  <c r="M15" i="26"/>
  <c r="L16" i="26" s="1"/>
  <c r="L21" i="26" s="1"/>
  <c r="L22" i="26" s="1"/>
  <c r="M11" i="26"/>
  <c r="E11" i="26"/>
  <c r="E15" i="26"/>
  <c r="C11" i="26"/>
  <c r="B12" i="26" s="1"/>
  <c r="C15" i="26"/>
  <c r="B16" i="26" s="1"/>
  <c r="B21" i="26" s="1"/>
  <c r="B22" i="26" s="1"/>
  <c r="O11" i="26"/>
  <c r="O15" i="26"/>
  <c r="N16" i="26" s="1"/>
  <c r="N21" i="26" s="1"/>
  <c r="N22" i="26" s="1"/>
  <c r="U15" i="26"/>
  <c r="T16" i="26" s="1"/>
  <c r="T21" i="26" s="1"/>
  <c r="U11" i="26"/>
  <c r="Q15" i="26"/>
  <c r="P16" i="26" s="1"/>
  <c r="P21" i="26" s="1"/>
  <c r="Q11" i="26"/>
  <c r="S11" i="26"/>
  <c r="S15" i="26"/>
  <c r="R16" i="26" s="1"/>
  <c r="D15" i="26" l="1"/>
  <c r="D16" i="26" s="1"/>
  <c r="I246" i="35"/>
  <c r="P40" i="45"/>
  <c r="I86" i="35"/>
  <c r="F40" i="45"/>
  <c r="F41" i="45" s="1"/>
  <c r="N86" i="35" s="1"/>
  <c r="I54" i="35"/>
  <c r="D40" i="45"/>
  <c r="D41" i="45" s="1"/>
  <c r="N54" i="35" s="1"/>
  <c r="I310" i="35"/>
  <c r="T40" i="45"/>
  <c r="T41" i="45" s="1"/>
  <c r="N310" i="35" s="1"/>
  <c r="I214" i="35"/>
  <c r="N40" i="45"/>
  <c r="N41" i="45" s="1"/>
  <c r="N214" i="35" s="1"/>
  <c r="I118" i="35"/>
  <c r="H40" i="45"/>
  <c r="H41" i="45" s="1"/>
  <c r="N118" i="35" s="1"/>
  <c r="I150" i="35"/>
  <c r="J40" i="45"/>
  <c r="J41" i="45" s="1"/>
  <c r="N150" i="35" s="1"/>
  <c r="I278" i="35"/>
  <c r="R40" i="45"/>
  <c r="R41" i="45" s="1"/>
  <c r="N278" i="35" s="1"/>
  <c r="N285" i="35" s="1"/>
  <c r="J51" i="18" s="1"/>
  <c r="T50" i="19"/>
  <c r="U26" i="19"/>
  <c r="U25" i="19"/>
  <c r="T45" i="19" s="1"/>
  <c r="T46" i="19" s="1"/>
  <c r="N305" i="35" s="1"/>
  <c r="J50" i="19"/>
  <c r="K26" i="19"/>
  <c r="K25" i="19"/>
  <c r="J45" i="19" s="1"/>
  <c r="J46" i="19" s="1"/>
  <c r="N145" i="35" s="1"/>
  <c r="N50" i="19"/>
  <c r="O26" i="19"/>
  <c r="O25" i="19"/>
  <c r="D50" i="19"/>
  <c r="E26" i="19"/>
  <c r="E25" i="19"/>
  <c r="I209" i="35"/>
  <c r="N54" i="19"/>
  <c r="N53" i="19"/>
  <c r="I305" i="35"/>
  <c r="T53" i="19"/>
  <c r="T41" i="19"/>
  <c r="T42" i="19" s="1"/>
  <c r="M305" i="35" s="1"/>
  <c r="T54" i="19"/>
  <c r="B41" i="1"/>
  <c r="N19" i="35" s="1"/>
  <c r="I19" i="35"/>
  <c r="B20" i="1"/>
  <c r="F44" i="13"/>
  <c r="F45" i="13" s="1"/>
  <c r="J34" i="19"/>
  <c r="I179" i="35"/>
  <c r="L41" i="1"/>
  <c r="N179" i="35" s="1"/>
  <c r="L20" i="1"/>
  <c r="L44" i="13"/>
  <c r="L45" i="13" s="1"/>
  <c r="N183" i="35" s="1"/>
  <c r="P44" i="13"/>
  <c r="P45" i="13" s="1"/>
  <c r="N247" i="35" s="1"/>
  <c r="J53" i="19"/>
  <c r="I145" i="35"/>
  <c r="J54" i="19"/>
  <c r="I49" i="35"/>
  <c r="D53" i="19"/>
  <c r="D54" i="19"/>
  <c r="P41" i="1"/>
  <c r="N243" i="35" s="1"/>
  <c r="P20" i="1"/>
  <c r="I243" i="35"/>
  <c r="L301" i="35"/>
  <c r="T22" i="26"/>
  <c r="D301" i="35"/>
  <c r="R21" i="26"/>
  <c r="L269" i="35"/>
  <c r="L237" i="35"/>
  <c r="P22" i="26"/>
  <c r="D237" i="35"/>
  <c r="J45" i="39"/>
  <c r="J53" i="39" s="1"/>
  <c r="K37" i="39"/>
  <c r="K41" i="39" s="1"/>
  <c r="J43" i="39" s="1"/>
  <c r="J50" i="39" s="1"/>
  <c r="K36" i="39"/>
  <c r="K40" i="39" s="1"/>
  <c r="M37" i="39"/>
  <c r="M41" i="39" s="1"/>
  <c r="L43" i="39" s="1"/>
  <c r="L50" i="39" s="1"/>
  <c r="L45" i="39"/>
  <c r="L53" i="39" s="1"/>
  <c r="M36" i="39"/>
  <c r="M40" i="39" s="1"/>
  <c r="C36" i="39"/>
  <c r="C40" i="39" s="1"/>
  <c r="B42" i="39" s="1"/>
  <c r="R45" i="39"/>
  <c r="R53" i="39" s="1"/>
  <c r="S37" i="39"/>
  <c r="S41" i="39" s="1"/>
  <c r="R43" i="39" s="1"/>
  <c r="R50" i="39" s="1"/>
  <c r="S36" i="39"/>
  <c r="S40" i="39" s="1"/>
  <c r="C37" i="39"/>
  <c r="C41" i="39" s="1"/>
  <c r="B43" i="39" s="1"/>
  <c r="B50" i="39" s="1"/>
  <c r="B45" i="39"/>
  <c r="B53" i="39" s="1"/>
  <c r="L20" i="45"/>
  <c r="L41" i="45"/>
  <c r="T20" i="45"/>
  <c r="J20" i="45"/>
  <c r="N20" i="45"/>
  <c r="B41" i="45"/>
  <c r="B20" i="45"/>
  <c r="R20" i="45"/>
  <c r="D20" i="45"/>
  <c r="H20" i="45"/>
  <c r="F20" i="45"/>
  <c r="P20" i="45"/>
  <c r="P41" i="45"/>
  <c r="N246" i="35" s="1"/>
  <c r="L141" i="35"/>
  <c r="H22" i="26"/>
  <c r="D109" i="35"/>
  <c r="J22" i="26"/>
  <c r="D141" i="35"/>
  <c r="L109" i="35"/>
  <c r="N23" i="26"/>
  <c r="N19" i="26"/>
  <c r="D23" i="26"/>
  <c r="E45" i="35" s="1"/>
  <c r="L23" i="26"/>
  <c r="L19" i="26"/>
  <c r="B23" i="26"/>
  <c r="B19" i="26"/>
  <c r="H23" i="26"/>
  <c r="E109" i="35" s="1"/>
  <c r="E125" i="35" s="1"/>
  <c r="H19" i="26"/>
  <c r="F109" i="35" s="1"/>
  <c r="P23" i="26"/>
  <c r="E237" i="35" s="1"/>
  <c r="E253" i="35" s="1"/>
  <c r="P19" i="26"/>
  <c r="F237" i="35" s="1"/>
  <c r="R23" i="26"/>
  <c r="E269" i="35" s="1"/>
  <c r="E285" i="35" s="1"/>
  <c r="R19" i="26"/>
  <c r="F269" i="35" s="1"/>
  <c r="J23" i="18" s="1"/>
  <c r="T23" i="26"/>
  <c r="E301" i="35" s="1"/>
  <c r="T19" i="26"/>
  <c r="F301" i="35" s="1"/>
  <c r="J23" i="26"/>
  <c r="E141" i="35" s="1"/>
  <c r="J19" i="26"/>
  <c r="F141" i="35" s="1"/>
  <c r="D21" i="26" l="1"/>
  <c r="L45" i="35"/>
  <c r="D19" i="26"/>
  <c r="F45" i="35" s="1"/>
  <c r="C23" i="18" s="1"/>
  <c r="D22" i="26"/>
  <c r="D45" i="35"/>
  <c r="J35" i="45"/>
  <c r="J34" i="45"/>
  <c r="J33" i="45"/>
  <c r="J32" i="45"/>
  <c r="J47" i="45"/>
  <c r="J48" i="45" s="1"/>
  <c r="J54" i="45" s="1"/>
  <c r="D150" i="35" s="1"/>
  <c r="D157" i="35" s="1"/>
  <c r="J36" i="45"/>
  <c r="R35" i="45"/>
  <c r="R36" i="45"/>
  <c r="R34" i="45"/>
  <c r="R33" i="45"/>
  <c r="R32" i="45"/>
  <c r="R47" i="45"/>
  <c r="R48" i="45" s="1"/>
  <c r="R54" i="45" s="1"/>
  <c r="D278" i="35" s="1"/>
  <c r="P33" i="45"/>
  <c r="P32" i="45"/>
  <c r="P34" i="45"/>
  <c r="P47" i="45"/>
  <c r="P48" i="45" s="1"/>
  <c r="P54" i="45" s="1"/>
  <c r="D246" i="35" s="1"/>
  <c r="P35" i="45"/>
  <c r="P36" i="45"/>
  <c r="T47" i="45"/>
  <c r="T48" i="45" s="1"/>
  <c r="T54" i="45" s="1"/>
  <c r="D310" i="35" s="1"/>
  <c r="D317" i="35" s="1"/>
  <c r="T36" i="45"/>
  <c r="T35" i="45"/>
  <c r="T34" i="45"/>
  <c r="T33" i="45"/>
  <c r="T32" i="45"/>
  <c r="P35" i="1"/>
  <c r="P34" i="1"/>
  <c r="P33" i="1"/>
  <c r="P32" i="1"/>
  <c r="P36" i="1"/>
  <c r="P47" i="1"/>
  <c r="P48" i="1" s="1"/>
  <c r="P54" i="1" s="1"/>
  <c r="D243" i="35" s="1"/>
  <c r="L47" i="45"/>
  <c r="L48" i="45" s="1"/>
  <c r="L54" i="45" s="1"/>
  <c r="L36" i="45"/>
  <c r="L35" i="45"/>
  <c r="L34" i="45"/>
  <c r="L33" i="45"/>
  <c r="L32" i="45"/>
  <c r="L32" i="1"/>
  <c r="L47" i="1"/>
  <c r="L48" i="1" s="1"/>
  <c r="L54" i="1" s="1"/>
  <c r="D179" i="35" s="1"/>
  <c r="L36" i="1"/>
  <c r="L33" i="1"/>
  <c r="L35" i="1"/>
  <c r="L34" i="1"/>
  <c r="N47" i="45"/>
  <c r="N48" i="45" s="1"/>
  <c r="N54" i="45" s="1"/>
  <c r="D214" i="35" s="1"/>
  <c r="D221" i="35" s="1"/>
  <c r="N33" i="45"/>
  <c r="N36" i="45"/>
  <c r="N35" i="45"/>
  <c r="N32" i="45"/>
  <c r="N34" i="45"/>
  <c r="D47" i="45"/>
  <c r="D48" i="45" s="1"/>
  <c r="D54" i="45" s="1"/>
  <c r="D54" i="35" s="1"/>
  <c r="D36" i="45"/>
  <c r="D35" i="45"/>
  <c r="D34" i="45"/>
  <c r="D33" i="45"/>
  <c r="D32" i="45"/>
  <c r="F33" i="45"/>
  <c r="F47" i="45"/>
  <c r="F48" i="45" s="1"/>
  <c r="F54" i="45" s="1"/>
  <c r="D86" i="35" s="1"/>
  <c r="F36" i="45"/>
  <c r="F32" i="45"/>
  <c r="F35" i="45"/>
  <c r="F34" i="45"/>
  <c r="H33" i="45"/>
  <c r="H32" i="45"/>
  <c r="H35" i="45"/>
  <c r="H34" i="45"/>
  <c r="H47" i="45"/>
  <c r="H48" i="45" s="1"/>
  <c r="H54" i="45" s="1"/>
  <c r="D118" i="35" s="1"/>
  <c r="D125" i="35" s="1"/>
  <c r="H36" i="45"/>
  <c r="B34" i="45"/>
  <c r="B47" i="45"/>
  <c r="B48" i="45" s="1"/>
  <c r="B54" i="45" s="1"/>
  <c r="B33" i="45"/>
  <c r="B36" i="45"/>
  <c r="B32" i="45"/>
  <c r="B35" i="45"/>
  <c r="B36" i="1"/>
  <c r="B32" i="1"/>
  <c r="B35" i="1"/>
  <c r="B34" i="1"/>
  <c r="B47" i="1"/>
  <c r="B48" i="1" s="1"/>
  <c r="B54" i="1" s="1"/>
  <c r="D19" i="35" s="1"/>
  <c r="B33" i="1"/>
  <c r="T58" i="19"/>
  <c r="T60" i="19" s="1"/>
  <c r="N157" i="35"/>
  <c r="F51" i="18" s="1"/>
  <c r="G6" i="49" s="1"/>
  <c r="D41" i="19"/>
  <c r="D42" i="19" s="1"/>
  <c r="D45" i="19"/>
  <c r="D46" i="19" s="1"/>
  <c r="N49" i="35" s="1"/>
  <c r="N61" i="35" s="1"/>
  <c r="C51" i="18" s="1"/>
  <c r="D6" i="49" s="1"/>
  <c r="N317" i="35"/>
  <c r="K51" i="18" s="1"/>
  <c r="J41" i="19"/>
  <c r="J42" i="19" s="1"/>
  <c r="L209" i="35"/>
  <c r="D61" i="19"/>
  <c r="E49" i="35" s="1"/>
  <c r="E61" i="35" s="1"/>
  <c r="T57" i="19"/>
  <c r="F305" i="35" s="1"/>
  <c r="K27" i="18" s="1"/>
  <c r="T61" i="19"/>
  <c r="E305" i="35" s="1"/>
  <c r="E317" i="35" s="1"/>
  <c r="N61" i="19"/>
  <c r="E209" i="35" s="1"/>
  <c r="E221" i="35" s="1"/>
  <c r="C305" i="35"/>
  <c r="I23" i="35"/>
  <c r="B54" i="13"/>
  <c r="B62" i="13" s="1"/>
  <c r="O23" i="35" s="1"/>
  <c r="B39" i="13"/>
  <c r="M23" i="35" s="1"/>
  <c r="B44" i="13"/>
  <c r="B45" i="13" s="1"/>
  <c r="N23" i="35" s="1"/>
  <c r="N29" i="35" s="1"/>
  <c r="B51" i="18" s="1"/>
  <c r="C6" i="49" s="1"/>
  <c r="B15" i="13"/>
  <c r="L145" i="35"/>
  <c r="J61" i="19"/>
  <c r="E145" i="35" s="1"/>
  <c r="E157" i="35" s="1"/>
  <c r="N189" i="35"/>
  <c r="G51" i="18" s="1"/>
  <c r="H6" i="49" s="1"/>
  <c r="N45" i="19"/>
  <c r="N46" i="19" s="1"/>
  <c r="N209" i="35" s="1"/>
  <c r="N221" i="35" s="1"/>
  <c r="H51" i="18" s="1"/>
  <c r="I6" i="49" s="1"/>
  <c r="N41" i="19"/>
  <c r="N42" i="19" s="1"/>
  <c r="N87" i="35"/>
  <c r="I183" i="35"/>
  <c r="L39" i="13"/>
  <c r="M183" i="35" s="1"/>
  <c r="L54" i="13"/>
  <c r="L62" i="13" s="1"/>
  <c r="O183" i="35" s="1"/>
  <c r="L15" i="13"/>
  <c r="F39" i="13"/>
  <c r="I87" i="35"/>
  <c r="F54" i="13"/>
  <c r="F62" i="13" s="1"/>
  <c r="O87" i="35" s="1"/>
  <c r="F15" i="13"/>
  <c r="N253" i="35"/>
  <c r="I51" i="18" s="1"/>
  <c r="L305" i="35"/>
  <c r="P44" i="1"/>
  <c r="P49" i="1"/>
  <c r="P57" i="1" s="1"/>
  <c r="O243" i="35" s="1"/>
  <c r="L49" i="35"/>
  <c r="I247" i="35"/>
  <c r="P39" i="13"/>
  <c r="M247" i="35" s="1"/>
  <c r="P54" i="13"/>
  <c r="P62" i="13" s="1"/>
  <c r="O247" i="35" s="1"/>
  <c r="L44" i="1"/>
  <c r="L49" i="1"/>
  <c r="L57" i="1" s="1"/>
  <c r="O179" i="35" s="1"/>
  <c r="B44" i="1"/>
  <c r="B49" i="1"/>
  <c r="B57" i="1" s="1"/>
  <c r="O19" i="35" s="1"/>
  <c r="L44" i="39"/>
  <c r="J44" i="39"/>
  <c r="K23" i="18"/>
  <c r="R22" i="26"/>
  <c r="D269" i="35"/>
  <c r="I23" i="18"/>
  <c r="R44" i="39"/>
  <c r="E37" i="39"/>
  <c r="E41" i="39" s="1"/>
  <c r="D43" i="39" s="1"/>
  <c r="D50" i="39" s="1"/>
  <c r="D45" i="39"/>
  <c r="D53" i="39" s="1"/>
  <c r="E36" i="39"/>
  <c r="E40" i="39" s="1"/>
  <c r="I37" i="39"/>
  <c r="I41" i="39" s="1"/>
  <c r="H43" i="39" s="1"/>
  <c r="H50" i="39" s="1"/>
  <c r="H45" i="39"/>
  <c r="H53" i="39" s="1"/>
  <c r="I36" i="39"/>
  <c r="I40" i="39" s="1"/>
  <c r="G36" i="39"/>
  <c r="G40" i="39" s="1"/>
  <c r="G37" i="39"/>
  <c r="G41" i="39" s="1"/>
  <c r="F43" i="39" s="1"/>
  <c r="F50" i="39" s="1"/>
  <c r="F45" i="39"/>
  <c r="F53" i="39" s="1"/>
  <c r="Q37" i="39"/>
  <c r="Q41" i="39" s="1"/>
  <c r="P43" i="39" s="1"/>
  <c r="P50" i="39" s="1"/>
  <c r="P45" i="39"/>
  <c r="P53" i="39" s="1"/>
  <c r="Q36" i="39"/>
  <c r="Q40" i="39" s="1"/>
  <c r="O36" i="39"/>
  <c r="O40" i="39" s="1"/>
  <c r="O37" i="39"/>
  <c r="O41" i="39" s="1"/>
  <c r="N43" i="39" s="1"/>
  <c r="N50" i="39" s="1"/>
  <c r="N45" i="39"/>
  <c r="N53" i="39" s="1"/>
  <c r="U37" i="39"/>
  <c r="U41" i="39" s="1"/>
  <c r="T43" i="39" s="1"/>
  <c r="T50" i="39" s="1"/>
  <c r="T45" i="39"/>
  <c r="T53" i="39" s="1"/>
  <c r="U36" i="39"/>
  <c r="U40" i="39" s="1"/>
  <c r="B44" i="39"/>
  <c r="B49" i="39" s="1"/>
  <c r="B51" i="39" s="1"/>
  <c r="H44" i="45"/>
  <c r="H49" i="45"/>
  <c r="H57" i="45" s="1"/>
  <c r="O118" i="35" s="1"/>
  <c r="O125" i="35" s="1"/>
  <c r="E52" i="18" s="1"/>
  <c r="J44" i="45"/>
  <c r="J49" i="45"/>
  <c r="J57" i="45" s="1"/>
  <c r="O150" i="35" s="1"/>
  <c r="O157" i="35" s="1"/>
  <c r="F52" i="18" s="1"/>
  <c r="N44" i="45"/>
  <c r="N49" i="45"/>
  <c r="N57" i="45" s="1"/>
  <c r="O214" i="35" s="1"/>
  <c r="O221" i="35" s="1"/>
  <c r="H52" i="18" s="1"/>
  <c r="D44" i="45"/>
  <c r="D49" i="45"/>
  <c r="D57" i="45" s="1"/>
  <c r="O54" i="35" s="1"/>
  <c r="O61" i="35" s="1"/>
  <c r="C52" i="18" s="1"/>
  <c r="R44" i="45"/>
  <c r="R49" i="45"/>
  <c r="R57" i="45" s="1"/>
  <c r="O278" i="35" s="1"/>
  <c r="O285" i="35" s="1"/>
  <c r="J52" i="18" s="1"/>
  <c r="P44" i="45"/>
  <c r="P49" i="45"/>
  <c r="P57" i="45" s="1"/>
  <c r="O246" i="35" s="1"/>
  <c r="T44" i="45"/>
  <c r="T49" i="45"/>
  <c r="T57" i="45" s="1"/>
  <c r="O310" i="35" s="1"/>
  <c r="O317" i="35" s="1"/>
  <c r="K52" i="18" s="1"/>
  <c r="F44" i="45"/>
  <c r="F49" i="45"/>
  <c r="F57" i="45" s="1"/>
  <c r="O86" i="35" s="1"/>
  <c r="B44" i="45"/>
  <c r="B49" i="45"/>
  <c r="B57" i="45" s="1"/>
  <c r="L44" i="45"/>
  <c r="L49" i="45"/>
  <c r="L57" i="45" s="1"/>
  <c r="E23" i="18"/>
  <c r="F23" i="18"/>
  <c r="L42" i="39"/>
  <c r="M107" i="35"/>
  <c r="M139" i="35"/>
  <c r="R42" i="39"/>
  <c r="J42" i="39"/>
  <c r="D61" i="35" l="1"/>
  <c r="D285" i="35"/>
  <c r="M145" i="35"/>
  <c r="J58" i="19"/>
  <c r="J60" i="19" s="1"/>
  <c r="J57" i="19"/>
  <c r="F145" i="35" s="1"/>
  <c r="J145" i="35" s="1"/>
  <c r="M49" i="35"/>
  <c r="D58" i="19"/>
  <c r="C49" i="35" s="1"/>
  <c r="D57" i="19"/>
  <c r="F49" i="35" s="1"/>
  <c r="J49" i="35" s="1"/>
  <c r="O29" i="35"/>
  <c r="B52" i="18" s="1"/>
  <c r="O189" i="35"/>
  <c r="G52" i="18" s="1"/>
  <c r="J305" i="35"/>
  <c r="O253" i="35"/>
  <c r="I52" i="18" s="1"/>
  <c r="L179" i="35"/>
  <c r="L30" i="13"/>
  <c r="L36" i="13"/>
  <c r="L59" i="13" s="1"/>
  <c r="D183" i="35" s="1"/>
  <c r="D189" i="35" s="1"/>
  <c r="M209" i="35"/>
  <c r="N58" i="19"/>
  <c r="N57" i="19"/>
  <c r="F209" i="35" s="1"/>
  <c r="M87" i="35"/>
  <c r="F58" i="13"/>
  <c r="B37" i="1"/>
  <c r="L37" i="1"/>
  <c r="P36" i="13"/>
  <c r="P59" i="13" s="1"/>
  <c r="D247" i="35" s="1"/>
  <c r="D253" i="35" s="1"/>
  <c r="P30" i="13"/>
  <c r="P37" i="1"/>
  <c r="B36" i="13"/>
  <c r="B59" i="13" s="1"/>
  <c r="D23" i="35" s="1"/>
  <c r="D29" i="35" s="1"/>
  <c r="B30" i="13"/>
  <c r="L19" i="35"/>
  <c r="L243" i="35"/>
  <c r="F57" i="13"/>
  <c r="F87" i="35" s="1"/>
  <c r="C145" i="35"/>
  <c r="N44" i="39"/>
  <c r="P44" i="39"/>
  <c r="F44" i="39"/>
  <c r="T44" i="39"/>
  <c r="D44" i="39"/>
  <c r="L86" i="35"/>
  <c r="L150" i="35"/>
  <c r="L118" i="35"/>
  <c r="L54" i="35"/>
  <c r="L61" i="35" s="1"/>
  <c r="C49" i="18" s="1"/>
  <c r="D4" i="49" s="1"/>
  <c r="L310" i="35"/>
  <c r="L317" i="35" s="1"/>
  <c r="K49" i="18" s="1"/>
  <c r="L278" i="35"/>
  <c r="L285" i="35" s="1"/>
  <c r="J49" i="18" s="1"/>
  <c r="L246" i="35"/>
  <c r="L214" i="35"/>
  <c r="L221" i="35" s="1"/>
  <c r="H49" i="18" s="1"/>
  <c r="I4" i="49" s="1"/>
  <c r="H44" i="39"/>
  <c r="B48" i="39"/>
  <c r="B42" i="38"/>
  <c r="R37" i="45"/>
  <c r="J37" i="45"/>
  <c r="B37" i="45"/>
  <c r="B53" i="45" s="1"/>
  <c r="L37" i="45"/>
  <c r="N37" i="45"/>
  <c r="M214" i="35" s="1"/>
  <c r="F37" i="45"/>
  <c r="M86" i="35" s="1"/>
  <c r="T37" i="45"/>
  <c r="M310" i="35" s="1"/>
  <c r="M317" i="35" s="1"/>
  <c r="K50" i="18" s="1"/>
  <c r="D37" i="45"/>
  <c r="H37" i="45"/>
  <c r="P37" i="45"/>
  <c r="M246" i="35" s="1"/>
  <c r="F42" i="39"/>
  <c r="J49" i="39"/>
  <c r="J51" i="39" s="1"/>
  <c r="J48" i="39"/>
  <c r="L49" i="39"/>
  <c r="L51" i="39" s="1"/>
  <c r="L48" i="39"/>
  <c r="D42" i="39"/>
  <c r="L107" i="35"/>
  <c r="R49" i="39"/>
  <c r="R51" i="39" s="1"/>
  <c r="R48" i="39"/>
  <c r="H42" i="39"/>
  <c r="P42" i="39"/>
  <c r="L139" i="35"/>
  <c r="T42" i="39"/>
  <c r="N42" i="39"/>
  <c r="F27" i="18" l="1"/>
  <c r="D60" i="19"/>
  <c r="C27" i="18"/>
  <c r="L157" i="35"/>
  <c r="F49" i="18" s="1"/>
  <c r="G4" i="49" s="1"/>
  <c r="M221" i="35"/>
  <c r="H50" i="18" s="1"/>
  <c r="I5" i="49" s="1"/>
  <c r="M243" i="35"/>
  <c r="M253" i="35" s="1"/>
  <c r="I50" i="18" s="1"/>
  <c r="P52" i="1"/>
  <c r="P53" i="1"/>
  <c r="N60" i="19"/>
  <c r="C209" i="35"/>
  <c r="D33" i="18"/>
  <c r="J87" i="35"/>
  <c r="L247" i="35"/>
  <c r="L253" i="35" s="1"/>
  <c r="I49" i="18" s="1"/>
  <c r="P57" i="13"/>
  <c r="F247" i="35" s="1"/>
  <c r="P58" i="13"/>
  <c r="L53" i="1"/>
  <c r="M179" i="35"/>
  <c r="M189" i="35" s="1"/>
  <c r="G50" i="18" s="1"/>
  <c r="H5" i="49" s="1"/>
  <c r="L52" i="1"/>
  <c r="F60" i="13"/>
  <c r="C87" i="35"/>
  <c r="L58" i="13"/>
  <c r="L183" i="35"/>
  <c r="L189" i="35" s="1"/>
  <c r="G49" i="18" s="1"/>
  <c r="H4" i="49" s="1"/>
  <c r="L57" i="13"/>
  <c r="F183" i="35" s="1"/>
  <c r="L23" i="35"/>
  <c r="L29" i="35" s="1"/>
  <c r="B49" i="18" s="1"/>
  <c r="C4" i="49" s="1"/>
  <c r="B58" i="13"/>
  <c r="B57" i="13"/>
  <c r="F23" i="35" s="1"/>
  <c r="M19" i="35"/>
  <c r="M29" i="35" s="1"/>
  <c r="B50" i="18" s="1"/>
  <c r="C5" i="49" s="1"/>
  <c r="B53" i="1"/>
  <c r="B52" i="1"/>
  <c r="H27" i="18"/>
  <c r="J209" i="35"/>
  <c r="R52" i="45"/>
  <c r="M278" i="35"/>
  <c r="M285" i="35" s="1"/>
  <c r="J50" i="18" s="1"/>
  <c r="B48" i="38"/>
  <c r="B49" i="38"/>
  <c r="B51" i="38" s="1"/>
  <c r="R53" i="45"/>
  <c r="N53" i="45"/>
  <c r="N52" i="45"/>
  <c r="L53" i="45"/>
  <c r="L55" i="45" s="1"/>
  <c r="L52" i="45"/>
  <c r="CJ2" i="45" s="1"/>
  <c r="P53" i="45"/>
  <c r="P52" i="45"/>
  <c r="B52" i="45"/>
  <c r="BA2" i="45" s="1"/>
  <c r="B55" i="45"/>
  <c r="M118" i="35"/>
  <c r="M125" i="35" s="1"/>
  <c r="E50" i="18" s="1"/>
  <c r="F5" i="49" s="1"/>
  <c r="H53" i="45"/>
  <c r="H52" i="45"/>
  <c r="M54" i="35"/>
  <c r="M61" i="35" s="1"/>
  <c r="C50" i="18" s="1"/>
  <c r="D5" i="49" s="1"/>
  <c r="D53" i="45"/>
  <c r="D52" i="45"/>
  <c r="M150" i="35"/>
  <c r="M157" i="35" s="1"/>
  <c r="F50" i="18" s="1"/>
  <c r="G5" i="49" s="1"/>
  <c r="J53" i="45"/>
  <c r="J52" i="45"/>
  <c r="T53" i="45"/>
  <c r="T52" i="45"/>
  <c r="F52" i="45"/>
  <c r="F53" i="45"/>
  <c r="N49" i="39"/>
  <c r="N51" i="39" s="1"/>
  <c r="N48" i="39"/>
  <c r="P49" i="39"/>
  <c r="P51" i="39" s="1"/>
  <c r="P48" i="39"/>
  <c r="H49" i="39"/>
  <c r="H51" i="39" s="1"/>
  <c r="H48" i="39"/>
  <c r="F107" i="35"/>
  <c r="F49" i="39"/>
  <c r="F51" i="39" s="1"/>
  <c r="F48" i="39"/>
  <c r="T49" i="39"/>
  <c r="T51" i="39" s="1"/>
  <c r="T48" i="39"/>
  <c r="D49" i="39"/>
  <c r="D51" i="39" s="1"/>
  <c r="D48" i="39"/>
  <c r="F139" i="35"/>
  <c r="B33" i="18" l="1"/>
  <c r="J23" i="35"/>
  <c r="CJ2" i="1"/>
  <c r="F179" i="35"/>
  <c r="B60" i="13"/>
  <c r="C23" i="35"/>
  <c r="BA2" i="1"/>
  <c r="F19" i="35"/>
  <c r="C179" i="35"/>
  <c r="L55" i="1"/>
  <c r="B55" i="1"/>
  <c r="C19" i="35"/>
  <c r="J183" i="35"/>
  <c r="G33" i="18"/>
  <c r="P55" i="1"/>
  <c r="C243" i="35"/>
  <c r="L60" i="13"/>
  <c r="C183" i="35"/>
  <c r="P60" i="13"/>
  <c r="C247" i="35"/>
  <c r="CX2" i="1"/>
  <c r="F243" i="35"/>
  <c r="I33" i="18"/>
  <c r="J247" i="35"/>
  <c r="H55" i="45"/>
  <c r="C118" i="35"/>
  <c r="J55" i="45"/>
  <c r="C150" i="35"/>
  <c r="BV2" i="45"/>
  <c r="F118" i="35"/>
  <c r="CC2" i="45"/>
  <c r="F150" i="35"/>
  <c r="F55" i="45"/>
  <c r="C86" i="35"/>
  <c r="BO2" i="45"/>
  <c r="F86" i="35"/>
  <c r="BH2" i="45"/>
  <c r="F54" i="35"/>
  <c r="D55" i="45"/>
  <c r="C54" i="35"/>
  <c r="C61" i="35" s="1"/>
  <c r="DL2" i="45"/>
  <c r="F310" i="35"/>
  <c r="F317" i="35" s="1"/>
  <c r="K39" i="18" s="1"/>
  <c r="K44" i="18" s="1"/>
  <c r="T55" i="45"/>
  <c r="C310" i="35"/>
  <c r="C317" i="35" s="1"/>
  <c r="R55" i="45"/>
  <c r="C278" i="35"/>
  <c r="C285" i="35" s="1"/>
  <c r="DE2" i="45"/>
  <c r="F278" i="35"/>
  <c r="CX2" i="45"/>
  <c r="F246" i="35"/>
  <c r="P55" i="45"/>
  <c r="C246" i="35"/>
  <c r="CQ2" i="45"/>
  <c r="F214" i="35"/>
  <c r="N55" i="45"/>
  <c r="C214" i="35"/>
  <c r="C221" i="35" s="1"/>
  <c r="C139" i="35"/>
  <c r="F21" i="18"/>
  <c r="E21" i="18"/>
  <c r="C107" i="35"/>
  <c r="C253" i="35" l="1"/>
  <c r="B29" i="18"/>
  <c r="F29" i="35"/>
  <c r="B39" i="18" s="1"/>
  <c r="B44" i="18" s="1"/>
  <c r="J19" i="35"/>
  <c r="I29" i="18"/>
  <c r="J243" i="35"/>
  <c r="C29" i="35"/>
  <c r="J179" i="35"/>
  <c r="G29" i="18"/>
  <c r="F189" i="35"/>
  <c r="G39" i="18" s="1"/>
  <c r="C189" i="35"/>
  <c r="J118" i="35"/>
  <c r="E32" i="18"/>
  <c r="F32" i="18"/>
  <c r="J150" i="35"/>
  <c r="F157" i="35"/>
  <c r="F39" i="18" s="1"/>
  <c r="G7" i="49" s="1"/>
  <c r="D32" i="18"/>
  <c r="J86" i="35"/>
  <c r="C157" i="35"/>
  <c r="F61" i="35"/>
  <c r="C39" i="18" s="1"/>
  <c r="J54" i="35"/>
  <c r="C32" i="18"/>
  <c r="K32" i="18"/>
  <c r="J310" i="35"/>
  <c r="J32" i="18"/>
  <c r="J278" i="35"/>
  <c r="F285" i="35"/>
  <c r="J39" i="18" s="1"/>
  <c r="J44" i="18" s="1"/>
  <c r="I32" i="18"/>
  <c r="J246" i="35"/>
  <c r="F253" i="35"/>
  <c r="I39" i="18" s="1"/>
  <c r="I44" i="18" s="1"/>
  <c r="H32" i="18"/>
  <c r="J214" i="35"/>
  <c r="F221" i="35"/>
  <c r="H39" i="18" s="1"/>
  <c r="F16" i="26"/>
  <c r="I15" i="20" l="1"/>
  <c r="H38" i="20" s="1"/>
  <c r="H42" i="20"/>
  <c r="L121" i="35" s="1"/>
  <c r="L125" i="35" s="1"/>
  <c r="E49" i="18" s="1"/>
  <c r="F4" i="49" s="1"/>
  <c r="F15" i="1"/>
  <c r="F40" i="1" s="1"/>
  <c r="G15" i="26"/>
  <c r="F21" i="26"/>
  <c r="F19" i="26"/>
  <c r="F77" i="35" s="1"/>
  <c r="D23" i="18" s="1"/>
  <c r="L77" i="35"/>
  <c r="H83" i="35"/>
  <c r="G83" i="35" s="1"/>
  <c r="C7" i="49"/>
  <c r="M4" i="49"/>
  <c r="H7" i="49"/>
  <c r="G44" i="18"/>
  <c r="R4" i="49" s="1"/>
  <c r="F44" i="18"/>
  <c r="Q4" i="49" s="1"/>
  <c r="C44" i="18"/>
  <c r="N4" i="49" s="1"/>
  <c r="D7" i="49"/>
  <c r="I7" i="49"/>
  <c r="H44" i="18"/>
  <c r="S4" i="49" s="1"/>
  <c r="F23" i="26"/>
  <c r="E77" i="35" s="1"/>
  <c r="E93" i="35" s="1"/>
  <c r="N121" i="35" l="1"/>
  <c r="N125" i="35" s="1"/>
  <c r="E51" i="18" s="1"/>
  <c r="F6" i="49" s="1"/>
  <c r="H53" i="20"/>
  <c r="H55" i="20" s="1"/>
  <c r="H52" i="20"/>
  <c r="F121" i="35" s="1"/>
  <c r="J121" i="35" s="1"/>
  <c r="F41" i="1"/>
  <c r="N83" i="35" s="1"/>
  <c r="N93" i="35" s="1"/>
  <c r="D51" i="18" s="1"/>
  <c r="E6" i="49" s="1"/>
  <c r="I83" i="35"/>
  <c r="F20" i="1"/>
  <c r="F22" i="26"/>
  <c r="D77" i="35"/>
  <c r="D75" i="35"/>
  <c r="M75" i="35"/>
  <c r="F32" i="1" l="1"/>
  <c r="F33" i="1"/>
  <c r="F34" i="1"/>
  <c r="F47" i="1"/>
  <c r="F48" i="1" s="1"/>
  <c r="F54" i="1" s="1"/>
  <c r="D83" i="35" s="1"/>
  <c r="D93" i="35" s="1"/>
  <c r="F35" i="1"/>
  <c r="F36" i="1"/>
  <c r="C121" i="35"/>
  <c r="C125" i="35" s="1"/>
  <c r="E35" i="18"/>
  <c r="F125" i="35"/>
  <c r="E39" i="18" s="1"/>
  <c r="F7" i="49" s="1"/>
  <c r="F49" i="1"/>
  <c r="F57" i="1" s="1"/>
  <c r="O83" i="35" s="1"/>
  <c r="O93" i="35" s="1"/>
  <c r="D52" i="18" s="1"/>
  <c r="F44" i="1"/>
  <c r="E44" i="18" l="1"/>
  <c r="P4" i="49" s="1"/>
  <c r="L83" i="35"/>
  <c r="F37" i="1"/>
  <c r="F75" i="35"/>
  <c r="L75" i="35"/>
  <c r="L93" i="35" l="1"/>
  <c r="D49" i="18" s="1"/>
  <c r="E4" i="49" s="1"/>
  <c r="M83" i="35"/>
  <c r="M93" i="35" s="1"/>
  <c r="D50" i="18" s="1"/>
  <c r="E5" i="49" s="1"/>
  <c r="F53" i="1"/>
  <c r="F52" i="1"/>
  <c r="C75" i="35"/>
  <c r="D21" i="18"/>
  <c r="F55" i="1" l="1"/>
  <c r="C83" i="35"/>
  <c r="C93" i="35" s="1"/>
  <c r="BO2" i="1"/>
  <c r="F83" i="35"/>
  <c r="D29" i="18" l="1"/>
  <c r="J83" i="35"/>
  <c r="F93" i="35"/>
  <c r="D39" i="18" s="1"/>
  <c r="G11" i="26"/>
  <c r="D44" i="18" l="1"/>
  <c r="O4" i="49" s="1"/>
  <c r="E7" i="4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tc={EE6428FC-F456-4BB4-A1A5-2CB719C9A917}</author>
  </authors>
  <commentList>
    <comment ref="D17" authorId="0" shapeId="0" xr:uid="{EE6428FC-F456-4BB4-A1A5-2CB719C9A917}">
      <text>
        <t>[Threaded comment]
Your version of Excel allows you to read this threaded comment; however, any edits to it will get removed if the file is opened in a newer version of Excel. Learn more: https://go.microsoft.com/fwlink/?linkid=870924
Comment:
    60-d storage capacity - 16% of time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tc={3957ED93-6421-43B5-8DD4-FA7C52DC7CEB}</author>
  </authors>
  <commentList>
    <comment ref="A73" authorId="0" shapeId="0" xr:uid="{3957ED93-6421-43B5-8DD4-FA7C52DC7CEB}">
      <text>
        <t>[Threaded comment]
Your version of Excel allows you to read this threaded comment; however, any edits to it will get removed if the file is opened in a newer version of Excel. Learn more: https://go.microsoft.com/fwlink/?linkid=870924
Comment:
    Any updates on this factor?</t>
      </text>
    </comment>
  </commentList>
</comments>
</file>

<file path=xl/sharedStrings.xml><?xml version="1.0" encoding="utf-8"?>
<sst xmlns="http://schemas.openxmlformats.org/spreadsheetml/2006/main" count="5565" uniqueCount="1000">
  <si>
    <t xml:space="preserve">average of uncovered raw and digested, winter and summer for cattle slurry from Clemens et al 2006 normalized to 1 day </t>
  </si>
  <si>
    <t>truck mileage (km/L, heavy-duty diesel)</t>
  </si>
  <si>
    <t>Vehicle efficiency km/L</t>
  </si>
  <si>
    <r>
      <rPr>
        <b/>
        <sz val="11"/>
        <color indexed="8"/>
        <rFont val="Arial"/>
        <family val="2"/>
      </rPr>
      <t xml:space="preserve">General: </t>
    </r>
    <r>
      <rPr>
        <sz val="11"/>
        <color indexed="8"/>
        <rFont val="Arial"/>
        <family val="2"/>
      </rPr>
      <t xml:space="preserve"> Enter combined data for all like dewatering units.  If a passive drying system with no polymers is used (e.g. drying beds), either estimate the energy use (in kWh equivalents/day) or assume zero emissions.</t>
    </r>
  </si>
  <si>
    <r>
      <rPr>
        <b/>
        <sz val="11"/>
        <color indexed="8"/>
        <rFont val="Arial"/>
        <family val="2"/>
      </rPr>
      <t>General:</t>
    </r>
    <r>
      <rPr>
        <sz val="11"/>
        <color indexed="8"/>
        <rFont val="Arial"/>
        <family val="2"/>
      </rPr>
      <t xml:space="preserve">  Enter data from alkaline stabilization processes, regardless of whether this happens before or after dewatering.  Some advanced alkaline stabilization systems may use supplemental heat from natural gas combustion to achieve Class A; if so, enter amount of natural gas used.  If electricity is used for supplemental heat for achieving Class A, this is included in the Class A calculation.</t>
    </r>
  </si>
  <si>
    <r>
      <rPr>
        <b/>
        <sz val="11"/>
        <color indexed="8"/>
        <rFont val="Arial"/>
        <family val="2"/>
      </rPr>
      <t>General:</t>
    </r>
    <r>
      <rPr>
        <sz val="11"/>
        <color indexed="8"/>
        <rFont val="Arial"/>
        <family val="2"/>
      </rPr>
      <t xml:space="preserve">  Enter data for all solids that were composted.  Whenever possible use data from local measurements.  </t>
    </r>
  </si>
  <si>
    <r>
      <rPr>
        <vertAlign val="superscript"/>
        <sz val="11"/>
        <rFont val="Arial"/>
        <family val="2"/>
      </rPr>
      <t>o</t>
    </r>
    <r>
      <rPr>
        <sz val="11"/>
        <rFont val="Arial"/>
        <family val="2"/>
      </rPr>
      <t>K</t>
    </r>
  </si>
  <si>
    <r>
      <t>CO</t>
    </r>
    <r>
      <rPr>
        <b/>
        <vertAlign val="subscript"/>
        <sz val="11"/>
        <color indexed="8"/>
        <rFont val="Arial"/>
        <family val="2"/>
      </rPr>
      <t>2</t>
    </r>
    <r>
      <rPr>
        <b/>
        <sz val="11"/>
        <color indexed="8"/>
        <rFont val="Arial"/>
        <family val="2"/>
      </rPr>
      <t xml:space="preserve"> emissions from electricity used (Mg/yr)</t>
    </r>
  </si>
  <si>
    <t>Amendment grinding on-site?</t>
  </si>
  <si>
    <t>Quantity of amendment going to composting (Mg/day-wet)</t>
  </si>
  <si>
    <r>
      <t>DOC</t>
    </r>
    <r>
      <rPr>
        <vertAlign val="subscript"/>
        <sz val="11"/>
        <color indexed="8"/>
        <rFont val="Arial"/>
        <family val="2"/>
      </rPr>
      <t>f</t>
    </r>
    <r>
      <rPr>
        <sz val="11"/>
        <color indexed="8"/>
        <rFont val="Arial"/>
        <family val="2"/>
      </rPr>
      <t xml:space="preserve"> - fraction of degradable organic carbon that can decompose </t>
    </r>
  </si>
  <si>
    <r>
      <t>Fugitive CH</t>
    </r>
    <r>
      <rPr>
        <vertAlign val="subscript"/>
        <sz val="11"/>
        <color indexed="8"/>
        <rFont val="Arial"/>
        <family val="2"/>
      </rPr>
      <t>4</t>
    </r>
    <r>
      <rPr>
        <sz val="11"/>
        <color indexed="8"/>
        <rFont val="Arial"/>
        <family val="2"/>
      </rPr>
      <t xml:space="preserve"> from combusted CH</t>
    </r>
    <r>
      <rPr>
        <vertAlign val="subscript"/>
        <sz val="11"/>
        <color indexed="8"/>
        <rFont val="Arial"/>
        <family val="2"/>
      </rPr>
      <t>4</t>
    </r>
    <r>
      <rPr>
        <sz val="11"/>
        <color indexed="8"/>
        <rFont val="Arial"/>
        <family val="2"/>
      </rPr>
      <t xml:space="preserve"> (Mg/day)</t>
    </r>
  </si>
  <si>
    <r>
      <t>CO</t>
    </r>
    <r>
      <rPr>
        <b/>
        <vertAlign val="subscript"/>
        <sz val="11"/>
        <color indexed="8"/>
        <rFont val="Arial"/>
        <family val="2"/>
      </rPr>
      <t>2</t>
    </r>
    <r>
      <rPr>
        <b/>
        <sz val="11"/>
        <color indexed="8"/>
        <rFont val="Arial"/>
        <family val="2"/>
      </rPr>
      <t xml:space="preserve"> emissions equivalents from released N</t>
    </r>
    <r>
      <rPr>
        <b/>
        <vertAlign val="subscript"/>
        <sz val="11"/>
        <color indexed="8"/>
        <rFont val="Arial"/>
        <family val="2"/>
      </rPr>
      <t>2</t>
    </r>
    <r>
      <rPr>
        <b/>
        <sz val="11"/>
        <color indexed="8"/>
        <rFont val="Arial"/>
        <family val="2"/>
      </rPr>
      <t>O (Mg/day)</t>
    </r>
  </si>
  <si>
    <t>Type of incinerator</t>
  </si>
  <si>
    <r>
      <t>Natural gas needed to evaporate water in sludge (m</t>
    </r>
    <r>
      <rPr>
        <vertAlign val="superscript"/>
        <sz val="11"/>
        <color indexed="8"/>
        <rFont val="Arial"/>
        <family val="2"/>
      </rPr>
      <t>3</t>
    </r>
    <r>
      <rPr>
        <sz val="11"/>
        <color indexed="8"/>
        <rFont val="Arial"/>
        <family val="2"/>
      </rPr>
      <t>/day)</t>
    </r>
  </si>
  <si>
    <r>
      <t>CO</t>
    </r>
    <r>
      <rPr>
        <b/>
        <vertAlign val="subscript"/>
        <sz val="11"/>
        <color indexed="8"/>
        <rFont val="Arial"/>
        <family val="2"/>
      </rPr>
      <t>2</t>
    </r>
    <r>
      <rPr>
        <b/>
        <sz val="11"/>
        <color indexed="8"/>
        <rFont val="Arial"/>
        <family val="2"/>
      </rPr>
      <t xml:space="preserve"> emissions equivalents from released methane (Mg/day)</t>
    </r>
  </si>
  <si>
    <r>
      <t>CO</t>
    </r>
    <r>
      <rPr>
        <b/>
        <vertAlign val="subscript"/>
        <sz val="11"/>
        <color indexed="8"/>
        <rFont val="Arial"/>
        <family val="2"/>
      </rPr>
      <t>2</t>
    </r>
    <r>
      <rPr>
        <b/>
        <sz val="11"/>
        <color indexed="8"/>
        <rFont val="Arial"/>
        <family val="2"/>
      </rPr>
      <t xml:space="preserve"> emissions avoided from electricity generated (Mg/day)</t>
    </r>
  </si>
  <si>
    <r>
      <t>CO</t>
    </r>
    <r>
      <rPr>
        <b/>
        <vertAlign val="subscript"/>
        <sz val="11"/>
        <color indexed="8"/>
        <rFont val="Arial"/>
        <family val="2"/>
      </rPr>
      <t>2</t>
    </r>
    <r>
      <rPr>
        <b/>
        <sz val="11"/>
        <color indexed="8"/>
        <rFont val="Arial"/>
        <family val="2"/>
      </rPr>
      <t xml:space="preserve"> replacement value from cement manufacture (Mg CO</t>
    </r>
    <r>
      <rPr>
        <b/>
        <vertAlign val="subscript"/>
        <sz val="11"/>
        <color indexed="8"/>
        <rFont val="Arial"/>
        <family val="2"/>
      </rPr>
      <t>2</t>
    </r>
    <r>
      <rPr>
        <b/>
        <sz val="11"/>
        <color indexed="8"/>
        <rFont val="Arial"/>
        <family val="2"/>
      </rPr>
      <t>/day)</t>
    </r>
  </si>
  <si>
    <r>
      <t>CO</t>
    </r>
    <r>
      <rPr>
        <b/>
        <vertAlign val="subscript"/>
        <sz val="11"/>
        <color indexed="8"/>
        <rFont val="Arial"/>
        <family val="2"/>
      </rPr>
      <t>2</t>
    </r>
    <r>
      <rPr>
        <b/>
        <sz val="11"/>
        <color indexed="8"/>
        <rFont val="Arial"/>
        <family val="2"/>
      </rPr>
      <t xml:space="preserve"> emissions from diesel used (Mg/day)</t>
    </r>
  </si>
  <si>
    <r>
      <rPr>
        <b/>
        <sz val="11"/>
        <color indexed="8"/>
        <rFont val="Arial"/>
        <family val="2"/>
      </rPr>
      <t>General:</t>
    </r>
    <r>
      <rPr>
        <sz val="11"/>
        <color indexed="8"/>
        <rFont val="Arial"/>
        <family val="2"/>
      </rPr>
      <t xml:space="preserve">  Enter combined data for all operating incinerators.  The data input with the most impact is the average high (freeboard) temperature of combustion.  Electricity and natural gas used should include energy to operate the incinerator and to operate any pollution control systems associated with the incinerator.  Also important is whether or not a urea-based selective non-catalytic reduction air emissions control system is used.</t>
    </r>
  </si>
  <si>
    <r>
      <rPr>
        <b/>
        <sz val="11"/>
        <color indexed="8"/>
        <rFont val="Arial"/>
        <family val="2"/>
      </rPr>
      <t>General:</t>
    </r>
    <r>
      <rPr>
        <sz val="11"/>
        <color indexed="8"/>
        <rFont val="Arial"/>
        <family val="2"/>
      </rPr>
      <t xml:space="preserve">  Include all transportation of wastewater solids and biosolids, including within the wastewater treatment plant, to processing and storage facilities, and to final end use and disposal sites.  Do not include diesel fuel used for applying biosolids to land or managing it in a landfill.  If biodiesel or other non-fossil fuel is used, enter the percentage used in the appropriate row.</t>
    </r>
  </si>
  <si>
    <t>Calculations by:</t>
  </si>
  <si>
    <r>
      <t>CO</t>
    </r>
    <r>
      <rPr>
        <b/>
        <vertAlign val="subscript"/>
        <sz val="11"/>
        <color indexed="8"/>
        <rFont val="Arial"/>
        <family val="2"/>
      </rPr>
      <t>2</t>
    </r>
    <r>
      <rPr>
        <b/>
        <sz val="11"/>
        <color indexed="8"/>
        <rFont val="Arial"/>
        <family val="2"/>
      </rPr>
      <t xml:space="preserve"> equivalents in polymers used (Mg/day)</t>
    </r>
  </si>
  <si>
    <t>Storage Input</t>
  </si>
  <si>
    <t>Process Options</t>
  </si>
  <si>
    <t>Conditioning  / Thickening Input</t>
  </si>
  <si>
    <t>Thermal Drying Input</t>
  </si>
  <si>
    <t>Alkaline Stabilization Input</t>
  </si>
  <si>
    <t>Blended Feedstock Characteristics</t>
  </si>
  <si>
    <t>Feedstock Input</t>
  </si>
  <si>
    <t>Solids Input (to incinerator)</t>
  </si>
  <si>
    <t>Input</t>
  </si>
  <si>
    <t>Default from reference values</t>
  </si>
  <si>
    <r>
      <rPr>
        <b/>
        <sz val="11"/>
        <color indexed="8"/>
        <rFont val="Arial"/>
        <family val="2"/>
      </rPr>
      <t>General:</t>
    </r>
    <r>
      <rPr>
        <sz val="11"/>
        <color indexed="8"/>
        <rFont val="Arial"/>
        <family val="2"/>
      </rPr>
      <t xml:space="preserve">  Enter data for all wastewater solids sent to a landfill for disposal.  </t>
    </r>
  </si>
  <si>
    <r>
      <t>CO</t>
    </r>
    <r>
      <rPr>
        <b/>
        <vertAlign val="subscript"/>
        <sz val="11"/>
        <color indexed="8"/>
        <rFont val="Arial"/>
        <family val="2"/>
      </rPr>
      <t>2</t>
    </r>
    <r>
      <rPr>
        <b/>
        <sz val="11"/>
        <color indexed="8"/>
        <rFont val="Arial"/>
        <family val="2"/>
      </rPr>
      <t xml:space="preserve"> equivalents in polymer used (Mg/day)</t>
    </r>
  </si>
  <si>
    <t>AB</t>
  </si>
  <si>
    <t>BC</t>
  </si>
  <si>
    <t>MB</t>
  </si>
  <si>
    <t>PE</t>
  </si>
  <si>
    <t>QC</t>
  </si>
  <si>
    <r>
      <t>CO</t>
    </r>
    <r>
      <rPr>
        <b/>
        <vertAlign val="subscript"/>
        <sz val="11"/>
        <color indexed="8"/>
        <rFont val="Arial"/>
        <family val="2"/>
      </rPr>
      <t>2</t>
    </r>
    <r>
      <rPr>
        <b/>
        <sz val="11"/>
        <color indexed="8"/>
        <rFont val="Arial"/>
        <family val="2"/>
      </rPr>
      <t xml:space="preserve"> emissions equivalents from released CH</t>
    </r>
    <r>
      <rPr>
        <b/>
        <vertAlign val="subscript"/>
        <sz val="11"/>
        <color indexed="8"/>
        <rFont val="Arial"/>
        <family val="2"/>
      </rPr>
      <t>4</t>
    </r>
    <r>
      <rPr>
        <b/>
        <sz val="11"/>
        <color indexed="8"/>
        <rFont val="Arial"/>
        <family val="2"/>
      </rPr>
      <t xml:space="preserve"> (Mg/day)</t>
    </r>
  </si>
  <si>
    <r>
      <t>From compost applied to soil (Mg CO</t>
    </r>
    <r>
      <rPr>
        <b/>
        <vertAlign val="subscript"/>
        <sz val="11"/>
        <color indexed="8"/>
        <rFont val="Arial"/>
        <family val="2"/>
      </rPr>
      <t>2</t>
    </r>
    <r>
      <rPr>
        <b/>
        <sz val="11"/>
        <color indexed="8"/>
        <rFont val="Arial"/>
        <family val="2"/>
      </rPr>
      <t>/day)</t>
    </r>
  </si>
  <si>
    <r>
      <t>From nitrogen applied to soil (Mg CO</t>
    </r>
    <r>
      <rPr>
        <b/>
        <vertAlign val="subscript"/>
        <sz val="11"/>
        <color indexed="8"/>
        <rFont val="Arial"/>
        <family val="2"/>
      </rPr>
      <t>2</t>
    </r>
    <r>
      <rPr>
        <b/>
        <sz val="11"/>
        <color indexed="8"/>
        <rFont val="Arial"/>
        <family val="2"/>
      </rPr>
      <t>/day)</t>
    </r>
  </si>
  <si>
    <r>
      <t>From phosphorus applied to soil (Mg CO</t>
    </r>
    <r>
      <rPr>
        <b/>
        <vertAlign val="subscript"/>
        <sz val="11"/>
        <color indexed="8"/>
        <rFont val="Arial"/>
        <family val="2"/>
      </rPr>
      <t>2</t>
    </r>
    <r>
      <rPr>
        <b/>
        <sz val="11"/>
        <color indexed="8"/>
        <rFont val="Arial"/>
        <family val="2"/>
      </rPr>
      <t>/day)</t>
    </r>
  </si>
  <si>
    <r>
      <t>CO</t>
    </r>
    <r>
      <rPr>
        <b/>
        <vertAlign val="subscript"/>
        <sz val="14"/>
        <color indexed="8"/>
        <rFont val="Arial"/>
        <family val="2"/>
      </rPr>
      <t>2</t>
    </r>
    <r>
      <rPr>
        <b/>
        <sz val="14"/>
        <color indexed="8"/>
        <rFont val="Arial"/>
        <family val="2"/>
      </rPr>
      <t xml:space="preserve"> equivalents (Mg/year)</t>
    </r>
  </si>
  <si>
    <r>
      <t>CO</t>
    </r>
    <r>
      <rPr>
        <b/>
        <vertAlign val="subscript"/>
        <sz val="14"/>
        <color indexed="8"/>
        <rFont val="Arial"/>
        <family val="2"/>
      </rPr>
      <t>2</t>
    </r>
    <r>
      <rPr>
        <b/>
        <sz val="14"/>
        <color indexed="8"/>
        <rFont val="Arial"/>
        <family val="2"/>
      </rPr>
      <t xml:space="preserve"> equivalents (Mg/year) </t>
    </r>
  </si>
  <si>
    <r>
      <t>CO</t>
    </r>
    <r>
      <rPr>
        <b/>
        <vertAlign val="subscript"/>
        <sz val="14"/>
        <color indexed="8"/>
        <rFont val="Arial"/>
        <family val="2"/>
      </rPr>
      <t>2</t>
    </r>
    <r>
      <rPr>
        <b/>
        <sz val="14"/>
        <color indexed="8"/>
        <rFont val="Arial"/>
        <family val="2"/>
      </rPr>
      <t xml:space="preserve"> equivalents (Mg/yr)</t>
    </r>
  </si>
  <si>
    <t>Soil Texture at land appplication sites (total)</t>
  </si>
  <si>
    <t>Fine-textured (% of land application area)</t>
  </si>
  <si>
    <t>Coarse-textured (% of land application area)</t>
  </si>
  <si>
    <r>
      <t>From CaCO</t>
    </r>
    <r>
      <rPr>
        <b/>
        <vertAlign val="subscript"/>
        <sz val="11"/>
        <color indexed="8"/>
        <rFont val="Arial"/>
        <family val="2"/>
      </rPr>
      <t xml:space="preserve">3 </t>
    </r>
    <r>
      <rPr>
        <b/>
        <sz val="11"/>
        <color indexed="8"/>
        <rFont val="Arial"/>
        <family val="2"/>
      </rPr>
      <t>applied to soil (Mg CO</t>
    </r>
    <r>
      <rPr>
        <b/>
        <vertAlign val="subscript"/>
        <sz val="11"/>
        <color indexed="8"/>
        <rFont val="Arial"/>
        <family val="2"/>
      </rPr>
      <t>2</t>
    </r>
    <r>
      <rPr>
        <b/>
        <sz val="11"/>
        <color indexed="8"/>
        <rFont val="Arial"/>
        <family val="2"/>
      </rPr>
      <t>/day)</t>
    </r>
  </si>
  <si>
    <r>
      <t>Subtotal - CO</t>
    </r>
    <r>
      <rPr>
        <b/>
        <vertAlign val="subscript"/>
        <sz val="11"/>
        <color indexed="8"/>
        <rFont val="Arial"/>
        <family val="2"/>
      </rPr>
      <t>2</t>
    </r>
    <r>
      <rPr>
        <b/>
        <sz val="11"/>
        <color indexed="8"/>
        <rFont val="Arial"/>
        <family val="2"/>
      </rPr>
      <t xml:space="preserve"> equivalents (Mg/yr')</t>
    </r>
  </si>
  <si>
    <r>
      <t>N</t>
    </r>
    <r>
      <rPr>
        <vertAlign val="subscript"/>
        <sz val="11"/>
        <color indexed="8"/>
        <rFont val="Arial"/>
        <family val="2"/>
      </rPr>
      <t>2</t>
    </r>
    <r>
      <rPr>
        <sz val="11"/>
        <color indexed="8"/>
        <rFont val="Arial"/>
        <family val="2"/>
      </rPr>
      <t>O emitted from land application - fine-textured soils (Mg/day)</t>
    </r>
  </si>
  <si>
    <r>
      <rPr>
        <b/>
        <sz val="11"/>
        <color indexed="8"/>
        <rFont val="Arial"/>
        <family val="2"/>
      </rPr>
      <t xml:space="preserve">General: </t>
    </r>
    <r>
      <rPr>
        <sz val="11"/>
        <color indexed="8"/>
        <rFont val="Arial"/>
        <family val="2"/>
      </rPr>
      <t>Enter data for any form of long-term solids storage, in lagoons or in tanks from which air or gas escapes to the atmosphere.</t>
    </r>
  </si>
  <si>
    <r>
      <rPr>
        <b/>
        <sz val="11"/>
        <color indexed="8"/>
        <rFont val="Arial"/>
        <family val="2"/>
      </rPr>
      <t>General:</t>
    </r>
    <r>
      <rPr>
        <sz val="11"/>
        <color indexed="8"/>
        <rFont val="Arial"/>
        <family val="2"/>
      </rPr>
      <t xml:space="preserve">  Enter data for wastewater solids thickening, and conditioning for thickening (using polymers; ignore other conditioners such as ferric chloride or alum).  Do not use this page for dewatering (separate sheet).</t>
    </r>
  </si>
  <si>
    <r>
      <rPr>
        <b/>
        <sz val="11"/>
        <color indexed="8"/>
        <rFont val="Arial"/>
        <family val="2"/>
      </rPr>
      <t>General:</t>
    </r>
    <r>
      <rPr>
        <sz val="11"/>
        <color indexed="8"/>
        <rFont val="Arial"/>
        <family val="2"/>
      </rPr>
      <t xml:space="preserve">  Enter combined data from all anaerobic digesters.  Be sure to enter in the green cells actual data from measurements at a facility, if available.  Use defaults if necessary, especially when previous data inputs have resulted in a calculated default value.  </t>
    </r>
  </si>
  <si>
    <r>
      <t>Reduction in N</t>
    </r>
    <r>
      <rPr>
        <vertAlign val="subscript"/>
        <sz val="11"/>
        <color indexed="8"/>
        <rFont val="Arial"/>
        <family val="2"/>
      </rPr>
      <t>2</t>
    </r>
    <r>
      <rPr>
        <sz val="11"/>
        <color indexed="8"/>
        <rFont val="Arial"/>
        <family val="2"/>
      </rPr>
      <t>O emissions on fine-textured soils from high solids content in biosolids</t>
    </r>
  </si>
  <si>
    <t>Fuel Use During Land Application</t>
  </si>
  <si>
    <t>http://tractortestlab.unl.edu</t>
  </si>
  <si>
    <t>Time to apply (loads/hr)</t>
  </si>
  <si>
    <r>
      <t>Size of loads (m</t>
    </r>
    <r>
      <rPr>
        <vertAlign val="superscript"/>
        <sz val="11"/>
        <color indexed="8"/>
        <rFont val="Arial"/>
        <family val="2"/>
      </rPr>
      <t>3</t>
    </r>
    <r>
      <rPr>
        <sz val="11"/>
        <color indexed="8"/>
        <rFont val="Arial"/>
        <family val="2"/>
      </rPr>
      <t>)</t>
    </r>
  </si>
  <si>
    <t>estimate</t>
  </si>
  <si>
    <r>
      <t>Density of de-watered sludge (kg/m</t>
    </r>
    <r>
      <rPr>
        <vertAlign val="superscript"/>
        <sz val="11"/>
        <color indexed="8"/>
        <rFont val="Arial"/>
        <family val="2"/>
      </rPr>
      <t>3</t>
    </r>
    <r>
      <rPr>
        <sz val="11"/>
        <color indexed="8"/>
        <rFont val="Arial"/>
        <family val="2"/>
      </rPr>
      <t>)</t>
    </r>
  </si>
  <si>
    <t>Digester Input</t>
  </si>
  <si>
    <t>Digester Output</t>
  </si>
  <si>
    <t>Organic carbon(%-dry weight)</t>
  </si>
  <si>
    <t>low</t>
  </si>
  <si>
    <t>high</t>
  </si>
  <si>
    <r>
      <t>Biogas Yield (m</t>
    </r>
    <r>
      <rPr>
        <vertAlign val="superscript"/>
        <sz val="11"/>
        <color indexed="8"/>
        <rFont val="Arial"/>
        <family val="2"/>
      </rPr>
      <t>3</t>
    </r>
    <r>
      <rPr>
        <sz val="11"/>
        <color indexed="8"/>
        <rFont val="Arial"/>
        <family val="2"/>
      </rPr>
      <t>/day)</t>
    </r>
  </si>
  <si>
    <r>
      <t>Methane Yield (m</t>
    </r>
    <r>
      <rPr>
        <vertAlign val="superscript"/>
        <sz val="11"/>
        <color indexed="8"/>
        <rFont val="Arial"/>
        <family val="2"/>
      </rPr>
      <t>3</t>
    </r>
    <r>
      <rPr>
        <sz val="11"/>
        <color indexed="8"/>
        <rFont val="Arial"/>
        <family val="2"/>
      </rPr>
      <t>/day)</t>
    </r>
  </si>
  <si>
    <t>Process output</t>
  </si>
  <si>
    <t>Is the storage lagoon or tank aerated with aerators?</t>
  </si>
  <si>
    <r>
      <t xml:space="preserve">Is the depth of the lagoon </t>
    </r>
    <r>
      <rPr>
        <b/>
        <sz val="11"/>
        <color indexed="8"/>
        <rFont val="Arial"/>
        <family val="2"/>
      </rPr>
      <t>less than</t>
    </r>
    <r>
      <rPr>
        <sz val="11"/>
        <color indexed="8"/>
        <rFont val="Arial"/>
        <family val="2"/>
      </rPr>
      <t xml:space="preserve"> 2 meters (on average)?</t>
    </r>
  </si>
  <si>
    <r>
      <t>Net natural Gas used (m</t>
    </r>
    <r>
      <rPr>
        <vertAlign val="superscript"/>
        <sz val="11"/>
        <color indexed="8"/>
        <rFont val="Arial"/>
        <family val="2"/>
      </rPr>
      <t>3</t>
    </r>
    <r>
      <rPr>
        <sz val="11"/>
        <color indexed="8"/>
        <rFont val="Arial"/>
        <family val="2"/>
      </rPr>
      <t>/day)</t>
    </r>
  </si>
  <si>
    <t>Net electricity used (kWh/day)</t>
  </si>
  <si>
    <r>
      <t>CO</t>
    </r>
    <r>
      <rPr>
        <b/>
        <vertAlign val="subscript"/>
        <sz val="11"/>
        <color indexed="8"/>
        <rFont val="Arial"/>
        <family val="2"/>
      </rPr>
      <t>2</t>
    </r>
    <r>
      <rPr>
        <b/>
        <sz val="11"/>
        <color indexed="8"/>
        <rFont val="Arial"/>
        <family val="2"/>
      </rPr>
      <t xml:space="preserve"> emissions from electricity used (Mg/day)</t>
    </r>
  </si>
  <si>
    <r>
      <t>CO</t>
    </r>
    <r>
      <rPr>
        <b/>
        <vertAlign val="subscript"/>
        <sz val="11"/>
        <color indexed="8"/>
        <rFont val="Arial"/>
        <family val="2"/>
      </rPr>
      <t>2</t>
    </r>
    <r>
      <rPr>
        <b/>
        <sz val="11"/>
        <color indexed="8"/>
        <rFont val="Arial"/>
        <family val="2"/>
      </rPr>
      <t xml:space="preserve"> Emissions from electricity used (Mg/day)</t>
    </r>
  </si>
  <si>
    <r>
      <t>CO</t>
    </r>
    <r>
      <rPr>
        <b/>
        <vertAlign val="subscript"/>
        <sz val="11"/>
        <color indexed="8"/>
        <rFont val="Arial"/>
        <family val="2"/>
      </rPr>
      <t>2</t>
    </r>
    <r>
      <rPr>
        <b/>
        <sz val="11"/>
        <color indexed="8"/>
        <rFont val="Arial"/>
        <family val="2"/>
      </rPr>
      <t xml:space="preserve"> emissions from natural gas used (Mg/day)</t>
    </r>
  </si>
  <si>
    <r>
      <t>CO</t>
    </r>
    <r>
      <rPr>
        <b/>
        <vertAlign val="subscript"/>
        <sz val="11"/>
        <color indexed="8"/>
        <rFont val="Arial"/>
        <family val="2"/>
      </rPr>
      <t>2</t>
    </r>
    <r>
      <rPr>
        <b/>
        <sz val="11"/>
        <color indexed="8"/>
        <rFont val="Arial"/>
        <family val="2"/>
      </rPr>
      <t xml:space="preserve"> emissions from natural gas (net) used (Mg/day)</t>
    </r>
  </si>
  <si>
    <r>
      <t>CO</t>
    </r>
    <r>
      <rPr>
        <b/>
        <vertAlign val="subscript"/>
        <sz val="11"/>
        <color indexed="8"/>
        <rFont val="Arial"/>
        <family val="2"/>
      </rPr>
      <t>2</t>
    </r>
    <r>
      <rPr>
        <b/>
        <sz val="11"/>
        <color indexed="8"/>
        <rFont val="Arial"/>
        <family val="2"/>
      </rPr>
      <t xml:space="preserve"> Emissions from electricity (net) purchased (Mg/day)</t>
    </r>
  </si>
  <si>
    <r>
      <t>CO</t>
    </r>
    <r>
      <rPr>
        <b/>
        <vertAlign val="subscript"/>
        <sz val="11"/>
        <color indexed="8"/>
        <rFont val="Arial"/>
        <family val="2"/>
      </rPr>
      <t>2</t>
    </r>
    <r>
      <rPr>
        <b/>
        <sz val="11"/>
        <color indexed="8"/>
        <rFont val="Arial"/>
        <family val="2"/>
      </rPr>
      <t xml:space="preserve"> eq emissions from fugitive methane (Mg/day)</t>
    </r>
  </si>
  <si>
    <r>
      <t>CO</t>
    </r>
    <r>
      <rPr>
        <b/>
        <vertAlign val="subscript"/>
        <sz val="11"/>
        <color indexed="8"/>
        <rFont val="Arial"/>
        <family val="2"/>
      </rPr>
      <t>2</t>
    </r>
    <r>
      <rPr>
        <b/>
        <sz val="11"/>
        <color indexed="8"/>
        <rFont val="Arial"/>
        <family val="2"/>
      </rPr>
      <t xml:space="preserve"> emissions from biomass (biogas) combustion (Mg/day)</t>
    </r>
  </si>
  <si>
    <t>Energy use (kWh/day)</t>
  </si>
  <si>
    <r>
      <t>Natural gas use (m</t>
    </r>
    <r>
      <rPr>
        <vertAlign val="superscript"/>
        <sz val="11"/>
        <color indexed="8"/>
        <rFont val="Arial"/>
        <family val="2"/>
      </rPr>
      <t>3</t>
    </r>
    <r>
      <rPr>
        <sz val="11"/>
        <color indexed="8"/>
        <rFont val="Arial"/>
        <family val="2"/>
      </rPr>
      <t>/day)</t>
    </r>
  </si>
  <si>
    <t>Is a urea-based selective noncatalytic reduction emissions system being used?</t>
  </si>
  <si>
    <r>
      <t>Energy requirements of the drying-evaporating water (BtU</t>
    </r>
    <r>
      <rPr>
        <sz val="11"/>
        <color indexed="8"/>
        <rFont val="Arial"/>
        <family val="2"/>
      </rPr>
      <t>/day)</t>
    </r>
  </si>
  <si>
    <r>
      <t>CO</t>
    </r>
    <r>
      <rPr>
        <b/>
        <vertAlign val="subscript"/>
        <sz val="11"/>
        <color indexed="8"/>
        <rFont val="Arial"/>
        <family val="2"/>
      </rPr>
      <t>2</t>
    </r>
    <r>
      <rPr>
        <b/>
        <sz val="11"/>
        <color indexed="8"/>
        <rFont val="Arial"/>
        <family val="2"/>
      </rPr>
      <t xml:space="preserve"> emissions equivalents from lime production (Mg/day)</t>
    </r>
  </si>
  <si>
    <t>Electricity use (kWh / day)</t>
  </si>
  <si>
    <t>Polymer use for de-watering (kg/Mg of dry solids treated)</t>
  </si>
  <si>
    <t>Metcalf &amp; Eddy, 2003, p. 1498 (average of 3-7)</t>
  </si>
  <si>
    <t>ASP</t>
  </si>
  <si>
    <t>Cut-off between low and high C:N</t>
  </si>
  <si>
    <t>cement</t>
  </si>
  <si>
    <t>default average truck mileage (km/L, heavy-duty diesel)</t>
  </si>
  <si>
    <t>EPA 2006, Solid Waste Management and GHG Emissions</t>
  </si>
  <si>
    <r>
      <t>Net natural gas used (m</t>
    </r>
    <r>
      <rPr>
        <vertAlign val="superscript"/>
        <sz val="11"/>
        <color indexed="8"/>
        <rFont val="Arial"/>
        <family val="2"/>
      </rPr>
      <t>3</t>
    </r>
    <r>
      <rPr>
        <sz val="11"/>
        <color indexed="8"/>
        <rFont val="Arial"/>
        <family val="2"/>
      </rPr>
      <t>/day)</t>
    </r>
  </si>
  <si>
    <t>Methane emissions</t>
  </si>
  <si>
    <t>Instructions and Notes</t>
  </si>
  <si>
    <t>Inputs</t>
  </si>
  <si>
    <t xml:space="preserve">Total </t>
  </si>
  <si>
    <t>Date of calculation:</t>
  </si>
  <si>
    <t>Enter "x" for all applicable processes:</t>
  </si>
  <si>
    <t>-</t>
  </si>
  <si>
    <t>Default Input (Optional)</t>
  </si>
  <si>
    <t>Unit Processes &amp; Inputs</t>
  </si>
  <si>
    <t>Inputs &amp; Daily Emissions</t>
  </si>
  <si>
    <r>
      <rPr>
        <b/>
        <sz val="11"/>
        <color indexed="8"/>
        <rFont val="Arial"/>
        <family val="2"/>
      </rPr>
      <t>General:</t>
    </r>
    <r>
      <rPr>
        <sz val="11"/>
        <color indexed="8"/>
        <rFont val="Arial"/>
        <family val="2"/>
      </rPr>
      <t xml:space="preserve">  Enter combined data from all aerobic digesters.  If the digesters are heated (not common), enter the amount of natural gas used.</t>
    </r>
  </si>
  <si>
    <r>
      <t>*Biomass combustion emissions are not included in total CO</t>
    </r>
    <r>
      <rPr>
        <vertAlign val="subscript"/>
        <sz val="11"/>
        <color indexed="8"/>
        <rFont val="Arial"/>
        <family val="2"/>
      </rPr>
      <t>2</t>
    </r>
    <r>
      <rPr>
        <sz val="11"/>
        <color indexed="8"/>
        <rFont val="Arial"/>
        <family val="2"/>
      </rPr>
      <t xml:space="preserve"> equivalents.</t>
    </r>
  </si>
  <si>
    <r>
      <rPr>
        <b/>
        <sz val="11"/>
        <color indexed="8"/>
        <rFont val="Arial"/>
        <family val="2"/>
      </rPr>
      <t>General:</t>
    </r>
    <r>
      <rPr>
        <sz val="11"/>
        <color indexed="8"/>
        <rFont val="Arial"/>
        <family val="2"/>
      </rPr>
      <t xml:space="preserve">  Enter data for thermal drying processes (e.g. rotary drum dryers), whether indirectly or directly heated.  Enter actual natural gas and electricity use per day, if available.</t>
    </r>
  </si>
  <si>
    <t>Metcalf &amp; Eddy, 2003, p. 1556 (range is 1 - 10 for primary, WAS, belt filter press, centrifuge)</t>
  </si>
  <si>
    <t>Key</t>
  </si>
  <si>
    <r>
      <t>Minimum solids content of biosolids at which N</t>
    </r>
    <r>
      <rPr>
        <vertAlign val="subscript"/>
        <sz val="11"/>
        <color indexed="8"/>
        <rFont val="Arial"/>
        <family val="2"/>
      </rPr>
      <t>2</t>
    </r>
    <r>
      <rPr>
        <sz val="11"/>
        <color indexed="8"/>
        <rFont val="Arial"/>
        <family val="2"/>
      </rPr>
      <t>O emissions is reduced on fine textured soils</t>
    </r>
  </si>
  <si>
    <t>90 is the value in Brown et al, JEQ 2008 - the reference within the study is Steve Diddy personal communication - and this 180 is assuming that, on a dry weight basis, biosolids and wood feedstocks will be mixed 1 to 1</t>
  </si>
  <si>
    <t>Tractor fuel use (l-diesel/hr)</t>
  </si>
  <si>
    <t>OX - oxidation factor based on amount of methane oxidized by soil cover - if low quality soil cover</t>
  </si>
  <si>
    <t>CDM - Tool to determine methane emissions avoided from dumping waste as a solid waste disposal site (version 2).</t>
  </si>
  <si>
    <t>none</t>
  </si>
  <si>
    <t>Applying compost to land (L-diesel fuel/day)</t>
  </si>
  <si>
    <t>Is the lime in biosolids derived from a waste product (e.g. cement kiln dust)?</t>
  </si>
  <si>
    <t>Amount of alkaline product added (Mg lime or lime equivalent/day)</t>
  </si>
  <si>
    <t xml:space="preserve">On this page, enter data for all biosolids that are applied to land, but have not been composted.  This may include alkaline stabilized biosolids (complete the alkaline stabilized page) or other Class A or Class B biosolids.  </t>
  </si>
  <si>
    <t>digested</t>
  </si>
  <si>
    <t>limed</t>
  </si>
  <si>
    <t>Quality of soil cover at landfill (high = good organic matter content, supports vegetation well)</t>
  </si>
  <si>
    <t>Oxidation of methane by soil cover - applies three years after placement of wastewater solids in landfill</t>
  </si>
  <si>
    <t>OX - oxidation factor based on amount of methane oxidized by soil cover - if high quality soil or compost cover</t>
  </si>
  <si>
    <t>Disposition of ash -  Is it used to replace phosphorus fertilizer or in cement or brick?</t>
  </si>
  <si>
    <t>Total volatile solids - TVS (%-dry weight)</t>
  </si>
  <si>
    <t xml:space="preserve">Type of composting operation </t>
  </si>
  <si>
    <t>Muliple Hearth Furnace electricity use - (kWh/Mg sludge - dry wt.) - includes pollution control</t>
  </si>
  <si>
    <t>Fluidized Bed</t>
  </si>
  <si>
    <t>Electricity Requirements for Composting</t>
  </si>
  <si>
    <t>Fluidized Bed Incinerator electricity use - (kWh/Mg sludge - dry wt.) - includes pollution control</t>
  </si>
  <si>
    <t>Thermal Drying</t>
  </si>
  <si>
    <t>Solids content going in to dryer (%)</t>
  </si>
  <si>
    <t>Solids content coming out of dryer (%)</t>
  </si>
  <si>
    <t>Electricity Use (kWh/Mg-dry)</t>
  </si>
  <si>
    <r>
      <t>Density (kg/m</t>
    </r>
    <r>
      <rPr>
        <vertAlign val="superscript"/>
        <sz val="11"/>
        <color indexed="8"/>
        <rFont val="Arial"/>
        <family val="2"/>
      </rPr>
      <t>3</t>
    </r>
    <r>
      <rPr>
        <sz val="11"/>
        <color indexed="8"/>
        <rFont val="Arial"/>
        <family val="2"/>
      </rPr>
      <t>)</t>
    </r>
  </si>
  <si>
    <t>Brown, et al., 2008; Metcalf &amp; Eddy, 2003, p. 1514 - equation calculated out to 100 days</t>
  </si>
  <si>
    <t>no cover</t>
  </si>
  <si>
    <t>Total fuel use for composting equipment (L-diesel fuel/day)</t>
  </si>
  <si>
    <t>Volume of amendment in compost (%)</t>
  </si>
  <si>
    <t>Polymer use (kg/day)</t>
  </si>
  <si>
    <r>
      <t xml:space="preserve">+ </t>
    </r>
    <r>
      <rPr>
        <vertAlign val="superscript"/>
        <sz val="11"/>
        <rFont val="Arial"/>
        <family val="2"/>
      </rPr>
      <t>o</t>
    </r>
    <r>
      <rPr>
        <sz val="11"/>
        <rFont val="Arial"/>
        <family val="2"/>
      </rPr>
      <t>C</t>
    </r>
  </si>
  <si>
    <t>Fuel Requirements</t>
  </si>
  <si>
    <t>constant 1 for above equation</t>
  </si>
  <si>
    <t>Energy Recovery Potential from Sludge</t>
  </si>
  <si>
    <r>
      <t>% conversion N to N2O during combustion = 161.3 - 0.140*T</t>
    </r>
    <r>
      <rPr>
        <vertAlign val="subscript"/>
        <sz val="11"/>
        <color indexed="8"/>
        <rFont val="Arial"/>
        <family val="2"/>
      </rPr>
      <t xml:space="preserve">f </t>
    </r>
    <r>
      <rPr>
        <sz val="11"/>
        <color indexed="8"/>
        <rFont val="Arial"/>
        <family val="2"/>
      </rPr>
      <t>where T</t>
    </r>
    <r>
      <rPr>
        <vertAlign val="subscript"/>
        <sz val="11"/>
        <color indexed="8"/>
        <rFont val="Arial"/>
        <family val="2"/>
      </rPr>
      <t>f</t>
    </r>
    <r>
      <rPr>
        <sz val="11"/>
        <color indexed="8"/>
        <rFont val="Arial"/>
        <family val="2"/>
      </rPr>
      <t xml:space="preserve"> = max. freeboard temp. in </t>
    </r>
    <r>
      <rPr>
        <vertAlign val="superscript"/>
        <sz val="11"/>
        <color indexed="8"/>
        <rFont val="Arial"/>
        <family val="2"/>
      </rPr>
      <t>o</t>
    </r>
    <r>
      <rPr>
        <sz val="11"/>
        <color indexed="8"/>
        <rFont val="Arial"/>
        <family val="2"/>
      </rPr>
      <t>K</t>
    </r>
  </si>
  <si>
    <t>constant 2 for above equation</t>
  </si>
  <si>
    <t>Suzuki et al. 2003</t>
  </si>
  <si>
    <t>Electricity requirements of dryer (kWh/day)</t>
  </si>
  <si>
    <t>Type of thickener</t>
  </si>
  <si>
    <t>Unit Process</t>
  </si>
  <si>
    <t>Energy Balance</t>
  </si>
  <si>
    <t>Energy potential of sludge (Btu/day)</t>
  </si>
  <si>
    <t>Electricity Generation Credit</t>
  </si>
  <si>
    <r>
      <t>N</t>
    </r>
    <r>
      <rPr>
        <vertAlign val="subscript"/>
        <sz val="11"/>
        <color indexed="8"/>
        <rFont val="Arial"/>
        <family val="2"/>
      </rPr>
      <t>2</t>
    </r>
    <r>
      <rPr>
        <sz val="11"/>
        <color indexed="8"/>
        <rFont val="Arial"/>
        <family val="2"/>
      </rPr>
      <t>O</t>
    </r>
  </si>
  <si>
    <t>Beecher, 2008, based on Merrimack electricity bill for full composting building, including aeration, turning, office space lighting, and biofilter</t>
  </si>
  <si>
    <t>Design of Municipal Wastewater Treatment Plants, WEF Manual of Practice No. 8, 4th Edition, 1998 - this is the average of the range that they reference of 0.8 - 1.0</t>
  </si>
  <si>
    <t>Conditioning/Thickening</t>
  </si>
  <si>
    <t>Transportation</t>
  </si>
  <si>
    <t>Metcalf &amp; Eddy, 2003, p. 1588</t>
  </si>
  <si>
    <t>Total</t>
  </si>
  <si>
    <t>km</t>
  </si>
  <si>
    <t>MAT = mean annual temperature</t>
  </si>
  <si>
    <t>MAP = mean annual precipitation</t>
  </si>
  <si>
    <t>Storage Prior to Processing</t>
  </si>
  <si>
    <r>
      <t>Canadian default CO</t>
    </r>
    <r>
      <rPr>
        <vertAlign val="subscript"/>
        <sz val="10"/>
        <color indexed="18"/>
        <rFont val="Arial"/>
        <family val="2"/>
      </rPr>
      <t>2</t>
    </r>
    <r>
      <rPr>
        <sz val="10"/>
        <color indexed="18"/>
        <rFont val="Arial"/>
        <family val="2"/>
      </rPr>
      <t xml:space="preserve"> emissions factors for combustion of natural gas - Climate Registry General Reporting Protocol V. 1.1</t>
    </r>
  </si>
  <si>
    <t>GJ</t>
  </si>
  <si>
    <t>Btu</t>
  </si>
  <si>
    <t>Solids content (%)</t>
  </si>
  <si>
    <t>MJ/Mg sludge - dry wt. - undigested (assumes a 50/50 blend of primary and secondary)</t>
  </si>
  <si>
    <t>MJ/Mg sludge - dry wt. - digested</t>
  </si>
  <si>
    <t>Metcalf &amp; Eddy, 2003, p. 1588 (average of undigested primary and secondary)</t>
  </si>
  <si>
    <t>Energy required to remove water from sludge (GJ/Mg-water)</t>
  </si>
  <si>
    <t>Complete in-vessel electricity use (kWh / dry Mg sludge)</t>
  </si>
  <si>
    <t>In-vessel</t>
  </si>
  <si>
    <t>Brown et al, JEQ 2008</t>
  </si>
  <si>
    <t>F - fraction of methane in landfill gas</t>
  </si>
  <si>
    <t>Metcalf &amp; Eddy, 2003, p. 1588 (average for anaerobically digested sludge)</t>
  </si>
  <si>
    <t>Quantity going to land application (Mg/day-dry)</t>
  </si>
  <si>
    <t>Quantity (Mg/day-wet)</t>
  </si>
  <si>
    <t>Land Application</t>
  </si>
  <si>
    <t>Landfill gas recovery, average U. S.</t>
  </si>
  <si>
    <t>Compost Feedstocks Typical Characteristics</t>
  </si>
  <si>
    <t>centrifuge</t>
  </si>
  <si>
    <t>Organic carbon (Mg/day-dry weight)</t>
  </si>
  <si>
    <t>Quantity going to landfill (Mg/day-dry)</t>
  </si>
  <si>
    <t>Expected efficiency in converting chemical energy in biosolids to usable energy</t>
  </si>
  <si>
    <t>P-fertilizer</t>
  </si>
  <si>
    <r>
      <t xml:space="preserve">f - </t>
    </r>
    <r>
      <rPr>
        <sz val="11"/>
        <rFont val="Arial"/>
        <family val="2"/>
      </rPr>
      <t>model correction factor to account for uncertainties</t>
    </r>
  </si>
  <si>
    <t>MJ</t>
  </si>
  <si>
    <t>Recycled Organics Unit (2006) as referenced in Brown et al, JEQ 2008</t>
  </si>
  <si>
    <t>Electricity Use</t>
  </si>
  <si>
    <t>% Biogas Flared</t>
  </si>
  <si>
    <t>Aerobic Digestion</t>
  </si>
  <si>
    <t>De-watering</t>
  </si>
  <si>
    <t>Anaerobic Digestion</t>
  </si>
  <si>
    <t>Methane in anaerobic digester gas (% by volume)</t>
  </si>
  <si>
    <r>
      <t>Credit for Phosphorus (kg CO</t>
    </r>
    <r>
      <rPr>
        <vertAlign val="subscript"/>
        <sz val="11"/>
        <color indexed="8"/>
        <rFont val="Arial"/>
        <family val="2"/>
      </rPr>
      <t>2</t>
    </r>
    <r>
      <rPr>
        <sz val="11"/>
        <color indexed="8"/>
        <rFont val="Arial"/>
        <family val="2"/>
      </rPr>
      <t>/kg P)</t>
    </r>
  </si>
  <si>
    <r>
      <t>N</t>
    </r>
    <r>
      <rPr>
        <vertAlign val="subscript"/>
        <sz val="11"/>
        <color indexed="8"/>
        <rFont val="Arial"/>
        <family val="2"/>
      </rPr>
      <t>2</t>
    </r>
    <r>
      <rPr>
        <sz val="11"/>
        <color indexed="8"/>
        <rFont val="Arial"/>
        <family val="2"/>
      </rPr>
      <t>O emissions from land application - coarse textured soils (% of initial N content)</t>
    </r>
  </si>
  <si>
    <t>Metcalf &amp; Eddy, 2003, p. 1457</t>
  </si>
  <si>
    <t>Nitrous Oxide Emissions</t>
  </si>
  <si>
    <r>
      <t>CO</t>
    </r>
    <r>
      <rPr>
        <vertAlign val="subscript"/>
        <sz val="11"/>
        <color indexed="8"/>
        <rFont val="Arial"/>
        <family val="2"/>
      </rPr>
      <t>2</t>
    </r>
  </si>
  <si>
    <r>
      <t>CH</t>
    </r>
    <r>
      <rPr>
        <vertAlign val="subscript"/>
        <sz val="10"/>
        <color indexed="18"/>
        <rFont val="Arial"/>
        <family val="2"/>
      </rPr>
      <t>4</t>
    </r>
  </si>
  <si>
    <t>Electricity requirements of the digestors (kWh/day)</t>
  </si>
  <si>
    <t>U. S. EPA, The Climate Registry Local Govt Protocol, 2008</t>
  </si>
  <si>
    <t>Scopes 1 &amp; 2</t>
  </si>
  <si>
    <t>Net Electricity used (kWh/day)</t>
  </si>
  <si>
    <r>
      <t>CO</t>
    </r>
    <r>
      <rPr>
        <b/>
        <vertAlign val="subscript"/>
        <sz val="11"/>
        <color indexed="8"/>
        <rFont val="Arial"/>
        <family val="2"/>
      </rPr>
      <t>2</t>
    </r>
    <r>
      <rPr>
        <b/>
        <sz val="11"/>
        <color indexed="8"/>
        <rFont val="Arial"/>
        <family val="2"/>
      </rPr>
      <t xml:space="preserve"> Emissions from Electricity used (Mg/day)</t>
    </r>
  </si>
  <si>
    <t>Quantity (Mg/day-dry)</t>
  </si>
  <si>
    <t>Cement Replacement Value</t>
  </si>
  <si>
    <r>
      <t>Avoided gas use from recovered energy  (m</t>
    </r>
    <r>
      <rPr>
        <vertAlign val="superscript"/>
        <sz val="11"/>
        <color indexed="8"/>
        <rFont val="Arial"/>
        <family val="2"/>
      </rPr>
      <t>3</t>
    </r>
    <r>
      <rPr>
        <sz val="11"/>
        <color indexed="8"/>
        <rFont val="Arial"/>
        <family val="2"/>
      </rPr>
      <t>/day)</t>
    </r>
  </si>
  <si>
    <t>Credit for use of ash in cement manufacturing</t>
  </si>
  <si>
    <t>Electricity requirements of incinerator (kWh/day)</t>
  </si>
  <si>
    <t>Recovered energy to electricity (%)</t>
  </si>
  <si>
    <t>Methane</t>
  </si>
  <si>
    <t>=</t>
  </si>
  <si>
    <t>Conversions</t>
  </si>
  <si>
    <t>gallons</t>
  </si>
  <si>
    <t>liter</t>
  </si>
  <si>
    <t>MW Carbon</t>
  </si>
  <si>
    <t>Combustion</t>
  </si>
  <si>
    <t>Dewatering</t>
  </si>
  <si>
    <t>Metcalf &amp; Eddy, 2003, p. 1456</t>
  </si>
  <si>
    <r>
      <t>CH</t>
    </r>
    <r>
      <rPr>
        <vertAlign val="subscript"/>
        <sz val="11"/>
        <color indexed="8"/>
        <rFont val="Arial"/>
        <family val="2"/>
      </rPr>
      <t>4</t>
    </r>
    <r>
      <rPr>
        <sz val="11"/>
        <color indexed="8"/>
        <rFont val="Arial"/>
        <family val="2"/>
      </rPr>
      <t xml:space="preserve"> emitted from compost pile (Mg/day)</t>
    </r>
  </si>
  <si>
    <t>Fertilizer Off-set Credits</t>
  </si>
  <si>
    <r>
      <t>Heat content of methane (Btu/m</t>
    </r>
    <r>
      <rPr>
        <vertAlign val="superscript"/>
        <sz val="11"/>
        <color indexed="8"/>
        <rFont val="Arial"/>
        <family val="2"/>
      </rPr>
      <t>3</t>
    </r>
    <r>
      <rPr>
        <sz val="11"/>
        <color indexed="8"/>
        <rFont val="Arial"/>
        <family val="2"/>
      </rPr>
      <t>)</t>
    </r>
  </si>
  <si>
    <t>Scope 1</t>
  </si>
  <si>
    <t>Scope 2</t>
  </si>
  <si>
    <t>Scope 3</t>
  </si>
  <si>
    <t>Scope 1 &amp; 2</t>
  </si>
  <si>
    <t>Biomass combustion</t>
  </si>
  <si>
    <t>Sawdust</t>
  </si>
  <si>
    <t>Recycled Organics Unit, 2006 - as per SLB, we will not go into nutrient availability indices; a kg of N or P is simply a kg of N or P</t>
  </si>
  <si>
    <t>Carbon Sequestration</t>
  </si>
  <si>
    <t>Expected solids concentration in sludge from gravity thickener, primary and WAS (%)</t>
  </si>
  <si>
    <t>Polymer use for belt thickening of WAS (kg/Mg of dry solids treated)</t>
  </si>
  <si>
    <t>Weighted GHG Emission Factors for Power Generation by Province (g/kWh)</t>
  </si>
  <si>
    <t>Power Generation</t>
  </si>
  <si>
    <t>MCF - methane correction factor - anaerobic managed landfills</t>
  </si>
  <si>
    <t>Average truck miles/gal (diesel)</t>
  </si>
  <si>
    <t>Average truck km/l (diesel)</t>
  </si>
  <si>
    <t>miles</t>
  </si>
  <si>
    <t>Storage and Lagoons</t>
  </si>
  <si>
    <t>Total phosphorus (%-dry weight)</t>
  </si>
  <si>
    <t>Calcium Carbonate Debit</t>
  </si>
  <si>
    <t>Quantity going to landfill (Mg/day-wet)</t>
  </si>
  <si>
    <t>Monteith et al. 2005 in Water Env. Research (77(4): 309-403) as referenced in Energy Consumption Implications for Wastewater Treatment in Canada - Hydromantis 2006.  Also U.S. EPA, 2007, p. 8-8.</t>
  </si>
  <si>
    <t>Set up and Break Down piles</t>
  </si>
  <si>
    <t>Composting</t>
  </si>
  <si>
    <r>
      <t>Heat content (Btu/m</t>
    </r>
    <r>
      <rPr>
        <vertAlign val="superscript"/>
        <sz val="11"/>
        <color indexed="8"/>
        <rFont val="Arial"/>
        <family val="2"/>
      </rPr>
      <t>3</t>
    </r>
    <r>
      <rPr>
        <sz val="11"/>
        <color indexed="8"/>
        <rFont val="Arial"/>
        <family val="2"/>
      </rPr>
      <t>)</t>
    </r>
  </si>
  <si>
    <t>Metcalf &amp; Eddy, 2003, p. 1536</t>
  </si>
  <si>
    <t>Amount of lime added to sludge for Class B stabilization (Mg lime/Mg sludge-dry wt.)</t>
  </si>
  <si>
    <r>
      <t>Electricity use for Class B stabilization (kWh/Mg-</t>
    </r>
    <r>
      <rPr>
        <b/>
        <sz val="11"/>
        <color indexed="8"/>
        <rFont val="Arial"/>
        <family val="2"/>
      </rPr>
      <t>wet</t>
    </r>
    <r>
      <rPr>
        <sz val="11"/>
        <color indexed="8"/>
        <rFont val="Arial"/>
        <family val="2"/>
      </rPr>
      <t>)</t>
    </r>
  </si>
  <si>
    <r>
      <t>Electricity use for Class A stabilization (kWh/Mg-</t>
    </r>
    <r>
      <rPr>
        <b/>
        <sz val="11"/>
        <color indexed="8"/>
        <rFont val="Arial"/>
        <family val="2"/>
      </rPr>
      <t>wet</t>
    </r>
    <r>
      <rPr>
        <sz val="11"/>
        <color indexed="8"/>
        <rFont val="Arial"/>
        <family val="2"/>
      </rPr>
      <t>)</t>
    </r>
  </si>
  <si>
    <r>
      <t>CaCO</t>
    </r>
    <r>
      <rPr>
        <vertAlign val="subscript"/>
        <sz val="11"/>
        <color indexed="8"/>
        <rFont val="Arial"/>
        <family val="2"/>
      </rPr>
      <t>3</t>
    </r>
    <r>
      <rPr>
        <sz val="11"/>
        <color indexed="8"/>
        <rFont val="Arial"/>
        <family val="2"/>
      </rPr>
      <t xml:space="preserve"> equivalence (%-dry weight)</t>
    </r>
  </si>
  <si>
    <t>Percent of captured methane used to generate electricity</t>
  </si>
  <si>
    <t>Expected solids concentration of combination primary/WAS unthickened sludge (%)</t>
  </si>
  <si>
    <t>Metcalf &amp; Eddy, 2003, p. 1492</t>
  </si>
  <si>
    <t>Thickening electricity use - gravity, gravity belt and drum (kWh/Mg-sludge dry)</t>
  </si>
  <si>
    <t>Thickening electricity use - centrifuge (kWh/Mg-sludge dry)</t>
  </si>
  <si>
    <t>Metcalf &amp; Eddy, 2003, p. 1519</t>
  </si>
  <si>
    <t>Carbon as a % of TVS</t>
  </si>
  <si>
    <t>Total nitrogen (%-dry weight)</t>
  </si>
  <si>
    <t>TVS(%-dry weight)</t>
  </si>
  <si>
    <t>Organic carbon (%-dry weight)</t>
  </si>
  <si>
    <t>Landfill Disposal</t>
  </si>
  <si>
    <t>Wastewater Treatment Factors</t>
  </si>
  <si>
    <t>Alkaline Stabilization</t>
  </si>
  <si>
    <t>yes</t>
  </si>
  <si>
    <r>
      <t>N</t>
    </r>
    <r>
      <rPr>
        <b/>
        <i/>
        <vertAlign val="subscript"/>
        <sz val="12"/>
        <color indexed="8"/>
        <rFont val="Arial"/>
        <family val="2"/>
      </rPr>
      <t>2</t>
    </r>
    <r>
      <rPr>
        <b/>
        <i/>
        <sz val="12"/>
        <color indexed="8"/>
        <rFont val="Arial"/>
        <family val="2"/>
      </rPr>
      <t>O Emissions</t>
    </r>
  </si>
  <si>
    <t>De-watering and Thickening</t>
  </si>
  <si>
    <t>Fuel Use</t>
  </si>
  <si>
    <t>Grinding (L-diesel fuel/day)</t>
  </si>
  <si>
    <t>Setting up and breaking down piles (L-diesel fuel/day)</t>
  </si>
  <si>
    <t>MW Oxygen</t>
  </si>
  <si>
    <t>Scope 3 - production of purchased materials and uses of end products</t>
  </si>
  <si>
    <t>Scope 1 - direct emissions</t>
  </si>
  <si>
    <r>
      <t>Biogas yield (m</t>
    </r>
    <r>
      <rPr>
        <vertAlign val="superscript"/>
        <sz val="11"/>
        <color indexed="8"/>
        <rFont val="Arial"/>
        <family val="2"/>
      </rPr>
      <t>3</t>
    </r>
    <r>
      <rPr>
        <sz val="11"/>
        <color indexed="8"/>
        <rFont val="Arial"/>
        <family val="2"/>
      </rPr>
      <t>/kg-VS destroyed)</t>
    </r>
  </si>
  <si>
    <t>Natural Gas</t>
  </si>
  <si>
    <t>Electricity requirements of composting system (kWh/day)</t>
  </si>
  <si>
    <t>Methane Emissions</t>
  </si>
  <si>
    <t>Typical design electricity use for aerobic digester systems (kW/m3 of digester volume)</t>
  </si>
  <si>
    <t>Electricity generated (kWh/day)</t>
  </si>
  <si>
    <t>% VS destruction</t>
  </si>
  <si>
    <t>VS (kg/day) - dry wt.</t>
  </si>
  <si>
    <t>VS destroyed (kg/day) - dry wt.</t>
  </si>
  <si>
    <r>
      <t>CO</t>
    </r>
    <r>
      <rPr>
        <b/>
        <vertAlign val="subscript"/>
        <sz val="11"/>
        <color indexed="8"/>
        <rFont val="Arial"/>
        <family val="2"/>
      </rPr>
      <t>2</t>
    </r>
    <r>
      <rPr>
        <b/>
        <sz val="11"/>
        <color indexed="8"/>
        <rFont val="Arial"/>
        <family val="2"/>
      </rPr>
      <t xml:space="preserve"> Emissions from Diesel used (Mg/day)</t>
    </r>
  </si>
  <si>
    <t>Metcalf &amp; Eddy, 2003, p. 846 = 0.004xTSS (mg/L)+5</t>
  </si>
  <si>
    <t xml:space="preserve">Methane Emissions   </t>
  </si>
  <si>
    <t>Electricity Use (kWh/day)</t>
  </si>
  <si>
    <t>Weighted GHG Emissions for Power Generation by Province (g/kWh)</t>
  </si>
  <si>
    <t>Energy requirements of the incinerator-evaporating water  (BtU/day)</t>
  </si>
  <si>
    <r>
      <t>Credit for Nitrogen (kg CO</t>
    </r>
    <r>
      <rPr>
        <vertAlign val="subscript"/>
        <sz val="11"/>
        <color indexed="8"/>
        <rFont val="Arial"/>
        <family val="2"/>
      </rPr>
      <t>2</t>
    </r>
    <r>
      <rPr>
        <sz val="11"/>
        <color indexed="8"/>
        <rFont val="Arial"/>
        <family val="2"/>
      </rPr>
      <t>/kg N)</t>
    </r>
  </si>
  <si>
    <r>
      <t>Energy required for low-speed aerators in sludge aerated lagoons after primary sedimentation (kW/1000 m</t>
    </r>
    <r>
      <rPr>
        <vertAlign val="superscript"/>
        <sz val="11"/>
        <color indexed="8"/>
        <rFont val="Arial"/>
        <family val="2"/>
      </rPr>
      <t>3</t>
    </r>
    <r>
      <rPr>
        <sz val="11"/>
        <color indexed="8"/>
        <rFont val="Arial"/>
        <family val="2"/>
      </rPr>
      <t xml:space="preserve"> sludge) </t>
    </r>
  </si>
  <si>
    <t>Scope 2 - purchased electricity, heat, or steam</t>
  </si>
  <si>
    <r>
      <t>N</t>
    </r>
    <r>
      <rPr>
        <vertAlign val="subscript"/>
        <sz val="11"/>
        <color indexed="8"/>
        <rFont val="Arial"/>
        <family val="2"/>
      </rPr>
      <t>2</t>
    </r>
    <r>
      <rPr>
        <sz val="11"/>
        <color indexed="8"/>
        <rFont val="Arial"/>
        <family val="2"/>
      </rPr>
      <t>O emitted from compost pile (Mg/day)</t>
    </r>
  </si>
  <si>
    <t>Emissions During Land Application</t>
  </si>
  <si>
    <t>MW Nitrogen</t>
  </si>
  <si>
    <t>MW Hydrogen</t>
  </si>
  <si>
    <t>MW of Calcium</t>
  </si>
  <si>
    <r>
      <t>Fraction Carbon in CaCO</t>
    </r>
    <r>
      <rPr>
        <vertAlign val="subscript"/>
        <sz val="11"/>
        <color indexed="8"/>
        <rFont val="Arial"/>
        <family val="2"/>
      </rPr>
      <t>3</t>
    </r>
  </si>
  <si>
    <t>Emissions During Composting</t>
  </si>
  <si>
    <t>no</t>
  </si>
  <si>
    <r>
      <t>N</t>
    </r>
    <r>
      <rPr>
        <vertAlign val="subscript"/>
        <sz val="11"/>
        <color indexed="8"/>
        <rFont val="Arial"/>
        <family val="2"/>
      </rPr>
      <t>2</t>
    </r>
    <r>
      <rPr>
        <sz val="11"/>
        <color indexed="8"/>
        <rFont val="Arial"/>
        <family val="2"/>
      </rPr>
      <t>O emissions from composting with low C:N (% of initial N content)</t>
    </r>
  </si>
  <si>
    <t>Biomass Combustion</t>
  </si>
  <si>
    <t>NA</t>
  </si>
  <si>
    <r>
      <t>N</t>
    </r>
    <r>
      <rPr>
        <vertAlign val="subscript"/>
        <sz val="11"/>
        <color indexed="8"/>
        <rFont val="Arial"/>
        <family val="2"/>
      </rPr>
      <t>2</t>
    </r>
    <r>
      <rPr>
        <sz val="11"/>
        <color indexed="8"/>
        <rFont val="Arial"/>
        <family val="2"/>
      </rPr>
      <t>O emission adjustment for SNCR based on urea (Mg/day)</t>
    </r>
  </si>
  <si>
    <t>Degree of stabilization</t>
  </si>
  <si>
    <t>Class A</t>
  </si>
  <si>
    <t>Class B</t>
  </si>
  <si>
    <t>Amount of lime added to sludge for Class A stabilization (Mg lime/Mg sludge-dry wt.)</t>
  </si>
  <si>
    <r>
      <t>N</t>
    </r>
    <r>
      <rPr>
        <vertAlign val="subscript"/>
        <sz val="11"/>
        <color indexed="8"/>
        <rFont val="Arial"/>
        <family val="2"/>
      </rPr>
      <t>2</t>
    </r>
    <r>
      <rPr>
        <sz val="11"/>
        <color indexed="8"/>
        <rFont val="Arial"/>
        <family val="2"/>
      </rPr>
      <t>O emissions from land application - fine textured soils (% of initial N content)</t>
    </r>
  </si>
  <si>
    <t>Recovered energy as heat (%)</t>
  </si>
  <si>
    <t>Fuel usage (L/yr)</t>
  </si>
  <si>
    <t>Percent of fuel usage that is biodiesel (%)</t>
  </si>
  <si>
    <r>
      <t>Lowest combustion temperature to be used in Suzuki equation (</t>
    </r>
    <r>
      <rPr>
        <vertAlign val="superscript"/>
        <sz val="11"/>
        <color indexed="8"/>
        <rFont val="Arial"/>
        <family val="2"/>
      </rPr>
      <t>o</t>
    </r>
    <r>
      <rPr>
        <sz val="11"/>
        <color indexed="8"/>
        <rFont val="Arial"/>
        <family val="2"/>
      </rPr>
      <t>C)</t>
    </r>
  </si>
  <si>
    <t>Additional fuel required for Multiple Hearth Furnace due to shut downs</t>
  </si>
  <si>
    <t>NACWA 2008</t>
  </si>
  <si>
    <t>Typical amount of BOD removed to sludge during wastewater treatment</t>
  </si>
  <si>
    <t xml:space="preserve">Sawdust density, solids and nitrogen  data from On-Farm Composting Handbook 1992 average values, TVS from Bill Seekins data (ME Dept. Ag) </t>
  </si>
  <si>
    <t>De-watering electricity use - belt filter press and rotary (kWh/Mg-sludge dry)</t>
  </si>
  <si>
    <r>
      <t>CH</t>
    </r>
    <r>
      <rPr>
        <vertAlign val="subscript"/>
        <sz val="11"/>
        <color indexed="8"/>
        <rFont val="Arial"/>
        <family val="2"/>
      </rPr>
      <t>4</t>
    </r>
    <r>
      <rPr>
        <sz val="11"/>
        <color indexed="8"/>
        <rFont val="Arial"/>
        <family val="2"/>
      </rPr>
      <t xml:space="preserve"> emissions from composting - uncovered (% of initial C content)</t>
    </r>
  </si>
  <si>
    <t>Storage</t>
  </si>
  <si>
    <t>Biomass combustion*</t>
  </si>
  <si>
    <t>TOTALS</t>
  </si>
  <si>
    <t>De-watering electricity use - centrifuge (kWh/Mg-sludge dry)</t>
  </si>
  <si>
    <t>other</t>
  </si>
  <si>
    <r>
      <t>CO</t>
    </r>
    <r>
      <rPr>
        <b/>
        <vertAlign val="subscript"/>
        <sz val="14"/>
        <color indexed="8"/>
        <rFont val="Arial"/>
        <family val="2"/>
      </rPr>
      <t>2</t>
    </r>
    <r>
      <rPr>
        <b/>
        <sz val="14"/>
        <color indexed="8"/>
        <rFont val="Arial"/>
        <family val="2"/>
      </rPr>
      <t xml:space="preserve"> equivalents (Mg/year)</t>
    </r>
  </si>
  <si>
    <t>Type of de-watering equipment</t>
  </si>
  <si>
    <r>
      <t>OR</t>
    </r>
    <r>
      <rPr>
        <b/>
        <sz val="11"/>
        <color indexed="8"/>
        <rFont val="Arial"/>
        <family val="2"/>
      </rPr>
      <t>…enter requested data for each destination</t>
    </r>
  </si>
  <si>
    <t>Electricity requirements of alkaline stabilization (kWh/day)</t>
  </si>
  <si>
    <t>Typical Biosolids Characteristics (De-watered cake)</t>
  </si>
  <si>
    <t>Mark Gould, CDM personal communication - average of gravity, gravity belt and drum thickening on blended sludge electricity use calculations</t>
  </si>
  <si>
    <t xml:space="preserve">Mark Gould, CDM personal communication  </t>
  </si>
  <si>
    <t>Mark Gould, CMD personal communication - average of belt filter press and rotary de-watering on blended sludge electricity use calculations</t>
  </si>
  <si>
    <r>
      <t>CO</t>
    </r>
    <r>
      <rPr>
        <b/>
        <vertAlign val="subscript"/>
        <sz val="11"/>
        <color indexed="8"/>
        <rFont val="Arial"/>
        <family val="2"/>
      </rPr>
      <t>2</t>
    </r>
    <r>
      <rPr>
        <b/>
        <sz val="11"/>
        <color indexed="8"/>
        <rFont val="Arial"/>
        <family val="2"/>
      </rPr>
      <t xml:space="preserve"> Emissions equivalents from released CH</t>
    </r>
    <r>
      <rPr>
        <b/>
        <vertAlign val="subscript"/>
        <sz val="11"/>
        <color indexed="8"/>
        <rFont val="Arial"/>
        <family val="2"/>
      </rPr>
      <t>4</t>
    </r>
    <r>
      <rPr>
        <b/>
        <sz val="11"/>
        <color indexed="8"/>
        <rFont val="Arial"/>
        <family val="2"/>
      </rPr>
      <t xml:space="preserve"> (Mg/day)</t>
    </r>
  </si>
  <si>
    <r>
      <t>N</t>
    </r>
    <r>
      <rPr>
        <vertAlign val="subscript"/>
        <sz val="11"/>
        <color indexed="8"/>
        <rFont val="Arial"/>
        <family val="2"/>
      </rPr>
      <t>2</t>
    </r>
    <r>
      <rPr>
        <sz val="11"/>
        <color indexed="8"/>
        <rFont val="Arial"/>
        <family val="2"/>
      </rPr>
      <t>O emitted during incineration (Mg/day)</t>
    </r>
  </si>
  <si>
    <r>
      <t>Methane correction factor for landfill (DOC</t>
    </r>
    <r>
      <rPr>
        <vertAlign val="subscript"/>
        <sz val="11"/>
        <color indexed="8"/>
        <rFont val="Arial"/>
        <family val="2"/>
      </rPr>
      <t>f</t>
    </r>
    <r>
      <rPr>
        <sz val="11"/>
        <color indexed="8"/>
        <rFont val="Arial"/>
        <family val="2"/>
      </rPr>
      <t xml:space="preserve"> that will decompose in landfill)</t>
    </r>
  </si>
  <si>
    <t>Murray et al. 2008 - Table S20; see calculation, below</t>
  </si>
  <si>
    <t>Aeration electricity use ASP (kWh/dry Mg sludge in compost blend)</t>
  </si>
  <si>
    <r>
      <t>CO</t>
    </r>
    <r>
      <rPr>
        <b/>
        <vertAlign val="subscript"/>
        <sz val="11"/>
        <color indexed="8"/>
        <rFont val="Arial"/>
        <family val="2"/>
      </rPr>
      <t>2</t>
    </r>
    <r>
      <rPr>
        <b/>
        <sz val="11"/>
        <color indexed="8"/>
        <rFont val="Arial"/>
        <family val="2"/>
      </rPr>
      <t xml:space="preserve"> Emissions equivalents from released N</t>
    </r>
    <r>
      <rPr>
        <b/>
        <vertAlign val="subscript"/>
        <sz val="11"/>
        <color indexed="8"/>
        <rFont val="Arial"/>
        <family val="2"/>
      </rPr>
      <t>2</t>
    </r>
    <r>
      <rPr>
        <b/>
        <sz val="11"/>
        <color indexed="8"/>
        <rFont val="Arial"/>
        <family val="2"/>
      </rPr>
      <t>O (Mg/day)</t>
    </r>
  </si>
  <si>
    <t>calculated from numbers above</t>
  </si>
  <si>
    <t>IPCC, 2006. Volume 5 assuming Bo of 0.6  and using 0.2 for MCF</t>
  </si>
  <si>
    <t>IPCC, 2006. Volume 5 assuming Bo of 0.6 and using maximum MCF (0.67), per NACWA recommendation, 2008 (replaces 0.8 in Canada inventory and 2006 IPCC Guidelines for National Greenhouse Gas Inventories)</t>
  </si>
  <si>
    <t>EPA Landfill Methane  Outreach Program Benefits calculator www.epa.gov/lmop/</t>
  </si>
  <si>
    <r>
      <t>Mg CO</t>
    </r>
    <r>
      <rPr>
        <vertAlign val="subscript"/>
        <sz val="11"/>
        <color indexed="8"/>
        <rFont val="Arial"/>
        <family val="2"/>
      </rPr>
      <t>2/</t>
    </r>
    <r>
      <rPr>
        <sz val="11"/>
        <color indexed="8"/>
        <rFont val="Arial"/>
        <family val="2"/>
      </rPr>
      <t>wet Mg of biosolids applied</t>
    </r>
  </si>
  <si>
    <r>
      <t>CH</t>
    </r>
    <r>
      <rPr>
        <vertAlign val="subscript"/>
        <sz val="11"/>
        <color indexed="8"/>
        <rFont val="Arial"/>
        <family val="2"/>
      </rPr>
      <t>4</t>
    </r>
    <r>
      <rPr>
        <sz val="11"/>
        <color indexed="8"/>
        <rFont val="Arial"/>
        <family val="2"/>
      </rPr>
      <t xml:space="preserve"> emissions from composting - covered or biofilter (% of initial C content)</t>
    </r>
  </si>
  <si>
    <r>
      <t>N</t>
    </r>
    <r>
      <rPr>
        <vertAlign val="subscript"/>
        <sz val="11"/>
        <color indexed="8"/>
        <rFont val="Arial"/>
        <family val="2"/>
      </rPr>
      <t>2</t>
    </r>
    <r>
      <rPr>
        <sz val="11"/>
        <color indexed="8"/>
        <rFont val="Arial"/>
        <family val="2"/>
      </rPr>
      <t>O emissions from composting high C:N (% of initial N content)</t>
    </r>
  </si>
  <si>
    <t>EPA 2004, Unit Conversions, Emissons Factors, and Other Reference Data</t>
  </si>
  <si>
    <r>
      <t>Sylvis experience for Canada (1000 is alternate default value using density of water at 5</t>
    </r>
    <r>
      <rPr>
        <vertAlign val="superscript"/>
        <sz val="10"/>
        <color indexed="18"/>
        <rFont val="Arial"/>
        <family val="2"/>
      </rPr>
      <t>o</t>
    </r>
    <r>
      <rPr>
        <sz val="10"/>
        <color indexed="18"/>
        <rFont val="Arial"/>
        <family val="2"/>
      </rPr>
      <t>C)</t>
    </r>
  </si>
  <si>
    <t>Metcalf &amp; Eddy, 2003, example p. 1527 for heat required, assuming natural gas provides 36.5 MJ/m3 and the heat exchange from natural gas to sludge is 80% efficient.</t>
  </si>
  <si>
    <t>From Windsor, Canada data</t>
  </si>
  <si>
    <t xml:space="preserve">Carnegie Mellon Green Design Inst. (http://www.eiolca.net/accessed March 2010) </t>
  </si>
  <si>
    <t>estimate based on experience with Blue Plains WWTP, District of Columbia</t>
  </si>
  <si>
    <t>data from Halifax, Nova Scotia N-Viro process</t>
  </si>
  <si>
    <r>
      <t>Solids content above which no CH</t>
    </r>
    <r>
      <rPr>
        <vertAlign val="subscript"/>
        <sz val="11"/>
        <color indexed="8"/>
        <rFont val="Agency FB"/>
        <family val="2"/>
      </rPr>
      <t>4</t>
    </r>
    <r>
      <rPr>
        <sz val="11"/>
        <color indexed="8"/>
        <rFont val="Arial"/>
        <family val="2"/>
      </rPr>
      <t xml:space="preserve"> or N</t>
    </r>
    <r>
      <rPr>
        <vertAlign val="subscript"/>
        <sz val="11"/>
        <color indexed="8"/>
        <rFont val="Arial"/>
        <family val="2"/>
      </rPr>
      <t>2</t>
    </r>
    <r>
      <rPr>
        <sz val="11"/>
        <color indexed="8"/>
        <rFont val="Arial"/>
        <family val="2"/>
      </rPr>
      <t>O is generated during composting</t>
    </r>
  </si>
  <si>
    <t>to ensure that max levels from calculation do not exceed max reported levels in Suzuki et al. 2003</t>
  </si>
  <si>
    <t>NEORSD data from Bob Dominak personal communication</t>
  </si>
  <si>
    <t>NEORSD data from Bob Dominak personal communication - 70% of MHF electricity requirements</t>
  </si>
  <si>
    <t>BEAM default</t>
  </si>
  <si>
    <t xml:space="preserve">Recycled Organics Unit, 2006 </t>
  </si>
  <si>
    <t>IPCC, 2006, as cited in Foley &amp; Lant, WSAA, p. 46.</t>
  </si>
  <si>
    <t>BEAM default based on Suzuki et al. 2003</t>
  </si>
  <si>
    <t xml:space="preserve">BEAM default  </t>
  </si>
  <si>
    <t>cool dry</t>
  </si>
  <si>
    <t>cool wet</t>
  </si>
  <si>
    <t>warm dry</t>
  </si>
  <si>
    <t>warm wet</t>
  </si>
  <si>
    <t>Totals</t>
  </si>
  <si>
    <t>% from plant</t>
  </si>
  <si>
    <t>wet tons to landfill</t>
  </si>
  <si>
    <t>g</t>
  </si>
  <si>
    <t>#</t>
  </si>
  <si>
    <t>kg</t>
  </si>
  <si>
    <t>Mg</t>
  </si>
  <si>
    <t>short ton</t>
  </si>
  <si>
    <r>
      <t>m</t>
    </r>
    <r>
      <rPr>
        <vertAlign val="superscript"/>
        <sz val="11"/>
        <color indexed="8"/>
        <rFont val="Arial"/>
        <family val="2"/>
      </rPr>
      <t>3</t>
    </r>
  </si>
  <si>
    <r>
      <t>Y</t>
    </r>
    <r>
      <rPr>
        <vertAlign val="superscript"/>
        <sz val="11"/>
        <color indexed="8"/>
        <rFont val="Arial"/>
        <family val="2"/>
      </rPr>
      <t>3</t>
    </r>
  </si>
  <si>
    <r>
      <t>ft</t>
    </r>
    <r>
      <rPr>
        <vertAlign val="superscript"/>
        <sz val="11"/>
        <color indexed="8"/>
        <rFont val="Arial"/>
        <family val="2"/>
      </rPr>
      <t>3</t>
    </r>
  </si>
  <si>
    <t>ml</t>
  </si>
  <si>
    <t>water</t>
  </si>
  <si>
    <t>#/gallon</t>
  </si>
  <si>
    <t>hp</t>
  </si>
  <si>
    <t>kW</t>
  </si>
  <si>
    <t>kWh</t>
  </si>
  <si>
    <t>BTU</t>
  </si>
  <si>
    <t xml:space="preserve">for  </t>
  </si>
  <si>
    <t>efficient conversion</t>
  </si>
  <si>
    <t>MMBTU</t>
  </si>
  <si>
    <t>mile</t>
  </si>
  <si>
    <t>hours per day</t>
  </si>
  <si>
    <t>days per year</t>
  </si>
  <si>
    <t>Mg -wet</t>
  </si>
  <si>
    <t>x one-way</t>
  </si>
  <si>
    <t>Truck or Rail</t>
  </si>
  <si>
    <t>Wet tons to site</t>
  </si>
  <si>
    <t>Mg to site (wet)</t>
  </si>
  <si>
    <t>wet tons</t>
  </si>
  <si>
    <t>Destination</t>
  </si>
  <si>
    <t>Town</t>
  </si>
  <si>
    <t>State</t>
  </si>
  <si>
    <t>Rail</t>
  </si>
  <si>
    <t>Truck</t>
  </si>
  <si>
    <t>https://www.geotab.com/truck-mpg-benchmark/)</t>
  </si>
  <si>
    <t>(for New York) From GeoTab data gathered from 31,170 trucks 2016-2017</t>
  </si>
  <si>
    <t>Fuel &amp; Transport</t>
  </si>
  <si>
    <t xml:space="preserve">NPCC NYC/Westchester </t>
  </si>
  <si>
    <t>NPCC Upstate NY</t>
  </si>
  <si>
    <t>from EPA emission factors for GHG Inventories - last mod. March 2018 - Table 9</t>
  </si>
  <si>
    <t>CDM - Tool to determine methane emissions avoided from dumping waste as a solid waste disposal site (version 8).</t>
  </si>
  <si>
    <t xml:space="preserve"> </t>
  </si>
  <si>
    <t>for use in formula</t>
  </si>
  <si>
    <t>y=a(1-b)^x</t>
  </si>
  <si>
    <t>y = final amount</t>
  </si>
  <si>
    <t>a = original amount</t>
  </si>
  <si>
    <t>Dry Organic Matter</t>
  </si>
  <si>
    <t>tons</t>
  </si>
  <si>
    <t>years:</t>
  </si>
  <si>
    <t>b = decay rate</t>
  </si>
  <si>
    <t>Decay Rate (k rate)</t>
  </si>
  <si>
    <t>x = time</t>
  </si>
  <si>
    <t>Elapsed Years</t>
  </si>
  <si>
    <t>Amount Remaining (Tons)</t>
  </si>
  <si>
    <t>Amount Degraded (Tons)</t>
  </si>
  <si>
    <t>Years after landfilling</t>
  </si>
  <si>
    <t>to % conversion</t>
  </si>
  <si>
    <r>
      <t>CH</t>
    </r>
    <r>
      <rPr>
        <vertAlign val="subscript"/>
        <sz val="11"/>
        <color indexed="8"/>
        <rFont val="Arial"/>
        <family val="2"/>
      </rPr>
      <t>4</t>
    </r>
    <r>
      <rPr>
        <sz val="11"/>
        <color indexed="8"/>
        <rFont val="Arial"/>
        <family val="2"/>
      </rPr>
      <t xml:space="preserve"> released after capping (Mg/day)</t>
    </r>
  </si>
  <si>
    <t>after capping</t>
  </si>
  <si>
    <t xml:space="preserve">Methane captured at landfill and flared, combusted or otherwise used - after capping </t>
  </si>
  <si>
    <t>lost</t>
  </si>
  <si>
    <t>captured</t>
  </si>
  <si>
    <t>ratio</t>
  </si>
  <si>
    <t xml:space="preserve">WARM is </t>
  </si>
  <si>
    <t>for California regulatory for Food Waste</t>
  </si>
  <si>
    <r>
      <t>CH</t>
    </r>
    <r>
      <rPr>
        <vertAlign val="subscript"/>
        <sz val="11"/>
        <color indexed="8"/>
        <rFont val="Arial"/>
        <family val="2"/>
      </rPr>
      <t>4</t>
    </r>
    <r>
      <rPr>
        <sz val="11"/>
        <color indexed="8"/>
        <rFont val="Arial"/>
        <family val="2"/>
      </rPr>
      <t xml:space="preserve"> released from first two years after landfilling (Mg/day)</t>
    </r>
  </si>
  <si>
    <t>2-4</t>
  </si>
  <si>
    <t>5-14</t>
  </si>
  <si>
    <r>
      <t>CH</t>
    </r>
    <r>
      <rPr>
        <vertAlign val="subscript"/>
        <sz val="11"/>
        <color indexed="8"/>
        <rFont val="Arial"/>
        <family val="2"/>
      </rPr>
      <t>4</t>
    </r>
    <r>
      <rPr>
        <sz val="11"/>
        <color indexed="8"/>
        <rFont val="Arial"/>
        <family val="2"/>
      </rPr>
      <t xml:space="preserve"> released from years 2-4 after landfilling (Mg/day)</t>
    </r>
  </si>
  <si>
    <r>
      <t>CH</t>
    </r>
    <r>
      <rPr>
        <vertAlign val="subscript"/>
        <sz val="11"/>
        <color indexed="8"/>
        <rFont val="Arial"/>
        <family val="2"/>
      </rPr>
      <t>4</t>
    </r>
    <r>
      <rPr>
        <sz val="11"/>
        <color indexed="8"/>
        <rFont val="Arial"/>
        <family val="2"/>
      </rPr>
      <t xml:space="preserve"> released from years 5-14 after landfilling (Mg/day)</t>
    </r>
  </si>
  <si>
    <t>WARM "Typical" scenario</t>
  </si>
  <si>
    <t>capture</t>
  </si>
  <si>
    <t>sum of lost methane</t>
  </si>
  <si>
    <t>Landfill</t>
  </si>
  <si>
    <t>Sample ID</t>
  </si>
  <si>
    <t>Wet Density (g/mL)</t>
  </si>
  <si>
    <t>% Solids</t>
  </si>
  <si>
    <t>Total N (%)</t>
  </si>
  <si>
    <t>Scenario 1</t>
  </si>
  <si>
    <t>Scenario 1 Title:</t>
  </si>
  <si>
    <t>Scenario 2</t>
  </si>
  <si>
    <t>Scenario 3</t>
  </si>
  <si>
    <t>Scenario 4</t>
  </si>
  <si>
    <t>Scenario 5</t>
  </si>
  <si>
    <t>Scenario 6</t>
  </si>
  <si>
    <t>Scenario 7</t>
  </si>
  <si>
    <t>Scenario 8</t>
  </si>
  <si>
    <t>Scenario 9</t>
  </si>
  <si>
    <t>Scenario 10</t>
  </si>
  <si>
    <t>Miles</t>
  </si>
  <si>
    <t>Km</t>
  </si>
  <si>
    <t>One Way</t>
  </si>
  <si>
    <t>Round Trip</t>
  </si>
  <si>
    <t>Notes and Comments</t>
  </si>
  <si>
    <t>Scenario 2 Title:</t>
  </si>
  <si>
    <t>Scenario 3 Title:</t>
  </si>
  <si>
    <t>Scenario 4 Title:</t>
  </si>
  <si>
    <t>Scenario 5 Title:</t>
  </si>
  <si>
    <t>Scenario 7 Title:</t>
  </si>
  <si>
    <t>Scenario 8 Title:</t>
  </si>
  <si>
    <t>Scenario 9 Title:</t>
  </si>
  <si>
    <t>Scenario 6 Title:</t>
  </si>
  <si>
    <t>Scenario 10 - Title:</t>
  </si>
  <si>
    <t>Average retention time (SRT) in digesters</t>
  </si>
  <si>
    <t>Solids content fed to digesters (%)</t>
  </si>
  <si>
    <t>Date</t>
  </si>
  <si>
    <t>Dry metric tons to each unit process/day</t>
  </si>
  <si>
    <t>percent</t>
  </si>
  <si>
    <t>convert number to percentage</t>
  </si>
  <si>
    <t>Truck capacity</t>
  </si>
  <si>
    <t>Truck or Rail?</t>
  </si>
  <si>
    <t>Unit</t>
  </si>
  <si>
    <t>Load (Mg-wet)</t>
  </si>
  <si>
    <t>Mg (wet)</t>
  </si>
  <si>
    <t>Round trip or one way?</t>
  </si>
  <si>
    <t>Distance (km)</t>
  </si>
  <si>
    <t>Windrow</t>
  </si>
  <si>
    <t>One way or round trip?</t>
  </si>
  <si>
    <t>Management - Sub Category</t>
  </si>
  <si>
    <r>
      <t>Density of sludge prior to de-watering (kg/m</t>
    </r>
    <r>
      <rPr>
        <vertAlign val="superscript"/>
        <sz val="11"/>
        <color indexed="8"/>
        <rFont val="Arial"/>
        <family val="2"/>
      </rPr>
      <t>3</t>
    </r>
    <r>
      <rPr>
        <sz val="11"/>
        <color indexed="8"/>
        <rFont val="Arial"/>
        <family val="2"/>
      </rPr>
      <t>)</t>
    </r>
  </si>
  <si>
    <t>assuming density of water</t>
  </si>
  <si>
    <t>Total percent of biogas combusted (%)</t>
  </si>
  <si>
    <t xml:space="preserve">based on </t>
  </si>
  <si>
    <t>Efficiency of conversion of combustion to electricity calculated from EPA LMOP defaults</t>
  </si>
  <si>
    <r>
      <t>Natural gas equivalent generated (m</t>
    </r>
    <r>
      <rPr>
        <vertAlign val="superscript"/>
        <sz val="11"/>
        <color indexed="8"/>
        <rFont val="Arial"/>
        <family val="2"/>
      </rPr>
      <t>3</t>
    </r>
    <r>
      <rPr>
        <sz val="11"/>
        <color indexed="8"/>
        <rFont val="Arial"/>
        <family val="2"/>
      </rPr>
      <t>/day)</t>
    </r>
  </si>
  <si>
    <t>Multiple hearth furnace</t>
  </si>
  <si>
    <t>Fluidized bed</t>
  </si>
  <si>
    <t>WARM "Worst-case collection" scenario</t>
  </si>
  <si>
    <t>WARM "Aggressive gas collection" scenario</t>
  </si>
  <si>
    <t>WARM "CA regulatory scenario" scenario</t>
  </si>
  <si>
    <t>10-14</t>
  </si>
  <si>
    <t>0-1</t>
  </si>
  <si>
    <t>Typical</t>
  </si>
  <si>
    <t>Worst-case</t>
  </si>
  <si>
    <t>Aggressive</t>
  </si>
  <si>
    <t>CA regulatory</t>
  </si>
  <si>
    <t>Tons remaining after</t>
  </si>
  <si>
    <t>Tons decayed after</t>
  </si>
  <si>
    <t>0-4</t>
  </si>
  <si>
    <t>5-9</t>
  </si>
  <si>
    <t>0</t>
  </si>
  <si>
    <t>0.5-2</t>
  </si>
  <si>
    <t>3-14</t>
  </si>
  <si>
    <t>1</t>
  </si>
  <si>
    <t>2-7</t>
  </si>
  <si>
    <t>Anaerobic Digestion 2</t>
  </si>
  <si>
    <t>Composting 2</t>
  </si>
  <si>
    <t>Land Application 2</t>
  </si>
  <si>
    <r>
      <t>CH</t>
    </r>
    <r>
      <rPr>
        <vertAlign val="subscript"/>
        <sz val="11"/>
        <color indexed="8"/>
        <rFont val="Arial"/>
        <family val="2"/>
      </rPr>
      <t>4</t>
    </r>
    <r>
      <rPr>
        <sz val="11"/>
        <color indexed="8"/>
        <rFont val="Arial"/>
        <family val="2"/>
      </rPr>
      <t xml:space="preserve"> released from first four years after landfilling (Mg/day)</t>
    </r>
  </si>
  <si>
    <r>
      <t>CH</t>
    </r>
    <r>
      <rPr>
        <vertAlign val="subscript"/>
        <sz val="11"/>
        <color indexed="8"/>
        <rFont val="Arial"/>
        <family val="2"/>
      </rPr>
      <t>4</t>
    </r>
    <r>
      <rPr>
        <sz val="11"/>
        <color indexed="8"/>
        <rFont val="Arial"/>
        <family val="2"/>
      </rPr>
      <t xml:space="preserve"> released from years 5-9 after landfilling (Mg/day)</t>
    </r>
  </si>
  <si>
    <r>
      <t>CH</t>
    </r>
    <r>
      <rPr>
        <vertAlign val="subscript"/>
        <sz val="11"/>
        <color indexed="8"/>
        <rFont val="Arial"/>
        <family val="2"/>
      </rPr>
      <t>4</t>
    </r>
    <r>
      <rPr>
        <sz val="11"/>
        <color indexed="8"/>
        <rFont val="Arial"/>
        <family val="2"/>
      </rPr>
      <t xml:space="preserve"> released from years 10-14 after landfilling (Mg/day)</t>
    </r>
  </si>
  <si>
    <t>13-14</t>
  </si>
  <si>
    <t>15-25</t>
  </si>
  <si>
    <t>26-41</t>
  </si>
  <si>
    <t>14-18</t>
  </si>
  <si>
    <t>19-41</t>
  </si>
  <si>
    <r>
      <t>CH</t>
    </r>
    <r>
      <rPr>
        <vertAlign val="subscript"/>
        <sz val="11"/>
        <color indexed="8"/>
        <rFont val="Arial"/>
        <family val="2"/>
      </rPr>
      <t>4</t>
    </r>
    <r>
      <rPr>
        <sz val="11"/>
        <color indexed="8"/>
        <rFont val="Arial"/>
        <family val="2"/>
      </rPr>
      <t xml:space="preserve"> released from first year after landfilling (Mg/day)</t>
    </r>
  </si>
  <si>
    <r>
      <t>CH</t>
    </r>
    <r>
      <rPr>
        <vertAlign val="subscript"/>
        <sz val="11"/>
        <color indexed="8"/>
        <rFont val="Arial"/>
        <family val="2"/>
      </rPr>
      <t>4</t>
    </r>
    <r>
      <rPr>
        <sz val="11"/>
        <color indexed="8"/>
        <rFont val="Arial"/>
        <family val="2"/>
      </rPr>
      <t xml:space="preserve"> released from years 2-7 after landfilling (Mg/day)</t>
    </r>
  </si>
  <si>
    <r>
      <t>CH</t>
    </r>
    <r>
      <rPr>
        <vertAlign val="subscript"/>
        <sz val="11"/>
        <color indexed="8"/>
        <rFont val="Arial"/>
        <family val="2"/>
      </rPr>
      <t>4</t>
    </r>
    <r>
      <rPr>
        <sz val="11"/>
        <color indexed="8"/>
        <rFont val="Arial"/>
        <family val="2"/>
      </rPr>
      <t xml:space="preserve"> released from second year after landfilling (Mg/day)</t>
    </r>
  </si>
  <si>
    <r>
      <t>CH</t>
    </r>
    <r>
      <rPr>
        <vertAlign val="subscript"/>
        <sz val="11"/>
        <color indexed="8"/>
        <rFont val="Arial"/>
        <family val="2"/>
      </rPr>
      <t>4</t>
    </r>
    <r>
      <rPr>
        <sz val="11"/>
        <color indexed="8"/>
        <rFont val="Arial"/>
        <family val="2"/>
      </rPr>
      <t xml:space="preserve"> released from years 3-14 after landfilling (Mg/day)</t>
    </r>
  </si>
  <si>
    <t>Mg per year</t>
  </si>
  <si>
    <t>Landfill Disposal Typical</t>
  </si>
  <si>
    <t>Landfill Disposal Worst-case</t>
  </si>
  <si>
    <t>Landfill Disposal Aggressive</t>
  </si>
  <si>
    <t>Landfill Disposal CA Regulatory</t>
  </si>
  <si>
    <t>CO₂</t>
  </si>
  <si>
    <t>Biogenic CO₂</t>
  </si>
  <si>
    <t>%</t>
  </si>
  <si>
    <t>Location of End Use</t>
  </si>
  <si>
    <t>Mgt - Main Category</t>
  </si>
  <si>
    <t>Description</t>
  </si>
  <si>
    <t>The Climate Registry's 2019 Default Emissions Factors</t>
  </si>
  <si>
    <t>Total CO2e (kg/gal)</t>
  </si>
  <si>
    <t>Gasification</t>
  </si>
  <si>
    <t>Pyrolysis</t>
  </si>
  <si>
    <t>Main Management</t>
  </si>
  <si>
    <t>CA Regulatory</t>
  </si>
  <si>
    <t>Land_Application</t>
  </si>
  <si>
    <t>Mg (dry)</t>
  </si>
  <si>
    <t>Input with possible cell reference</t>
  </si>
  <si>
    <r>
      <t>m</t>
    </r>
    <r>
      <rPr>
        <vertAlign val="superscript"/>
        <sz val="11"/>
        <color indexed="8"/>
        <rFont val="Arial"/>
        <family val="2"/>
      </rPr>
      <t>3</t>
    </r>
    <r>
      <rPr>
        <sz val="11"/>
        <color indexed="8"/>
        <rFont val="Arial"/>
        <family val="2"/>
      </rPr>
      <t xml:space="preserve"> water</t>
    </r>
  </si>
  <si>
    <r>
      <t>CO</t>
    </r>
    <r>
      <rPr>
        <b/>
        <vertAlign val="subscript"/>
        <sz val="11"/>
        <rFont val="Arial"/>
        <family val="2"/>
      </rPr>
      <t>2</t>
    </r>
    <r>
      <rPr>
        <b/>
        <sz val="11"/>
        <rFont val="Arial"/>
        <family val="2"/>
      </rPr>
      <t xml:space="preserve"> emissions from electricity used (Mg/day)</t>
    </r>
  </si>
  <si>
    <t>Wet tons to each unit process/day</t>
  </si>
  <si>
    <t>Mg (wet) to each unit process/day</t>
  </si>
  <si>
    <t>Sub-management</t>
  </si>
  <si>
    <t>Biodiesel as % of fuel</t>
  </si>
  <si>
    <r>
      <t>Trucking CO</t>
    </r>
    <r>
      <rPr>
        <b/>
        <vertAlign val="subscript"/>
        <sz val="11"/>
        <color indexed="8"/>
        <rFont val="Arial"/>
        <family val="2"/>
      </rPr>
      <t>2</t>
    </r>
    <r>
      <rPr>
        <b/>
        <sz val="11"/>
        <color indexed="8"/>
        <rFont val="Arial"/>
        <family val="2"/>
      </rPr>
      <t xml:space="preserve"> equivalents (Mg/year)</t>
    </r>
  </si>
  <si>
    <r>
      <t>Rail CO</t>
    </r>
    <r>
      <rPr>
        <b/>
        <vertAlign val="subscript"/>
        <sz val="11"/>
        <color indexed="8"/>
        <rFont val="Arial"/>
        <family val="2"/>
      </rPr>
      <t>2</t>
    </r>
    <r>
      <rPr>
        <b/>
        <sz val="11"/>
        <color indexed="8"/>
        <rFont val="Arial"/>
        <family val="2"/>
      </rPr>
      <t xml:space="preserve"> equivalents (Mg/year)</t>
    </r>
  </si>
  <si>
    <r>
      <t>Transport CO</t>
    </r>
    <r>
      <rPr>
        <vertAlign val="subscript"/>
        <sz val="11"/>
        <color indexed="8"/>
        <rFont val="Arial"/>
        <family val="2"/>
      </rPr>
      <t xml:space="preserve">2 </t>
    </r>
    <r>
      <rPr>
        <sz val="11"/>
        <color indexed="8"/>
        <rFont val="Arial"/>
        <family val="2"/>
      </rPr>
      <t>equivalents (kg/Mg-wet to final locations)</t>
    </r>
  </si>
  <si>
    <t>rail emissions</t>
  </si>
  <si>
    <t>diesel emissions</t>
  </si>
  <si>
    <t>Conversions and Constants</t>
  </si>
  <si>
    <t>Truck Capacity used for NYC DEP</t>
  </si>
  <si>
    <t>Landfill cover quality</t>
  </si>
  <si>
    <t>User defined</t>
  </si>
  <si>
    <t>Undigested/Raw</t>
  </si>
  <si>
    <t>Complete Digestion</t>
  </si>
  <si>
    <t>Partial Digestion</t>
  </si>
  <si>
    <t>User Defined</t>
  </si>
  <si>
    <t>Level of Digestion/Processing</t>
  </si>
  <si>
    <t>Generic</t>
  </si>
  <si>
    <t>Destination - Management Category</t>
  </si>
  <si>
    <t>Landfill Gas Capture Scenario</t>
  </si>
  <si>
    <t>Compost System</t>
  </si>
  <si>
    <t>Processing prior to land application</t>
  </si>
  <si>
    <t>Combustion Process</t>
  </si>
  <si>
    <t>Humid</t>
  </si>
  <si>
    <t>Arid</t>
  </si>
  <si>
    <t>Climate (MAP/PET)</t>
  </si>
  <si>
    <r>
      <t>Based on Rochette et al 2018 finding that commercial N and organic N applications provide equal N</t>
    </r>
    <r>
      <rPr>
        <vertAlign val="subscript"/>
        <sz val="10"/>
        <color indexed="18"/>
        <rFont val="Arial"/>
        <family val="2"/>
      </rPr>
      <t>2</t>
    </r>
    <r>
      <rPr>
        <sz val="10"/>
        <color indexed="18"/>
        <rFont val="Arial"/>
        <family val="2"/>
      </rPr>
      <t>O emissions</t>
    </r>
  </si>
  <si>
    <t>Rochette et al 2018, difference between commercial N and organic N applications on fine textured soils</t>
  </si>
  <si>
    <t>Climate at land application sites</t>
  </si>
  <si>
    <t>Rochette et al 2018 Org N (when normalized to actual N application rate) is approximately 2x the amount of N2O from land ap of commercial fert; we used to give 50% reduction for dry material.  Now that we are assuming the material is always replacing commercial fert in the land ap scenarios, this old 50% reduction is equivalent to all of difference between Org N and commerical N fertilizer sources</t>
  </si>
  <si>
    <t>Type of Thickener</t>
  </si>
  <si>
    <t>Type of De-watering Equipment</t>
  </si>
  <si>
    <t>Degree of Stabilization</t>
  </si>
  <si>
    <t>Multiple Hearth Furnace</t>
  </si>
  <si>
    <t>Disposition of Ash</t>
  </si>
  <si>
    <t>Type of Biosolids for Land App</t>
  </si>
  <si>
    <r>
      <t>CH</t>
    </r>
    <r>
      <rPr>
        <vertAlign val="subscript"/>
        <sz val="11"/>
        <color indexed="8"/>
        <rFont val="Arial"/>
        <family val="2"/>
      </rPr>
      <t>4</t>
    </r>
    <r>
      <rPr>
        <sz val="11"/>
        <color indexed="8"/>
        <rFont val="Arial"/>
        <family val="2"/>
      </rPr>
      <t xml:space="preserve"> released from first half year after landfilling (Mg/day)</t>
    </r>
  </si>
  <si>
    <r>
      <t>CH</t>
    </r>
    <r>
      <rPr>
        <vertAlign val="subscript"/>
        <sz val="11"/>
        <color indexed="8"/>
        <rFont val="Arial"/>
        <family val="2"/>
      </rPr>
      <t>4</t>
    </r>
    <r>
      <rPr>
        <sz val="11"/>
        <color indexed="8"/>
        <rFont val="Arial"/>
        <family val="2"/>
      </rPr>
      <t xml:space="preserve"> released from years 0.5-2 after landfilling (Mg/day)</t>
    </r>
  </si>
  <si>
    <t>to Thermal Drying</t>
  </si>
  <si>
    <t>from Thermal Drying</t>
  </si>
  <si>
    <t>For 1/2 year used in Landfill Aggressive formulas</t>
  </si>
  <si>
    <t>Wet Tons</t>
  </si>
  <si>
    <t>Wet Mg</t>
  </si>
  <si>
    <t>Dry Mg</t>
  </si>
  <si>
    <t>Amlinger et al 2008, averages calculated by Northern Tilth</t>
  </si>
  <si>
    <r>
      <t>CO</t>
    </r>
    <r>
      <rPr>
        <b/>
        <vertAlign val="subscript"/>
        <sz val="12"/>
        <color indexed="8"/>
        <rFont val="Arial"/>
        <family val="2"/>
      </rPr>
      <t>2</t>
    </r>
    <r>
      <rPr>
        <b/>
        <sz val="12"/>
        <color indexed="8"/>
        <rFont val="Arial"/>
        <family val="2"/>
      </rPr>
      <t>eq/Dry Mg</t>
    </r>
  </si>
  <si>
    <t>Landfill Disposal - Typical</t>
  </si>
  <si>
    <t>Landfill Disposal - Worst Case</t>
  </si>
  <si>
    <t>Landfill Disposal - Aggressive</t>
  </si>
  <si>
    <r>
      <t>CO</t>
    </r>
    <r>
      <rPr>
        <b/>
        <vertAlign val="subscript"/>
        <sz val="16"/>
        <color indexed="8"/>
        <rFont val="Arial"/>
        <family val="2"/>
      </rPr>
      <t>2</t>
    </r>
    <r>
      <rPr>
        <b/>
        <sz val="16"/>
        <color indexed="8"/>
        <rFont val="Arial"/>
        <family val="2"/>
      </rPr>
      <t>eq Totals (Mg/year)</t>
    </r>
  </si>
  <si>
    <t>Landfill Disposal - CA Regulatory</t>
  </si>
  <si>
    <t>Total for Year</t>
  </si>
  <si>
    <t>Emissions by Gas Type (Mg/year)</t>
  </si>
  <si>
    <t>Location (from e-Grid)</t>
  </si>
  <si>
    <t>Alk Stab</t>
  </si>
  <si>
    <t>Other</t>
  </si>
  <si>
    <t>Calculated result</t>
  </si>
  <si>
    <t>Constant</t>
  </si>
  <si>
    <r>
      <t>Lbs CO</t>
    </r>
    <r>
      <rPr>
        <vertAlign val="subscript"/>
        <sz val="8"/>
        <color theme="1"/>
        <rFont val="Calibri"/>
        <family val="2"/>
        <scheme val="minor"/>
      </rPr>
      <t>2</t>
    </r>
    <r>
      <rPr>
        <sz val="8"/>
        <color theme="1"/>
        <rFont val="Calibri"/>
        <family val="2"/>
        <scheme val="minor"/>
      </rPr>
      <t xml:space="preserve"> / MWh</t>
    </r>
  </si>
  <si>
    <r>
      <t>Lbs CH</t>
    </r>
    <r>
      <rPr>
        <vertAlign val="subscript"/>
        <sz val="8"/>
        <color theme="1"/>
        <rFont val="Calibri"/>
        <family val="2"/>
        <scheme val="minor"/>
      </rPr>
      <t>4</t>
    </r>
    <r>
      <rPr>
        <sz val="8"/>
        <color theme="1"/>
        <rFont val="Calibri"/>
        <family val="2"/>
        <scheme val="minor"/>
      </rPr>
      <t xml:space="preserve"> / GWh</t>
    </r>
  </si>
  <si>
    <r>
      <t>Lbs N</t>
    </r>
    <r>
      <rPr>
        <vertAlign val="subscript"/>
        <sz val="8"/>
        <color theme="1"/>
        <rFont val="Calibri"/>
        <family val="2"/>
        <scheme val="minor"/>
      </rPr>
      <t>2</t>
    </r>
    <r>
      <rPr>
        <sz val="8"/>
        <color theme="1"/>
        <rFont val="Calibri"/>
        <family val="2"/>
        <scheme val="minor"/>
      </rPr>
      <t>O / GWh</t>
    </r>
  </si>
  <si>
    <t>Data used to calculate default (for info only)</t>
  </si>
  <si>
    <t>Total P (%)</t>
  </si>
  <si>
    <t>CO₂ equivalents (Mg/yr)</t>
  </si>
  <si>
    <t>CAMX - WECC California</t>
  </si>
  <si>
    <t>Electricity required for ancillary equipment (kWh/day)</t>
  </si>
  <si>
    <t>Biomass Oxidation</t>
  </si>
  <si>
    <t>Solids Input (to pyrolysis unit)</t>
  </si>
  <si>
    <t>Other 1</t>
  </si>
  <si>
    <t>Other 2</t>
  </si>
  <si>
    <t>Other 3</t>
  </si>
  <si>
    <t>BFT</t>
  </si>
  <si>
    <r>
      <t>Natural gas used (m</t>
    </r>
    <r>
      <rPr>
        <vertAlign val="superscript"/>
        <sz val="11"/>
        <color indexed="8"/>
        <rFont val="Arial"/>
        <family val="2"/>
      </rPr>
      <t>3</t>
    </r>
    <r>
      <rPr>
        <sz val="11"/>
        <color indexed="8"/>
        <rFont val="Arial"/>
        <family val="2"/>
      </rPr>
      <t>/day)</t>
    </r>
  </si>
  <si>
    <r>
      <t>N₂O emissions from pyrolysis (g N</t>
    </r>
    <r>
      <rPr>
        <sz val="11"/>
        <color indexed="8"/>
        <rFont val="Calibri"/>
        <family val="2"/>
      </rPr>
      <t>₂</t>
    </r>
    <r>
      <rPr>
        <sz val="11"/>
        <color indexed="8"/>
        <rFont val="Arial"/>
        <family val="2"/>
      </rPr>
      <t>O / dry Mg solids pyrolysed)</t>
    </r>
  </si>
  <si>
    <t>Processor:</t>
  </si>
  <si>
    <t>from BFT 5-page brochure "The Unique BioForceTech Process"</t>
  </si>
  <si>
    <t>Electricity Use for heating when required (kWh/Mg-dry)</t>
  </si>
  <si>
    <t>Electricity Use for ancillary equipment (kWh/Mg-dry)</t>
  </si>
  <si>
    <t>BioDrying Input</t>
  </si>
  <si>
    <t>Electricity requirements of BioDryer for heat (kWh/day)</t>
  </si>
  <si>
    <t>Electricity requirements of BioDryer for ancillary equipment (kWh/day)</t>
  </si>
  <si>
    <t>from BFT 5-page brochure "The Unique BioForceTech Process" (includes water loop)</t>
  </si>
  <si>
    <r>
      <t xml:space="preserve">average value from BFT data based on FTIR analysis completed by Montrose Environmental, corrected to 0 </t>
    </r>
    <r>
      <rPr>
        <vertAlign val="superscript"/>
        <sz val="10"/>
        <color indexed="18"/>
        <rFont val="Arial"/>
        <family val="2"/>
      </rPr>
      <t>o</t>
    </r>
    <r>
      <rPr>
        <sz val="10"/>
        <color indexed="18"/>
        <rFont val="Arial"/>
        <family val="2"/>
      </rPr>
      <t>C</t>
    </r>
  </si>
  <si>
    <r>
      <t xml:space="preserve">max value from BFT data based on FTIR analysis completed by Montrose Environmental, corrected to 0 </t>
    </r>
    <r>
      <rPr>
        <vertAlign val="superscript"/>
        <sz val="10"/>
        <color indexed="18"/>
        <rFont val="Arial"/>
        <family val="2"/>
      </rPr>
      <t>o</t>
    </r>
    <r>
      <rPr>
        <sz val="10"/>
        <color indexed="18"/>
        <rFont val="Arial"/>
        <family val="2"/>
      </rPr>
      <t>C to use for sensitivity analysis</t>
    </r>
  </si>
  <si>
    <t>BFT reported mass reduction (%)</t>
  </si>
  <si>
    <t>Percent solids after biodrying:</t>
  </si>
  <si>
    <t>Percent solids after pyrolysis:</t>
  </si>
  <si>
    <t>Electricity credit for using excess heat from pyrolysis in biodrying (kWh/Mg-dry)</t>
  </si>
  <si>
    <t>Mass loss during pyrolysis (%-dry weight)</t>
  </si>
  <si>
    <t>Mass loss (%)</t>
  </si>
  <si>
    <t>Pyrolysis unit type</t>
  </si>
  <si>
    <t>BFT Biodrying</t>
  </si>
  <si>
    <t>Pyrolysis additional factors</t>
  </si>
  <si>
    <t>to Biodryer</t>
  </si>
  <si>
    <t>from Biodryer/to Pyrolysis</t>
  </si>
  <si>
    <t>from Pyrolysis</t>
  </si>
  <si>
    <t xml:space="preserve">Solids content after pyrolysis (%)  </t>
  </si>
  <si>
    <t>From biochar (pyrolysis operations) (% of organic carbon in biochar that is sequestered)</t>
  </si>
  <si>
    <t>Quantity after combustion (Mg/day-dry)</t>
  </si>
  <si>
    <t>Percent solids after combustion:</t>
  </si>
  <si>
    <t>Quantity after combustion (Mg/day-wet)</t>
  </si>
  <si>
    <t>Percent solids after thermal drying</t>
  </si>
  <si>
    <r>
      <t>Kg/m</t>
    </r>
    <r>
      <rPr>
        <vertAlign val="superscript"/>
        <sz val="11"/>
        <color indexed="8"/>
        <rFont val="Arial"/>
        <family val="2"/>
      </rPr>
      <t>3</t>
    </r>
  </si>
  <si>
    <r>
      <t>g/cm</t>
    </r>
    <r>
      <rPr>
        <vertAlign val="superscript"/>
        <sz val="11"/>
        <color indexed="8"/>
        <rFont val="Arial"/>
        <family val="2"/>
      </rPr>
      <t>3</t>
    </r>
  </si>
  <si>
    <t>Component Emissions by Scenario</t>
  </si>
  <si>
    <t>Emissions per Ton of Biosolids by Scenario</t>
  </si>
  <si>
    <t>CO2e/dry ton</t>
  </si>
  <si>
    <t>Net</t>
  </si>
  <si>
    <t>x less CO2eq emitted per Mg-wet mile traveled for train vs truck</t>
  </si>
  <si>
    <t>% Organic Matter (TVS)</t>
  </si>
  <si>
    <t>Percent solids after dewatering prior to drying and/or combustion:</t>
  </si>
  <si>
    <t>if digestion, then should be the same as solids content coming out of digester</t>
  </si>
  <si>
    <t>VS prior to digestion (% - dry wt.)</t>
  </si>
  <si>
    <t>Comments</t>
  </si>
  <si>
    <t>Volume Reduction During Aerobic Digestion</t>
  </si>
  <si>
    <t>Volume Reduction During Anaerobic Digestion</t>
  </si>
  <si>
    <t>Btu per kWh conversion (kWh/Btu)</t>
  </si>
  <si>
    <t>BEAM*2022 Science Review Team calculations based on specifications from several centrifuges.</t>
  </si>
  <si>
    <t>ASCC Alaska Grid</t>
  </si>
  <si>
    <t>ASCC Miscellaneous</t>
  </si>
  <si>
    <t>WECC Southwest</t>
  </si>
  <si>
    <t>WECC California</t>
  </si>
  <si>
    <t>ERCOT All</t>
  </si>
  <si>
    <t>FRCC All</t>
  </si>
  <si>
    <t>HICC Miscellaneous</t>
  </si>
  <si>
    <t>HICC Oahu</t>
  </si>
  <si>
    <t>MRO East</t>
  </si>
  <si>
    <t>MRO West</t>
  </si>
  <si>
    <t>NPCC New England</t>
  </si>
  <si>
    <t>WECC Northwest</t>
  </si>
  <si>
    <t>NPCC NYC/Westchester</t>
  </si>
  <si>
    <t>NPCC Long Island</t>
  </si>
  <si>
    <t>Puerto Rico Miscellaneous</t>
  </si>
  <si>
    <t>RFC East</t>
  </si>
  <si>
    <t>RFC Michigan</t>
  </si>
  <si>
    <t>RFC West</t>
  </si>
  <si>
    <t>WECC Rockies</t>
  </si>
  <si>
    <t>SPP North</t>
  </si>
  <si>
    <t>SPP South</t>
  </si>
  <si>
    <t>SERC Mississippi Valley</t>
  </si>
  <si>
    <t>SERC Midwest</t>
  </si>
  <si>
    <t>SERC South</t>
  </si>
  <si>
    <t>SERC Tennessee Valley</t>
  </si>
  <si>
    <t>SERC Virginia/Carolina</t>
  </si>
  <si>
    <t>U.S.</t>
  </si>
  <si>
    <r>
      <t>total CO</t>
    </r>
    <r>
      <rPr>
        <vertAlign val="subscript"/>
        <sz val="11"/>
        <color indexed="8"/>
        <rFont val="Arial"/>
        <family val="2"/>
      </rPr>
      <t>2</t>
    </r>
    <r>
      <rPr>
        <sz val="11"/>
        <color indexed="8"/>
        <rFont val="Arial"/>
        <family val="2"/>
      </rPr>
      <t>eq*</t>
    </r>
  </si>
  <si>
    <t>Conditioning/Thickening (if applicable)</t>
  </si>
  <si>
    <t>Aerobic Digestion (if applicable)</t>
  </si>
  <si>
    <r>
      <t>Amount of solids to be digested (m</t>
    </r>
    <r>
      <rPr>
        <vertAlign val="superscript"/>
        <sz val="11"/>
        <color indexed="8"/>
        <rFont val="Calibri"/>
        <family val="2"/>
        <scheme val="minor"/>
      </rPr>
      <t>3</t>
    </r>
    <r>
      <rPr>
        <sz val="11"/>
        <color indexed="8"/>
        <rFont val="Calibri"/>
        <family val="2"/>
        <scheme val="minor"/>
      </rPr>
      <t>/day)</t>
    </r>
  </si>
  <si>
    <t>CHP engine conversion to electricity (to be used with 100% efficicent of BTUs to kWh conversion)</t>
  </si>
  <si>
    <t>CHP overall efficiency of conversion of energy from biogas (calculated from above)</t>
  </si>
  <si>
    <t>only required for de-watering info</t>
  </si>
  <si>
    <t>SRT recommendation</t>
  </si>
  <si>
    <t>SRT recommendation - suggested 22% for high-grade heat and 20% for low-grade heat; there is no distinction here</t>
  </si>
  <si>
    <t>Based on actual data from Casella Grasslands facility via Abbie Webb 4-2022</t>
  </si>
  <si>
    <t>Primary and WAS, basic AD</t>
  </si>
  <si>
    <t>Primary and WAS, longer SRT and/or themophilic digestion</t>
  </si>
  <si>
    <t>Primary only, or Primary and WAS 20 plus-day SRT, or 2-stage and/or hydrolysis</t>
  </si>
  <si>
    <t>WAS only, basic AD (minimum to meet EPA Class B land application standards for biosolids)</t>
  </si>
  <si>
    <t>Note: Values from columns with yellow headers are used in formulas within this model.</t>
  </si>
  <si>
    <r>
      <t>lb/Y</t>
    </r>
    <r>
      <rPr>
        <vertAlign val="superscript"/>
        <sz val="11"/>
        <color indexed="8"/>
        <rFont val="Arial"/>
        <family val="2"/>
      </rPr>
      <t>3</t>
    </r>
  </si>
  <si>
    <t>of water =</t>
  </si>
  <si>
    <t>lbs</t>
  </si>
  <si>
    <r>
      <t>CO</t>
    </r>
    <r>
      <rPr>
        <b/>
        <vertAlign val="subscript"/>
        <sz val="11"/>
        <color indexed="8"/>
        <rFont val="Arial"/>
        <family val="2"/>
      </rPr>
      <t>2</t>
    </r>
    <r>
      <rPr>
        <b/>
        <sz val="11"/>
        <color indexed="8"/>
        <rFont val="Arial"/>
        <family val="2"/>
      </rPr>
      <t xml:space="preserve"> emissions from propane used (Mg/day)</t>
    </r>
  </si>
  <si>
    <t>Propane use (kg/day)</t>
  </si>
  <si>
    <t>Propane Use</t>
  </si>
  <si>
    <t>Diesel Use (liters/day)</t>
  </si>
  <si>
    <t>Diesel Use</t>
  </si>
  <si>
    <t>SSO Processing</t>
  </si>
  <si>
    <t>VS (Mg/day) - dry wt.</t>
  </si>
  <si>
    <r>
      <t>SSO quantity (m</t>
    </r>
    <r>
      <rPr>
        <vertAlign val="superscript"/>
        <sz val="11"/>
        <color indexed="8"/>
        <rFont val="Arial"/>
        <family val="2"/>
      </rPr>
      <t>3</t>
    </r>
    <r>
      <rPr>
        <sz val="11"/>
        <color indexed="8"/>
        <rFont val="Arial"/>
        <family val="2"/>
      </rPr>
      <t>/day)</t>
    </r>
  </si>
  <si>
    <t>SSO quantity (Mg/day-dry)</t>
  </si>
  <si>
    <t>SSO TVS (% dry wt)</t>
  </si>
  <si>
    <t>Propane</t>
  </si>
  <si>
    <t>https://www.epa.gov/energy/greenhouse-gases-equivalencies-calculator-calculations-and-references</t>
  </si>
  <si>
    <t>pounds propane/cylinder</t>
  </si>
  <si>
    <t>liters of diesel/Mg-wet SSO processed</t>
  </si>
  <si>
    <t>WM CORe data - October 2018</t>
  </si>
  <si>
    <t>kWh/Mg-wet of SSO processed</t>
  </si>
  <si>
    <t>kg propane/Mg-wet of SSO processed</t>
  </si>
  <si>
    <t>Old Default</t>
  </si>
  <si>
    <t>User-defined 2</t>
  </si>
  <si>
    <t>unprocessed</t>
  </si>
  <si>
    <t>from EPA LMOP data above</t>
  </si>
  <si>
    <t>Net capacity factor to be applied to conversion of methane to electricity</t>
  </si>
  <si>
    <t>Type of flare</t>
  </si>
  <si>
    <t>Candlestick</t>
  </si>
  <si>
    <t>Enclosed</t>
  </si>
  <si>
    <t>User Defined 2</t>
  </si>
  <si>
    <t>Solids retention time (SRT) (days)</t>
  </si>
  <si>
    <t>Renewable natural gas (RNG) to pipeline (yes/no)</t>
  </si>
  <si>
    <t>%Uncombusted Biogas Fugitive Emissions</t>
  </si>
  <si>
    <t>Combined Heat and Power Engines -specific data</t>
  </si>
  <si>
    <t>Renewable Natural Gas - specific data</t>
  </si>
  <si>
    <t>Parasitic Load from gas conditioning and injection-natural gas and electricity combined (% of biogas btu value)</t>
  </si>
  <si>
    <t>Emissions from Flaring Biogas</t>
  </si>
  <si>
    <t>Emissions from Combusting Biogas for Energy Recovery</t>
  </si>
  <si>
    <t>Normal</t>
  </si>
  <si>
    <t>Inefficient</t>
  </si>
  <si>
    <t>Smith et al, 2000; Foley &amp; Lant, 2007</t>
  </si>
  <si>
    <r>
      <t>Methane emissions from flaring (Mg CO</t>
    </r>
    <r>
      <rPr>
        <vertAlign val="subscript"/>
        <sz val="11"/>
        <color indexed="8"/>
        <rFont val="Arial"/>
        <family val="2"/>
      </rPr>
      <t>2</t>
    </r>
    <r>
      <rPr>
        <sz val="11"/>
        <color indexed="8"/>
        <rFont val="Arial"/>
        <family val="2"/>
      </rPr>
      <t xml:space="preserve"> eq/day)</t>
    </r>
  </si>
  <si>
    <r>
      <t>Methane emissions from combustion for energy recovery (Mg CO</t>
    </r>
    <r>
      <rPr>
        <vertAlign val="subscript"/>
        <sz val="11"/>
        <color indexed="8"/>
        <rFont val="Arial"/>
        <family val="2"/>
      </rPr>
      <t>2</t>
    </r>
    <r>
      <rPr>
        <sz val="11"/>
        <color indexed="8"/>
        <rFont val="Arial"/>
        <family val="2"/>
      </rPr>
      <t xml:space="preserve"> eq/day)</t>
    </r>
  </si>
  <si>
    <t>Efficiency of combustion for energy recovery relative to methane emissions</t>
  </si>
  <si>
    <r>
      <t>CO</t>
    </r>
    <r>
      <rPr>
        <b/>
        <vertAlign val="subscript"/>
        <sz val="11"/>
        <color indexed="8"/>
        <rFont val="Arial"/>
        <family val="2"/>
      </rPr>
      <t>2</t>
    </r>
    <r>
      <rPr>
        <b/>
        <sz val="11"/>
        <color indexed="8"/>
        <rFont val="Arial"/>
        <family val="2"/>
      </rPr>
      <t xml:space="preserve"> emissions (non-methane) from biomass (biogas) combustion (Mg/day)</t>
    </r>
  </si>
  <si>
    <t>The Climate Registry Local Govt Ops Protocol, 2008, p. 174 - and converted from ft3 to m3</t>
  </si>
  <si>
    <t>Percentage of methane emitted directly to the atmosphere when biogas is burned or flared (%)</t>
  </si>
  <si>
    <t>Renewable natural gas (RNG) to pipeline (% of biogas generated)</t>
  </si>
  <si>
    <t>Combined Heat and Power (CHP) Engines used (yes/no)</t>
  </si>
  <si>
    <t>Miscellaneous Emissions</t>
  </si>
  <si>
    <t>Natural Gas Use</t>
  </si>
  <si>
    <t>Electricity use (kWh/day)</t>
  </si>
  <si>
    <r>
      <rPr>
        <b/>
        <sz val="11"/>
        <color indexed="8"/>
        <rFont val="Arial"/>
        <family val="2"/>
      </rPr>
      <t xml:space="preserve">General: </t>
    </r>
    <r>
      <rPr>
        <sz val="11"/>
        <color indexed="8"/>
        <rFont val="Arial"/>
        <family val="2"/>
      </rPr>
      <t>Enter data for any additional emissions not accounted for on other unit process sheets.</t>
    </r>
  </si>
  <si>
    <t>% Uncombusted Biogas Fugitive Emissions</t>
  </si>
  <si>
    <t>NYC-specific</t>
  </si>
  <si>
    <t>Scientific Review Team recommendation</t>
  </si>
  <si>
    <t>Scientific Review Team recommendation: U. S. EPA PSRP treatment requires 15 day minimum for AD at typical mesophilic temperatures of 35 - 55 deg. C., and most anaerobic digesters are designed and operated for 18 - 25 days SRT or more to maximize VSR and ensure VSR &gt;38% to meet Class B standards.  (U. S. EPA, 40 CFR Part 503; Higgins, 2017. Anaerobic Digestion 101, presentation for WEF)</t>
  </si>
  <si>
    <t xml:space="preserve">days is default recommendation of the Scientific Review Team </t>
  </si>
  <si>
    <t>Site-Specific Data</t>
  </si>
  <si>
    <t>Volatile solids reduction (VSR) - during digestion (%-dry wt)</t>
  </si>
  <si>
    <t>Northern Tilth suggested values if data not available</t>
  </si>
  <si>
    <t>Percentage of methane emitted directly to the atmosphere when biogas is burned or flared  (%)</t>
  </si>
  <si>
    <t>from Northern Titlh, based on NYC DEP calculations</t>
  </si>
  <si>
    <r>
      <t>CO</t>
    </r>
    <r>
      <rPr>
        <vertAlign val="subscript"/>
        <sz val="8"/>
        <rFont val="Arial"/>
        <family val="2"/>
      </rPr>
      <t xml:space="preserve">2  </t>
    </r>
    <r>
      <rPr>
        <sz val="8"/>
        <rFont val="Arial"/>
        <family val="2"/>
      </rPr>
      <t>(kg/ton-mile)</t>
    </r>
  </si>
  <si>
    <r>
      <t>CH</t>
    </r>
    <r>
      <rPr>
        <vertAlign val="subscript"/>
        <sz val="8"/>
        <rFont val="Arial"/>
        <family val="2"/>
      </rPr>
      <t xml:space="preserve">4 </t>
    </r>
    <r>
      <rPr>
        <sz val="8"/>
        <rFont val="Arial"/>
        <family val="2"/>
      </rPr>
      <t>(g/ton-mile)</t>
    </r>
  </si>
  <si>
    <r>
      <t>N</t>
    </r>
    <r>
      <rPr>
        <vertAlign val="subscript"/>
        <sz val="8"/>
        <rFont val="Arial"/>
        <family val="2"/>
      </rPr>
      <t>2</t>
    </r>
    <r>
      <rPr>
        <sz val="8"/>
        <rFont val="Arial"/>
        <family val="2"/>
      </rPr>
      <t>O (g/ton-mile)</t>
    </r>
  </si>
  <si>
    <r>
      <t>From biosolids/compost applications (Mg CO</t>
    </r>
    <r>
      <rPr>
        <b/>
        <i/>
        <vertAlign val="subscript"/>
        <sz val="11"/>
        <color indexed="8"/>
        <rFont val="Arial"/>
        <family val="2"/>
      </rPr>
      <t>2</t>
    </r>
    <r>
      <rPr>
        <b/>
        <i/>
        <sz val="11"/>
        <color indexed="8"/>
        <rFont val="Arial"/>
        <family val="2"/>
      </rPr>
      <t>/dry Mg-biosolids)</t>
    </r>
  </si>
  <si>
    <t>Current Default</t>
  </si>
  <si>
    <t>WARM FW</t>
  </si>
  <si>
    <t>User-defined</t>
  </si>
  <si>
    <t>DOCf - fraction of degradable organic carbon that can decompose</t>
  </si>
  <si>
    <t>K-decay rate constant for DOC in biosolids - MAT</t>
  </si>
  <si>
    <t>Mass Reduction (%) During Pyrolysis</t>
  </si>
  <si>
    <t>MAT &lt; 20oC and MAP/PET &lt;1; CDM - Tool to determine methane emissions avoided from dumping waste as a solid waste disposal site (version 2).</t>
  </si>
  <si>
    <t>MAT &lt; 20oC and MAP/PET &gt;1; CDM - Tool to determine methane emissions avoided from dumping waste as a solid waste disposal site (version 2).</t>
  </si>
  <si>
    <t>MAT &gt; 20oC and MAP/PET &lt;1; CDM - Tool to determine methane emissions avoided from dumping waste as a solid waste disposal site (version 2).</t>
  </si>
  <si>
    <t>MAT &gt; 20oC and MAP/PET &gt;1; CDM - Tool to determine methane emissions avoided from dumping waste as a solid waste disposal site (version 2).</t>
  </si>
  <si>
    <t>Default</t>
  </si>
  <si>
    <t>The Composting Handbook, 2022, Elsevier page 124</t>
  </si>
  <si>
    <t>Electricity generated during pyrolysis used for ancillary equipment (kWh/day)</t>
  </si>
  <si>
    <t>Net electrical energy use (kWh/day)</t>
  </si>
  <si>
    <t>Quantity of biochar generated (Mg/day-dry)</t>
  </si>
  <si>
    <t>Facility Name/Location:</t>
  </si>
  <si>
    <t xml:space="preserve">The 1% default factor is used by standard GHG accounting protocols, including IPCC and EPA (EPA, 2016, Evaluating the Air Quality, Climate &amp; Economic Impacts of Biogas Management Technologies, EPA 600/R-16/099, p. 7). </t>
  </si>
  <si>
    <t xml:space="preserve">GHG Methodologies for Sewer CH4, Methanol-Use CO2, and Biogas-Combustion CH4 and their Significance for Centralized Wastewater Treatment, J Willis PhD Thesis 2017 </t>
  </si>
  <si>
    <t xml:space="preserve">1.5% for internal combustion engines, GHG Methodologies for Sewer CH4, Methanol-Use CO2, and Biogas-Combustion CH4 and their Significance for Centralized Wastewater Treatment, J Willis PhD Thesis 2017 </t>
  </si>
  <si>
    <t>User-defined 1</t>
  </si>
  <si>
    <t>User-defined 3</t>
  </si>
  <si>
    <t>Default value for percent of fine-textured soils in a land application program</t>
  </si>
  <si>
    <t>from Nan et al. 2020 Journal of Cleaner Production (based on 10% of carbon being mineralized after applying biochar to soil)</t>
  </si>
  <si>
    <t>Climate Registry, Canadian Emissions Factors for Grid Electricity by Province from 3/2/09 update</t>
  </si>
  <si>
    <t>e-grid 2020 update</t>
  </si>
  <si>
    <t>GWP Time Horizon (years)</t>
  </si>
  <si>
    <r>
      <t>CH</t>
    </r>
    <r>
      <rPr>
        <vertAlign val="subscript"/>
        <sz val="11"/>
        <color indexed="8"/>
        <rFont val="Arial"/>
        <family val="2"/>
      </rPr>
      <t>4</t>
    </r>
  </si>
  <si>
    <t>GWP (IPCC AR4)</t>
  </si>
  <si>
    <t>Global Warming Potentials (GWP) used  in model</t>
  </si>
  <si>
    <t>Calculated Result</t>
  </si>
  <si>
    <t>Cell Color Key for References Worksheet</t>
  </si>
  <si>
    <t>Input Cell</t>
  </si>
  <si>
    <t>BioDrying</t>
  </si>
  <si>
    <t>Is the BioDrying fueled by heat from pryolysis unit</t>
  </si>
  <si>
    <t>BioDrying - (Info based on BFT technology)</t>
  </si>
  <si>
    <t>References, Calculations, Assumptions and Default Values</t>
  </si>
  <si>
    <t>For Dropdowns</t>
  </si>
  <si>
    <t>Truck load (wet tons)</t>
  </si>
  <si>
    <t>to adust for 1/2 year in Aggressive LF calcs</t>
  </si>
  <si>
    <r>
      <t>Average days per year above 15</t>
    </r>
    <r>
      <rPr>
        <vertAlign val="superscript"/>
        <sz val="11"/>
        <color indexed="8"/>
        <rFont val="Arial"/>
        <family val="2"/>
      </rPr>
      <t>o</t>
    </r>
    <r>
      <rPr>
        <sz val="11"/>
        <color indexed="8"/>
        <rFont val="Arial"/>
        <family val="2"/>
      </rPr>
      <t>C</t>
    </r>
  </si>
  <si>
    <t>41.7% for NYC</t>
  </si>
  <si>
    <r>
      <t>from WARM Documentation for Greenhouse Gas Emission and Energy Factors Used in the Waste Reduction Model, Management Practices Chapter, 2018. Calculated using C sequestration value of 0.24 Mg CO2E/</t>
    </r>
    <r>
      <rPr>
        <b/>
        <sz val="10"/>
        <color indexed="18"/>
        <rFont val="Arial"/>
        <family val="2"/>
      </rPr>
      <t>wet ton</t>
    </r>
    <r>
      <rPr>
        <sz val="10"/>
        <color indexed="18"/>
        <rFont val="Arial"/>
        <family val="2"/>
      </rPr>
      <t xml:space="preserve"> food waste and food waste solids content of 27.8%</t>
    </r>
  </si>
  <si>
    <t xml:space="preserve"> MGD (million gallons/day) treated</t>
  </si>
  <si>
    <t>MLD (million liters/day) treated</t>
  </si>
  <si>
    <r>
      <t>Mass of BOD</t>
    </r>
    <r>
      <rPr>
        <vertAlign val="subscript"/>
        <sz val="11"/>
        <color indexed="8"/>
        <rFont val="Arial"/>
        <family val="2"/>
      </rPr>
      <t xml:space="preserve">  </t>
    </r>
    <r>
      <rPr>
        <sz val="11"/>
        <color indexed="8"/>
        <rFont val="Arial"/>
        <family val="2"/>
      </rPr>
      <t>to storage (kg/day)</t>
    </r>
  </si>
  <si>
    <t>BOD in influent (mg/L)</t>
  </si>
  <si>
    <t>Organic C (%)</t>
  </si>
  <si>
    <r>
      <t>C to CO</t>
    </r>
    <r>
      <rPr>
        <vertAlign val="subscript"/>
        <sz val="11"/>
        <color indexed="8"/>
        <rFont val="Arial"/>
        <family val="2"/>
      </rPr>
      <t xml:space="preserve">2 </t>
    </r>
    <r>
      <rPr>
        <sz val="11"/>
        <color indexed="8"/>
        <rFont val="Arial"/>
        <family val="2"/>
      </rPr>
      <t>conversion</t>
    </r>
  </si>
  <si>
    <r>
      <t>C to CH</t>
    </r>
    <r>
      <rPr>
        <vertAlign val="subscript"/>
        <sz val="11"/>
        <color indexed="8"/>
        <rFont val="Arial"/>
        <family val="2"/>
      </rPr>
      <t xml:space="preserve">4 </t>
    </r>
    <r>
      <rPr>
        <sz val="11"/>
        <color indexed="8"/>
        <rFont val="Arial"/>
        <family val="2"/>
      </rPr>
      <t>conversion</t>
    </r>
  </si>
  <si>
    <r>
      <t>N to N</t>
    </r>
    <r>
      <rPr>
        <vertAlign val="subscript"/>
        <sz val="11"/>
        <color indexed="8"/>
        <rFont val="Arial"/>
        <family val="2"/>
      </rPr>
      <t>2</t>
    </r>
    <r>
      <rPr>
        <sz val="11"/>
        <color indexed="8"/>
        <rFont val="Arial"/>
        <family val="2"/>
      </rPr>
      <t>O</t>
    </r>
    <r>
      <rPr>
        <vertAlign val="subscript"/>
        <sz val="11"/>
        <color indexed="8"/>
        <rFont val="Arial"/>
        <family val="2"/>
      </rPr>
      <t xml:space="preserve"> </t>
    </r>
    <r>
      <rPr>
        <sz val="11"/>
        <color indexed="8"/>
        <rFont val="Arial"/>
        <family val="2"/>
      </rPr>
      <t>conversion</t>
    </r>
  </si>
  <si>
    <t xml:space="preserve">based on NYC_GHG_Inventory_back_calc spreadsheet provided to Northern Tilth by M Amar NYC DEP on 6/17/2022 </t>
  </si>
  <si>
    <t>Annual Production of de-watered biomass (wet tons)</t>
  </si>
  <si>
    <t>Global Warming Potential (GWP) time horizon (years)</t>
  </si>
  <si>
    <t>Facility of Origin (e.g. dewatering facility) - Enter wet tons</t>
  </si>
  <si>
    <t>De-watered biomass</t>
  </si>
  <si>
    <t>Biochar (Pyrolyzed biomass)</t>
  </si>
  <si>
    <t>Solids content of biomass prior to thickening (%)</t>
  </si>
  <si>
    <t>Solids content of biomass after thickening (%)</t>
  </si>
  <si>
    <r>
      <t>Amount of biomass to be thickened (m</t>
    </r>
    <r>
      <rPr>
        <vertAlign val="superscript"/>
        <sz val="11"/>
        <color indexed="8"/>
        <rFont val="Calibri"/>
        <family val="2"/>
        <scheme val="minor"/>
      </rPr>
      <t>3</t>
    </r>
    <r>
      <rPr>
        <sz val="11"/>
        <color indexed="8"/>
        <rFont val="Calibri"/>
        <family val="2"/>
        <scheme val="minor"/>
      </rPr>
      <t>/day)</t>
    </r>
  </si>
  <si>
    <r>
      <t>Amount of thickened biomass (m</t>
    </r>
    <r>
      <rPr>
        <vertAlign val="superscript"/>
        <sz val="11"/>
        <color indexed="8"/>
        <rFont val="Calibri"/>
        <family val="2"/>
        <scheme val="minor"/>
      </rPr>
      <t>3</t>
    </r>
    <r>
      <rPr>
        <sz val="11"/>
        <color indexed="8"/>
        <rFont val="Calibri"/>
        <family val="2"/>
        <scheme val="minor"/>
      </rPr>
      <t>/day)</t>
    </r>
  </si>
  <si>
    <r>
      <t>Amount of biomass to be digested (m</t>
    </r>
    <r>
      <rPr>
        <vertAlign val="superscript"/>
        <sz val="11"/>
        <color indexed="8"/>
        <rFont val="Calibri"/>
        <family val="2"/>
        <scheme val="minor"/>
      </rPr>
      <t>3</t>
    </r>
    <r>
      <rPr>
        <sz val="11"/>
        <color indexed="8"/>
        <rFont val="Calibri"/>
        <family val="2"/>
        <scheme val="minor"/>
      </rPr>
      <t>/day)</t>
    </r>
  </si>
  <si>
    <t>Solids content of biomass fed to digesters (%)</t>
  </si>
  <si>
    <t>Volatile solids content of biomass prior to digestion (%-dry wt)</t>
  </si>
  <si>
    <t>Solids content of biomass out of digesters (%)</t>
  </si>
  <si>
    <r>
      <t>Amount of biomass to be dewatered (m</t>
    </r>
    <r>
      <rPr>
        <vertAlign val="superscript"/>
        <sz val="11"/>
        <color indexed="8"/>
        <rFont val="Calibri"/>
        <family val="2"/>
        <scheme val="minor"/>
      </rPr>
      <t>3</t>
    </r>
    <r>
      <rPr>
        <sz val="11"/>
        <color indexed="8"/>
        <rFont val="Calibri"/>
        <family val="2"/>
        <scheme val="minor"/>
      </rPr>
      <t>/day)</t>
    </r>
  </si>
  <si>
    <t>Solids content of biomass prior to dewatering (%)</t>
  </si>
  <si>
    <t>Solids content of biomass after dewatering (%)</t>
  </si>
  <si>
    <r>
      <t>Amount of biomass to be thickened (m</t>
    </r>
    <r>
      <rPr>
        <vertAlign val="superscript"/>
        <sz val="11"/>
        <color indexed="8"/>
        <rFont val="Arial"/>
        <family val="2"/>
      </rPr>
      <t>3</t>
    </r>
    <r>
      <rPr>
        <sz val="11"/>
        <color indexed="8"/>
        <rFont val="Arial"/>
        <family val="2"/>
      </rPr>
      <t>/day)</t>
    </r>
  </si>
  <si>
    <t>Biomass quantity (Mg/day-dry)</t>
  </si>
  <si>
    <t>Biomass TVS (% dry wt)</t>
  </si>
  <si>
    <r>
      <t>Amount of biomass to be de-watered (m</t>
    </r>
    <r>
      <rPr>
        <vertAlign val="superscript"/>
        <sz val="11"/>
        <color indexed="8"/>
        <rFont val="Arial"/>
        <family val="2"/>
      </rPr>
      <t>3</t>
    </r>
    <r>
      <rPr>
        <sz val="11"/>
        <color indexed="8"/>
        <rFont val="Arial"/>
        <family val="2"/>
      </rPr>
      <t>/day)</t>
    </r>
  </si>
  <si>
    <t>Mass of biomass to be stabilized-wet (Mg/day)</t>
  </si>
  <si>
    <t>Solids content of biomass to be stabilized (%)</t>
  </si>
  <si>
    <t>Mass of biomass-dry (Mg/day)</t>
  </si>
  <si>
    <t>Quantity of biomass going to composting (Mg/day-dry)</t>
  </si>
  <si>
    <t>Has the biomass been digested prior to composting?</t>
  </si>
  <si>
    <t>Volume of biomass in compost (%)</t>
  </si>
  <si>
    <r>
      <t>N</t>
    </r>
    <r>
      <rPr>
        <vertAlign val="subscript"/>
        <sz val="11"/>
        <color indexed="8"/>
        <rFont val="Arial"/>
        <family val="2"/>
      </rPr>
      <t>2</t>
    </r>
    <r>
      <rPr>
        <sz val="11"/>
        <color indexed="8"/>
        <rFont val="Arial"/>
        <family val="2"/>
      </rPr>
      <t>O emitted from landfilled biomass (Mg/day)</t>
    </r>
  </si>
  <si>
    <r>
      <t>From undecomposed carbon from landfilled biomass (Mg CO</t>
    </r>
    <r>
      <rPr>
        <b/>
        <vertAlign val="subscript"/>
        <sz val="11"/>
        <color indexed="8"/>
        <rFont val="Arial"/>
        <family val="2"/>
      </rPr>
      <t>2</t>
    </r>
    <r>
      <rPr>
        <b/>
        <sz val="11"/>
        <color indexed="8"/>
        <rFont val="Arial"/>
        <family val="2"/>
      </rPr>
      <t>/day)</t>
    </r>
  </si>
  <si>
    <r>
      <rPr>
        <b/>
        <sz val="11"/>
        <color indexed="8"/>
        <rFont val="Arial"/>
        <family val="2"/>
      </rPr>
      <t>General:</t>
    </r>
    <r>
      <rPr>
        <sz val="11"/>
        <color indexed="8"/>
        <rFont val="Arial"/>
        <family val="2"/>
      </rPr>
      <t xml:space="preserve">  Enter data for all biomass sent to a landfill for disposal.  </t>
    </r>
  </si>
  <si>
    <r>
      <t>N</t>
    </r>
    <r>
      <rPr>
        <vertAlign val="subscript"/>
        <sz val="11"/>
        <color indexed="8"/>
        <rFont val="Arial"/>
        <family val="2"/>
      </rPr>
      <t>2</t>
    </r>
    <r>
      <rPr>
        <sz val="11"/>
        <color indexed="8"/>
        <rFont val="Arial"/>
        <family val="2"/>
      </rPr>
      <t>O emission adjustment for moisture content of biomass (Mg/day)</t>
    </r>
  </si>
  <si>
    <r>
      <t>CO</t>
    </r>
    <r>
      <rPr>
        <b/>
        <vertAlign val="subscript"/>
        <sz val="11"/>
        <color indexed="8"/>
        <rFont val="Arial"/>
        <family val="2"/>
      </rPr>
      <t>2</t>
    </r>
    <r>
      <rPr>
        <b/>
        <sz val="11"/>
        <color indexed="8"/>
        <rFont val="Arial"/>
        <family val="2"/>
      </rPr>
      <t xml:space="preserve"> Emissions equivalents from burning biomass (Mg/day)</t>
    </r>
  </si>
  <si>
    <t>Is the biomass coming from a biodryer?</t>
  </si>
  <si>
    <t>Is biomass digested prior to pyrolysis?</t>
  </si>
  <si>
    <r>
      <t>CO</t>
    </r>
    <r>
      <rPr>
        <b/>
        <vertAlign val="subscript"/>
        <sz val="11"/>
        <color indexed="8"/>
        <rFont val="Arial"/>
        <family val="2"/>
      </rPr>
      <t>2</t>
    </r>
    <r>
      <rPr>
        <b/>
        <sz val="11"/>
        <color indexed="8"/>
        <rFont val="Arial"/>
        <family val="2"/>
      </rPr>
      <t xml:space="preserve"> Emissions equivalents from pyrolysing biomass (Mg/day)</t>
    </r>
  </si>
  <si>
    <t>Applying biomass to land (L-diesel fuel/day)</t>
  </si>
  <si>
    <r>
      <t>CH</t>
    </r>
    <r>
      <rPr>
        <vertAlign val="subscript"/>
        <sz val="11"/>
        <color indexed="8"/>
        <rFont val="Arial"/>
        <family val="2"/>
      </rPr>
      <t>4</t>
    </r>
    <r>
      <rPr>
        <sz val="11"/>
        <color indexed="8"/>
        <rFont val="Arial"/>
        <family val="2"/>
      </rPr>
      <t xml:space="preserve"> emitted from storage of biomass prior to land application (Mg/day)</t>
    </r>
  </si>
  <si>
    <r>
      <t>N</t>
    </r>
    <r>
      <rPr>
        <vertAlign val="subscript"/>
        <sz val="11"/>
        <color indexed="8"/>
        <rFont val="Arial"/>
        <family val="2"/>
      </rPr>
      <t>2</t>
    </r>
    <r>
      <rPr>
        <sz val="11"/>
        <color indexed="8"/>
        <rFont val="Arial"/>
        <family val="2"/>
      </rPr>
      <t>O emission adjustment for dry biomass on fine-textured soil (Mg/day)</t>
    </r>
  </si>
  <si>
    <r>
      <t>N</t>
    </r>
    <r>
      <rPr>
        <vertAlign val="subscript"/>
        <sz val="11"/>
        <color indexed="8"/>
        <rFont val="Arial"/>
        <family val="2"/>
      </rPr>
      <t>2</t>
    </r>
    <r>
      <rPr>
        <sz val="11"/>
        <color indexed="8"/>
        <rFont val="Arial"/>
        <family val="2"/>
      </rPr>
      <t>O emitted from storage of biomass prior to land application (Mg/day)</t>
    </r>
  </si>
  <si>
    <t>Biomass to this destination (Mg-wet/yr)</t>
  </si>
  <si>
    <t>Average biomass weight per load (Mg-wet)</t>
  </si>
  <si>
    <r>
      <t>CO</t>
    </r>
    <r>
      <rPr>
        <vertAlign val="subscript"/>
        <sz val="11"/>
        <color indexed="8"/>
        <rFont val="Arial"/>
        <family val="2"/>
      </rPr>
      <t>2</t>
    </r>
    <r>
      <rPr>
        <sz val="11"/>
        <color indexed="8"/>
        <rFont val="Arial"/>
        <family val="2"/>
      </rPr>
      <t xml:space="preserve"> eq diesel (g/L)</t>
    </r>
  </si>
  <si>
    <r>
      <t>Train hauling emissions (kg CO</t>
    </r>
    <r>
      <rPr>
        <sz val="11"/>
        <color indexed="8"/>
        <rFont val="Calibri"/>
        <family val="2"/>
      </rPr>
      <t>₂</t>
    </r>
    <r>
      <rPr>
        <sz val="11"/>
        <color indexed="8"/>
        <rFont val="Arial"/>
        <family val="2"/>
      </rPr>
      <t xml:space="preserve"> eq/Mg-km)</t>
    </r>
  </si>
  <si>
    <r>
      <t>CO</t>
    </r>
    <r>
      <rPr>
        <vertAlign val="subscript"/>
        <sz val="11"/>
        <color indexed="8"/>
        <rFont val="Arial"/>
        <family val="2"/>
      </rPr>
      <t xml:space="preserve">2 </t>
    </r>
    <r>
      <rPr>
        <sz val="11"/>
        <color indexed="8"/>
        <rFont val="Arial"/>
        <family val="2"/>
      </rPr>
      <t>eq  from combustion of natural gas(g/m</t>
    </r>
    <r>
      <rPr>
        <vertAlign val="superscript"/>
        <sz val="11"/>
        <color indexed="8"/>
        <rFont val="Arial"/>
        <family val="2"/>
      </rPr>
      <t>3</t>
    </r>
    <r>
      <rPr>
        <sz val="11"/>
        <color indexed="8"/>
        <rFont val="Arial"/>
        <family val="2"/>
      </rPr>
      <t>)</t>
    </r>
  </si>
  <si>
    <t>density of methane gas (kg /m³) - at standard temp. and pressure</t>
  </si>
  <si>
    <r>
      <t>Typical TSS in sludge after primary sedimentation (kg/1000 m</t>
    </r>
    <r>
      <rPr>
        <sz val="11"/>
        <color rgb="FF000000"/>
        <rFont val="Arial"/>
        <family val="2"/>
      </rPr>
      <t>³</t>
    </r>
    <r>
      <rPr>
        <sz val="11"/>
        <color indexed="8"/>
        <rFont val="Arial"/>
        <family val="2"/>
      </rPr>
      <t>)</t>
    </r>
  </si>
  <si>
    <r>
      <t>CO</t>
    </r>
    <r>
      <rPr>
        <sz val="11"/>
        <color indexed="8"/>
        <rFont val="Calibri"/>
        <family val="2"/>
      </rPr>
      <t>₂</t>
    </r>
    <r>
      <rPr>
        <sz val="11"/>
        <color indexed="8"/>
        <rFont val="Arial"/>
        <family val="2"/>
      </rPr>
      <t xml:space="preserve"> equivalents of Polymer manufacture (Mg CO₂ eq/Mg polymer)</t>
    </r>
  </si>
  <si>
    <r>
      <t>Typical design electricity use for anaerobic digester mixing systems (kWh/m</t>
    </r>
    <r>
      <rPr>
        <sz val="12"/>
        <color rgb="FF000000"/>
        <rFont val="Arial"/>
        <family val="2"/>
      </rPr>
      <t>³</t>
    </r>
    <r>
      <rPr>
        <sz val="11"/>
        <color indexed="8"/>
        <rFont val="Arial"/>
        <family val="2"/>
      </rPr>
      <t xml:space="preserve"> of sludge to digester)</t>
    </r>
  </si>
  <si>
    <t>Btu per kWh conversion - 100% efficiency (kWh/Btu)</t>
  </si>
  <si>
    <r>
      <t>Biogas CO</t>
    </r>
    <r>
      <rPr>
        <sz val="11"/>
        <color indexed="8"/>
        <rFont val="Calibri"/>
        <family val="2"/>
      </rPr>
      <t>₂</t>
    </r>
    <r>
      <rPr>
        <sz val="11"/>
        <color indexed="8"/>
        <rFont val="Arial"/>
        <family val="2"/>
      </rPr>
      <t xml:space="preserve"> emission factor from combustion of methane portion (kg CO₂/m</t>
    </r>
    <r>
      <rPr>
        <vertAlign val="superscript"/>
        <sz val="11"/>
        <color indexed="8"/>
        <rFont val="Arial"/>
        <family val="2"/>
      </rPr>
      <t>3</t>
    </r>
    <r>
      <rPr>
        <sz val="11"/>
        <color indexed="8"/>
        <rFont val="Arial"/>
        <family val="2"/>
      </rPr>
      <t>)</t>
    </r>
  </si>
  <si>
    <r>
      <t>Emissions associated with lime production (Mg CO</t>
    </r>
    <r>
      <rPr>
        <vertAlign val="subscript"/>
        <sz val="11"/>
        <color indexed="8"/>
        <rFont val="Arial"/>
        <family val="2"/>
      </rPr>
      <t>2</t>
    </r>
    <r>
      <rPr>
        <sz val="11"/>
        <color indexed="8"/>
        <rFont val="Arial"/>
        <family val="2"/>
      </rPr>
      <t xml:space="preserve"> eq/Mg lime)</t>
    </r>
  </si>
  <si>
    <r>
      <t>Fuel use for Class A stabilization (kg CO</t>
    </r>
    <r>
      <rPr>
        <sz val="11"/>
        <color indexed="8"/>
        <rFont val="Calibri"/>
        <family val="2"/>
      </rPr>
      <t>₂</t>
    </r>
    <r>
      <rPr>
        <sz val="11"/>
        <color indexed="8"/>
        <rFont val="Arial"/>
        <family val="2"/>
      </rPr>
      <t xml:space="preserve"> eq/Mg-dry biosolids)</t>
    </r>
  </si>
  <si>
    <t>Fuel - windrow (L/Mg feedstock- wet)</t>
  </si>
  <si>
    <t>Fuel - for grinding (L/Mg feedstock- wet)</t>
  </si>
  <si>
    <t>Fuel - Aerated Static Piles (ASP) (L/Mg feedstock- wet)</t>
  </si>
  <si>
    <t>Increase in  N₂O default emissions SNCR using urea catalyst</t>
  </si>
  <si>
    <t>% decrease in N₂O emissions for semi-dry solids content (24-87%)</t>
  </si>
  <si>
    <t>% decrease in N₂O emissions for dry solids content (&gt;87%)</t>
  </si>
  <si>
    <r>
      <t>kg-CO</t>
    </r>
    <r>
      <rPr>
        <vertAlign val="subscript"/>
        <sz val="11"/>
        <color indexed="8"/>
        <rFont val="Arial"/>
        <family val="2"/>
      </rPr>
      <t>2</t>
    </r>
    <r>
      <rPr>
        <sz val="11"/>
        <color indexed="8"/>
        <rFont val="Arial"/>
        <family val="2"/>
      </rPr>
      <t xml:space="preserve"> eq/Mg biosolids (dry wt.)</t>
    </r>
  </si>
  <si>
    <r>
      <t>Methane emissions from pyrolysis (g CH</t>
    </r>
    <r>
      <rPr>
        <sz val="11"/>
        <color indexed="8"/>
        <rFont val="Calibri"/>
        <family val="2"/>
      </rPr>
      <t>₄</t>
    </r>
    <r>
      <rPr>
        <sz val="11"/>
        <color indexed="8"/>
        <rFont val="Arial"/>
        <family val="2"/>
      </rPr>
      <t>/dry Mg solids pyrolysed)</t>
    </r>
  </si>
  <si>
    <r>
      <t>CH</t>
    </r>
    <r>
      <rPr>
        <vertAlign val="subscript"/>
        <sz val="14"/>
        <color rgb="FF000000"/>
        <rFont val="Calibri"/>
        <family val="2"/>
      </rPr>
      <t>₄</t>
    </r>
    <r>
      <rPr>
        <sz val="11"/>
        <color indexed="8"/>
        <rFont val="Arial"/>
        <family val="2"/>
      </rPr>
      <t xml:space="preserve"> emissions during storage of biosolids prior to land application (kg/m</t>
    </r>
    <r>
      <rPr>
        <vertAlign val="superscript"/>
        <sz val="11"/>
        <color indexed="8"/>
        <rFont val="Arial"/>
        <family val="2"/>
      </rPr>
      <t>3</t>
    </r>
    <r>
      <rPr>
        <sz val="11"/>
        <color indexed="8"/>
        <rFont val="Arial"/>
        <family val="2"/>
      </rPr>
      <t>-day)</t>
    </r>
  </si>
  <si>
    <r>
      <t>NO</t>
    </r>
    <r>
      <rPr>
        <vertAlign val="subscript"/>
        <sz val="14"/>
        <color rgb="FF000000"/>
        <rFont val="Agency FB"/>
        <family val="2"/>
      </rPr>
      <t>₂</t>
    </r>
    <r>
      <rPr>
        <sz val="11"/>
        <color indexed="8"/>
        <rFont val="Arial"/>
        <family val="2"/>
      </rPr>
      <t xml:space="preserve"> emissions during storage of biosolids prior to land application (kg/m</t>
    </r>
    <r>
      <rPr>
        <vertAlign val="superscript"/>
        <sz val="11"/>
        <color indexed="8"/>
        <rFont val="Arial"/>
        <family val="2"/>
      </rPr>
      <t>3</t>
    </r>
    <r>
      <rPr>
        <sz val="11"/>
        <color indexed="8"/>
        <rFont val="Arial"/>
        <family val="2"/>
      </rPr>
      <t>-day)</t>
    </r>
  </si>
  <si>
    <r>
      <t>Methane emissions from incineration (Mg CH</t>
    </r>
    <r>
      <rPr>
        <sz val="11"/>
        <color indexed="8"/>
        <rFont val="Calibri"/>
        <family val="2"/>
      </rPr>
      <t>₄</t>
    </r>
    <r>
      <rPr>
        <sz val="11"/>
        <color indexed="8"/>
        <rFont val="Arial"/>
        <family val="2"/>
      </rPr>
      <t>/dry Mg solids burned, assuming 20% solids)</t>
    </r>
  </si>
  <si>
    <r>
      <t>Default methane generation from anaerobic shallow lagoon - less than 2 m (kg CH</t>
    </r>
    <r>
      <rPr>
        <vertAlign val="subscript"/>
        <sz val="11"/>
        <color indexed="8"/>
        <rFont val="Arial"/>
        <family val="2"/>
      </rPr>
      <t>4</t>
    </r>
    <r>
      <rPr>
        <sz val="11"/>
        <color indexed="8"/>
        <rFont val="Arial"/>
        <family val="2"/>
      </rPr>
      <t>/kg BOD)</t>
    </r>
  </si>
  <si>
    <r>
      <t>Default methane generation from anaerobic deep lagoon - more than 2 m (kg CH</t>
    </r>
    <r>
      <rPr>
        <vertAlign val="subscript"/>
        <sz val="11"/>
        <color indexed="8"/>
        <rFont val="Arial"/>
        <family val="2"/>
      </rPr>
      <t>4</t>
    </r>
    <r>
      <rPr>
        <sz val="11"/>
        <color indexed="8"/>
        <rFont val="Arial"/>
        <family val="2"/>
      </rPr>
      <t>/kg BOD)</t>
    </r>
  </si>
  <si>
    <t>Mg CO₂ eq/cylinder</t>
  </si>
  <si>
    <r>
      <t>CO</t>
    </r>
    <r>
      <rPr>
        <vertAlign val="subscript"/>
        <sz val="11"/>
        <color indexed="8"/>
        <rFont val="Arial"/>
        <family val="2"/>
      </rPr>
      <t>2</t>
    </r>
    <r>
      <rPr>
        <sz val="11"/>
        <color indexed="8"/>
        <rFont val="Arial"/>
        <family val="2"/>
      </rPr>
      <t xml:space="preserve"> eq propane (Mg CO</t>
    </r>
    <r>
      <rPr>
        <vertAlign val="subscript"/>
        <sz val="11"/>
        <color indexed="8"/>
        <rFont val="Arial"/>
        <family val="2"/>
      </rPr>
      <t>2</t>
    </r>
    <r>
      <rPr>
        <sz val="11"/>
        <color indexed="8"/>
        <rFont val="Arial"/>
        <family val="2"/>
      </rPr>
      <t xml:space="preserve"> eq/kg)</t>
    </r>
  </si>
  <si>
    <r>
      <t>CO</t>
    </r>
    <r>
      <rPr>
        <vertAlign val="subscript"/>
        <sz val="11"/>
        <color indexed="8"/>
        <rFont val="Arial"/>
        <family val="2"/>
      </rPr>
      <t>2</t>
    </r>
    <r>
      <rPr>
        <sz val="11"/>
        <color indexed="8"/>
        <rFont val="Arial"/>
        <family val="2"/>
      </rPr>
      <t xml:space="preserve"> eq diesel (kg/gallon)</t>
    </r>
  </si>
  <si>
    <t>CO₂ (kg/gal)</t>
  </si>
  <si>
    <t>N₂O (g/mi)</t>
  </si>
  <si>
    <r>
      <t>CH</t>
    </r>
    <r>
      <rPr>
        <sz val="8"/>
        <color indexed="8"/>
        <rFont val="Calibri"/>
        <family val="2"/>
      </rPr>
      <t>₄</t>
    </r>
    <r>
      <rPr>
        <sz val="8"/>
        <color indexed="8"/>
        <rFont val="Arial"/>
        <family val="2"/>
      </rPr>
      <t xml:space="preserve"> (g/mi)</t>
    </r>
  </si>
  <si>
    <t>total CO₂ eq (kg/ton-mile)</t>
  </si>
  <si>
    <t>N₂O (CO₂ eq)</t>
  </si>
  <si>
    <t>CH₄ (CO₂ eq)</t>
  </si>
  <si>
    <t>Metric tons CO₂ eq/dry metric ton biomass</t>
  </si>
  <si>
    <t>Biomass quantity fed to digestors (m³/day)</t>
  </si>
  <si>
    <t>Average biomass volume in digestors any given day (m³)</t>
  </si>
  <si>
    <t>Biomass quantity (m³/day)</t>
  </si>
  <si>
    <r>
      <t>Heating requirements of the digestors, if any  (m</t>
    </r>
    <r>
      <rPr>
        <vertAlign val="superscript"/>
        <sz val="11"/>
        <color indexed="8"/>
        <rFont val="Arial"/>
        <family val="2"/>
      </rPr>
      <t>3</t>
    </r>
    <r>
      <rPr>
        <sz val="11"/>
        <color indexed="8"/>
        <rFont val="Arial"/>
        <family val="2"/>
      </rPr>
      <t xml:space="preserve"> natural gas/day)</t>
    </r>
  </si>
  <si>
    <r>
      <t>Fuel use (kg CO</t>
    </r>
    <r>
      <rPr>
        <sz val="11"/>
        <color indexed="8"/>
        <rFont val="Calibri"/>
        <family val="2"/>
      </rPr>
      <t>₂</t>
    </r>
    <r>
      <rPr>
        <sz val="11"/>
        <color indexed="8"/>
        <rFont val="Arial"/>
        <family val="2"/>
      </rPr>
      <t xml:space="preserve"> eq/day)</t>
    </r>
  </si>
  <si>
    <t>Volume of biomass going to composting (m³/day)</t>
  </si>
  <si>
    <t>Biomass density (kg/m³)</t>
  </si>
  <si>
    <t>K-decay rate</t>
  </si>
  <si>
    <t>Solids content after de-watering</t>
  </si>
  <si>
    <t>Biomass to digesters (Mg/day-wet)</t>
  </si>
  <si>
    <t>Biomass to digesters (Mg/day-dry)</t>
  </si>
  <si>
    <t>Heating requirements of the digesters  (m3 natural gas/day)</t>
  </si>
  <si>
    <t>Electricity requirements of the digesters (kWh/day)</t>
  </si>
  <si>
    <t>SSO to digesters (Mg/day-wet)</t>
  </si>
  <si>
    <t>SSO to digesters (Mg/day-dry)</t>
  </si>
  <si>
    <t>Default sludge retention time (SRT) for aerobic digesters (days)</t>
  </si>
  <si>
    <t>Heating requirements for digester (m3 natural gas/m3 sludge to digester)</t>
  </si>
  <si>
    <t>Default sludge retention time (SRT) for anaerobic digesters (days)</t>
  </si>
  <si>
    <t>pyrolyzed</t>
  </si>
  <si>
    <t>Facility</t>
  </si>
  <si>
    <t>Biomass characteristics</t>
  </si>
  <si>
    <r>
      <t>SSO to digesters (m</t>
    </r>
    <r>
      <rPr>
        <vertAlign val="superscript"/>
        <sz val="11"/>
        <rFont val="Arial"/>
        <family val="2"/>
      </rPr>
      <t>3</t>
    </r>
    <r>
      <rPr>
        <sz val="11"/>
        <rFont val="Arial"/>
        <family val="2"/>
      </rPr>
      <t>/day-wet)</t>
    </r>
  </si>
  <si>
    <t>Solids content of biomass (%)</t>
  </si>
  <si>
    <t>Biomass Characteristics Input</t>
  </si>
  <si>
    <t xml:space="preserve">Landfill climate zone (see Reference sheet cells A171:A175 for climate criteria) </t>
  </si>
  <si>
    <t>Biomass (e.g. sludge/solids) to digesters (m³/day-wet)</t>
  </si>
  <si>
    <t>Volume of biomass (e.g. sludge/solids) to unit process (m³/day)</t>
  </si>
  <si>
    <t>Biogas combusted for energy recovery (boilers, CHP, etc.); do not include RNG to pipeline (that is covered below) (%)</t>
  </si>
  <si>
    <t>% Biogas combusted for energy recovery (boilers, CHP, etc.); do not include RNG to pipeline (that is covered below) (%)</t>
  </si>
  <si>
    <t>% Combusted biogas generating heat (%)</t>
  </si>
  <si>
    <t>% Combusted biogas generating electricity generated at 100% efficiency (%)</t>
  </si>
  <si>
    <t>Quantity of biomass (e.g. solids/sludge) (Mg/day-wet)</t>
  </si>
  <si>
    <t>Quantity of biomass (e.g. sludge/solids) going to composting (Mg/day-wet)</t>
  </si>
  <si>
    <t>C:N (ratio)</t>
  </si>
  <si>
    <t>Are active composting piles covered AND is the air from them treated through a biofilter?</t>
  </si>
  <si>
    <t>Carbon sequestration as result of land application (Mg CO2/dry Mg biosolids)</t>
  </si>
  <si>
    <t>Has the biomass (e.g. sludge/solids) been digested prior to disposal?</t>
  </si>
  <si>
    <t>Total volatile solids (TVS) of solids going to landfill (%-dry weight)</t>
  </si>
  <si>
    <t>Organic carbon in solids going to landfill (%-dry weight)</t>
  </si>
  <si>
    <t>Quantity of solids/sludge going into incinerator(s) (Mg/day-wet)</t>
  </si>
  <si>
    <t>Solids content of solids/sludge going into incinerator(s) (%)</t>
  </si>
  <si>
    <t>Is solids/sludge digested prior to incineration?</t>
  </si>
  <si>
    <t>Total volatile solids (TVS) (%-dry weight)</t>
  </si>
  <si>
    <r>
      <t>Average high temperature in the combustion zone and freeboard area (</t>
    </r>
    <r>
      <rPr>
        <vertAlign val="superscript"/>
        <sz val="11"/>
        <color indexed="8"/>
        <rFont val="Arial"/>
        <family val="2"/>
      </rPr>
      <t>o</t>
    </r>
    <r>
      <rPr>
        <sz val="11"/>
        <color indexed="8"/>
        <rFont val="Arial"/>
        <family val="2"/>
      </rPr>
      <t>C)</t>
    </r>
  </si>
  <si>
    <t>Quantity of solids/sludge going to pyrolysis (Mg/day-wet)</t>
  </si>
  <si>
    <t xml:space="preserve">Solids content of solids/sludge going to pyrolysis (%)  </t>
  </si>
  <si>
    <t>Type of pyrolysis unit (mass reduction as a %)</t>
  </si>
  <si>
    <t>Quantity of treated biosolids going to land application (Mg/day-wet)</t>
  </si>
  <si>
    <t>Solids content of treated biosolids going to land application (%)</t>
  </si>
  <si>
    <r>
      <t>Density of treated biosolids (kg/m</t>
    </r>
    <r>
      <rPr>
        <vertAlign val="superscript"/>
        <sz val="11"/>
        <color indexed="8"/>
        <rFont val="Arial"/>
        <family val="2"/>
      </rPr>
      <t>3</t>
    </r>
    <r>
      <rPr>
        <sz val="11"/>
        <color indexed="8"/>
        <rFont val="Arial"/>
        <family val="2"/>
      </rPr>
      <t>)</t>
    </r>
  </si>
  <si>
    <t>Type of biosolids to be land applied</t>
  </si>
  <si>
    <t>Average number of days biosolids are stored prior to land application</t>
  </si>
  <si>
    <t>Is lime in biosolids derived from a waste product? (e.g. cement kiln dust)</t>
  </si>
  <si>
    <t>Will the lime in biosolids replace purchased lime where it is applied?</t>
  </si>
  <si>
    <r>
      <t>From biosolids applied to soil (Mg CO</t>
    </r>
    <r>
      <rPr>
        <b/>
        <vertAlign val="subscript"/>
        <sz val="11"/>
        <color indexed="8"/>
        <rFont val="Arial"/>
        <family val="2"/>
      </rPr>
      <t>2</t>
    </r>
    <r>
      <rPr>
        <b/>
        <sz val="11"/>
        <color indexed="8"/>
        <rFont val="Arial"/>
        <family val="2"/>
      </rPr>
      <t>/day)</t>
    </r>
  </si>
  <si>
    <t>Is lime in biosolids derived from a waste product (e.g. cement kiln dust)</t>
  </si>
  <si>
    <t>If local data is available, the Scientific Review Team recommends using the Van Keeck equation 32 in Apppendix A of the "White House" document (EPA Environmental Regulations and Technology: "Control of Pathogens and Vector Attraction in Sewage Sludge", 2003) for determining VSR</t>
  </si>
  <si>
    <t>Volatile Solids Reduction (VSR) guidance from Scientific Review Team (basd on Wilson, 2009, Muller et al., 2011 and Higgins, 2007)</t>
  </si>
  <si>
    <t>Powlson et al 2012 and rudimentary literature review by Dr. Sally Brown and Northern Tilth</t>
  </si>
  <si>
    <t>Recommended by Scientific Review Team for default VSR for aerobic digestion.  "U. S. EPA Part 503 regulation requires &gt;38% VSR for aerobic digestion to achieve Class B VAR standards, but most operating aerobic digesters do not achieve this much VSR (Wisconsin DNR, 2016 Biological Solids and Sludge - Handling, Processing, and Reuse Study Guide, Subclass C) . Instead, they rely on SOUR testing to document attaining Class B, if they wish to land apply the biosolids.</t>
  </si>
  <si>
    <t>Are active composting piles covered OR is the air from them treated through a biofilter?</t>
  </si>
  <si>
    <t>Average retention time (SRT) in digesters (days)</t>
  </si>
  <si>
    <t>% Volatile solids reduction during aerobic digestion</t>
  </si>
  <si>
    <t>Anaerobic Digestion (AD) (if applicable)</t>
  </si>
  <si>
    <t>Dewatering (if applicable)</t>
  </si>
  <si>
    <t>if digestion, then should be the volume fed to digester adjusted for any volume reduction during digestion</t>
  </si>
  <si>
    <t>Scientific Review Team recommendation.  If local data suggests a reduction in volume during digestion, use local data. If an AD system is decanting/supernating, enter the estimated local value for volume reduction.</t>
  </si>
  <si>
    <t xml:space="preserve">days is default recommendation of the Scientific Review Team. To meet PSRP (Class B) standards, U. S. EPA requires &gt;40 days @&gt;20 deg. C and &gt;60 days @&gt;15 deg. C.  Ontario design guidelines require 45 days SRT, but the 45 days includes the SRT achieved in the activated sludge system (i.e., if the SRT is 10 days for the aeration process, then only 35 days SRT is required for the aerobic digestion). </t>
  </si>
  <si>
    <t>number used in original BEAM calculations (CCME, 2011)</t>
  </si>
  <si>
    <t>The 95% confidence interval range for this default value is: 0.32 to 0.58 CH4/kg BOD removed (https://www.ipcc-nggip.iges.or.jp/EFDB/main.php)</t>
  </si>
  <si>
    <r>
      <t>Scientific Review Team recommendation. This was a change from the original BEAM 2.1 kg CO</t>
    </r>
    <r>
      <rPr>
        <sz val="10"/>
        <color indexed="18"/>
        <rFont val="Calibri"/>
        <family val="2"/>
      </rPr>
      <t>₂</t>
    </r>
    <r>
      <rPr>
        <sz val="10"/>
        <color indexed="18"/>
        <rFont val="Arial"/>
        <family val="2"/>
      </rPr>
      <t xml:space="preserve"> eq/kg polymer. The new value is based on an average of several sources: a) 2.2 kg CO</t>
    </r>
    <r>
      <rPr>
        <sz val="10"/>
        <color indexed="18"/>
        <rFont val="Calibri"/>
        <family val="2"/>
      </rPr>
      <t>₂</t>
    </r>
    <r>
      <rPr>
        <sz val="10"/>
        <color indexed="18"/>
        <rFont val="Arial"/>
        <family val="2"/>
      </rPr>
      <t xml:space="preserve"> eq/kg polymer in </t>
    </r>
  </si>
  <si>
    <t>Volatile Solids Reduction (VSR) - default values (%) from Scientific Review Team</t>
  </si>
  <si>
    <t>Default VSRs based on Wilson, 2009; Muller et al., 2011; Higgins, 2017. If local data are available, we recommend using Van Kleeck equation 32 in Appendix  of EPA, 2003 - the "White House" document.</t>
  </si>
  <si>
    <t>The 1% default factor is used by standard GHG accounting protocols, including IPCC and EPA (EPA, 2016, Evaluating the Air Quality, Climate &amp; Economic Impacts of Biogas Management Technologies, EPA 600/R-16/099, p. 7). Also: U. S. EPA, 2007, Inventory of Greehouse Gas Emissions and Sinks p. 8-8</t>
  </si>
  <si>
    <t>CHP engine conversion to heat (units of steam) additive with electricity conversion with CHP</t>
  </si>
  <si>
    <t>Default here is in the lower end of the range of 0.014 to 0.54 Mg CO2e/dry MG soil amendment in  lit. review by Villa &amp; Ryalls, 2021. The former value in BEAM v. 1.1. of 0.66 was from Powlson et al., 2012 &amp; 2019 lit. review by Northern Tilth. The level in this updated default value is suggested by a larger lit review due out in 2022: Badzmierowski, 2022.</t>
  </si>
  <si>
    <r>
      <t>SRT notes: One WRRF found the following equation fit their stack emissions data (compare this to Suzuki et al equation above: Pounds N</t>
    </r>
    <r>
      <rPr>
        <sz val="10"/>
        <color indexed="18"/>
        <rFont val="Calibri"/>
        <family val="2"/>
      </rPr>
      <t>₂</t>
    </r>
    <r>
      <rPr>
        <sz val="10"/>
        <color indexed="18"/>
        <rFont val="Arial"/>
        <family val="2"/>
      </rPr>
      <t>O per dry ton sludge = (-0.045T_freeboard) + 75.57).   IPCC EFDB includes measured data averaging 607 g N</t>
    </r>
    <r>
      <rPr>
        <sz val="10"/>
        <color indexed="18"/>
        <rFont val="Calibri"/>
        <family val="2"/>
      </rPr>
      <t>₂</t>
    </r>
    <r>
      <rPr>
        <sz val="10"/>
        <color indexed="18"/>
        <rFont val="Arial"/>
        <family val="2"/>
      </rPr>
      <t>O/MG wet sludge (2.757 kg/dry MG sludge).  The French GHG calculator model uses 1.64 kg/dry MG sludge (if temp. is not known).  Recent measurements at one SSI showed 1.4 kg N</t>
    </r>
    <r>
      <rPr>
        <sz val="10"/>
        <color indexed="18"/>
        <rFont val="Calibri"/>
        <family val="2"/>
      </rPr>
      <t>₂</t>
    </r>
    <r>
      <rPr>
        <sz val="10"/>
        <color indexed="18"/>
        <rFont val="Arial"/>
        <family val="2"/>
      </rPr>
      <t>O/dry MG sludge burned.</t>
    </r>
  </si>
  <si>
    <t>Scientific Review Team recommendation.  If an aerobic digestion system is decanting/supernating, enter the estimated local value for volume reduction.</t>
  </si>
  <si>
    <r>
      <t>Volumetric ratio of amendment to biomass (m</t>
    </r>
    <r>
      <rPr>
        <vertAlign val="superscript"/>
        <sz val="11"/>
        <color indexed="8"/>
        <rFont val="Arial"/>
        <family val="2"/>
      </rPr>
      <t>3</t>
    </r>
    <r>
      <rPr>
        <sz val="11"/>
        <color indexed="8"/>
        <rFont val="Arial"/>
        <family val="2"/>
      </rPr>
      <t xml:space="preserve"> amendment:m</t>
    </r>
    <r>
      <rPr>
        <vertAlign val="superscript"/>
        <sz val="11"/>
        <color indexed="8"/>
        <rFont val="Arial"/>
        <family val="2"/>
      </rPr>
      <t>3</t>
    </r>
    <r>
      <rPr>
        <sz val="11"/>
        <color indexed="8"/>
        <rFont val="Arial"/>
        <family val="2"/>
      </rPr>
      <t xml:space="preserve"> biomass, as is)</t>
    </r>
  </si>
  <si>
    <r>
      <t>Density of amendment (kg/m</t>
    </r>
    <r>
      <rPr>
        <vertAlign val="superscript"/>
        <sz val="11"/>
        <color indexed="8"/>
        <rFont val="Arial"/>
        <family val="2"/>
      </rPr>
      <t>3</t>
    </r>
    <r>
      <rPr>
        <sz val="11"/>
        <color indexed="8"/>
        <rFont val="Arial"/>
        <family val="2"/>
      </rPr>
      <t>)*</t>
    </r>
  </si>
  <si>
    <t>*Default is for density of sawdust.</t>
  </si>
  <si>
    <t>Pyrolysis_C</t>
  </si>
  <si>
    <t>Pyrolysis_LA</t>
  </si>
  <si>
    <t>Note: User must fill in Analyses and Pyrolysis sheets before this table will fill in.</t>
  </si>
  <si>
    <t>De-watered biomass II - does not feed into any unit processes; here for reference</t>
  </si>
  <si>
    <t>NOTE: This is intended for modeling when biosolids physical and nutrient qualities change within the scenarios modeled.  For instance, when biosolids are digested, % Organic Matter is reduced and nitrogen and phosphorus concentrations increase.  The values in this table, "De-watered biomass II", do not feed into cells in any of the unit processes, but this table can be used to input a second form of biomass to be used as a reference when filling in unit processes.</t>
  </si>
  <si>
    <t>BEAM*2022 - 9/20/2022</t>
  </si>
  <si>
    <t>x</t>
  </si>
  <si>
    <t>Emma Shen</t>
  </si>
  <si>
    <t>Co-digestion</t>
  </si>
  <si>
    <t>unknown</t>
  </si>
  <si>
    <t>Gresham WWTP</t>
  </si>
  <si>
    <t>FOG to landfill</t>
  </si>
  <si>
    <t>FOG diverted to Gresham WWTP for co-digestion, with additional biogas to boost CHP, and final Class B biosolids to farmland</t>
  </si>
  <si>
    <t>FOG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</si>
</sst>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_(* \(#,##0.00\);_(* &quot;-&quot;??_);_(@_)"/>
    <numFmt numFmtId="164" formatCode="0.000"/>
    <numFmt numFmtId="165" formatCode="0.0000"/>
    <numFmt numFmtId="166" formatCode="0.00000"/>
    <numFmt numFmtId="167" formatCode="0.0"/>
    <numFmt numFmtId="168" formatCode="0.0%"/>
    <numFmt numFmtId="169" formatCode="_(* #,##0.0_);_(* \(#,##0.0\);_(* &quot;-&quot;??_);_(@_)"/>
    <numFmt numFmtId="170" formatCode="_(* #,##0_);_(* \(#,##0\);_(* &quot;-&quot;??_);_(@_)"/>
    <numFmt numFmtId="171" formatCode="#,##0.0"/>
    <numFmt numFmtId="172" formatCode="#,##0.0000"/>
    <numFmt numFmtId="173" formatCode="0.000000"/>
    <numFmt numFmtId="174" formatCode="_(* #,##0.000_);_(* \(#,##0.000\);_(* &quot;-&quot;??_);_(@_)"/>
    <numFmt numFmtId="175" formatCode="#,##0.000"/>
    <numFmt numFmtId="176" formatCode="0.00000000"/>
    <numFmt numFmtId="177" formatCode="_(* #,##0.00000_);_(* \(#,##0.00000\);_(* &quot;-&quot;??_);_(@_)"/>
    <numFmt numFmtId="178" formatCode="_(* #,##0.0000_);_(* \(#,##0.0000\);_(* &quot;-&quot;??_);_(@_)"/>
  </numFmts>
  <fonts count="131" x14ac:knownFonts="1">
    <font>
      <sz val="11"/>
      <color theme="1"/>
      <name val="Calibri"/>
      <family val="2"/>
      <scheme val="minor"/>
    </font>
    <font>
      <sz val="11"/>
      <color indexed="8"/>
      <name val="Calibri"/>
      <family val="2"/>
    </font>
    <font>
      <sz val="11"/>
      <color indexed="8"/>
      <name val="Calibri"/>
      <family val="2"/>
    </font>
    <font>
      <sz val="12"/>
      <color indexed="8"/>
      <name val="Century Schoolbook"/>
      <family val="1"/>
    </font>
    <font>
      <u/>
      <sz val="11"/>
      <color indexed="12"/>
      <name val="Calibri"/>
      <family val="2"/>
    </font>
    <font>
      <b/>
      <sz val="12"/>
      <color indexed="8"/>
      <name val="Arial"/>
      <family val="2"/>
    </font>
    <font>
      <sz val="11"/>
      <color indexed="8"/>
      <name val="Arial"/>
      <family val="2"/>
    </font>
    <font>
      <b/>
      <sz val="11"/>
      <color indexed="8"/>
      <name val="Arial"/>
      <family val="2"/>
    </font>
    <font>
      <sz val="11"/>
      <color indexed="10"/>
      <name val="Arial"/>
      <family val="2"/>
    </font>
    <font>
      <sz val="11"/>
      <color indexed="53"/>
      <name val="Arial"/>
      <family val="2"/>
    </font>
    <font>
      <sz val="11"/>
      <color indexed="60"/>
      <name val="Arial"/>
      <family val="2"/>
    </font>
    <font>
      <sz val="11"/>
      <name val="Arial"/>
      <family val="2"/>
    </font>
    <font>
      <b/>
      <sz val="18"/>
      <color indexed="8"/>
      <name val="Arial"/>
      <family val="2"/>
    </font>
    <font>
      <b/>
      <sz val="14"/>
      <color indexed="8"/>
      <name val="Arial"/>
      <family val="2"/>
    </font>
    <font>
      <vertAlign val="superscript"/>
      <sz val="11"/>
      <color indexed="8"/>
      <name val="Arial"/>
      <family val="2"/>
    </font>
    <font>
      <vertAlign val="subscript"/>
      <sz val="11"/>
      <color indexed="8"/>
      <name val="Arial"/>
      <family val="2"/>
    </font>
    <font>
      <sz val="9"/>
      <color indexed="8"/>
      <name val="Arial"/>
      <family val="2"/>
    </font>
    <font>
      <b/>
      <sz val="16"/>
      <color indexed="19"/>
      <name val="Arial"/>
      <family val="2"/>
    </font>
    <font>
      <sz val="10"/>
      <color indexed="18"/>
      <name val="Arial"/>
      <family val="2"/>
    </font>
    <font>
      <vertAlign val="superscript"/>
      <sz val="11"/>
      <name val="Arial"/>
      <family val="2"/>
    </font>
    <font>
      <vertAlign val="subscript"/>
      <sz val="10"/>
      <color indexed="18"/>
      <name val="Arial"/>
      <family val="2"/>
    </font>
    <font>
      <b/>
      <i/>
      <sz val="12"/>
      <color indexed="8"/>
      <name val="Arial"/>
      <family val="2"/>
    </font>
    <font>
      <b/>
      <i/>
      <vertAlign val="subscript"/>
      <sz val="12"/>
      <color indexed="8"/>
      <name val="Arial"/>
      <family val="2"/>
    </font>
    <font>
      <sz val="11"/>
      <color indexed="8"/>
      <name val="Arial"/>
      <family val="2"/>
    </font>
    <font>
      <sz val="10"/>
      <color indexed="18"/>
      <name val="Arial"/>
      <family val="2"/>
    </font>
    <font>
      <sz val="11"/>
      <name val="Arial"/>
      <family val="2"/>
    </font>
    <font>
      <b/>
      <i/>
      <sz val="12"/>
      <color indexed="8"/>
      <name val="Arial"/>
      <family val="2"/>
    </font>
    <font>
      <sz val="11"/>
      <color indexed="10"/>
      <name val="Arial"/>
      <family val="2"/>
    </font>
    <font>
      <b/>
      <i/>
      <sz val="11"/>
      <color indexed="8"/>
      <name val="Arial"/>
      <family val="2"/>
    </font>
    <font>
      <sz val="10"/>
      <color indexed="61"/>
      <name val="Arial"/>
      <family val="2"/>
    </font>
    <font>
      <sz val="10"/>
      <color indexed="40"/>
      <name val="Arial"/>
      <family val="2"/>
    </font>
    <font>
      <sz val="11"/>
      <color indexed="40"/>
      <name val="Arial"/>
      <family val="2"/>
    </font>
    <font>
      <sz val="8"/>
      <color indexed="8"/>
      <name val="Arial"/>
      <family val="2"/>
    </font>
    <font>
      <sz val="11"/>
      <color indexed="8"/>
      <name val="Arial"/>
      <family val="2"/>
    </font>
    <font>
      <sz val="10"/>
      <color indexed="18"/>
      <name val="Arial"/>
      <family val="2"/>
    </font>
    <font>
      <b/>
      <sz val="16"/>
      <color indexed="19"/>
      <name val="Arial"/>
      <family val="2"/>
    </font>
    <font>
      <sz val="11"/>
      <color indexed="10"/>
      <name val="Arial"/>
      <family val="2"/>
    </font>
    <font>
      <sz val="11"/>
      <name val="Arial"/>
      <family val="2"/>
    </font>
    <font>
      <b/>
      <sz val="11"/>
      <color indexed="8"/>
      <name val="Arial"/>
      <family val="2"/>
    </font>
    <font>
      <b/>
      <sz val="14"/>
      <color indexed="8"/>
      <name val="Arial"/>
      <family val="2"/>
    </font>
    <font>
      <b/>
      <sz val="12"/>
      <color indexed="8"/>
      <name val="Arial"/>
      <family val="2"/>
    </font>
    <font>
      <sz val="11"/>
      <color indexed="8"/>
      <name val="Arial"/>
      <family val="2"/>
    </font>
    <font>
      <sz val="11"/>
      <color indexed="10"/>
      <name val="Arial"/>
      <family val="2"/>
    </font>
    <font>
      <sz val="8"/>
      <name val="Verdana"/>
      <family val="2"/>
    </font>
    <font>
      <sz val="8"/>
      <name val="Calibri"/>
      <family val="2"/>
    </font>
    <font>
      <sz val="11"/>
      <color indexed="10"/>
      <name val="Arial"/>
      <family val="2"/>
    </font>
    <font>
      <sz val="10"/>
      <color indexed="62"/>
      <name val="Arial"/>
      <family val="2"/>
    </font>
    <font>
      <b/>
      <vertAlign val="subscript"/>
      <sz val="11"/>
      <color indexed="8"/>
      <name val="Arial"/>
      <family val="2"/>
    </font>
    <font>
      <sz val="12"/>
      <color indexed="8"/>
      <name val="Arial"/>
      <family val="2"/>
    </font>
    <font>
      <vertAlign val="superscript"/>
      <sz val="10"/>
      <color indexed="18"/>
      <name val="Arial"/>
      <family val="2"/>
    </font>
    <font>
      <sz val="14"/>
      <name val="Arial"/>
      <family val="2"/>
    </font>
    <font>
      <sz val="14"/>
      <color indexed="8"/>
      <name val="Arial"/>
      <family val="2"/>
    </font>
    <font>
      <b/>
      <vertAlign val="subscript"/>
      <sz val="14"/>
      <color indexed="8"/>
      <name val="Arial"/>
      <family val="2"/>
    </font>
    <font>
      <sz val="11"/>
      <color indexed="8"/>
      <name val="Arial"/>
      <family val="2"/>
    </font>
    <font>
      <sz val="11"/>
      <color indexed="10"/>
      <name val="Arial"/>
      <family val="2"/>
    </font>
    <font>
      <b/>
      <sz val="11"/>
      <color indexed="10"/>
      <name val="Arial"/>
      <family val="2"/>
    </font>
    <font>
      <b/>
      <i/>
      <sz val="12"/>
      <color indexed="10"/>
      <name val="Arial"/>
      <family val="2"/>
    </font>
    <font>
      <b/>
      <sz val="11"/>
      <color indexed="10"/>
      <name val="Arial"/>
      <family val="2"/>
    </font>
    <font>
      <sz val="10"/>
      <color indexed="32"/>
      <name val="Arial"/>
      <family val="2"/>
    </font>
    <font>
      <u/>
      <sz val="11"/>
      <color indexed="18"/>
      <name val="Arial"/>
      <family val="2"/>
    </font>
    <font>
      <b/>
      <sz val="12"/>
      <color indexed="10"/>
      <name val="Arial"/>
      <family val="2"/>
    </font>
    <font>
      <b/>
      <sz val="12"/>
      <color indexed="52"/>
      <name val="Arial"/>
      <family val="2"/>
    </font>
    <font>
      <b/>
      <sz val="12"/>
      <color indexed="19"/>
      <name val="Arial"/>
      <family val="2"/>
    </font>
    <font>
      <b/>
      <sz val="16"/>
      <color indexed="8"/>
      <name val="Arial"/>
      <family val="2"/>
    </font>
    <font>
      <vertAlign val="subscript"/>
      <sz val="11"/>
      <color indexed="8"/>
      <name val="Agency FB"/>
      <family val="2"/>
    </font>
    <font>
      <b/>
      <sz val="11"/>
      <color indexed="8"/>
      <name val="Calibri"/>
      <family val="2"/>
    </font>
    <font>
      <sz val="11"/>
      <color indexed="9"/>
      <name val="Arial"/>
      <family val="2"/>
    </font>
    <font>
      <b/>
      <sz val="11"/>
      <color indexed="9"/>
      <name val="Arial"/>
      <family val="2"/>
    </font>
    <font>
      <sz val="10"/>
      <color indexed="18"/>
      <name val="Arial"/>
      <family val="2"/>
    </font>
    <font>
      <sz val="16"/>
      <color indexed="9"/>
      <name val="Arial"/>
      <family val="2"/>
    </font>
    <font>
      <sz val="11"/>
      <color indexed="18"/>
      <name val="Arial"/>
      <family val="2"/>
    </font>
    <font>
      <b/>
      <sz val="10"/>
      <color indexed="8"/>
      <name val="Arial"/>
      <family val="2"/>
    </font>
    <font>
      <sz val="12"/>
      <name val="Calibri"/>
      <family val="2"/>
    </font>
    <font>
      <b/>
      <sz val="12"/>
      <name val="Calibri"/>
      <family val="2"/>
    </font>
    <font>
      <i/>
      <sz val="11"/>
      <color indexed="8"/>
      <name val="Arial"/>
      <family val="2"/>
    </font>
    <font>
      <b/>
      <sz val="11"/>
      <name val="Arial"/>
      <family val="2"/>
    </font>
    <font>
      <sz val="8"/>
      <name val="Arial"/>
      <family val="2"/>
    </font>
    <font>
      <b/>
      <vertAlign val="subscript"/>
      <sz val="11"/>
      <name val="Arial"/>
      <family val="2"/>
    </font>
    <font>
      <sz val="11"/>
      <color theme="1"/>
      <name val="Calibri"/>
      <family val="2"/>
      <scheme val="minor"/>
    </font>
    <font>
      <b/>
      <sz val="11"/>
      <color theme="1"/>
      <name val="Calibri"/>
      <family val="2"/>
      <scheme val="minor"/>
    </font>
    <font>
      <sz val="11"/>
      <color rgb="FFFF0000"/>
      <name val="Calibri"/>
      <family val="2"/>
      <scheme val="minor"/>
    </font>
    <font>
      <sz val="12"/>
      <color theme="1"/>
      <name val="Calibri"/>
      <family val="2"/>
      <scheme val="minor"/>
    </font>
    <font>
      <sz val="11"/>
      <color theme="1"/>
      <name val="Arial"/>
      <family val="2"/>
    </font>
    <font>
      <b/>
      <sz val="18"/>
      <color theme="9" tint="-0.249977111117893"/>
      <name val="Arial"/>
      <family val="2"/>
    </font>
    <font>
      <b/>
      <sz val="12"/>
      <color theme="1"/>
      <name val="Calibri"/>
      <family val="2"/>
      <scheme val="minor"/>
    </font>
    <font>
      <sz val="11"/>
      <color theme="6" tint="-0.249977111117893"/>
      <name val="Calibri"/>
      <family val="2"/>
      <scheme val="minor"/>
    </font>
    <font>
      <b/>
      <i/>
      <sz val="12"/>
      <color theme="1"/>
      <name val="Calibri"/>
      <family val="2"/>
      <scheme val="minor"/>
    </font>
    <font>
      <sz val="14"/>
      <color theme="1"/>
      <name val="Calibri"/>
      <family val="2"/>
      <scheme val="minor"/>
    </font>
    <font>
      <b/>
      <sz val="14"/>
      <color theme="4"/>
      <name val="Calibri"/>
      <family val="2"/>
      <scheme val="minor"/>
    </font>
    <font>
      <b/>
      <sz val="12"/>
      <color theme="2" tint="-0.749992370372631"/>
      <name val="Arial"/>
      <family val="2"/>
    </font>
    <font>
      <b/>
      <sz val="14"/>
      <color theme="1"/>
      <name val="Calibri"/>
      <family val="2"/>
      <scheme val="minor"/>
    </font>
    <font>
      <b/>
      <sz val="16"/>
      <color theme="1"/>
      <name val="Calibri"/>
      <family val="2"/>
      <scheme val="minor"/>
    </font>
    <font>
      <sz val="11"/>
      <color theme="0"/>
      <name val="Arial"/>
      <family val="2"/>
    </font>
    <font>
      <sz val="11"/>
      <name val="Calibri"/>
      <family val="2"/>
      <scheme val="minor"/>
    </font>
    <font>
      <b/>
      <i/>
      <sz val="11"/>
      <color theme="1"/>
      <name val="Calibri"/>
      <family val="2"/>
      <scheme val="minor"/>
    </font>
    <font>
      <b/>
      <sz val="11"/>
      <color theme="1"/>
      <name val="Arial"/>
      <family val="2"/>
    </font>
    <font>
      <b/>
      <sz val="11"/>
      <name val="Calibri"/>
      <family val="2"/>
      <scheme val="minor"/>
    </font>
    <font>
      <sz val="11"/>
      <color indexed="8"/>
      <name val="Calibri"/>
      <family val="2"/>
      <scheme val="minor"/>
    </font>
    <font>
      <b/>
      <sz val="11"/>
      <color indexed="8"/>
      <name val="Calibri"/>
      <family val="2"/>
      <scheme val="minor"/>
    </font>
    <font>
      <sz val="11"/>
      <color indexed="9"/>
      <name val="Calibri"/>
      <family val="2"/>
      <scheme val="minor"/>
    </font>
    <font>
      <b/>
      <sz val="14"/>
      <color indexed="9"/>
      <name val="Calibri"/>
      <family val="2"/>
      <scheme val="minor"/>
    </font>
    <font>
      <b/>
      <vertAlign val="subscript"/>
      <sz val="12"/>
      <color indexed="8"/>
      <name val="Arial"/>
      <family val="2"/>
    </font>
    <font>
      <b/>
      <vertAlign val="subscript"/>
      <sz val="16"/>
      <color indexed="8"/>
      <name val="Arial"/>
      <family val="2"/>
    </font>
    <font>
      <sz val="11"/>
      <color theme="0"/>
      <name val="Calibri"/>
      <family val="2"/>
      <scheme val="minor"/>
    </font>
    <font>
      <sz val="12"/>
      <color theme="0"/>
      <name val="Calibri"/>
      <family val="2"/>
    </font>
    <font>
      <sz val="8"/>
      <color theme="1"/>
      <name val="Calibri"/>
      <family val="2"/>
      <scheme val="minor"/>
    </font>
    <font>
      <vertAlign val="subscript"/>
      <sz val="8"/>
      <color theme="1"/>
      <name val="Calibri"/>
      <family val="2"/>
      <scheme val="minor"/>
    </font>
    <font>
      <i/>
      <sz val="11"/>
      <color theme="1"/>
      <name val="Calibri"/>
      <family val="2"/>
      <scheme val="minor"/>
    </font>
    <font>
      <sz val="10"/>
      <color indexed="8"/>
      <name val="Arial"/>
      <family val="2"/>
    </font>
    <font>
      <b/>
      <sz val="15"/>
      <color theme="3"/>
      <name val="Calibri"/>
      <family val="2"/>
      <scheme val="minor"/>
    </font>
    <font>
      <vertAlign val="superscript"/>
      <sz val="11"/>
      <color indexed="8"/>
      <name val="Calibri"/>
      <family val="2"/>
      <scheme val="minor"/>
    </font>
    <font>
      <sz val="12"/>
      <color theme="1"/>
      <name val="Arial"/>
      <family val="2"/>
    </font>
    <font>
      <sz val="11"/>
      <color rgb="FF0070C0"/>
      <name val="Arial"/>
      <family val="2"/>
    </font>
    <font>
      <b/>
      <sz val="11"/>
      <color rgb="FF000000"/>
      <name val="Calibri"/>
      <family val="2"/>
    </font>
    <font>
      <b/>
      <sz val="11"/>
      <name val="Calibri"/>
      <family val="2"/>
    </font>
    <font>
      <b/>
      <sz val="18"/>
      <name val="Arial"/>
      <family val="2"/>
    </font>
    <font>
      <sz val="9"/>
      <color indexed="18"/>
      <name val="Arial"/>
      <family val="2"/>
    </font>
    <font>
      <b/>
      <i/>
      <sz val="10"/>
      <color indexed="8"/>
      <name val="Arial"/>
      <family val="2"/>
    </font>
    <font>
      <vertAlign val="subscript"/>
      <sz val="8"/>
      <name val="Arial"/>
      <family val="2"/>
    </font>
    <font>
      <b/>
      <i/>
      <vertAlign val="subscript"/>
      <sz val="11"/>
      <color indexed="8"/>
      <name val="Arial"/>
      <family val="2"/>
    </font>
    <font>
      <sz val="9"/>
      <color indexed="9"/>
      <name val="Arial"/>
      <family val="2"/>
    </font>
    <font>
      <b/>
      <sz val="10"/>
      <color indexed="18"/>
      <name val="Arial"/>
      <family val="2"/>
    </font>
    <font>
      <sz val="11"/>
      <color rgb="FF000000"/>
      <name val="Arial"/>
      <family val="2"/>
    </font>
    <font>
      <sz val="12"/>
      <color rgb="FF000000"/>
      <name val="Arial"/>
      <family val="2"/>
    </font>
    <font>
      <vertAlign val="subscript"/>
      <sz val="14"/>
      <color rgb="FF000000"/>
      <name val="Calibri"/>
      <family val="2"/>
    </font>
    <font>
      <vertAlign val="subscript"/>
      <sz val="14"/>
      <color rgb="FF000000"/>
      <name val="Agency FB"/>
      <family val="2"/>
    </font>
    <font>
      <sz val="8"/>
      <color indexed="8"/>
      <name val="Calibri"/>
      <family val="2"/>
    </font>
    <font>
      <sz val="8.5"/>
      <color indexed="8"/>
      <name val="Arial"/>
      <family val="2"/>
    </font>
    <font>
      <sz val="10"/>
      <color indexed="18"/>
      <name val="Calibri"/>
      <family val="2"/>
    </font>
    <font>
      <sz val="9"/>
      <name val="Calibri"/>
      <family val="2"/>
      <scheme val="minor"/>
    </font>
    <font>
      <b/>
      <i/>
      <sz val="10"/>
      <color theme="1"/>
      <name val="Calibri"/>
      <family val="2"/>
      <scheme val="minor"/>
    </font>
  </fonts>
  <fills count="21">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49"/>
        <bgColor indexed="64"/>
      </patternFill>
    </fill>
    <fill>
      <patternFill patternType="solid">
        <fgColor indexed="19"/>
        <bgColor indexed="64"/>
      </patternFill>
    </fill>
    <fill>
      <patternFill patternType="solid">
        <fgColor indexed="5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808000"/>
        <bgColor indexed="64"/>
      </patternFill>
    </fill>
    <fill>
      <patternFill patternType="solid">
        <fgColor rgb="FFFFFF99"/>
        <bgColor indexed="64"/>
      </patternFill>
    </fill>
    <fill>
      <patternFill patternType="solid">
        <fgColor theme="4" tint="0.79998168889431442"/>
        <bgColor indexed="65"/>
      </patternFill>
    </fill>
    <fill>
      <patternFill patternType="solid">
        <fgColor rgb="FFFF660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bottom style="thick">
        <color theme="4"/>
      </bottom>
      <diagonal/>
    </border>
    <border>
      <left/>
      <right style="medium">
        <color indexed="64"/>
      </right>
      <top/>
      <bottom style="thin">
        <color indexed="64"/>
      </bottom>
      <diagonal/>
    </border>
  </borders>
  <cellStyleXfs count="8">
    <xf numFmtId="0" fontId="0" fillId="0" borderId="0"/>
    <xf numFmtId="43" fontId="2" fillId="0" borderId="0" applyFont="0" applyFill="0" applyBorder="0" applyAlignment="0" applyProtection="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9" fontId="2" fillId="0" borderId="0" applyFont="0" applyFill="0" applyBorder="0" applyAlignment="0" applyProtection="0"/>
    <xf numFmtId="9" fontId="1" fillId="0" borderId="0" applyFont="0" applyFill="0" applyBorder="0" applyAlignment="0" applyProtection="0"/>
    <xf numFmtId="0" fontId="109" fillId="0" borderId="78" applyNumberFormat="0" applyFill="0" applyAlignment="0" applyProtection="0"/>
    <xf numFmtId="0" fontId="78" fillId="19" borderId="0" applyNumberFormat="0" applyBorder="0" applyAlignment="0" applyProtection="0"/>
  </cellStyleXfs>
  <cellXfs count="1422">
    <xf numFmtId="0" fontId="0" fillId="0" borderId="0" xfId="0"/>
    <xf numFmtId="0" fontId="59" fillId="0" borderId="0" xfId="3" applyFont="1" applyAlignment="1" applyProtection="1"/>
    <xf numFmtId="0" fontId="67" fillId="5" borderId="15" xfId="0" applyFont="1" applyFill="1" applyBorder="1" applyAlignment="1" applyProtection="1">
      <alignment horizontal="center"/>
      <protection locked="0"/>
    </xf>
    <xf numFmtId="0" fontId="67" fillId="5" borderId="14" xfId="0" applyFont="1" applyFill="1" applyBorder="1" applyAlignment="1" applyProtection="1">
      <alignment horizontal="center"/>
      <protection locked="0"/>
    </xf>
    <xf numFmtId="0" fontId="67" fillId="5" borderId="5" xfId="0" applyFont="1" applyFill="1" applyBorder="1" applyAlignment="1" applyProtection="1">
      <alignment horizontal="center"/>
      <protection locked="0"/>
    </xf>
    <xf numFmtId="3" fontId="66" fillId="5" borderId="1" xfId="0" applyNumberFormat="1" applyFont="1" applyFill="1" applyBorder="1" applyAlignment="1" applyProtection="1">
      <alignment horizontal="center" vertical="center" wrapText="1"/>
      <protection locked="0"/>
    </xf>
    <xf numFmtId="0" fontId="66" fillId="5" borderId="1" xfId="0" applyFont="1" applyFill="1" applyBorder="1" applyAlignment="1" applyProtection="1">
      <alignment horizontal="center" vertical="center" wrapText="1"/>
      <protection locked="0"/>
    </xf>
    <xf numFmtId="0" fontId="4" fillId="0" borderId="0" xfId="3" applyAlignment="1" applyProtection="1"/>
    <xf numFmtId="3" fontId="66" fillId="5" borderId="4" xfId="0" applyNumberFormat="1" applyFont="1" applyFill="1" applyBorder="1" applyAlignment="1" applyProtection="1">
      <alignment horizontal="center"/>
      <protection locked="0"/>
    </xf>
    <xf numFmtId="168" fontId="66" fillId="5" borderId="4" xfId="5" applyNumberFormat="1" applyFont="1" applyFill="1" applyBorder="1" applyAlignment="1" applyProtection="1">
      <alignment horizontal="center"/>
      <protection locked="0"/>
    </xf>
    <xf numFmtId="3" fontId="66" fillId="5" borderId="4" xfId="4" applyNumberFormat="1" applyFont="1" applyFill="1" applyBorder="1" applyAlignment="1" applyProtection="1">
      <alignment horizontal="center"/>
      <protection locked="0"/>
    </xf>
    <xf numFmtId="1" fontId="66" fillId="5" borderId="4" xfId="0" applyNumberFormat="1" applyFont="1" applyFill="1" applyBorder="1" applyAlignment="1" applyProtection="1">
      <alignment horizontal="center"/>
      <protection locked="0"/>
    </xf>
    <xf numFmtId="9" fontId="66" fillId="5" borderId="4" xfId="5" applyFont="1" applyFill="1" applyBorder="1" applyAlignment="1" applyProtection="1">
      <alignment horizontal="center"/>
      <protection locked="0"/>
    </xf>
    <xf numFmtId="0" fontId="66" fillId="5" borderId="4" xfId="0" applyFont="1" applyFill="1" applyBorder="1" applyAlignment="1" applyProtection="1">
      <alignment horizontal="center"/>
      <protection locked="0"/>
    </xf>
    <xf numFmtId="3" fontId="66" fillId="5" borderId="7" xfId="0" applyNumberFormat="1" applyFont="1" applyFill="1" applyBorder="1" applyAlignment="1" applyProtection="1">
      <alignment horizontal="center"/>
      <protection locked="0"/>
    </xf>
    <xf numFmtId="3" fontId="66" fillId="5" borderId="27" xfId="0" applyNumberFormat="1" applyFont="1" applyFill="1" applyBorder="1" applyAlignment="1" applyProtection="1">
      <alignment horizontal="center"/>
      <protection locked="0"/>
    </xf>
    <xf numFmtId="3" fontId="66" fillId="5" borderId="31" xfId="0" applyNumberFormat="1" applyFont="1" applyFill="1" applyBorder="1" applyAlignment="1" applyProtection="1">
      <alignment horizontal="center"/>
      <protection locked="0"/>
    </xf>
    <xf numFmtId="0" fontId="66" fillId="5" borderId="7" xfId="0" applyFont="1" applyFill="1" applyBorder="1" applyAlignment="1" applyProtection="1">
      <alignment horizontal="center"/>
      <protection locked="0"/>
    </xf>
    <xf numFmtId="167" fontId="66" fillId="5" borderId="4" xfId="0" applyNumberFormat="1" applyFont="1" applyFill="1" applyBorder="1" applyAlignment="1" applyProtection="1">
      <alignment horizontal="center"/>
      <protection locked="0"/>
    </xf>
    <xf numFmtId="9" fontId="66" fillId="5" borderId="27" xfId="5" applyFont="1" applyFill="1" applyBorder="1" applyAlignment="1" applyProtection="1">
      <alignment horizontal="center"/>
      <protection locked="0"/>
    </xf>
    <xf numFmtId="3" fontId="66" fillId="5" borderId="34" xfId="0" applyNumberFormat="1" applyFont="1" applyFill="1" applyBorder="1" applyAlignment="1" applyProtection="1">
      <alignment horizontal="center"/>
      <protection locked="0"/>
    </xf>
    <xf numFmtId="171" fontId="66" fillId="5" borderId="4" xfId="0" applyNumberFormat="1" applyFont="1" applyFill="1" applyBorder="1" applyAlignment="1" applyProtection="1">
      <alignment horizontal="center"/>
      <protection locked="0"/>
    </xf>
    <xf numFmtId="1" fontId="92" fillId="5" borderId="4" xfId="0" applyNumberFormat="1" applyFont="1" applyFill="1" applyBorder="1" applyAlignment="1" applyProtection="1">
      <alignment horizontal="center"/>
      <protection locked="0"/>
    </xf>
    <xf numFmtId="9" fontId="66" fillId="5" borderId="7" xfId="4" applyFont="1" applyFill="1" applyBorder="1" applyAlignment="1" applyProtection="1">
      <alignment horizontal="center"/>
      <protection locked="0"/>
    </xf>
    <xf numFmtId="3" fontId="11" fillId="15" borderId="7" xfId="0" applyNumberFormat="1" applyFont="1" applyFill="1" applyBorder="1" applyAlignment="1" applyProtection="1">
      <alignment horizontal="center"/>
      <protection locked="0"/>
    </xf>
    <xf numFmtId="3" fontId="11" fillId="15" borderId="4" xfId="0" applyNumberFormat="1" applyFont="1" applyFill="1" applyBorder="1" applyAlignment="1" applyProtection="1">
      <alignment horizontal="center"/>
      <protection locked="0"/>
    </xf>
    <xf numFmtId="3" fontId="11" fillId="15" borderId="27" xfId="0" applyNumberFormat="1" applyFont="1" applyFill="1" applyBorder="1" applyAlignment="1" applyProtection="1">
      <alignment horizontal="center"/>
      <protection locked="0"/>
    </xf>
    <xf numFmtId="0" fontId="99" fillId="5" borderId="4" xfId="0" applyFont="1" applyFill="1" applyBorder="1" applyAlignment="1" applyProtection="1">
      <alignment horizontal="center" vertical="center" wrapText="1"/>
      <protection locked="0"/>
    </xf>
    <xf numFmtId="0" fontId="99" fillId="5" borderId="1" xfId="0" applyFont="1" applyFill="1" applyBorder="1" applyAlignment="1" applyProtection="1">
      <alignment horizontal="center" vertical="center" wrapText="1"/>
      <protection locked="0"/>
    </xf>
    <xf numFmtId="0" fontId="99" fillId="5" borderId="14" xfId="0" applyFont="1" applyFill="1" applyBorder="1" applyAlignment="1" applyProtection="1">
      <alignment horizontal="center" vertical="center" wrapText="1"/>
      <protection locked="0"/>
    </xf>
    <xf numFmtId="0" fontId="99" fillId="5" borderId="53" xfId="0" applyFont="1" applyFill="1" applyBorder="1" applyAlignment="1" applyProtection="1">
      <alignment horizontal="center" vertical="center" wrapText="1"/>
      <protection locked="0"/>
    </xf>
    <xf numFmtId="0" fontId="99" fillId="5" borderId="18" xfId="0" applyFont="1" applyFill="1" applyBorder="1" applyAlignment="1" applyProtection="1">
      <alignment horizontal="center" vertical="center" wrapText="1"/>
      <protection locked="0"/>
    </xf>
    <xf numFmtId="3" fontId="99" fillId="5" borderId="53" xfId="0" applyNumberFormat="1" applyFont="1" applyFill="1" applyBorder="1" applyAlignment="1" applyProtection="1">
      <alignment horizontal="center" vertical="center" wrapText="1"/>
      <protection locked="0"/>
    </xf>
    <xf numFmtId="0" fontId="99" fillId="5" borderId="20" xfId="0" applyFont="1" applyFill="1" applyBorder="1" applyAlignment="1" applyProtection="1">
      <alignment horizontal="center" vertical="center" wrapText="1"/>
      <protection locked="0"/>
    </xf>
    <xf numFmtId="0" fontId="99" fillId="5" borderId="57" xfId="0" applyFont="1" applyFill="1" applyBorder="1" applyAlignment="1" applyProtection="1">
      <alignment horizontal="center" vertical="center" wrapText="1"/>
      <protection locked="0"/>
    </xf>
    <xf numFmtId="3" fontId="99" fillId="5" borderId="57" xfId="0" applyNumberFormat="1" applyFont="1" applyFill="1" applyBorder="1" applyAlignment="1" applyProtection="1">
      <alignment horizontal="center" vertical="center" wrapText="1"/>
      <protection locked="0"/>
    </xf>
    <xf numFmtId="1" fontId="99" fillId="5" borderId="53" xfId="0" applyNumberFormat="1" applyFont="1" applyFill="1" applyBorder="1" applyAlignment="1" applyProtection="1">
      <alignment horizontal="center" vertical="center" wrapText="1"/>
      <protection locked="0"/>
    </xf>
    <xf numFmtId="1" fontId="99" fillId="5" borderId="4" xfId="0" applyNumberFormat="1" applyFont="1" applyFill="1" applyBorder="1" applyAlignment="1" applyProtection="1">
      <alignment horizontal="center" vertical="center" wrapText="1"/>
      <protection locked="0"/>
    </xf>
    <xf numFmtId="0" fontId="99" fillId="5" borderId="4" xfId="0" applyFont="1" applyFill="1" applyBorder="1" applyAlignment="1" applyProtection="1">
      <alignment horizontal="left" vertical="center" wrapText="1"/>
      <protection locked="0"/>
    </xf>
    <xf numFmtId="0" fontId="100" fillId="5" borderId="31" xfId="0" applyFont="1" applyFill="1" applyBorder="1" applyAlignment="1" applyProtection="1">
      <alignment horizontal="center" wrapText="1"/>
      <protection locked="0"/>
    </xf>
    <xf numFmtId="168" fontId="11" fillId="15" borderId="4" xfId="4" applyNumberFormat="1" applyFont="1" applyFill="1" applyBorder="1" applyAlignment="1" applyProtection="1">
      <alignment horizontal="center"/>
      <protection locked="0"/>
    </xf>
    <xf numFmtId="9" fontId="66" fillId="5" borderId="7" xfId="5" applyFont="1" applyFill="1" applyBorder="1" applyAlignment="1" applyProtection="1">
      <alignment horizontal="center"/>
      <protection locked="0"/>
    </xf>
    <xf numFmtId="1" fontId="66" fillId="5" borderId="27" xfId="0" applyNumberFormat="1" applyFont="1" applyFill="1" applyBorder="1" applyAlignment="1" applyProtection="1">
      <alignment horizontal="center"/>
      <protection locked="0"/>
    </xf>
    <xf numFmtId="0" fontId="67" fillId="5" borderId="2" xfId="0" applyFont="1" applyFill="1" applyBorder="1" applyAlignment="1" applyProtection="1">
      <alignment horizontal="left"/>
      <protection locked="0"/>
    </xf>
    <xf numFmtId="9" fontId="67" fillId="5" borderId="1" xfId="4" applyFont="1" applyFill="1" applyBorder="1" applyAlignment="1" applyProtection="1">
      <alignment horizontal="center"/>
      <protection locked="0"/>
    </xf>
    <xf numFmtId="0" fontId="13" fillId="0" borderId="8" xfId="0" applyFont="1" applyBorder="1" applyAlignment="1">
      <alignment horizontal="center" vertical="center"/>
    </xf>
    <xf numFmtId="0" fontId="41" fillId="0" borderId="4" xfId="0" applyFont="1" applyBorder="1" applyAlignment="1">
      <alignment horizontal="right"/>
    </xf>
    <xf numFmtId="0" fontId="41" fillId="0" borderId="10" xfId="0" applyFont="1" applyBorder="1" applyAlignment="1">
      <alignment horizontal="right"/>
    </xf>
    <xf numFmtId="0" fontId="5" fillId="0" borderId="11" xfId="0" applyFont="1" applyBorder="1" applyAlignment="1">
      <alignment horizontal="center" vertical="center" wrapText="1"/>
    </xf>
    <xf numFmtId="170" fontId="93" fillId="15" borderId="14" xfId="1" applyNumberFormat="1" applyFont="1" applyFill="1" applyBorder="1" applyProtection="1">
      <protection locked="0"/>
    </xf>
    <xf numFmtId="170" fontId="93" fillId="15" borderId="1" xfId="1" applyNumberFormat="1" applyFont="1" applyFill="1" applyBorder="1" applyProtection="1">
      <protection locked="0"/>
    </xf>
    <xf numFmtId="170" fontId="93" fillId="15" borderId="28" xfId="1" applyNumberFormat="1" applyFont="1" applyFill="1" applyBorder="1" applyProtection="1">
      <protection locked="0"/>
    </xf>
    <xf numFmtId="0" fontId="93" fillId="0" borderId="31" xfId="0" applyFont="1" applyBorder="1" applyAlignment="1">
      <alignment horizontal="center" wrapText="1"/>
    </xf>
    <xf numFmtId="0" fontId="0" fillId="0" borderId="31" xfId="0" applyBorder="1"/>
    <xf numFmtId="0" fontId="93" fillId="0" borderId="53" xfId="0" applyFont="1" applyBorder="1"/>
    <xf numFmtId="170" fontId="93" fillId="0" borderId="28" xfId="1" applyNumberFormat="1" applyFont="1" applyFill="1" applyBorder="1" applyProtection="1"/>
    <xf numFmtId="0" fontId="93" fillId="0" borderId="1" xfId="0" applyFont="1" applyBorder="1"/>
    <xf numFmtId="0" fontId="93" fillId="0" borderId="27" xfId="0" applyFont="1" applyBorder="1" applyAlignment="1">
      <alignment horizontal="center" wrapText="1"/>
    </xf>
    <xf numFmtId="0" fontId="93" fillId="0" borderId="4" xfId="0" applyFont="1" applyBorder="1"/>
    <xf numFmtId="0" fontId="93" fillId="0" borderId="10" xfId="0" applyFont="1" applyBorder="1"/>
    <xf numFmtId="3" fontId="97" fillId="0" borderId="14" xfId="0" applyNumberFormat="1" applyFont="1" applyBorder="1" applyAlignment="1">
      <alignment horizontal="center"/>
    </xf>
    <xf numFmtId="3" fontId="97" fillId="0" borderId="4" xfId="0" applyNumberFormat="1" applyFont="1" applyBorder="1" applyAlignment="1">
      <alignment horizontal="center"/>
    </xf>
    <xf numFmtId="1" fontId="97" fillId="0" borderId="14" xfId="0" applyNumberFormat="1" applyFont="1" applyBorder="1" applyAlignment="1">
      <alignment horizontal="center"/>
    </xf>
    <xf numFmtId="0" fontId="97" fillId="0" borderId="4" xfId="0" applyFont="1" applyBorder="1" applyAlignment="1">
      <alignment horizontal="center"/>
    </xf>
    <xf numFmtId="1" fontId="97" fillId="0" borderId="5" xfId="0" applyNumberFormat="1" applyFont="1" applyBorder="1" applyAlignment="1">
      <alignment horizontal="center"/>
    </xf>
    <xf numFmtId="0" fontId="97" fillId="0" borderId="44" xfId="0" applyFont="1" applyBorder="1" applyAlignment="1">
      <alignment horizontal="center"/>
    </xf>
    <xf numFmtId="1" fontId="97" fillId="0" borderId="45" xfId="0" applyNumberFormat="1" applyFont="1" applyBorder="1" applyAlignment="1">
      <alignment horizontal="center"/>
    </xf>
    <xf numFmtId="0" fontId="6" fillId="0" borderId="7" xfId="0" applyFont="1" applyBorder="1" applyAlignment="1">
      <alignment horizontal="right"/>
    </xf>
    <xf numFmtId="0" fontId="0" fillId="0" borderId="8" xfId="0" applyBorder="1" applyAlignment="1">
      <alignment horizontal="right"/>
    </xf>
    <xf numFmtId="0" fontId="0" fillId="0" borderId="11" xfId="0" applyBorder="1"/>
    <xf numFmtId="0" fontId="67" fillId="5" borderId="2" xfId="0" applyFont="1" applyFill="1" applyBorder="1" applyAlignment="1">
      <alignment horizontal="left"/>
    </xf>
    <xf numFmtId="0" fontId="67" fillId="5" borderId="53" xfId="0" applyFont="1" applyFill="1" applyBorder="1" applyAlignment="1">
      <alignment horizontal="left"/>
    </xf>
    <xf numFmtId="0" fontId="0" fillId="0" borderId="40" xfId="0" applyBorder="1"/>
    <xf numFmtId="0" fontId="0" fillId="0" borderId="41" xfId="0" applyBorder="1"/>
    <xf numFmtId="0" fontId="0" fillId="0" borderId="16" xfId="0" applyBorder="1"/>
    <xf numFmtId="0" fontId="0" fillId="0" borderId="26" xfId="0" applyBorder="1"/>
    <xf numFmtId="0" fontId="80" fillId="0" borderId="0" xfId="0" applyFont="1"/>
    <xf numFmtId="0" fontId="85" fillId="0" borderId="0" xfId="0" applyFont="1"/>
    <xf numFmtId="0" fontId="88" fillId="0" borderId="0" xfId="0" applyFont="1"/>
    <xf numFmtId="0" fontId="5" fillId="0" borderId="6" xfId="0" applyFont="1" applyBorder="1" applyAlignment="1">
      <alignment horizontal="center" vertical="center" wrapText="1"/>
    </xf>
    <xf numFmtId="0" fontId="60" fillId="0" borderId="8" xfId="0" applyFont="1" applyBorder="1" applyAlignment="1">
      <alignment horizontal="center" vertical="center"/>
    </xf>
    <xf numFmtId="0" fontId="61" fillId="0" borderId="9" xfId="0" applyFont="1" applyBorder="1" applyAlignment="1">
      <alignment horizontal="center" vertical="center"/>
    </xf>
    <xf numFmtId="0" fontId="62" fillId="0" borderId="9" xfId="0" applyFont="1" applyBorder="1" applyAlignment="1">
      <alignment horizontal="center" vertical="center"/>
    </xf>
    <xf numFmtId="0" fontId="89" fillId="0" borderId="6" xfId="0" applyFont="1" applyBorder="1" applyAlignment="1">
      <alignment horizontal="center" vertical="center" wrapText="1"/>
    </xf>
    <xf numFmtId="0" fontId="95" fillId="0" borderId="9" xfId="0" applyFont="1" applyBorder="1" applyAlignment="1">
      <alignment horizontal="center" wrapText="1"/>
    </xf>
    <xf numFmtId="0" fontId="95" fillId="0" borderId="6" xfId="0" applyFont="1" applyBorder="1" applyAlignment="1">
      <alignment horizontal="center" wrapText="1"/>
    </xf>
    <xf numFmtId="0" fontId="41" fillId="0" borderId="7" xfId="0" applyFont="1" applyBorder="1" applyAlignment="1">
      <alignment horizontal="right"/>
    </xf>
    <xf numFmtId="3" fontId="41" fillId="2" borderId="27" xfId="0" applyNumberFormat="1" applyFont="1" applyFill="1" applyBorder="1" applyAlignment="1">
      <alignment horizontal="center"/>
    </xf>
    <xf numFmtId="3" fontId="41" fillId="2" borderId="31" xfId="0" applyNumberFormat="1" applyFont="1" applyFill="1" applyBorder="1" applyAlignment="1">
      <alignment horizontal="center"/>
    </xf>
    <xf numFmtId="3" fontId="7" fillId="2" borderId="38" xfId="0" applyNumberFormat="1" applyFont="1" applyFill="1" applyBorder="1" applyAlignment="1">
      <alignment horizontal="center"/>
    </xf>
    <xf numFmtId="3" fontId="41" fillId="0" borderId="19" xfId="0" applyNumberFormat="1" applyFont="1" applyBorder="1" applyAlignment="1">
      <alignment horizontal="center"/>
    </xf>
    <xf numFmtId="4" fontId="7" fillId="0" borderId="25" xfId="0" applyNumberFormat="1" applyFont="1" applyBorder="1" applyAlignment="1">
      <alignment horizontal="center"/>
    </xf>
    <xf numFmtId="3" fontId="11" fillId="0" borderId="27" xfId="0" applyNumberFormat="1" applyFont="1" applyBorder="1" applyAlignment="1">
      <alignment horizontal="center"/>
    </xf>
    <xf numFmtId="3" fontId="11" fillId="0" borderId="31" xfId="0" applyNumberFormat="1" applyFont="1" applyBorder="1" applyAlignment="1">
      <alignment horizontal="center"/>
    </xf>
    <xf numFmtId="3" fontId="11" fillId="0" borderId="46" xfId="0" applyNumberFormat="1" applyFont="1" applyBorder="1" applyAlignment="1">
      <alignment horizontal="center"/>
    </xf>
    <xf numFmtId="9" fontId="23" fillId="0" borderId="0" xfId="4" applyFont="1" applyBorder="1" applyProtection="1"/>
    <xf numFmtId="0" fontId="6" fillId="0" borderId="0" xfId="0" applyFont="1"/>
    <xf numFmtId="3" fontId="41" fillId="2" borderId="4" xfId="0" applyNumberFormat="1" applyFont="1" applyFill="1" applyBorder="1" applyAlignment="1">
      <alignment horizontal="center"/>
    </xf>
    <xf numFmtId="3" fontId="41" fillId="2" borderId="1" xfId="0" applyNumberFormat="1" applyFont="1" applyFill="1" applyBorder="1" applyAlignment="1">
      <alignment horizontal="center"/>
    </xf>
    <xf numFmtId="3" fontId="7" fillId="2" borderId="29" xfId="0" applyNumberFormat="1" applyFont="1" applyFill="1" applyBorder="1" applyAlignment="1">
      <alignment horizontal="center"/>
    </xf>
    <xf numFmtId="3" fontId="41" fillId="0" borderId="20" xfId="0" applyNumberFormat="1" applyFont="1" applyBorder="1" applyAlignment="1">
      <alignment horizontal="center"/>
    </xf>
    <xf numFmtId="3" fontId="11" fillId="0" borderId="4" xfId="0" applyNumberFormat="1" applyFont="1" applyBorder="1" applyAlignment="1">
      <alignment horizontal="center"/>
    </xf>
    <xf numFmtId="3" fontId="11" fillId="0" borderId="1" xfId="0" applyNumberFormat="1" applyFont="1" applyBorder="1" applyAlignment="1">
      <alignment horizontal="center"/>
    </xf>
    <xf numFmtId="3" fontId="11" fillId="0" borderId="14" xfId="0" applyNumberFormat="1" applyFont="1" applyBorder="1" applyAlignment="1">
      <alignment horizontal="center"/>
    </xf>
    <xf numFmtId="3" fontId="23" fillId="0" borderId="0" xfId="0" applyNumberFormat="1" applyFont="1"/>
    <xf numFmtId="0" fontId="23" fillId="0" borderId="0" xfId="0" applyFont="1"/>
    <xf numFmtId="3" fontId="41" fillId="2" borderId="53" xfId="0" applyNumberFormat="1" applyFont="1" applyFill="1" applyBorder="1" applyAlignment="1">
      <alignment horizontal="center"/>
    </xf>
    <xf numFmtId="0" fontId="0" fillId="0" borderId="0" xfId="0" applyAlignment="1">
      <alignment wrapText="1"/>
    </xf>
    <xf numFmtId="3" fontId="41" fillId="0" borderId="53" xfId="0" applyNumberFormat="1" applyFont="1" applyBorder="1" applyAlignment="1">
      <alignment horizontal="center"/>
    </xf>
    <xf numFmtId="3" fontId="11" fillId="2" borderId="4" xfId="0" applyNumberFormat="1" applyFont="1" applyFill="1" applyBorder="1" applyAlignment="1">
      <alignment horizontal="center"/>
    </xf>
    <xf numFmtId="3" fontId="11" fillId="2" borderId="1" xfId="0" applyNumberFormat="1" applyFont="1" applyFill="1" applyBorder="1" applyAlignment="1">
      <alignment horizontal="center"/>
    </xf>
    <xf numFmtId="3" fontId="75" fillId="2" borderId="29" xfId="0" applyNumberFormat="1" applyFont="1" applyFill="1" applyBorder="1" applyAlignment="1">
      <alignment horizontal="center"/>
    </xf>
    <xf numFmtId="3" fontId="41" fillId="2" borderId="10" xfId="0" applyNumberFormat="1" applyFont="1" applyFill="1" applyBorder="1" applyAlignment="1">
      <alignment horizontal="center"/>
    </xf>
    <xf numFmtId="3" fontId="41" fillId="2" borderId="17" xfId="0" applyNumberFormat="1" applyFont="1" applyFill="1" applyBorder="1" applyAlignment="1">
      <alignment horizontal="center"/>
    </xf>
    <xf numFmtId="3" fontId="7" fillId="2" borderId="39" xfId="0" applyNumberFormat="1" applyFont="1" applyFill="1" applyBorder="1" applyAlignment="1">
      <alignment horizontal="center"/>
    </xf>
    <xf numFmtId="3" fontId="11" fillId="0" borderId="10" xfId="0" applyNumberFormat="1" applyFont="1" applyBorder="1" applyAlignment="1">
      <alignment horizontal="center"/>
    </xf>
    <xf numFmtId="3" fontId="11" fillId="0" borderId="17" xfId="0" applyNumberFormat="1" applyFont="1" applyBorder="1" applyAlignment="1">
      <alignment horizontal="center"/>
    </xf>
    <xf numFmtId="3" fontId="11" fillId="0" borderId="5" xfId="0" applyNumberFormat="1" applyFont="1" applyBorder="1" applyAlignment="1">
      <alignment horizontal="center"/>
    </xf>
    <xf numFmtId="0" fontId="54" fillId="0" borderId="16" xfId="0" applyFont="1" applyBorder="1"/>
    <xf numFmtId="37" fontId="13" fillId="2" borderId="11" xfId="1" applyNumberFormat="1" applyFont="1" applyFill="1" applyBorder="1" applyAlignment="1" applyProtection="1">
      <alignment horizontal="center"/>
    </xf>
    <xf numFmtId="37" fontId="13" fillId="2" borderId="22" xfId="1" applyNumberFormat="1" applyFont="1" applyFill="1" applyBorder="1" applyAlignment="1" applyProtection="1">
      <alignment horizontal="center"/>
    </xf>
    <xf numFmtId="37" fontId="13" fillId="2" borderId="23" xfId="1" applyNumberFormat="1" applyFont="1" applyFill="1" applyBorder="1" applyAlignment="1" applyProtection="1">
      <alignment horizontal="center"/>
    </xf>
    <xf numFmtId="37" fontId="13" fillId="2" borderId="24" xfId="1" applyNumberFormat="1" applyFont="1" applyFill="1" applyBorder="1" applyAlignment="1" applyProtection="1">
      <alignment horizontal="center"/>
    </xf>
    <xf numFmtId="37" fontId="13" fillId="0" borderId="24" xfId="1" applyNumberFormat="1" applyFont="1" applyFill="1" applyBorder="1" applyAlignment="1" applyProtection="1">
      <alignment horizontal="center"/>
    </xf>
    <xf numFmtId="37" fontId="13" fillId="0" borderId="11" xfId="1" applyNumberFormat="1" applyFont="1" applyFill="1" applyBorder="1" applyAlignment="1" applyProtection="1">
      <alignment horizontal="center"/>
    </xf>
    <xf numFmtId="3" fontId="7" fillId="0" borderId="8" xfId="0" applyNumberFormat="1" applyFont="1" applyBorder="1" applyAlignment="1">
      <alignment horizontal="center"/>
    </xf>
    <xf numFmtId="3" fontId="7" fillId="0" borderId="11" xfId="0" applyNumberFormat="1" applyFont="1" applyBorder="1" applyAlignment="1">
      <alignment horizontal="center"/>
    </xf>
    <xf numFmtId="0" fontId="9" fillId="0" borderId="16" xfId="0" applyFont="1" applyBorder="1"/>
    <xf numFmtId="0" fontId="10" fillId="0" borderId="16" xfId="0" applyFont="1" applyBorder="1"/>
    <xf numFmtId="0" fontId="0" fillId="0" borderId="11" xfId="0" applyBorder="1" applyAlignment="1">
      <alignment horizontal="right"/>
    </xf>
    <xf numFmtId="0" fontId="41" fillId="0" borderId="0" xfId="0" applyFont="1"/>
    <xf numFmtId="3" fontId="11" fillId="0" borderId="57" xfId="0" applyNumberFormat="1" applyFont="1" applyBorder="1" applyAlignment="1">
      <alignment horizontal="center"/>
    </xf>
    <xf numFmtId="0" fontId="10" fillId="0" borderId="50" xfId="0" applyFont="1" applyBorder="1"/>
    <xf numFmtId="0" fontId="0" fillId="0" borderId="42" xfId="0" applyBorder="1"/>
    <xf numFmtId="0" fontId="0" fillId="0" borderId="33" xfId="0" applyBorder="1"/>
    <xf numFmtId="0" fontId="96" fillId="0" borderId="0" xfId="0" applyFont="1" applyAlignment="1">
      <alignment horizontal="left" vertical="top" wrapText="1"/>
    </xf>
    <xf numFmtId="3" fontId="79" fillId="0" borderId="0" xfId="0" applyNumberFormat="1" applyFont="1"/>
    <xf numFmtId="3" fontId="7" fillId="2" borderId="25" xfId="0" applyNumberFormat="1" applyFont="1" applyFill="1" applyBorder="1" applyAlignment="1">
      <alignment horizontal="center"/>
    </xf>
    <xf numFmtId="3" fontId="7" fillId="2" borderId="20" xfId="0" applyNumberFormat="1" applyFont="1" applyFill="1" applyBorder="1" applyAlignment="1">
      <alignment horizontal="center"/>
    </xf>
    <xf numFmtId="3" fontId="75" fillId="2" borderId="20" xfId="0" applyNumberFormat="1" applyFont="1" applyFill="1" applyBorder="1" applyAlignment="1">
      <alignment horizontal="center"/>
    </xf>
    <xf numFmtId="3" fontId="7" fillId="2" borderId="21" xfId="0" applyNumberFormat="1" applyFont="1" applyFill="1" applyBorder="1" applyAlignment="1">
      <alignment horizontal="center"/>
    </xf>
    <xf numFmtId="0" fontId="0" fillId="0" borderId="50" xfId="0" applyBorder="1"/>
    <xf numFmtId="3" fontId="41" fillId="15" borderId="21" xfId="0" applyNumberFormat="1" applyFont="1" applyFill="1" applyBorder="1" applyAlignment="1" applyProtection="1">
      <alignment horizontal="center"/>
      <protection locked="0"/>
    </xf>
    <xf numFmtId="0" fontId="12" fillId="0" borderId="0" xfId="0" applyFont="1" applyAlignment="1">
      <alignment horizontal="center" wrapText="1"/>
    </xf>
    <xf numFmtId="0" fontId="23" fillId="0" borderId="0" xfId="0" applyFont="1" applyAlignment="1">
      <alignment horizontal="center" wrapText="1"/>
    </xf>
    <xf numFmtId="0" fontId="13"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4" xfId="0" applyFont="1" applyBorder="1"/>
    <xf numFmtId="0" fontId="23" fillId="0" borderId="14" xfId="0" applyFont="1" applyBorder="1" applyAlignment="1">
      <alignment vertical="center"/>
    </xf>
    <xf numFmtId="0" fontId="66" fillId="4" borderId="14" xfId="0" applyFont="1" applyFill="1" applyBorder="1" applyAlignment="1">
      <alignment horizontal="center" vertical="center" wrapText="1"/>
    </xf>
    <xf numFmtId="164" fontId="38" fillId="2" borderId="1" xfId="0" applyNumberFormat="1" applyFont="1" applyFill="1" applyBorder="1" applyAlignment="1">
      <alignment horizontal="center" vertical="center"/>
    </xf>
    <xf numFmtId="0" fontId="41" fillId="0" borderId="14" xfId="0" applyFont="1" applyBorder="1" applyAlignment="1">
      <alignment horizontal="center" vertical="center" wrapText="1"/>
    </xf>
    <xf numFmtId="0" fontId="7" fillId="0" borderId="10" xfId="0" applyFont="1" applyBorder="1" applyAlignment="1">
      <alignment horizontal="right"/>
    </xf>
    <xf numFmtId="0" fontId="6" fillId="0" borderId="5" xfId="0" applyFont="1" applyBorder="1" applyAlignment="1">
      <alignment horizontal="center" vertical="center" wrapText="1"/>
    </xf>
    <xf numFmtId="0" fontId="23" fillId="0" borderId="0" xfId="0" applyFont="1" applyAlignment="1">
      <alignment horizontal="center"/>
    </xf>
    <xf numFmtId="0" fontId="13" fillId="0" borderId="12" xfId="0" applyFont="1" applyBorder="1" applyAlignment="1">
      <alignment horizontal="right" vertical="center" wrapText="1"/>
    </xf>
    <xf numFmtId="3" fontId="39" fillId="2" borderId="11" xfId="0" applyNumberFormat="1" applyFont="1" applyFill="1" applyBorder="1" applyAlignment="1">
      <alignment horizontal="center" vertical="center" wrapText="1"/>
    </xf>
    <xf numFmtId="0" fontId="41" fillId="0" borderId="40" xfId="0" applyFont="1" applyBorder="1"/>
    <xf numFmtId="9" fontId="41" fillId="0" borderId="40" xfId="5" applyFont="1" applyBorder="1" applyProtection="1"/>
    <xf numFmtId="0" fontId="41" fillId="0" borderId="41" xfId="0" applyFont="1" applyBorder="1"/>
    <xf numFmtId="0" fontId="7" fillId="0" borderId="38" xfId="0" applyFont="1" applyBorder="1" applyAlignment="1">
      <alignment horizontal="right"/>
    </xf>
    <xf numFmtId="9" fontId="23" fillId="0" borderId="0" xfId="5" applyFont="1" applyBorder="1" applyProtection="1"/>
    <xf numFmtId="0" fontId="23" fillId="0" borderId="26" xfId="0" applyFont="1" applyBorder="1"/>
    <xf numFmtId="0" fontId="38" fillId="0" borderId="29" xfId="0" applyFont="1" applyBorder="1" applyAlignment="1">
      <alignment horizontal="right"/>
    </xf>
    <xf numFmtId="3" fontId="38" fillId="2" borderId="20" xfId="0" applyNumberFormat="1" applyFont="1" applyFill="1" applyBorder="1" applyAlignment="1">
      <alignment horizontal="center"/>
    </xf>
    <xf numFmtId="9" fontId="41" fillId="0" borderId="0" xfId="5" applyFont="1" applyBorder="1" applyProtection="1"/>
    <xf numFmtId="0" fontId="41" fillId="0" borderId="26" xfId="0" applyFont="1" applyBorder="1"/>
    <xf numFmtId="0" fontId="7" fillId="0" borderId="29" xfId="0" applyFont="1" applyBorder="1" applyAlignment="1">
      <alignment horizontal="right"/>
    </xf>
    <xf numFmtId="0" fontId="7" fillId="0" borderId="39" xfId="0" applyFont="1" applyBorder="1" applyAlignment="1">
      <alignment horizontal="right"/>
    </xf>
    <xf numFmtId="1" fontId="7" fillId="2" borderId="21" xfId="0" applyNumberFormat="1" applyFont="1" applyFill="1" applyBorder="1" applyAlignment="1">
      <alignment horizontal="center"/>
    </xf>
    <xf numFmtId="0" fontId="23" fillId="0" borderId="42" xfId="0" applyFont="1" applyBorder="1"/>
    <xf numFmtId="9" fontId="23" fillId="0" borderId="42" xfId="5" applyFont="1" applyBorder="1" applyProtection="1"/>
    <xf numFmtId="0" fontId="23" fillId="0" borderId="33" xfId="0" applyFont="1" applyBorder="1"/>
    <xf numFmtId="9" fontId="23" fillId="0" borderId="0" xfId="5" applyFont="1" applyProtection="1"/>
    <xf numFmtId="1" fontId="23" fillId="0" borderId="0" xfId="0" applyNumberFormat="1" applyFont="1" applyAlignment="1">
      <alignment horizontal="center"/>
    </xf>
    <xf numFmtId="0" fontId="13" fillId="0" borderId="0" xfId="0" applyFont="1"/>
    <xf numFmtId="0" fontId="7" fillId="0" borderId="0" xfId="0" applyFont="1" applyAlignment="1">
      <alignment horizontal="center" vertical="top"/>
    </xf>
    <xf numFmtId="0" fontId="6" fillId="0" borderId="0" xfId="0" applyFont="1" applyAlignment="1">
      <alignment horizontal="right" vertical="top"/>
    </xf>
    <xf numFmtId="1" fontId="66" fillId="5" borderId="19" xfId="0" applyNumberFormat="1" applyFont="1" applyFill="1" applyBorder="1" applyAlignment="1">
      <alignment horizontal="center"/>
    </xf>
    <xf numFmtId="1" fontId="66" fillId="4" borderId="20" xfId="0" applyNumberFormat="1" applyFont="1" applyFill="1" applyBorder="1" applyAlignment="1">
      <alignment horizontal="center"/>
    </xf>
    <xf numFmtId="3" fontId="38" fillId="2" borderId="21" xfId="0" applyNumberFormat="1" applyFont="1" applyFill="1" applyBorder="1" applyAlignment="1">
      <alignment horizontal="center"/>
    </xf>
    <xf numFmtId="0" fontId="33" fillId="0" borderId="0" xfId="0" applyFont="1" applyAlignment="1">
      <alignment horizontal="center"/>
    </xf>
    <xf numFmtId="0" fontId="33" fillId="0" borderId="0" xfId="0" applyFont="1"/>
    <xf numFmtId="0" fontId="23" fillId="0" borderId="0" xfId="0" applyFont="1" applyAlignment="1">
      <alignment wrapText="1"/>
    </xf>
    <xf numFmtId="0" fontId="12" fillId="0" borderId="0" xfId="0" applyFont="1" applyAlignment="1">
      <alignment wrapText="1"/>
    </xf>
    <xf numFmtId="0" fontId="7" fillId="0" borderId="12" xfId="0" applyFont="1" applyBorder="1" applyAlignment="1">
      <alignment horizontal="center" vertical="center" wrapText="1"/>
    </xf>
    <xf numFmtId="0" fontId="41" fillId="0" borderId="0" xfId="0" applyFont="1" applyAlignment="1">
      <alignment wrapText="1"/>
    </xf>
    <xf numFmtId="0" fontId="6" fillId="0" borderId="0" xfId="0" applyFont="1" applyAlignment="1">
      <alignment wrapText="1"/>
    </xf>
    <xf numFmtId="0" fontId="6" fillId="0" borderId="29" xfId="0" applyFont="1" applyBorder="1" applyAlignment="1">
      <alignment horizontal="right" wrapText="1"/>
    </xf>
    <xf numFmtId="168" fontId="66" fillId="4" borderId="14" xfId="4" applyNumberFormat="1" applyFont="1" applyFill="1" applyBorder="1" applyAlignment="1" applyProtection="1">
      <alignment horizontal="center"/>
    </xf>
    <xf numFmtId="0" fontId="33" fillId="0" borderId="0" xfId="0" applyFont="1" applyAlignment="1">
      <alignment wrapText="1"/>
    </xf>
    <xf numFmtId="0" fontId="33" fillId="0" borderId="29" xfId="0" applyFont="1" applyBorder="1" applyAlignment="1">
      <alignment horizontal="right"/>
    </xf>
    <xf numFmtId="167" fontId="33" fillId="0" borderId="4" xfId="0" applyNumberFormat="1" applyFont="1" applyBorder="1" applyAlignment="1">
      <alignment horizontal="center" wrapText="1"/>
    </xf>
    <xf numFmtId="0" fontId="33" fillId="0" borderId="14" xfId="0" applyFont="1" applyBorder="1" applyAlignment="1">
      <alignment wrapText="1"/>
    </xf>
    <xf numFmtId="0" fontId="41" fillId="0" borderId="29" xfId="0" applyFont="1" applyBorder="1" applyAlignment="1">
      <alignment horizontal="right" wrapText="1"/>
    </xf>
    <xf numFmtId="1" fontId="66" fillId="4" borderId="14" xfId="0" applyNumberFormat="1" applyFont="1" applyFill="1" applyBorder="1" applyAlignment="1">
      <alignment horizontal="center"/>
    </xf>
    <xf numFmtId="0" fontId="41" fillId="0" borderId="29" xfId="0" applyFont="1" applyBorder="1" applyAlignment="1">
      <alignment horizontal="right"/>
    </xf>
    <xf numFmtId="3" fontId="66" fillId="4" borderId="14" xfId="0" applyNumberFormat="1" applyFont="1" applyFill="1" applyBorder="1" applyAlignment="1">
      <alignment horizontal="center"/>
    </xf>
    <xf numFmtId="167" fontId="7" fillId="2" borderId="4" xfId="0" applyNumberFormat="1" applyFont="1" applyFill="1" applyBorder="1" applyAlignment="1">
      <alignment horizontal="center"/>
    </xf>
    <xf numFmtId="0" fontId="23" fillId="0" borderId="14" xfId="0" applyFont="1" applyBorder="1" applyAlignment="1">
      <alignment wrapText="1"/>
    </xf>
    <xf numFmtId="167" fontId="7" fillId="2" borderId="1" xfId="0" applyNumberFormat="1" applyFont="1" applyFill="1" applyBorder="1" applyAlignment="1">
      <alignment horizontal="center"/>
    </xf>
    <xf numFmtId="0" fontId="41" fillId="0" borderId="10" xfId="0" applyFont="1" applyBorder="1" applyAlignment="1">
      <alignment horizontal="center" vertical="center" wrapText="1"/>
    </xf>
    <xf numFmtId="1" fontId="66" fillId="0" borderId="5" xfId="0" applyNumberFormat="1" applyFont="1" applyBorder="1" applyAlignment="1">
      <alignment horizontal="center" vertical="center" wrapText="1"/>
    </xf>
    <xf numFmtId="0" fontId="41" fillId="0" borderId="17" xfId="0" applyFont="1" applyBorder="1" applyAlignment="1">
      <alignment horizontal="center" vertical="center" wrapText="1"/>
    </xf>
    <xf numFmtId="0" fontId="23" fillId="0" borderId="34" xfId="0" applyFont="1" applyBorder="1" applyAlignment="1">
      <alignment horizontal="right" wrapText="1"/>
    </xf>
    <xf numFmtId="3" fontId="66" fillId="4" borderId="46" xfId="0" applyNumberFormat="1" applyFont="1" applyFill="1" applyBorder="1" applyAlignment="1">
      <alignment horizontal="center"/>
    </xf>
    <xf numFmtId="0" fontId="53" fillId="0" borderId="0" xfId="0" applyFont="1" applyAlignment="1">
      <alignment wrapText="1"/>
    </xf>
    <xf numFmtId="0" fontId="13" fillId="0" borderId="8" xfId="0" applyFont="1" applyBorder="1" applyAlignment="1">
      <alignment horizontal="right" vertical="center" wrapText="1"/>
    </xf>
    <xf numFmtId="3" fontId="13" fillId="2" borderId="6" xfId="0" applyNumberFormat="1" applyFont="1" applyFill="1" applyBorder="1" applyAlignment="1">
      <alignment horizontal="center" vertical="center" wrapText="1"/>
    </xf>
    <xf numFmtId="0" fontId="23" fillId="0" borderId="40" xfId="0" applyFont="1" applyBorder="1" applyAlignment="1">
      <alignment wrapText="1"/>
    </xf>
    <xf numFmtId="0" fontId="23" fillId="0" borderId="41" xfId="0" applyFont="1" applyBorder="1" applyAlignment="1">
      <alignment wrapText="1"/>
    </xf>
    <xf numFmtId="0" fontId="38" fillId="0" borderId="7" xfId="0" applyFont="1" applyBorder="1" applyAlignment="1">
      <alignment horizontal="right"/>
    </xf>
    <xf numFmtId="3" fontId="38" fillId="2" borderId="15" xfId="0" applyNumberFormat="1" applyFont="1" applyFill="1" applyBorder="1" applyAlignment="1">
      <alignment horizontal="center"/>
    </xf>
    <xf numFmtId="0" fontId="41" fillId="0" borderId="26" xfId="0" applyFont="1" applyBorder="1" applyAlignment="1">
      <alignment wrapText="1"/>
    </xf>
    <xf numFmtId="0" fontId="7" fillId="0" borderId="4" xfId="0" applyFont="1" applyBorder="1" applyAlignment="1">
      <alignment horizontal="right"/>
    </xf>
    <xf numFmtId="3" fontId="7" fillId="2" borderId="14" xfId="0" applyNumberFormat="1" applyFont="1" applyFill="1" applyBorder="1" applyAlignment="1">
      <alignment horizontal="center"/>
    </xf>
    <xf numFmtId="0" fontId="23" fillId="0" borderId="26" xfId="0" applyFont="1" applyBorder="1" applyAlignment="1">
      <alignment wrapText="1"/>
    </xf>
    <xf numFmtId="0" fontId="38" fillId="0" borderId="4" xfId="0" applyFont="1" applyBorder="1" applyAlignment="1">
      <alignment horizontal="right"/>
    </xf>
    <xf numFmtId="3" fontId="38" fillId="2" borderId="14" xfId="0" applyNumberFormat="1" applyFont="1" applyFill="1" applyBorder="1" applyAlignment="1">
      <alignment horizontal="center"/>
    </xf>
    <xf numFmtId="0" fontId="38" fillId="0" borderId="10" xfId="0" applyFont="1" applyBorder="1" applyAlignment="1">
      <alignment horizontal="right"/>
    </xf>
    <xf numFmtId="1" fontId="7" fillId="2" borderId="5" xfId="0" applyNumberFormat="1" applyFont="1" applyFill="1" applyBorder="1" applyAlignment="1">
      <alignment horizontal="center"/>
    </xf>
    <xf numFmtId="0" fontId="41" fillId="0" borderId="42" xfId="0" applyFont="1" applyBorder="1" applyAlignment="1">
      <alignment wrapText="1"/>
    </xf>
    <xf numFmtId="0" fontId="41" fillId="0" borderId="33" xfId="0" applyFont="1" applyBorder="1" applyAlignment="1">
      <alignment wrapText="1"/>
    </xf>
    <xf numFmtId="0" fontId="12" fillId="0" borderId="0" xfId="0" applyFont="1" applyAlignment="1">
      <alignment horizontal="left" wrapText="1"/>
    </xf>
    <xf numFmtId="0" fontId="66" fillId="0" borderId="46" xfId="0" applyFont="1" applyBorder="1" applyAlignment="1">
      <alignment horizontal="center"/>
    </xf>
    <xf numFmtId="0" fontId="53" fillId="0" borderId="0" xfId="0" applyFont="1"/>
    <xf numFmtId="1" fontId="33" fillId="0" borderId="1" xfId="0" applyNumberFormat="1" applyFont="1" applyBorder="1" applyAlignment="1">
      <alignment horizontal="center"/>
    </xf>
    <xf numFmtId="0" fontId="33" fillId="0" borderId="14" xfId="4" applyNumberFormat="1" applyFont="1" applyFill="1" applyBorder="1" applyAlignment="1" applyProtection="1">
      <alignment horizontal="center"/>
    </xf>
    <xf numFmtId="0" fontId="41" fillId="0" borderId="10" xfId="0" applyFont="1" applyBorder="1"/>
    <xf numFmtId="1" fontId="41" fillId="0" borderId="17" xfId="0" applyNumberFormat="1" applyFont="1" applyBorder="1" applyAlignment="1">
      <alignment horizontal="center"/>
    </xf>
    <xf numFmtId="1" fontId="41" fillId="0" borderId="5" xfId="0" applyNumberFormat="1" applyFont="1" applyBorder="1" applyAlignment="1">
      <alignment horizontal="center"/>
    </xf>
    <xf numFmtId="167" fontId="41" fillId="0" borderId="14" xfId="0" applyNumberFormat="1" applyFont="1" applyBorder="1" applyAlignment="1">
      <alignment horizontal="center"/>
    </xf>
    <xf numFmtId="3" fontId="41" fillId="0" borderId="1" xfId="0" applyNumberFormat="1" applyFont="1" applyBorder="1" applyAlignment="1">
      <alignment horizontal="center"/>
    </xf>
    <xf numFmtId="168" fontId="41" fillId="0" borderId="17" xfId="4" applyNumberFormat="1" applyFont="1" applyFill="1" applyBorder="1" applyAlignment="1" applyProtection="1">
      <alignment horizontal="center"/>
    </xf>
    <xf numFmtId="168" fontId="41" fillId="0" borderId="5" xfId="4" applyNumberFormat="1" applyFont="1" applyFill="1" applyBorder="1" applyAlignment="1" applyProtection="1">
      <alignment horizontal="center"/>
    </xf>
    <xf numFmtId="2" fontId="38" fillId="2" borderId="1" xfId="0" applyNumberFormat="1" applyFont="1" applyFill="1" applyBorder="1" applyAlignment="1">
      <alignment horizontal="center"/>
    </xf>
    <xf numFmtId="2" fontId="41" fillId="0" borderId="14" xfId="0" applyNumberFormat="1" applyFont="1" applyBorder="1" applyAlignment="1">
      <alignment horizontal="center"/>
    </xf>
    <xf numFmtId="0" fontId="13" fillId="0" borderId="8" xfId="0" applyFont="1" applyBorder="1" applyAlignment="1">
      <alignment horizontal="right" vertical="center"/>
    </xf>
    <xf numFmtId="3" fontId="13" fillId="2" borderId="6" xfId="0" applyNumberFormat="1" applyFont="1" applyFill="1" applyBorder="1" applyAlignment="1">
      <alignment horizontal="center" vertical="center"/>
    </xf>
    <xf numFmtId="1" fontId="38" fillId="0" borderId="40" xfId="0" applyNumberFormat="1" applyFont="1" applyBorder="1" applyAlignment="1">
      <alignment horizontal="center"/>
    </xf>
    <xf numFmtId="0" fontId="7" fillId="0" borderId="7" xfId="0" applyFont="1" applyBorder="1" applyAlignment="1">
      <alignment horizontal="right"/>
    </xf>
    <xf numFmtId="3" fontId="7" fillId="2" borderId="15" xfId="0" applyNumberFormat="1" applyFont="1" applyFill="1" applyBorder="1" applyAlignment="1">
      <alignment horizontal="center"/>
    </xf>
    <xf numFmtId="0" fontId="12" fillId="0" borderId="0" xfId="0" applyFont="1"/>
    <xf numFmtId="0" fontId="66" fillId="0" borderId="15" xfId="0" applyFont="1" applyBorder="1" applyAlignment="1">
      <alignment horizontal="center"/>
    </xf>
    <xf numFmtId="0" fontId="6" fillId="0" borderId="29" xfId="0" applyFont="1" applyBorder="1" applyAlignment="1">
      <alignment horizontal="right"/>
    </xf>
    <xf numFmtId="3" fontId="33" fillId="0" borderId="4" xfId="0" applyNumberFormat="1" applyFont="1" applyBorder="1" applyAlignment="1">
      <alignment horizontal="center"/>
    </xf>
    <xf numFmtId="0" fontId="6" fillId="0" borderId="20" xfId="0" applyFont="1" applyBorder="1" applyAlignment="1">
      <alignment horizontal="right"/>
    </xf>
    <xf numFmtId="3" fontId="66" fillId="4" borderId="15" xfId="0" applyNumberFormat="1" applyFont="1" applyFill="1" applyBorder="1" applyAlignment="1">
      <alignment horizontal="center"/>
    </xf>
    <xf numFmtId="9" fontId="66" fillId="4" borderId="14" xfId="4" applyFont="1" applyFill="1" applyBorder="1" applyAlignment="1" applyProtection="1">
      <alignment horizontal="center"/>
    </xf>
    <xf numFmtId="2" fontId="7" fillId="2" borderId="4" xfId="0" applyNumberFormat="1" applyFont="1" applyFill="1" applyBorder="1" applyAlignment="1">
      <alignment horizontal="center"/>
    </xf>
    <xf numFmtId="2" fontId="23" fillId="0" borderId="14" xfId="0" applyNumberFormat="1" applyFont="1" applyBorder="1" applyAlignment="1">
      <alignment horizontal="center"/>
    </xf>
    <xf numFmtId="2" fontId="38" fillId="2" borderId="4" xfId="0" applyNumberFormat="1" applyFont="1" applyFill="1" applyBorder="1" applyAlignment="1">
      <alignment horizontal="center"/>
    </xf>
    <xf numFmtId="2" fontId="21" fillId="0" borderId="14" xfId="0" applyNumberFormat="1" applyFont="1" applyBorder="1" applyAlignment="1">
      <alignment horizontal="left"/>
    </xf>
    <xf numFmtId="0" fontId="13" fillId="0" borderId="12" xfId="0" applyFont="1" applyBorder="1" applyAlignment="1">
      <alignment horizontal="right" vertical="center"/>
    </xf>
    <xf numFmtId="3" fontId="13" fillId="2" borderId="12" xfId="0" applyNumberFormat="1" applyFont="1" applyFill="1" applyBorder="1" applyAlignment="1">
      <alignment horizontal="center" vertical="center"/>
    </xf>
    <xf numFmtId="1" fontId="38" fillId="0" borderId="62" xfId="0" applyNumberFormat="1" applyFont="1" applyBorder="1" applyAlignment="1">
      <alignment horizontal="center"/>
    </xf>
    <xf numFmtId="0" fontId="23" fillId="0" borderId="63" xfId="0" applyFont="1" applyBorder="1"/>
    <xf numFmtId="3" fontId="38" fillId="2" borderId="29" xfId="0" applyNumberFormat="1" applyFont="1" applyFill="1" applyBorder="1" applyAlignment="1">
      <alignment horizontal="center"/>
    </xf>
    <xf numFmtId="0" fontId="41" fillId="0" borderId="63" xfId="0" applyFont="1" applyBorder="1"/>
    <xf numFmtId="0" fontId="23" fillId="0" borderId="64" xfId="0" applyFont="1" applyBorder="1"/>
    <xf numFmtId="3" fontId="41" fillId="0" borderId="0" xfId="0" applyNumberFormat="1" applyFont="1"/>
    <xf numFmtId="0" fontId="23" fillId="0" borderId="46" xfId="0" applyFont="1" applyBorder="1" applyAlignment="1">
      <alignment horizontal="center"/>
    </xf>
    <xf numFmtId="168" fontId="41" fillId="0" borderId="4" xfId="4" applyNumberFormat="1" applyFont="1" applyFill="1" applyBorder="1" applyAlignment="1" applyProtection="1">
      <alignment horizontal="center"/>
    </xf>
    <xf numFmtId="168" fontId="11" fillId="0" borderId="14" xfId="5" applyNumberFormat="1" applyFont="1" applyFill="1" applyBorder="1" applyAlignment="1" applyProtection="1">
      <alignment horizontal="center"/>
    </xf>
    <xf numFmtId="167" fontId="41" fillId="0" borderId="4" xfId="0" applyNumberFormat="1" applyFont="1" applyBorder="1" applyAlignment="1">
      <alignment horizontal="center"/>
    </xf>
    <xf numFmtId="167" fontId="41" fillId="0" borderId="28" xfId="0" applyNumberFormat="1" applyFont="1" applyBorder="1" applyAlignment="1">
      <alignment horizontal="center"/>
    </xf>
    <xf numFmtId="0" fontId="33" fillId="0" borderId="39" xfId="0" applyFont="1" applyBorder="1"/>
    <xf numFmtId="167" fontId="33" fillId="0" borderId="10" xfId="0" applyNumberFormat="1" applyFont="1" applyBorder="1" applyAlignment="1">
      <alignment horizontal="center"/>
    </xf>
    <xf numFmtId="167" fontId="33" fillId="0" borderId="5" xfId="0" applyNumberFormat="1" applyFont="1" applyBorder="1" applyAlignment="1">
      <alignment horizontal="center"/>
    </xf>
    <xf numFmtId="0" fontId="6" fillId="0" borderId="34" xfId="0" applyFont="1" applyBorder="1" applyAlignment="1">
      <alignment horizontal="right"/>
    </xf>
    <xf numFmtId="1" fontId="33" fillId="0" borderId="27" xfId="0" applyNumberFormat="1" applyFont="1" applyBorder="1" applyAlignment="1">
      <alignment horizontal="center"/>
    </xf>
    <xf numFmtId="3" fontId="66" fillId="3" borderId="46" xfId="0" applyNumberFormat="1" applyFont="1" applyFill="1" applyBorder="1" applyAlignment="1">
      <alignment horizontal="center"/>
    </xf>
    <xf numFmtId="0" fontId="41" fillId="0" borderId="39" xfId="0" applyFont="1" applyBorder="1"/>
    <xf numFmtId="1" fontId="41" fillId="0" borderId="10" xfId="0" applyNumberFormat="1" applyFont="1" applyBorder="1" applyAlignment="1">
      <alignment horizontal="center"/>
    </xf>
    <xf numFmtId="1" fontId="7" fillId="2" borderId="4" xfId="0" applyNumberFormat="1" applyFont="1" applyFill="1" applyBorder="1" applyAlignment="1">
      <alignment horizontal="center"/>
    </xf>
    <xf numFmtId="1" fontId="7" fillId="0" borderId="14" xfId="0" applyNumberFormat="1" applyFont="1" applyBorder="1" applyAlignment="1">
      <alignment horizontal="center"/>
    </xf>
    <xf numFmtId="0" fontId="23" fillId="0" borderId="39" xfId="0" applyFont="1" applyBorder="1"/>
    <xf numFmtId="9" fontId="23" fillId="0" borderId="10" xfId="5" applyFont="1" applyFill="1" applyBorder="1" applyAlignment="1" applyProtection="1">
      <alignment horizontal="center"/>
    </xf>
    <xf numFmtId="9" fontId="23" fillId="0" borderId="5" xfId="5" applyFont="1" applyFill="1" applyBorder="1" applyAlignment="1" applyProtection="1">
      <alignment horizontal="center"/>
    </xf>
    <xf numFmtId="0" fontId="33" fillId="0" borderId="34" xfId="0" applyFont="1" applyBorder="1" applyAlignment="1">
      <alignment horizontal="right"/>
    </xf>
    <xf numFmtId="1" fontId="7" fillId="0" borderId="5" xfId="0" applyNumberFormat="1" applyFont="1" applyBorder="1" applyAlignment="1">
      <alignment horizontal="center"/>
    </xf>
    <xf numFmtId="3" fontId="39" fillId="2" borderId="11" xfId="0" applyNumberFormat="1" applyFont="1" applyFill="1" applyBorder="1" applyAlignment="1">
      <alignment horizontal="center" vertical="center"/>
    </xf>
    <xf numFmtId="1" fontId="40" fillId="0" borderId="40" xfId="0" applyNumberFormat="1" applyFont="1" applyBorder="1" applyAlignment="1">
      <alignment horizontal="center"/>
    </xf>
    <xf numFmtId="1" fontId="40" fillId="0" borderId="41" xfId="0" applyNumberFormat="1" applyFont="1" applyBorder="1" applyAlignment="1">
      <alignment horizontal="center"/>
    </xf>
    <xf numFmtId="0" fontId="7" fillId="2" borderId="21" xfId="0" applyFont="1" applyFill="1" applyBorder="1" applyAlignment="1">
      <alignment horizontal="center"/>
    </xf>
    <xf numFmtId="0" fontId="6" fillId="0" borderId="0" xfId="0" applyFont="1" applyAlignment="1">
      <alignment horizontal="right"/>
    </xf>
    <xf numFmtId="1" fontId="33" fillId="15" borderId="27" xfId="0" applyNumberFormat="1" applyFont="1" applyFill="1" applyBorder="1" applyAlignment="1" applyProtection="1">
      <alignment horizontal="center"/>
      <protection locked="0"/>
    </xf>
    <xf numFmtId="0" fontId="12" fillId="0" borderId="42" xfId="0" applyFont="1" applyBorder="1"/>
    <xf numFmtId="0" fontId="6" fillId="0" borderId="46" xfId="0" applyFont="1" applyBorder="1"/>
    <xf numFmtId="0" fontId="6" fillId="0" borderId="48" xfId="0" applyFont="1" applyBorder="1"/>
    <xf numFmtId="0" fontId="6" fillId="0" borderId="14" xfId="0" applyFont="1" applyBorder="1"/>
    <xf numFmtId="0" fontId="6" fillId="0" borderId="28" xfId="0" applyFont="1" applyBorder="1"/>
    <xf numFmtId="167" fontId="6" fillId="0" borderId="4" xfId="0" applyNumberFormat="1" applyFont="1" applyBorder="1" applyAlignment="1">
      <alignment horizontal="center"/>
    </xf>
    <xf numFmtId="9" fontId="66" fillId="4" borderId="28" xfId="4" applyFont="1" applyFill="1" applyBorder="1" applyAlignment="1" applyProtection="1">
      <alignment horizontal="center"/>
    </xf>
    <xf numFmtId="167" fontId="66" fillId="4" borderId="14" xfId="0" applyNumberFormat="1" applyFont="1" applyFill="1" applyBorder="1" applyAlignment="1">
      <alignment horizontal="center"/>
    </xf>
    <xf numFmtId="0" fontId="7" fillId="0" borderId="50" xfId="0" applyFont="1" applyBorder="1"/>
    <xf numFmtId="0" fontId="7" fillId="0" borderId="10" xfId="0" applyFont="1" applyBorder="1"/>
    <xf numFmtId="0" fontId="7" fillId="0" borderId="33" xfId="0" applyFont="1" applyBorder="1"/>
    <xf numFmtId="0" fontId="7" fillId="0" borderId="42" xfId="0" applyFont="1" applyBorder="1"/>
    <xf numFmtId="9" fontId="6" fillId="0" borderId="10" xfId="5" applyFont="1" applyFill="1" applyBorder="1" applyAlignment="1" applyProtection="1">
      <alignment horizontal="center"/>
    </xf>
    <xf numFmtId="9" fontId="6" fillId="0" borderId="5" xfId="5" applyFont="1" applyFill="1" applyBorder="1" applyAlignment="1" applyProtection="1">
      <alignment horizontal="center"/>
    </xf>
    <xf numFmtId="1" fontId="38" fillId="0" borderId="5" xfId="0" applyNumberFormat="1" applyFont="1" applyBorder="1" applyAlignment="1">
      <alignment horizontal="center"/>
    </xf>
    <xf numFmtId="3" fontId="13" fillId="2" borderId="11" xfId="0" applyNumberFormat="1" applyFont="1" applyFill="1" applyBorder="1" applyAlignment="1">
      <alignment horizontal="center" vertical="center"/>
    </xf>
    <xf numFmtId="0" fontId="6" fillId="0" borderId="41" xfId="0" applyFont="1" applyBorder="1"/>
    <xf numFmtId="0" fontId="6" fillId="0" borderId="26" xfId="0" applyFont="1" applyBorder="1"/>
    <xf numFmtId="0" fontId="23" fillId="0" borderId="20" xfId="0" applyFont="1" applyBorder="1" applyAlignment="1">
      <alignment horizontal="right"/>
    </xf>
    <xf numFmtId="0" fontId="27" fillId="0" borderId="14" xfId="0" applyFont="1" applyBorder="1" applyAlignment="1">
      <alignment vertical="center" wrapText="1"/>
    </xf>
    <xf numFmtId="0" fontId="41" fillId="0" borderId="20" xfId="0" applyFont="1" applyBorder="1" applyAlignment="1">
      <alignment horizontal="right"/>
    </xf>
    <xf numFmtId="0" fontId="33" fillId="0" borderId="14" xfId="0" applyFont="1" applyBorder="1"/>
    <xf numFmtId="0" fontId="33" fillId="0" borderId="14" xfId="0" applyFont="1" applyBorder="1" applyAlignment="1">
      <alignment horizontal="center"/>
    </xf>
    <xf numFmtId="0" fontId="23" fillId="0" borderId="14" xfId="0" applyFont="1" applyBorder="1"/>
    <xf numFmtId="0" fontId="23" fillId="0" borderId="18" xfId="0" applyFont="1" applyBorder="1"/>
    <xf numFmtId="168" fontId="23" fillId="0" borderId="18" xfId="4" applyNumberFormat="1" applyFont="1" applyBorder="1" applyProtection="1"/>
    <xf numFmtId="0" fontId="23" fillId="0" borderId="18" xfId="0" applyFont="1" applyBorder="1" applyAlignment="1">
      <alignment horizontal="center"/>
    </xf>
    <xf numFmtId="0" fontId="33" fillId="0" borderId="20" xfId="0" applyFont="1" applyBorder="1" applyAlignment="1">
      <alignment horizontal="right"/>
    </xf>
    <xf numFmtId="167" fontId="33" fillId="0" borderId="4" xfId="0" applyNumberFormat="1" applyFont="1" applyBorder="1" applyAlignment="1">
      <alignment horizontal="center"/>
    </xf>
    <xf numFmtId="9" fontId="11" fillId="0" borderId="4" xfId="5" applyFont="1" applyFill="1" applyBorder="1" applyAlignment="1" applyProtection="1">
      <alignment horizontal="center"/>
    </xf>
    <xf numFmtId="9" fontId="37" fillId="0" borderId="4" xfId="5" applyFont="1" applyFill="1" applyBorder="1" applyAlignment="1" applyProtection="1">
      <alignment horizontal="center"/>
    </xf>
    <xf numFmtId="0" fontId="41" fillId="0" borderId="16" xfId="0" applyFont="1" applyBorder="1"/>
    <xf numFmtId="0" fontId="41" fillId="0" borderId="44" xfId="0" applyFont="1" applyBorder="1" applyAlignment="1">
      <alignment horizontal="center"/>
    </xf>
    <xf numFmtId="0" fontId="42" fillId="0" borderId="45" xfId="0" applyFont="1" applyBorder="1" applyAlignment="1">
      <alignment vertical="center" wrapText="1"/>
    </xf>
    <xf numFmtId="0" fontId="41" fillId="0" borderId="19" xfId="0" applyFont="1" applyBorder="1" applyAlignment="1">
      <alignment horizontal="right"/>
    </xf>
    <xf numFmtId="0" fontId="6" fillId="0" borderId="21" xfId="0" applyFont="1" applyBorder="1"/>
    <xf numFmtId="1" fontId="6" fillId="0" borderId="10" xfId="0" applyNumberFormat="1" applyFont="1" applyBorder="1" applyAlignment="1">
      <alignment horizontal="center"/>
    </xf>
    <xf numFmtId="0" fontId="6" fillId="0" borderId="5" xfId="0" applyFont="1" applyBorder="1" applyAlignment="1">
      <alignment vertical="center"/>
    </xf>
    <xf numFmtId="0" fontId="33" fillId="0" borderId="19" xfId="0" applyFont="1" applyBorder="1" applyAlignment="1">
      <alignment horizontal="right"/>
    </xf>
    <xf numFmtId="0" fontId="33" fillId="0" borderId="7" xfId="0" applyFont="1" applyBorder="1" applyAlignment="1">
      <alignment horizontal="center"/>
    </xf>
    <xf numFmtId="3" fontId="66" fillId="3" borderId="15" xfId="0" applyNumberFormat="1" applyFont="1" applyFill="1" applyBorder="1" applyAlignment="1">
      <alignment horizontal="center"/>
    </xf>
    <xf numFmtId="0" fontId="41" fillId="0" borderId="4" xfId="0" applyFont="1" applyBorder="1" applyAlignment="1">
      <alignment horizontal="center"/>
    </xf>
    <xf numFmtId="3" fontId="66" fillId="3" borderId="14" xfId="0" applyNumberFormat="1" applyFont="1" applyFill="1" applyBorder="1" applyAlignment="1">
      <alignment horizontal="center"/>
    </xf>
    <xf numFmtId="0" fontId="7" fillId="0" borderId="20" xfId="0" applyFont="1" applyBorder="1" applyAlignment="1">
      <alignment horizontal="right"/>
    </xf>
    <xf numFmtId="0" fontId="41" fillId="0" borderId="14" xfId="0" applyFont="1" applyBorder="1" applyAlignment="1">
      <alignment vertical="center" wrapText="1"/>
    </xf>
    <xf numFmtId="0" fontId="41" fillId="0" borderId="21" xfId="0" applyFont="1" applyBorder="1"/>
    <xf numFmtId="9" fontId="41" fillId="0" borderId="10" xfId="5" applyFont="1" applyFill="1" applyBorder="1" applyAlignment="1" applyProtection="1">
      <alignment horizontal="center"/>
    </xf>
    <xf numFmtId="0" fontId="41" fillId="0" borderId="5" xfId="0" applyFont="1" applyBorder="1" applyAlignment="1">
      <alignment vertical="center" wrapText="1"/>
    </xf>
    <xf numFmtId="0" fontId="33" fillId="0" borderId="21" xfId="0" applyFont="1" applyBorder="1"/>
    <xf numFmtId="1" fontId="38" fillId="0" borderId="10" xfId="0" applyNumberFormat="1" applyFont="1" applyBorder="1" applyAlignment="1">
      <alignment horizontal="center"/>
    </xf>
    <xf numFmtId="2" fontId="41" fillId="0" borderId="7" xfId="0" applyNumberFormat="1" applyFont="1" applyBorder="1" applyAlignment="1">
      <alignment horizontal="center"/>
    </xf>
    <xf numFmtId="0" fontId="41" fillId="0" borderId="15" xfId="0" applyFont="1" applyBorder="1"/>
    <xf numFmtId="0" fontId="23" fillId="0" borderId="14" xfId="0" applyFont="1" applyBorder="1" applyAlignment="1">
      <alignment vertical="center" wrapText="1"/>
    </xf>
    <xf numFmtId="0" fontId="23" fillId="0" borderId="21" xfId="0" applyFont="1" applyBorder="1"/>
    <xf numFmtId="164" fontId="41" fillId="0" borderId="7" xfId="0" applyNumberFormat="1" applyFont="1" applyBorder="1" applyAlignment="1">
      <alignment horizontal="center"/>
    </xf>
    <xf numFmtId="0" fontId="41" fillId="0" borderId="15" xfId="0" applyFont="1" applyBorder="1" applyAlignment="1">
      <alignment vertical="center" wrapText="1"/>
    </xf>
    <xf numFmtId="1" fontId="7" fillId="0" borderId="10" xfId="0" applyNumberFormat="1" applyFont="1" applyBorder="1" applyAlignment="1">
      <alignment horizontal="center"/>
    </xf>
    <xf numFmtId="0" fontId="23" fillId="0" borderId="5" xfId="0" applyFont="1" applyBorder="1" applyAlignment="1">
      <alignment vertical="center" wrapText="1"/>
    </xf>
    <xf numFmtId="0" fontId="7" fillId="0" borderId="19" xfId="0" applyFont="1" applyBorder="1" applyAlignment="1">
      <alignment horizontal="right"/>
    </xf>
    <xf numFmtId="2" fontId="7" fillId="2" borderId="7" xfId="0" applyNumberFormat="1" applyFont="1" applyFill="1" applyBorder="1" applyAlignment="1">
      <alignment horizontal="center"/>
    </xf>
    <xf numFmtId="0" fontId="8" fillId="0" borderId="15" xfId="0" applyFont="1" applyBorder="1" applyAlignment="1">
      <alignment vertical="center" wrapText="1"/>
    </xf>
    <xf numFmtId="0" fontId="23" fillId="0" borderId="15" xfId="0" applyFont="1" applyBorder="1"/>
    <xf numFmtId="0" fontId="41" fillId="0" borderId="5" xfId="0" applyFont="1" applyBorder="1"/>
    <xf numFmtId="0" fontId="6" fillId="0" borderId="33" xfId="0" applyFont="1" applyBorder="1"/>
    <xf numFmtId="0" fontId="42" fillId="0" borderId="0" xfId="0" applyFont="1" applyAlignment="1">
      <alignment horizontal="left" vertical="center" wrapText="1"/>
    </xf>
    <xf numFmtId="0" fontId="11" fillId="0" borderId="0" xfId="0" applyFont="1" applyAlignment="1">
      <alignment vertical="center"/>
    </xf>
    <xf numFmtId="1" fontId="33" fillId="15" borderId="4" xfId="0" applyNumberFormat="1" applyFont="1" applyFill="1" applyBorder="1" applyAlignment="1" applyProtection="1">
      <alignment horizontal="center"/>
      <protection locked="0"/>
    </xf>
    <xf numFmtId="0" fontId="3" fillId="0" borderId="0" xfId="0" applyFont="1"/>
    <xf numFmtId="0" fontId="48" fillId="0" borderId="0" xfId="0" applyFont="1"/>
    <xf numFmtId="0" fontId="0" fillId="0" borderId="47" xfId="0" applyBorder="1"/>
    <xf numFmtId="3" fontId="33" fillId="0" borderId="31" xfId="0" applyNumberFormat="1" applyFont="1" applyBorder="1"/>
    <xf numFmtId="0" fontId="6" fillId="0" borderId="31" xfId="0" applyFont="1" applyBorder="1" applyAlignment="1">
      <alignment horizontal="center" wrapText="1"/>
    </xf>
    <xf numFmtId="3" fontId="41" fillId="0" borderId="31" xfId="0" applyNumberFormat="1" applyFont="1" applyBorder="1"/>
    <xf numFmtId="0" fontId="6" fillId="0" borderId="31" xfId="0" applyFont="1" applyBorder="1"/>
    <xf numFmtId="0" fontId="3" fillId="0" borderId="40" xfId="0" applyFont="1" applyBorder="1"/>
    <xf numFmtId="0" fontId="3" fillId="0" borderId="41" xfId="0" applyFont="1" applyBorder="1"/>
    <xf numFmtId="3" fontId="33" fillId="13" borderId="31" xfId="0" applyNumberFormat="1" applyFont="1" applyFill="1" applyBorder="1"/>
    <xf numFmtId="1" fontId="33" fillId="0" borderId="0" xfId="0" applyNumberFormat="1" applyFont="1"/>
    <xf numFmtId="2" fontId="6" fillId="0" borderId="0" xfId="0" applyNumberFormat="1" applyFont="1"/>
    <xf numFmtId="0" fontId="3" fillId="0" borderId="26" xfId="0" applyFont="1" applyBorder="1"/>
    <xf numFmtId="0" fontId="6" fillId="0" borderId="16" xfId="0" applyFont="1" applyBorder="1"/>
    <xf numFmtId="0" fontId="12" fillId="0" borderId="0" xfId="0" applyFont="1" applyAlignment="1">
      <alignment horizontal="left"/>
    </xf>
    <xf numFmtId="0" fontId="0" fillId="11" borderId="1" xfId="0" applyFill="1" applyBorder="1"/>
    <xf numFmtId="2" fontId="0" fillId="0" borderId="1" xfId="0" quotePrefix="1" applyNumberFormat="1" applyBorder="1" applyAlignment="1">
      <alignment horizontal="left"/>
    </xf>
    <xf numFmtId="9" fontId="78" fillId="0" borderId="0" xfId="4" applyFont="1" applyBorder="1" applyProtection="1"/>
    <xf numFmtId="9" fontId="78" fillId="0" borderId="26" xfId="4" applyFont="1" applyBorder="1" applyProtection="1"/>
    <xf numFmtId="2" fontId="0" fillId="0" borderId="1" xfId="0" applyNumberFormat="1" applyBorder="1" applyAlignment="1">
      <alignment horizontal="left"/>
    </xf>
    <xf numFmtId="9" fontId="82" fillId="0" borderId="0" xfId="4" applyFont="1" applyFill="1" applyBorder="1" applyAlignment="1" applyProtection="1">
      <alignment horizontal="center" vertical="center" wrapText="1"/>
    </xf>
    <xf numFmtId="0" fontId="0" fillId="8" borderId="16" xfId="0" applyFill="1" applyBorder="1"/>
    <xf numFmtId="0" fontId="0" fillId="8" borderId="0" xfId="0" applyFill="1"/>
    <xf numFmtId="0" fontId="6" fillId="0" borderId="61" xfId="0" applyFont="1" applyBorder="1" applyAlignment="1">
      <alignment horizontal="center"/>
    </xf>
    <xf numFmtId="0" fontId="23" fillId="0" borderId="61" xfId="0" applyFont="1" applyBorder="1" applyAlignment="1">
      <alignment horizontal="center"/>
    </xf>
    <xf numFmtId="0" fontId="0" fillId="11" borderId="1" xfId="0" applyFill="1" applyBorder="1" applyAlignment="1">
      <alignment horizontal="right"/>
    </xf>
    <xf numFmtId="0" fontId="0" fillId="0" borderId="0" xfId="0" applyAlignment="1">
      <alignment horizontal="right"/>
    </xf>
    <xf numFmtId="9" fontId="79" fillId="0" borderId="26" xfId="4" applyFont="1" applyBorder="1" applyProtection="1"/>
    <xf numFmtId="0" fontId="6" fillId="0" borderId="1" xfId="0" applyFont="1" applyBorder="1"/>
    <xf numFmtId="164" fontId="0" fillId="0" borderId="1" xfId="0" applyNumberFormat="1" applyBorder="1" applyAlignment="1">
      <alignment horizontal="right"/>
    </xf>
    <xf numFmtId="9" fontId="94" fillId="0" borderId="26" xfId="0" applyNumberFormat="1" applyFont="1" applyBorder="1"/>
    <xf numFmtId="0" fontId="0" fillId="0" borderId="1" xfId="0" applyBorder="1"/>
    <xf numFmtId="9" fontId="82" fillId="12" borderId="1" xfId="4" applyFont="1" applyFill="1" applyBorder="1" applyAlignment="1" applyProtection="1">
      <alignment horizontal="center" vertical="center" wrapText="1"/>
    </xf>
    <xf numFmtId="0" fontId="82" fillId="12" borderId="1" xfId="0" quotePrefix="1" applyFont="1" applyFill="1" applyBorder="1" applyAlignment="1">
      <alignment horizontal="center" vertical="center" wrapText="1"/>
    </xf>
    <xf numFmtId="9" fontId="82" fillId="0" borderId="1" xfId="4" applyFont="1" applyFill="1" applyBorder="1" applyAlignment="1" applyProtection="1">
      <alignment horizontal="center" vertical="center" wrapText="1"/>
    </xf>
    <xf numFmtId="0" fontId="0" fillId="0" borderId="0" xfId="0" quotePrefix="1"/>
    <xf numFmtId="0" fontId="0" fillId="0" borderId="1" xfId="0" applyBorder="1" applyAlignment="1">
      <alignment horizontal="center" wrapText="1"/>
    </xf>
    <xf numFmtId="16" fontId="82" fillId="12" borderId="1" xfId="0" quotePrefix="1" applyNumberFormat="1" applyFont="1" applyFill="1" applyBorder="1" applyAlignment="1">
      <alignment horizontal="center" vertical="center" wrapText="1"/>
    </xf>
    <xf numFmtId="0" fontId="0" fillId="0" borderId="1" xfId="0" applyBorder="1" applyAlignment="1">
      <alignment horizontal="center"/>
    </xf>
    <xf numFmtId="169" fontId="0" fillId="0" borderId="1" xfId="0" applyNumberFormat="1" applyBorder="1"/>
    <xf numFmtId="168" fontId="78" fillId="0" borderId="0" xfId="4" applyNumberFormat="1" applyFont="1" applyBorder="1" applyProtection="1"/>
    <xf numFmtId="9" fontId="78" fillId="0" borderId="0" xfId="4" applyFont="1" applyBorder="1" applyAlignment="1" applyProtection="1">
      <alignment horizontal="center"/>
    </xf>
    <xf numFmtId="0" fontId="33" fillId="0" borderId="25" xfId="0" applyFont="1" applyBorder="1" applyAlignment="1">
      <alignment horizontal="right"/>
    </xf>
    <xf numFmtId="0" fontId="33" fillId="0" borderId="15" xfId="0" applyFont="1" applyBorder="1" applyAlignment="1">
      <alignment horizontal="center"/>
    </xf>
    <xf numFmtId="9" fontId="78" fillId="0" borderId="1" xfId="4" applyFont="1" applyBorder="1" applyProtection="1"/>
    <xf numFmtId="167" fontId="0" fillId="0" borderId="1" xfId="0" applyNumberFormat="1" applyBorder="1"/>
    <xf numFmtId="168" fontId="37" fillId="0" borderId="14" xfId="5" applyNumberFormat="1" applyFont="1" applyFill="1" applyBorder="1" applyAlignment="1" applyProtection="1">
      <alignment horizontal="center"/>
    </xf>
    <xf numFmtId="0" fontId="8" fillId="0" borderId="0" xfId="0" applyFont="1" applyAlignment="1">
      <alignment vertical="center" wrapText="1"/>
    </xf>
    <xf numFmtId="0" fontId="45" fillId="0" borderId="0" xfId="0" applyFont="1" applyAlignment="1">
      <alignment vertical="center" wrapText="1"/>
    </xf>
    <xf numFmtId="168" fontId="66" fillId="4" borderId="14" xfId="5" applyNumberFormat="1" applyFont="1" applyFill="1" applyBorder="1" applyAlignment="1" applyProtection="1">
      <alignment horizontal="center"/>
    </xf>
    <xf numFmtId="9" fontId="79" fillId="0" borderId="1" xfId="4" applyFont="1" applyBorder="1" applyProtection="1"/>
    <xf numFmtId="9" fontId="94" fillId="0" borderId="1" xfId="0" applyNumberFormat="1" applyFont="1" applyBorder="1"/>
    <xf numFmtId="168" fontId="66" fillId="4" borderId="14" xfId="0" applyNumberFormat="1" applyFont="1" applyFill="1" applyBorder="1" applyAlignment="1">
      <alignment horizontal="center"/>
    </xf>
    <xf numFmtId="167" fontId="33" fillId="0" borderId="14" xfId="0" applyNumberFormat="1" applyFont="1" applyBorder="1" applyAlignment="1">
      <alignment horizontal="center"/>
    </xf>
    <xf numFmtId="171" fontId="66" fillId="4" borderId="14" xfId="0" applyNumberFormat="1" applyFont="1" applyFill="1" applyBorder="1" applyAlignment="1">
      <alignment horizontal="center"/>
    </xf>
    <xf numFmtId="0" fontId="45" fillId="0" borderId="16" xfId="0" applyFont="1" applyBorder="1" applyAlignment="1">
      <alignment vertical="center" wrapText="1"/>
    </xf>
    <xf numFmtId="0" fontId="66" fillId="4" borderId="14" xfId="0" applyFont="1" applyFill="1" applyBorder="1" applyAlignment="1">
      <alignment horizontal="center"/>
    </xf>
    <xf numFmtId="9" fontId="66" fillId="4" borderId="14" xfId="5" applyFont="1" applyFill="1" applyBorder="1" applyAlignment="1" applyProtection="1">
      <alignment horizontal="center"/>
    </xf>
    <xf numFmtId="9" fontId="33" fillId="0" borderId="4" xfId="4" applyFont="1" applyFill="1" applyBorder="1" applyAlignment="1" applyProtection="1">
      <alignment horizontal="center"/>
    </xf>
    <xf numFmtId="2" fontId="6" fillId="0" borderId="46" xfId="0" applyNumberFormat="1" applyFont="1" applyBorder="1" applyAlignment="1">
      <alignment horizontal="center"/>
    </xf>
    <xf numFmtId="2" fontId="41" fillId="0" borderId="4" xfId="0" applyNumberFormat="1" applyFont="1" applyBorder="1" applyAlignment="1">
      <alignment horizontal="center"/>
    </xf>
    <xf numFmtId="2" fontId="6" fillId="0" borderId="14" xfId="0" applyNumberFormat="1" applyFont="1" applyBorder="1" applyAlignment="1">
      <alignment horizontal="center"/>
    </xf>
    <xf numFmtId="0" fontId="7" fillId="0" borderId="51" xfId="0" applyFont="1" applyBorder="1" applyAlignment="1">
      <alignment horizontal="right"/>
    </xf>
    <xf numFmtId="2" fontId="38" fillId="2" borderId="44" xfId="0" applyNumberFormat="1" applyFont="1" applyFill="1" applyBorder="1" applyAlignment="1">
      <alignment horizontal="center"/>
    </xf>
    <xf numFmtId="1" fontId="55" fillId="0" borderId="45" xfId="0" applyNumberFormat="1" applyFont="1" applyBorder="1" applyAlignment="1">
      <alignment horizontal="left"/>
    </xf>
    <xf numFmtId="2" fontId="38" fillId="2" borderId="30" xfId="0" applyNumberFormat="1" applyFont="1" applyFill="1" applyBorder="1" applyAlignment="1">
      <alignment horizontal="center"/>
    </xf>
    <xf numFmtId="0" fontId="41" fillId="0" borderId="17" xfId="0" applyFont="1" applyBorder="1"/>
    <xf numFmtId="164" fontId="41" fillId="0" borderId="3" xfId="0" applyNumberFormat="1" applyFont="1" applyBorder="1" applyAlignment="1">
      <alignment horizontal="center"/>
    </xf>
    <xf numFmtId="164" fontId="41" fillId="0" borderId="15" xfId="0" applyNumberFormat="1" applyFont="1" applyBorder="1" applyAlignment="1">
      <alignment horizontal="center"/>
    </xf>
    <xf numFmtId="0" fontId="6" fillId="0" borderId="50" xfId="0" applyFont="1" applyBorder="1"/>
    <xf numFmtId="0" fontId="0" fillId="0" borderId="17" xfId="0" applyBorder="1" applyAlignment="1">
      <alignment horizontal="center"/>
    </xf>
    <xf numFmtId="169" fontId="0" fillId="0" borderId="17" xfId="0" applyNumberFormat="1" applyBorder="1"/>
    <xf numFmtId="168" fontId="78" fillId="0" borderId="42" xfId="4" applyNumberFormat="1" applyFont="1" applyBorder="1" applyProtection="1"/>
    <xf numFmtId="0" fontId="3" fillId="0" borderId="42" xfId="0" applyFont="1" applyBorder="1"/>
    <xf numFmtId="0" fontId="3" fillId="0" borderId="33" xfId="0" applyFont="1" applyBorder="1"/>
    <xf numFmtId="0" fontId="6" fillId="0" borderId="42" xfId="0" applyFont="1" applyBorder="1"/>
    <xf numFmtId="167" fontId="0" fillId="0" borderId="17" xfId="0" applyNumberFormat="1" applyBorder="1"/>
    <xf numFmtId="2" fontId="7" fillId="2" borderId="30" xfId="0" applyNumberFormat="1" applyFont="1" applyFill="1" applyBorder="1" applyAlignment="1">
      <alignment horizontal="center"/>
    </xf>
    <xf numFmtId="1" fontId="7" fillId="0" borderId="45" xfId="0" applyNumberFormat="1" applyFont="1" applyBorder="1" applyAlignment="1">
      <alignment horizontal="center"/>
    </xf>
    <xf numFmtId="1" fontId="38" fillId="0" borderId="17" xfId="0" applyNumberFormat="1" applyFont="1" applyBorder="1" applyAlignment="1">
      <alignment horizontal="center"/>
    </xf>
    <xf numFmtId="2" fontId="7" fillId="2" borderId="3" xfId="0" applyNumberFormat="1" applyFont="1" applyFill="1" applyBorder="1" applyAlignment="1">
      <alignment horizontal="center"/>
    </xf>
    <xf numFmtId="1" fontId="7" fillId="0" borderId="15" xfId="0" applyNumberFormat="1" applyFont="1" applyBorder="1" applyAlignment="1">
      <alignment horizontal="center"/>
    </xf>
    <xf numFmtId="1" fontId="7" fillId="0" borderId="30" xfId="0" applyNumberFormat="1" applyFont="1" applyBorder="1" applyAlignment="1">
      <alignment horizontal="center"/>
    </xf>
    <xf numFmtId="0" fontId="3" fillId="0" borderId="15" xfId="0" applyFont="1" applyBorder="1"/>
    <xf numFmtId="1" fontId="40" fillId="0" borderId="52" xfId="0" applyNumberFormat="1" applyFont="1" applyBorder="1" applyAlignment="1">
      <alignment horizontal="center"/>
    </xf>
    <xf numFmtId="1" fontId="40" fillId="0" borderId="32" xfId="0" applyNumberFormat="1" applyFont="1" applyBorder="1" applyAlignment="1">
      <alignment horizontal="center"/>
    </xf>
    <xf numFmtId="1" fontId="6" fillId="0" borderId="0" xfId="0" applyNumberFormat="1" applyFont="1"/>
    <xf numFmtId="1" fontId="6" fillId="0" borderId="26" xfId="0" applyNumberFormat="1" applyFont="1" applyBorder="1"/>
    <xf numFmtId="3" fontId="7" fillId="2" borderId="5" xfId="0" applyNumberFormat="1" applyFont="1" applyFill="1" applyBorder="1" applyAlignment="1">
      <alignment horizontal="center"/>
    </xf>
    <xf numFmtId="0" fontId="57" fillId="0" borderId="0" xfId="0" applyFont="1"/>
    <xf numFmtId="0" fontId="18" fillId="0" borderId="0" xfId="0" applyFont="1"/>
    <xf numFmtId="9" fontId="3" fillId="0" borderId="0" xfId="0" applyNumberFormat="1" applyFont="1"/>
    <xf numFmtId="171" fontId="3" fillId="0" borderId="0" xfId="0" applyNumberFormat="1" applyFont="1"/>
    <xf numFmtId="168" fontId="3" fillId="0" borderId="0" xfId="0" applyNumberFormat="1" applyFont="1"/>
    <xf numFmtId="2" fontId="11" fillId="0" borderId="27" xfId="0" applyNumberFormat="1" applyFont="1" applyBorder="1" applyAlignment="1">
      <alignment horizontal="center"/>
    </xf>
    <xf numFmtId="2" fontId="11" fillId="0" borderId="4" xfId="0" applyNumberFormat="1" applyFont="1" applyBorder="1" applyAlignment="1">
      <alignment horizontal="center"/>
    </xf>
    <xf numFmtId="0" fontId="6" fillId="0" borderId="38" xfId="0" applyFont="1" applyBorder="1" applyAlignment="1">
      <alignment horizontal="right"/>
    </xf>
    <xf numFmtId="164" fontId="41" fillId="0" borderId="46" xfId="0" applyNumberFormat="1" applyFont="1" applyBorder="1" applyAlignment="1">
      <alignment horizontal="center"/>
    </xf>
    <xf numFmtId="2" fontId="7" fillId="2" borderId="44" xfId="0" applyNumberFormat="1" applyFont="1" applyFill="1" applyBorder="1" applyAlignment="1">
      <alignment horizontal="center"/>
    </xf>
    <xf numFmtId="2" fontId="7" fillId="2" borderId="27" xfId="0" applyNumberFormat="1" applyFont="1" applyFill="1" applyBorder="1" applyAlignment="1">
      <alignment horizontal="center"/>
    </xf>
    <xf numFmtId="1" fontId="7" fillId="0" borderId="46" xfId="0" applyNumberFormat="1" applyFont="1" applyBorder="1" applyAlignment="1">
      <alignment horizontal="center"/>
    </xf>
    <xf numFmtId="0" fontId="41" fillId="0" borderId="51" xfId="0" applyFont="1" applyBorder="1"/>
    <xf numFmtId="0" fontId="11" fillId="0" borderId="38" xfId="0" applyFont="1" applyBorder="1" applyAlignment="1">
      <alignment horizontal="right"/>
    </xf>
    <xf numFmtId="0" fontId="3" fillId="0" borderId="36" xfId="0" applyFont="1" applyBorder="1"/>
    <xf numFmtId="0" fontId="7" fillId="0" borderId="0" xfId="0" applyFont="1" applyAlignment="1">
      <alignment horizontal="left"/>
    </xf>
    <xf numFmtId="0" fontId="6" fillId="0" borderId="0" xfId="0" applyFont="1" applyAlignment="1">
      <alignment horizontal="left"/>
    </xf>
    <xf numFmtId="0" fontId="3" fillId="0" borderId="0" xfId="0" quotePrefix="1" applyFont="1"/>
    <xf numFmtId="2" fontId="38" fillId="2" borderId="65" xfId="0" applyNumberFormat="1" applyFont="1" applyFill="1" applyBorder="1" applyAlignment="1">
      <alignment horizontal="center"/>
    </xf>
    <xf numFmtId="0" fontId="41" fillId="0" borderId="57" xfId="0" applyFont="1" applyBorder="1"/>
    <xf numFmtId="2" fontId="7" fillId="2" borderId="65" xfId="0" applyNumberFormat="1" applyFont="1" applyFill="1" applyBorder="1" applyAlignment="1">
      <alignment horizontal="center"/>
    </xf>
    <xf numFmtId="1" fontId="38" fillId="0" borderId="57" xfId="0" applyNumberFormat="1" applyFont="1" applyBorder="1" applyAlignment="1">
      <alignment horizontal="center"/>
    </xf>
    <xf numFmtId="1" fontId="7" fillId="0" borderId="65" xfId="0" applyNumberFormat="1" applyFont="1" applyBorder="1" applyAlignment="1">
      <alignment horizontal="center"/>
    </xf>
    <xf numFmtId="3" fontId="6" fillId="0" borderId="27" xfId="0" applyNumberFormat="1" applyFont="1" applyBorder="1" applyAlignment="1">
      <alignment horizontal="center"/>
    </xf>
    <xf numFmtId="2" fontId="38" fillId="2" borderId="53" xfId="0" applyNumberFormat="1" applyFont="1" applyFill="1" applyBorder="1" applyAlignment="1">
      <alignment horizontal="center"/>
    </xf>
    <xf numFmtId="1" fontId="7" fillId="0" borderId="43" xfId="0" applyNumberFormat="1" applyFont="1" applyBorder="1" applyAlignment="1">
      <alignment horizontal="center"/>
    </xf>
    <xf numFmtId="2" fontId="7" fillId="0" borderId="30" xfId="0" applyNumberFormat="1" applyFont="1" applyBorder="1" applyAlignment="1">
      <alignment horizontal="center"/>
    </xf>
    <xf numFmtId="0" fontId="3" fillId="0" borderId="46" xfId="0" applyFont="1" applyBorder="1"/>
    <xf numFmtId="0" fontId="6" fillId="0" borderId="15" xfId="0" applyFont="1" applyBorder="1" applyAlignment="1">
      <alignment horizontal="center"/>
    </xf>
    <xf numFmtId="167" fontId="6" fillId="0" borderId="14" xfId="0" applyNumberFormat="1" applyFont="1" applyBorder="1" applyAlignment="1">
      <alignment horizontal="center"/>
    </xf>
    <xf numFmtId="9" fontId="11" fillId="0" borderId="14" xfId="5" applyFont="1" applyFill="1" applyBorder="1" applyAlignment="1" applyProtection="1">
      <alignment horizontal="center"/>
    </xf>
    <xf numFmtId="0" fontId="6" fillId="0" borderId="51" xfId="0" applyFont="1" applyBorder="1"/>
    <xf numFmtId="168" fontId="11" fillId="0" borderId="44" xfId="5" applyNumberFormat="1" applyFont="1" applyFill="1" applyBorder="1" applyAlignment="1" applyProtection="1">
      <alignment horizontal="center"/>
    </xf>
    <xf numFmtId="168" fontId="11" fillId="0" borderId="45" xfId="5" applyNumberFormat="1" applyFont="1" applyFill="1" applyBorder="1" applyAlignment="1" applyProtection="1">
      <alignment horizontal="center"/>
    </xf>
    <xf numFmtId="0" fontId="53" fillId="0" borderId="7" xfId="0" applyFont="1" applyBorder="1"/>
    <xf numFmtId="0" fontId="53" fillId="0" borderId="4" xfId="0" applyFont="1" applyBorder="1"/>
    <xf numFmtId="1" fontId="6" fillId="0" borderId="44" xfId="0" applyNumberFormat="1" applyFont="1" applyBorder="1" applyAlignment="1">
      <alignment horizontal="center"/>
    </xf>
    <xf numFmtId="1" fontId="6" fillId="0" borderId="45" xfId="0" applyNumberFormat="1" applyFont="1" applyBorder="1" applyAlignment="1">
      <alignment horizontal="center"/>
    </xf>
    <xf numFmtId="9" fontId="6" fillId="0" borderId="44" xfId="5" applyFont="1" applyFill="1" applyBorder="1" applyAlignment="1" applyProtection="1">
      <alignment horizontal="center"/>
    </xf>
    <xf numFmtId="9" fontId="6" fillId="0" borderId="45" xfId="5" applyFont="1" applyFill="1" applyBorder="1" applyAlignment="1" applyProtection="1">
      <alignment horizontal="center"/>
    </xf>
    <xf numFmtId="1" fontId="7" fillId="0" borderId="44" xfId="0" applyNumberFormat="1" applyFont="1" applyBorder="1" applyAlignment="1">
      <alignment horizontal="center"/>
    </xf>
    <xf numFmtId="164" fontId="66" fillId="4" borderId="15" xfId="0" applyNumberFormat="1" applyFont="1" applyFill="1" applyBorder="1" applyAlignment="1">
      <alignment horizontal="center"/>
    </xf>
    <xf numFmtId="164" fontId="6" fillId="0" borderId="4" xfId="0" applyNumberFormat="1" applyFont="1" applyBorder="1" applyAlignment="1">
      <alignment horizontal="center"/>
    </xf>
    <xf numFmtId="0" fontId="53" fillId="0" borderId="46" xfId="0" applyFont="1" applyBorder="1"/>
    <xf numFmtId="1" fontId="5" fillId="0" borderId="41" xfId="0" applyNumberFormat="1" applyFont="1" applyBorder="1" applyAlignment="1">
      <alignment horizontal="center"/>
    </xf>
    <xf numFmtId="0" fontId="7" fillId="0" borderId="0" xfId="0" applyFont="1"/>
    <xf numFmtId="0" fontId="11" fillId="0" borderId="0" xfId="0" applyFont="1" applyAlignment="1">
      <alignment vertical="center" wrapText="1"/>
    </xf>
    <xf numFmtId="0" fontId="7" fillId="0" borderId="46" xfId="0" applyFont="1" applyBorder="1" applyAlignment="1">
      <alignment horizontal="left"/>
    </xf>
    <xf numFmtId="0" fontId="7" fillId="0" borderId="48" xfId="0" applyFont="1" applyBorder="1" applyAlignment="1">
      <alignment horizontal="left"/>
    </xf>
    <xf numFmtId="0" fontId="33" fillId="0" borderId="56" xfId="0" applyFont="1" applyBorder="1" applyAlignment="1">
      <alignment horizontal="center"/>
    </xf>
    <xf numFmtId="168" fontId="11" fillId="0" borderId="28" xfId="5" applyNumberFormat="1" applyFont="1" applyFill="1" applyBorder="1" applyAlignment="1" applyProtection="1">
      <alignment horizontal="center"/>
    </xf>
    <xf numFmtId="167" fontId="6" fillId="0" borderId="28" xfId="0" applyNumberFormat="1" applyFont="1" applyBorder="1" applyAlignment="1">
      <alignment horizontal="center"/>
    </xf>
    <xf numFmtId="3" fontId="66" fillId="4" borderId="18" xfId="0" applyNumberFormat="1" applyFont="1" applyFill="1" applyBorder="1" applyAlignment="1">
      <alignment horizontal="center"/>
    </xf>
    <xf numFmtId="3" fontId="66" fillId="4" borderId="2" xfId="0" applyNumberFormat="1" applyFont="1" applyFill="1" applyBorder="1" applyAlignment="1">
      <alignment horizontal="center"/>
    </xf>
    <xf numFmtId="168" fontId="66" fillId="4" borderId="28" xfId="0" applyNumberFormat="1" applyFont="1" applyFill="1" applyBorder="1" applyAlignment="1">
      <alignment horizontal="center"/>
    </xf>
    <xf numFmtId="9" fontId="33" fillId="0" borderId="10" xfId="5" applyFont="1" applyFill="1" applyBorder="1" applyAlignment="1" applyProtection="1">
      <alignment horizontal="center"/>
    </xf>
    <xf numFmtId="9" fontId="33" fillId="0" borderId="43" xfId="5" applyFont="1" applyFill="1" applyBorder="1" applyAlignment="1" applyProtection="1">
      <alignment horizontal="center"/>
    </xf>
    <xf numFmtId="9" fontId="33" fillId="0" borderId="55" xfId="5" applyFont="1" applyFill="1" applyBorder="1" applyAlignment="1" applyProtection="1">
      <alignment horizontal="center"/>
    </xf>
    <xf numFmtId="9" fontId="33" fillId="0" borderId="57" xfId="5" applyFont="1" applyFill="1" applyBorder="1" applyAlignment="1" applyProtection="1">
      <alignment horizontal="center"/>
    </xf>
    <xf numFmtId="9" fontId="66" fillId="4" borderId="46" xfId="0" applyNumberFormat="1" applyFont="1" applyFill="1" applyBorder="1" applyAlignment="1">
      <alignment horizontal="center"/>
    </xf>
    <xf numFmtId="9" fontId="41" fillId="0" borderId="18" xfId="5" applyFont="1" applyFill="1" applyBorder="1" applyAlignment="1" applyProtection="1">
      <alignment horizontal="center"/>
    </xf>
    <xf numFmtId="0" fontId="6" fillId="0" borderId="39" xfId="0" applyFont="1" applyBorder="1"/>
    <xf numFmtId="9" fontId="8" fillId="0" borderId="10" xfId="5" applyFont="1" applyFill="1" applyBorder="1" applyAlignment="1" applyProtection="1">
      <alignment horizontal="center"/>
    </xf>
    <xf numFmtId="9" fontId="23" fillId="0" borderId="43" xfId="5" applyFont="1" applyFill="1" applyBorder="1" applyAlignment="1" applyProtection="1">
      <alignment horizontal="center"/>
    </xf>
    <xf numFmtId="0" fontId="23" fillId="0" borderId="18" xfId="0" applyFont="1" applyBorder="1" applyAlignment="1">
      <alignment vertical="center" wrapText="1"/>
    </xf>
    <xf numFmtId="9" fontId="36" fillId="0" borderId="10" xfId="5" applyFont="1" applyFill="1" applyBorder="1" applyAlignment="1" applyProtection="1">
      <alignment horizontal="center"/>
    </xf>
    <xf numFmtId="9" fontId="41" fillId="0" borderId="43" xfId="5" applyFont="1" applyFill="1" applyBorder="1" applyAlignment="1" applyProtection="1">
      <alignment horizontal="center"/>
    </xf>
    <xf numFmtId="165" fontId="6" fillId="0" borderId="27" xfId="0" applyNumberFormat="1" applyFont="1" applyBorder="1" applyAlignment="1">
      <alignment horizontal="center"/>
    </xf>
    <xf numFmtId="0" fontId="6" fillId="0" borderId="14" xfId="0" applyFont="1" applyBorder="1" applyAlignment="1">
      <alignment vertical="center" wrapText="1"/>
    </xf>
    <xf numFmtId="165" fontId="41" fillId="0" borderId="27" xfId="0" applyNumberFormat="1" applyFont="1" applyBorder="1" applyAlignment="1">
      <alignment horizontal="center"/>
    </xf>
    <xf numFmtId="1" fontId="7" fillId="0" borderId="36" xfId="0" applyNumberFormat="1" applyFont="1" applyBorder="1" applyAlignment="1">
      <alignment horizontal="center"/>
    </xf>
    <xf numFmtId="164" fontId="23" fillId="0" borderId="4" xfId="0" applyNumberFormat="1" applyFont="1" applyBorder="1" applyAlignment="1">
      <alignment horizontal="center"/>
    </xf>
    <xf numFmtId="1" fontId="38" fillId="0" borderId="18" xfId="0" applyNumberFormat="1" applyFont="1" applyBorder="1" applyAlignment="1">
      <alignment horizontal="center"/>
    </xf>
    <xf numFmtId="165" fontId="6" fillId="0" borderId="4" xfId="0" applyNumberFormat="1" applyFont="1" applyBorder="1" applyAlignment="1">
      <alignment horizontal="center"/>
    </xf>
    <xf numFmtId="1" fontId="7" fillId="0" borderId="18" xfId="0" applyNumberFormat="1" applyFont="1" applyBorder="1" applyAlignment="1">
      <alignment horizontal="center"/>
    </xf>
    <xf numFmtId="1" fontId="38" fillId="0" borderId="43" xfId="0" applyNumberFormat="1" applyFont="1" applyBorder="1" applyAlignment="1">
      <alignment horizontal="center"/>
    </xf>
    <xf numFmtId="1" fontId="38" fillId="0" borderId="14" xfId="0" applyNumberFormat="1" applyFont="1" applyBorder="1" applyAlignment="1">
      <alignment horizontal="center"/>
    </xf>
    <xf numFmtId="0" fontId="42" fillId="0" borderId="41" xfId="0" applyFont="1" applyBorder="1"/>
    <xf numFmtId="0" fontId="42" fillId="0" borderId="40" xfId="0" applyFont="1" applyBorder="1"/>
    <xf numFmtId="0" fontId="37" fillId="0" borderId="0" xfId="0" applyFont="1" applyAlignment="1">
      <alignment vertical="center" wrapText="1"/>
    </xf>
    <xf numFmtId="0" fontId="42" fillId="0" borderId="0" xfId="0" applyFont="1" applyAlignment="1">
      <alignment vertical="center" wrapText="1"/>
    </xf>
    <xf numFmtId="0" fontId="27" fillId="0" borderId="0" xfId="0" applyFont="1" applyAlignment="1">
      <alignment vertical="center" wrapText="1"/>
    </xf>
    <xf numFmtId="1" fontId="33" fillId="15" borderId="7" xfId="0" applyNumberFormat="1" applyFont="1" applyFill="1" applyBorder="1" applyAlignment="1" applyProtection="1">
      <alignment horizontal="center"/>
      <protection locked="0"/>
    </xf>
    <xf numFmtId="0" fontId="83" fillId="0" borderId="0" xfId="0" applyFont="1"/>
    <xf numFmtId="0" fontId="12" fillId="0" borderId="0" xfId="0" applyFont="1" applyAlignment="1">
      <alignment horizontal="center"/>
    </xf>
    <xf numFmtId="0" fontId="13" fillId="0" borderId="8" xfId="0" applyFont="1" applyBorder="1" applyAlignment="1">
      <alignment horizontal="center" vertical="center" wrapText="1"/>
    </xf>
    <xf numFmtId="0" fontId="7" fillId="0" borderId="34" xfId="0" quotePrefix="1" applyFont="1" applyBorder="1"/>
    <xf numFmtId="0" fontId="71" fillId="0" borderId="31" xfId="0" applyFont="1" applyBorder="1" applyAlignment="1">
      <alignment horizontal="center" wrapText="1"/>
    </xf>
    <xf numFmtId="9" fontId="71" fillId="0" borderId="31" xfId="0" applyNumberFormat="1" applyFont="1" applyBorder="1" applyAlignment="1">
      <alignment horizontal="center" wrapText="1"/>
    </xf>
    <xf numFmtId="10" fontId="71" fillId="0" borderId="31" xfId="0" applyNumberFormat="1" applyFont="1" applyBorder="1" applyAlignment="1">
      <alignment horizontal="center" wrapText="1"/>
    </xf>
    <xf numFmtId="2" fontId="71" fillId="0" borderId="31" xfId="0" applyNumberFormat="1" applyFont="1" applyBorder="1" applyAlignment="1">
      <alignment horizontal="center" wrapText="1"/>
    </xf>
    <xf numFmtId="0" fontId="40" fillId="0" borderId="19" xfId="0" applyFont="1" applyBorder="1" applyAlignment="1">
      <alignment horizontal="center"/>
    </xf>
    <xf numFmtId="0" fontId="11" fillId="0" borderId="1" xfId="0" applyFont="1" applyBorder="1" applyAlignment="1">
      <alignment horizontal="center"/>
    </xf>
    <xf numFmtId="0" fontId="11" fillId="0" borderId="28" xfId="0" applyFont="1" applyBorder="1" applyAlignment="1">
      <alignment horizontal="center"/>
    </xf>
    <xf numFmtId="0" fontId="11" fillId="0" borderId="14" xfId="0" applyFont="1" applyBorder="1" applyAlignment="1">
      <alignment horizontal="center"/>
    </xf>
    <xf numFmtId="0" fontId="13" fillId="0" borderId="27" xfId="0" applyFont="1" applyBorder="1" applyAlignment="1">
      <alignment horizontal="right" vertical="center"/>
    </xf>
    <xf numFmtId="3" fontId="13" fillId="2" borderId="48" xfId="0" applyNumberFormat="1" applyFont="1" applyFill="1" applyBorder="1" applyAlignment="1">
      <alignment horizontal="center"/>
    </xf>
    <xf numFmtId="2" fontId="41" fillId="16" borderId="53" xfId="0" applyNumberFormat="1" applyFont="1" applyFill="1" applyBorder="1"/>
    <xf numFmtId="1" fontId="11" fillId="0" borderId="1" xfId="0" applyNumberFormat="1" applyFont="1" applyBorder="1" applyAlignment="1">
      <alignment horizontal="center"/>
    </xf>
    <xf numFmtId="167" fontId="7" fillId="2" borderId="28" xfId="0" applyNumberFormat="1" applyFont="1" applyFill="1" applyBorder="1" applyAlignment="1">
      <alignment horizontal="center"/>
    </xf>
    <xf numFmtId="167" fontId="41" fillId="0" borderId="1" xfId="0" applyNumberFormat="1" applyFont="1" applyBorder="1" applyAlignment="1">
      <alignment horizontal="center"/>
    </xf>
    <xf numFmtId="0" fontId="7" fillId="2" borderId="28" xfId="0" applyFont="1" applyFill="1" applyBorder="1" applyAlignment="1">
      <alignment horizontal="center"/>
    </xf>
    <xf numFmtId="3" fontId="5" fillId="2" borderId="29" xfId="0" applyNumberFormat="1" applyFont="1" applyFill="1" applyBorder="1" applyAlignment="1">
      <alignment horizontal="center"/>
    </xf>
    <xf numFmtId="0" fontId="7" fillId="0" borderId="4" xfId="0" applyFont="1" applyBorder="1" applyAlignment="1">
      <alignment horizontal="right" vertical="center"/>
    </xf>
    <xf numFmtId="1" fontId="7" fillId="2" borderId="1" xfId="0" applyNumberFormat="1" applyFont="1" applyFill="1" applyBorder="1" applyAlignment="1">
      <alignment horizontal="center"/>
    </xf>
    <xf numFmtId="1" fontId="7" fillId="2" borderId="15" xfId="0" applyNumberFormat="1" applyFont="1" applyFill="1" applyBorder="1" applyAlignment="1">
      <alignment horizontal="center"/>
    </xf>
    <xf numFmtId="9" fontId="41" fillId="0" borderId="1" xfId="4" applyFont="1" applyBorder="1" applyAlignment="1" applyProtection="1">
      <alignment horizontal="center"/>
    </xf>
    <xf numFmtId="1" fontId="5" fillId="0" borderId="29" xfId="0" applyNumberFormat="1" applyFont="1" applyBorder="1" applyAlignment="1">
      <alignment horizontal="center"/>
    </xf>
    <xf numFmtId="0" fontId="7" fillId="0" borderId="10" xfId="0" applyFont="1" applyBorder="1" applyAlignment="1">
      <alignment horizontal="right" vertical="center"/>
    </xf>
    <xf numFmtId="1" fontId="7" fillId="2" borderId="17" xfId="0" applyNumberFormat="1" applyFont="1" applyFill="1" applyBorder="1" applyAlignment="1">
      <alignment horizontal="center"/>
    </xf>
    <xf numFmtId="3" fontId="7" fillId="2" borderId="17" xfId="0" quotePrefix="1" applyNumberFormat="1" applyFont="1" applyFill="1" applyBorder="1" applyAlignment="1">
      <alignment horizontal="center"/>
    </xf>
    <xf numFmtId="3" fontId="5" fillId="2" borderId="21" xfId="0" applyNumberFormat="1" applyFont="1" applyFill="1" applyBorder="1" applyAlignment="1">
      <alignment horizontal="center"/>
    </xf>
    <xf numFmtId="3" fontId="5" fillId="2" borderId="20" xfId="0" applyNumberFormat="1" applyFont="1" applyFill="1" applyBorder="1" applyAlignment="1">
      <alignment horizontal="center"/>
    </xf>
    <xf numFmtId="1" fontId="5" fillId="0" borderId="20" xfId="0" applyNumberFormat="1" applyFont="1" applyBorder="1" applyAlignment="1">
      <alignment horizontal="center"/>
    </xf>
    <xf numFmtId="0" fontId="6" fillId="0" borderId="4" xfId="0" applyFont="1" applyBorder="1" applyAlignment="1">
      <alignment horizontal="right"/>
    </xf>
    <xf numFmtId="0" fontId="13" fillId="0" borderId="34" xfId="0" applyFont="1" applyBorder="1" applyAlignment="1">
      <alignment horizontal="right" vertical="center"/>
    </xf>
    <xf numFmtId="167" fontId="7" fillId="2" borderId="56" xfId="0" applyNumberFormat="1" applyFont="1" applyFill="1" applyBorder="1" applyAlignment="1">
      <alignment horizontal="center"/>
    </xf>
    <xf numFmtId="167" fontId="66" fillId="4" borderId="1" xfId="0" applyNumberFormat="1" applyFont="1" applyFill="1" applyBorder="1" applyAlignment="1">
      <alignment horizontal="center"/>
    </xf>
    <xf numFmtId="171" fontId="66" fillId="5" borderId="1" xfId="0" applyNumberFormat="1" applyFont="1" applyFill="1" applyBorder="1" applyAlignment="1">
      <alignment horizontal="center"/>
    </xf>
    <xf numFmtId="1" fontId="66" fillId="5" borderId="1" xfId="0" applyNumberFormat="1" applyFont="1" applyFill="1" applyBorder="1" applyAlignment="1">
      <alignment horizontal="center"/>
    </xf>
    <xf numFmtId="1" fontId="66" fillId="4" borderId="1" xfId="0" applyNumberFormat="1" applyFont="1" applyFill="1" applyBorder="1" applyAlignment="1">
      <alignment horizontal="center"/>
    </xf>
    <xf numFmtId="3" fontId="66" fillId="3" borderId="1" xfId="0" applyNumberFormat="1" applyFont="1" applyFill="1" applyBorder="1" applyAlignment="1">
      <alignment horizontal="center"/>
    </xf>
    <xf numFmtId="3" fontId="38" fillId="2" borderId="1" xfId="0" applyNumberFormat="1" applyFont="1" applyFill="1" applyBorder="1" applyAlignment="1">
      <alignment horizontal="center"/>
    </xf>
    <xf numFmtId="1" fontId="33" fillId="15" borderId="1" xfId="0" applyNumberFormat="1" applyFont="1" applyFill="1" applyBorder="1" applyAlignment="1">
      <alignment horizontal="center"/>
    </xf>
    <xf numFmtId="3" fontId="66" fillId="4" borderId="14" xfId="0" applyNumberFormat="1" applyFont="1" applyFill="1" applyBorder="1" applyAlignment="1">
      <alignment horizontal="center" vertical="center" wrapText="1"/>
    </xf>
    <xf numFmtId="0" fontId="66" fillId="0" borderId="46" xfId="0" applyFont="1" applyBorder="1" applyAlignment="1">
      <alignment wrapText="1"/>
    </xf>
    <xf numFmtId="0" fontId="6" fillId="0" borderId="34" xfId="0" applyFont="1" applyBorder="1" applyAlignment="1">
      <alignment horizontal="right" wrapText="1"/>
    </xf>
    <xf numFmtId="3" fontId="13" fillId="2" borderId="11" xfId="0" applyNumberFormat="1" applyFont="1" applyFill="1" applyBorder="1" applyAlignment="1">
      <alignment horizontal="center" vertical="center" wrapText="1"/>
    </xf>
    <xf numFmtId="0" fontId="38" fillId="0" borderId="38" xfId="0" applyFont="1" applyBorder="1" applyAlignment="1">
      <alignment horizontal="right"/>
    </xf>
    <xf numFmtId="3" fontId="38" fillId="2" borderId="25" xfId="0" applyNumberFormat="1" applyFont="1" applyFill="1" applyBorder="1" applyAlignment="1">
      <alignment horizontal="center"/>
    </xf>
    <xf numFmtId="0" fontId="38" fillId="0" borderId="39" xfId="0" applyFont="1" applyBorder="1" applyAlignment="1">
      <alignment horizontal="right"/>
    </xf>
    <xf numFmtId="0" fontId="95" fillId="0" borderId="0" xfId="0" applyFont="1" applyAlignment="1">
      <alignment horizontal="center" wrapText="1"/>
    </xf>
    <xf numFmtId="0" fontId="41" fillId="0" borderId="27" xfId="0" applyFont="1" applyBorder="1" applyAlignment="1">
      <alignment horizontal="right"/>
    </xf>
    <xf numFmtId="0" fontId="60" fillId="0" borderId="75" xfId="0" applyFont="1" applyBorder="1" applyAlignment="1">
      <alignment horizontal="center" vertical="center"/>
    </xf>
    <xf numFmtId="0" fontId="61" fillId="0" borderId="23" xfId="0" applyFont="1" applyBorder="1" applyAlignment="1">
      <alignment horizontal="center" vertical="center"/>
    </xf>
    <xf numFmtId="0" fontId="62" fillId="0" borderId="23" xfId="0" applyFont="1" applyBorder="1" applyAlignment="1">
      <alignment horizontal="center" vertical="center"/>
    </xf>
    <xf numFmtId="0" fontId="5" fillId="0" borderId="24" xfId="0" applyFont="1" applyBorder="1" applyAlignment="1">
      <alignment horizontal="center" vertical="center" wrapText="1"/>
    </xf>
    <xf numFmtId="0" fontId="5" fillId="0" borderId="13" xfId="0" applyFont="1" applyBorder="1" applyAlignment="1">
      <alignment horizontal="center" vertical="center" wrapText="1"/>
    </xf>
    <xf numFmtId="0" fontId="89" fillId="0" borderId="32" xfId="0" applyFont="1" applyBorder="1" applyAlignment="1">
      <alignment horizontal="center" vertical="center" wrapText="1"/>
    </xf>
    <xf numFmtId="3" fontId="41" fillId="0" borderId="18" xfId="0" applyNumberFormat="1" applyFont="1" applyBorder="1" applyAlignment="1">
      <alignment horizontal="center"/>
    </xf>
    <xf numFmtId="3" fontId="41" fillId="15" borderId="43" xfId="0" applyNumberFormat="1" applyFont="1" applyFill="1" applyBorder="1" applyAlignment="1" applyProtection="1">
      <alignment horizontal="center"/>
      <protection locked="0"/>
    </xf>
    <xf numFmtId="37" fontId="13" fillId="0" borderId="33" xfId="1" applyNumberFormat="1" applyFont="1" applyFill="1" applyBorder="1" applyAlignment="1" applyProtection="1">
      <alignment horizontal="center"/>
    </xf>
    <xf numFmtId="164" fontId="66" fillId="5" borderId="7" xfId="0" applyNumberFormat="1" applyFont="1" applyFill="1" applyBorder="1" applyAlignment="1" applyProtection="1">
      <alignment horizontal="center"/>
      <protection locked="0"/>
    </xf>
    <xf numFmtId="0" fontId="99" fillId="5" borderId="5" xfId="0" applyFont="1" applyFill="1" applyBorder="1" applyAlignment="1" applyProtection="1">
      <alignment horizontal="center" vertical="center" wrapText="1"/>
      <protection locked="0"/>
    </xf>
    <xf numFmtId="168" fontId="66" fillId="0" borderId="14" xfId="5" applyNumberFormat="1" applyFont="1" applyFill="1" applyBorder="1" applyAlignment="1" applyProtection="1">
      <alignment horizontal="center"/>
    </xf>
    <xf numFmtId="0" fontId="53" fillId="0" borderId="14" xfId="0" applyFont="1" applyBorder="1"/>
    <xf numFmtId="168" fontId="11" fillId="0" borderId="77" xfId="5" applyNumberFormat="1" applyFont="1" applyFill="1" applyBorder="1" applyAlignment="1" applyProtection="1">
      <alignment horizontal="center"/>
    </xf>
    <xf numFmtId="9" fontId="103" fillId="17" borderId="3" xfId="4" applyFont="1" applyFill="1" applyBorder="1" applyAlignment="1" applyProtection="1">
      <alignment horizontal="center"/>
      <protection locked="0"/>
    </xf>
    <xf numFmtId="9" fontId="23" fillId="0" borderId="0" xfId="0" applyNumberFormat="1" applyFont="1"/>
    <xf numFmtId="10" fontId="66" fillId="4" borderId="14" xfId="5" applyNumberFormat="1" applyFont="1" applyFill="1" applyBorder="1" applyAlignment="1" applyProtection="1">
      <alignment horizontal="center"/>
    </xf>
    <xf numFmtId="168" fontId="66" fillId="0" borderId="45" xfId="5" applyNumberFormat="1" applyFont="1" applyFill="1" applyBorder="1" applyAlignment="1" applyProtection="1">
      <alignment horizontal="center"/>
    </xf>
    <xf numFmtId="168" fontId="33" fillId="15" borderId="4" xfId="0" applyNumberFormat="1" applyFont="1" applyFill="1" applyBorder="1" applyAlignment="1" applyProtection="1">
      <alignment horizontal="center"/>
      <protection locked="0"/>
    </xf>
    <xf numFmtId="170" fontId="93" fillId="15" borderId="5" xfId="1" applyNumberFormat="1" applyFont="1" applyFill="1" applyBorder="1" applyProtection="1">
      <protection locked="0"/>
    </xf>
    <xf numFmtId="0" fontId="96" fillId="0" borderId="1" xfId="0" applyFont="1" applyBorder="1"/>
    <xf numFmtId="43" fontId="93" fillId="15" borderId="14" xfId="1" applyFont="1" applyFill="1" applyBorder="1" applyProtection="1">
      <protection locked="0"/>
    </xf>
    <xf numFmtId="169" fontId="93" fillId="15" borderId="14" xfId="1" applyNumberFormat="1" applyFont="1" applyFill="1" applyBorder="1" applyProtection="1">
      <protection locked="0"/>
    </xf>
    <xf numFmtId="1" fontId="53" fillId="0" borderId="4" xfId="0" applyNumberFormat="1" applyFont="1" applyBorder="1" applyAlignment="1">
      <alignment horizontal="center"/>
    </xf>
    <xf numFmtId="2" fontId="6" fillId="0" borderId="4" xfId="0" quotePrefix="1" applyNumberFormat="1" applyFont="1" applyBorder="1" applyAlignment="1">
      <alignment horizontal="center"/>
    </xf>
    <xf numFmtId="167" fontId="6" fillId="0" borderId="46" xfId="0" applyNumberFormat="1" applyFont="1" applyBorder="1" applyAlignment="1">
      <alignment horizontal="center"/>
    </xf>
    <xf numFmtId="168" fontId="11" fillId="0" borderId="10" xfId="5" applyNumberFormat="1" applyFont="1" applyFill="1" applyBorder="1" applyAlignment="1" applyProtection="1">
      <alignment horizontal="center"/>
    </xf>
    <xf numFmtId="168" fontId="11" fillId="0" borderId="5" xfId="5" applyNumberFormat="1" applyFont="1" applyFill="1" applyBorder="1" applyAlignment="1" applyProtection="1">
      <alignment horizontal="center"/>
    </xf>
    <xf numFmtId="1" fontId="53" fillId="0" borderId="16" xfId="0" applyNumberFormat="1" applyFont="1" applyBorder="1" applyAlignment="1">
      <alignment horizontal="center"/>
    </xf>
    <xf numFmtId="9" fontId="6" fillId="15" borderId="7" xfId="4" quotePrefix="1" applyFont="1" applyFill="1" applyBorder="1" applyAlignment="1" applyProtection="1">
      <alignment horizontal="center"/>
      <protection locked="0"/>
    </xf>
    <xf numFmtId="1" fontId="6" fillId="15" borderId="7" xfId="0" quotePrefix="1" applyNumberFormat="1" applyFont="1" applyFill="1" applyBorder="1" applyAlignment="1" applyProtection="1">
      <alignment horizontal="center"/>
      <protection locked="0"/>
    </xf>
    <xf numFmtId="0" fontId="93" fillId="0" borderId="17" xfId="0" applyFont="1" applyBorder="1"/>
    <xf numFmtId="170" fontId="93" fillId="0" borderId="49" xfId="1" applyNumberFormat="1" applyFont="1" applyFill="1" applyBorder="1" applyProtection="1"/>
    <xf numFmtId="9" fontId="78" fillId="0" borderId="42" xfId="4" applyFont="1" applyBorder="1" applyProtection="1"/>
    <xf numFmtId="0" fontId="107" fillId="0" borderId="0" xfId="0" applyFont="1"/>
    <xf numFmtId="0" fontId="73" fillId="18" borderId="9" xfId="0" applyFont="1" applyFill="1" applyBorder="1" applyAlignment="1">
      <alignment horizontal="center" wrapText="1"/>
    </xf>
    <xf numFmtId="176" fontId="0" fillId="0" borderId="0" xfId="0" applyNumberFormat="1"/>
    <xf numFmtId="0" fontId="0" fillId="0" borderId="0" xfId="0" applyAlignment="1">
      <alignment horizontal="left"/>
    </xf>
    <xf numFmtId="0" fontId="72" fillId="0" borderId="0" xfId="0" applyFont="1" applyAlignment="1">
      <alignment horizontal="right"/>
    </xf>
    <xf numFmtId="167" fontId="72" fillId="0" borderId="0" xfId="0" applyNumberFormat="1" applyFont="1"/>
    <xf numFmtId="167" fontId="0" fillId="0" borderId="0" xfId="0" applyNumberFormat="1" applyAlignment="1">
      <alignment horizontal="center" wrapText="1"/>
    </xf>
    <xf numFmtId="167" fontId="0" fillId="0" borderId="0" xfId="0" applyNumberFormat="1"/>
    <xf numFmtId="9" fontId="78" fillId="0" borderId="0" xfId="4" applyFont="1" applyAlignment="1" applyProtection="1">
      <alignment horizontal="center"/>
    </xf>
    <xf numFmtId="164" fontId="72" fillId="0" borderId="0" xfId="0" applyNumberFormat="1" applyFont="1"/>
    <xf numFmtId="0" fontId="80" fillId="0" borderId="0" xfId="0" applyFont="1" applyAlignment="1">
      <alignment horizontal="left"/>
    </xf>
    <xf numFmtId="0" fontId="93" fillId="0" borderId="0" xfId="0" applyFont="1"/>
    <xf numFmtId="0" fontId="0" fillId="0" borderId="12" xfId="0" applyBorder="1"/>
    <xf numFmtId="0" fontId="0" fillId="0" borderId="52" xfId="0" applyBorder="1"/>
    <xf numFmtId="0" fontId="87" fillId="0" borderId="52" xfId="0" applyFont="1" applyBorder="1"/>
    <xf numFmtId="0" fontId="97" fillId="0" borderId="52" xfId="0" applyFont="1" applyBorder="1"/>
    <xf numFmtId="0" fontId="79" fillId="0" borderId="38" xfId="0" applyFont="1" applyBorder="1" applyAlignment="1">
      <alignment horizontal="center" wrapText="1"/>
    </xf>
    <xf numFmtId="0" fontId="79" fillId="10" borderId="27" xfId="0" applyFont="1" applyFill="1" applyBorder="1" applyAlignment="1">
      <alignment horizontal="left" wrapText="1"/>
    </xf>
    <xf numFmtId="0" fontId="79" fillId="10" borderId="31" xfId="0" applyFont="1" applyFill="1" applyBorder="1" applyAlignment="1">
      <alignment horizontal="center" wrapText="1"/>
    </xf>
    <xf numFmtId="0" fontId="79" fillId="0" borderId="46" xfId="0" applyFont="1" applyBorder="1" applyAlignment="1">
      <alignment horizontal="center" wrapText="1"/>
    </xf>
    <xf numFmtId="0" fontId="79" fillId="0" borderId="58" xfId="0" applyFont="1" applyBorder="1" applyAlignment="1">
      <alignment horizontal="center" wrapText="1"/>
    </xf>
    <xf numFmtId="0" fontId="79" fillId="0" borderId="34" xfId="0" applyFont="1" applyBorder="1" applyAlignment="1">
      <alignment horizontal="center" wrapText="1"/>
    </xf>
    <xf numFmtId="0" fontId="98" fillId="0" borderId="31" xfId="0" applyFont="1" applyBorder="1" applyAlignment="1">
      <alignment horizontal="center" wrapText="1"/>
    </xf>
    <xf numFmtId="0" fontId="79" fillId="0" borderId="25" xfId="0" applyFont="1" applyBorder="1" applyAlignment="1">
      <alignment horizontal="center" wrapText="1"/>
    </xf>
    <xf numFmtId="0" fontId="79" fillId="0" borderId="27" xfId="0" applyFont="1" applyBorder="1" applyAlignment="1">
      <alignment horizontal="center" wrapText="1"/>
    </xf>
    <xf numFmtId="0" fontId="79" fillId="0" borderId="7" xfId="0" applyFont="1" applyBorder="1" applyAlignment="1">
      <alignment horizontal="center" wrapText="1"/>
    </xf>
    <xf numFmtId="0" fontId="79" fillId="0" borderId="15" xfId="0" applyFont="1" applyBorder="1" applyAlignment="1">
      <alignment horizontal="center" wrapText="1"/>
    </xf>
    <xf numFmtId="0" fontId="98" fillId="0" borderId="3" xfId="0" applyFont="1" applyBorder="1" applyAlignment="1">
      <alignment horizontal="center" wrapText="1"/>
    </xf>
    <xf numFmtId="0" fontId="98" fillId="0" borderId="56" xfId="0" applyFont="1" applyBorder="1" applyAlignment="1">
      <alignment horizontal="center" wrapText="1"/>
    </xf>
    <xf numFmtId="0" fontId="98" fillId="0" borderId="46" xfId="0" applyFont="1" applyBorder="1" applyAlignment="1">
      <alignment horizontal="center" wrapText="1"/>
    </xf>
    <xf numFmtId="0" fontId="0" fillId="0" borderId="46" xfId="0" applyBorder="1"/>
    <xf numFmtId="0" fontId="97" fillId="0" borderId="29" xfId="0" applyFont="1" applyBorder="1" applyAlignment="1">
      <alignment horizontal="center"/>
    </xf>
    <xf numFmtId="3" fontId="81" fillId="0" borderId="1" xfId="0" applyNumberFormat="1" applyFont="1" applyBorder="1" applyAlignment="1">
      <alignment horizontal="center"/>
    </xf>
    <xf numFmtId="3" fontId="97" fillId="0" borderId="1" xfId="0" applyNumberFormat="1" applyFont="1" applyBorder="1" applyAlignment="1">
      <alignment horizontal="center"/>
    </xf>
    <xf numFmtId="9" fontId="0" fillId="0" borderId="14" xfId="0" applyNumberFormat="1" applyBorder="1" applyAlignment="1">
      <alignment horizontal="center"/>
    </xf>
    <xf numFmtId="0" fontId="97" fillId="0" borderId="1" xfId="0" applyFont="1" applyBorder="1" applyAlignment="1">
      <alignment horizontal="center"/>
    </xf>
    <xf numFmtId="167" fontId="97" fillId="0" borderId="28" xfId="0" applyNumberFormat="1" applyFont="1" applyBorder="1" applyAlignment="1">
      <alignment horizontal="center"/>
    </xf>
    <xf numFmtId="170" fontId="93" fillId="0" borderId="1" xfId="1" applyNumberFormat="1" applyFont="1" applyFill="1" applyBorder="1" applyProtection="1"/>
    <xf numFmtId="0" fontId="84" fillId="0" borderId="0" xfId="0" applyFont="1" applyAlignment="1">
      <alignment horizontal="right"/>
    </xf>
    <xf numFmtId="3" fontId="84" fillId="0" borderId="0" xfId="0" applyNumberFormat="1" applyFont="1" applyAlignment="1">
      <alignment horizontal="center"/>
    </xf>
    <xf numFmtId="3" fontId="0" fillId="0" borderId="0" xfId="0" applyNumberFormat="1" applyAlignment="1">
      <alignment horizontal="center"/>
    </xf>
    <xf numFmtId="3" fontId="79" fillId="0" borderId="0" xfId="0" applyNumberFormat="1" applyFont="1" applyAlignment="1">
      <alignment horizontal="center"/>
    </xf>
    <xf numFmtId="9" fontId="0" fillId="0" borderId="0" xfId="0" applyNumberFormat="1"/>
    <xf numFmtId="3" fontId="0" fillId="0" borderId="0" xfId="0" applyNumberFormat="1"/>
    <xf numFmtId="171" fontId="0" fillId="0" borderId="0" xfId="0" applyNumberFormat="1"/>
    <xf numFmtId="0" fontId="0" fillId="0" borderId="14" xfId="0" applyBorder="1"/>
    <xf numFmtId="0" fontId="93" fillId="0" borderId="16" xfId="0" applyFont="1" applyBorder="1"/>
    <xf numFmtId="178" fontId="0" fillId="0" borderId="0" xfId="0" applyNumberFormat="1"/>
    <xf numFmtId="0" fontId="96" fillId="0" borderId="4" xfId="0" applyFont="1" applyBorder="1"/>
    <xf numFmtId="170" fontId="79" fillId="0" borderId="1" xfId="0" applyNumberFormat="1" applyFont="1" applyBorder="1" applyAlignment="1">
      <alignment horizontal="center"/>
    </xf>
    <xf numFmtId="170" fontId="79" fillId="0" borderId="1" xfId="0" applyNumberFormat="1" applyFont="1" applyBorder="1"/>
    <xf numFmtId="174" fontId="0" fillId="0" borderId="0" xfId="0" applyNumberFormat="1"/>
    <xf numFmtId="0" fontId="0" fillId="0" borderId="4" xfId="0" applyBorder="1"/>
    <xf numFmtId="168" fontId="0" fillId="0" borderId="1" xfId="5" applyNumberFormat="1" applyFont="1" applyBorder="1" applyAlignment="1" applyProtection="1">
      <alignment horizontal="center"/>
    </xf>
    <xf numFmtId="177" fontId="0" fillId="0" borderId="0" xfId="0" applyNumberFormat="1"/>
    <xf numFmtId="165" fontId="0" fillId="0" borderId="0" xfId="0" applyNumberFormat="1"/>
    <xf numFmtId="10" fontId="0" fillId="0" borderId="0" xfId="4" applyNumberFormat="1" applyFont="1" applyBorder="1" applyAlignment="1" applyProtection="1"/>
    <xf numFmtId="9" fontId="0" fillId="0" borderId="0" xfId="5" applyFont="1" applyBorder="1" applyAlignment="1" applyProtection="1">
      <alignment horizontal="center"/>
    </xf>
    <xf numFmtId="0" fontId="97" fillId="0" borderId="51" xfId="0" applyFont="1" applyBorder="1" applyAlignment="1">
      <alignment horizontal="center"/>
    </xf>
    <xf numFmtId="3" fontId="81" fillId="0" borderId="17" xfId="0" applyNumberFormat="1" applyFont="1" applyBorder="1" applyAlignment="1">
      <alignment horizontal="center"/>
    </xf>
    <xf numFmtId="3" fontId="97" fillId="0" borderId="17" xfId="0" applyNumberFormat="1" applyFont="1" applyBorder="1" applyAlignment="1">
      <alignment horizontal="center"/>
    </xf>
    <xf numFmtId="0" fontId="97" fillId="0" borderId="30" xfId="0" applyFont="1" applyBorder="1" applyAlignment="1">
      <alignment horizontal="center"/>
    </xf>
    <xf numFmtId="167" fontId="97" fillId="0" borderId="54" xfId="0" applyNumberFormat="1" applyFont="1" applyBorder="1" applyAlignment="1">
      <alignment horizontal="center"/>
    </xf>
    <xf numFmtId="0" fontId="0" fillId="0" borderId="34" xfId="0" applyBorder="1"/>
    <xf numFmtId="0" fontId="0" fillId="0" borderId="27" xfId="0" applyBorder="1" applyAlignment="1">
      <alignment horizontal="left"/>
    </xf>
    <xf numFmtId="0" fontId="0" fillId="0" borderId="58" xfId="0" applyBorder="1"/>
    <xf numFmtId="2" fontId="86" fillId="0" borderId="31" xfId="0" applyNumberFormat="1" applyFont="1" applyBorder="1" applyAlignment="1">
      <alignment horizontal="right"/>
    </xf>
    <xf numFmtId="9" fontId="86" fillId="0" borderId="31" xfId="4" applyFont="1" applyBorder="1" applyAlignment="1" applyProtection="1">
      <alignment horizontal="center"/>
    </xf>
    <xf numFmtId="9" fontId="0" fillId="0" borderId="31" xfId="0" applyNumberFormat="1" applyBorder="1"/>
    <xf numFmtId="0" fontId="97" fillId="11" borderId="31" xfId="0" applyFont="1" applyFill="1" applyBorder="1" applyAlignment="1">
      <alignment horizontal="center"/>
    </xf>
    <xf numFmtId="0" fontId="97" fillId="0" borderId="31" xfId="0" applyFont="1" applyBorder="1"/>
    <xf numFmtId="0" fontId="0" fillId="0" borderId="48" xfId="0" applyBorder="1"/>
    <xf numFmtId="0" fontId="0" fillId="0" borderId="35" xfId="0" applyBorder="1"/>
    <xf numFmtId="0" fontId="93" fillId="0" borderId="74" xfId="0" applyFont="1" applyBorder="1"/>
    <xf numFmtId="0" fontId="0" fillId="0" borderId="39" xfId="0" applyBorder="1"/>
    <xf numFmtId="0" fontId="0" fillId="0" borderId="10" xfId="0" applyBorder="1" applyAlignment="1">
      <alignment horizontal="left"/>
    </xf>
    <xf numFmtId="0" fontId="0" fillId="0" borderId="17" xfId="0" applyBorder="1"/>
    <xf numFmtId="0" fontId="0" fillId="0" borderId="5" xfId="0" applyBorder="1"/>
    <xf numFmtId="0" fontId="0" fillId="0" borderId="57" xfId="0" applyBorder="1"/>
    <xf numFmtId="0" fontId="84" fillId="0" borderId="17" xfId="0" applyFont="1" applyBorder="1" applyAlignment="1">
      <alignment horizontal="right"/>
    </xf>
    <xf numFmtId="3" fontId="84" fillId="0" borderId="17" xfId="0" applyNumberFormat="1" applyFont="1" applyBorder="1" applyAlignment="1">
      <alignment horizontal="center"/>
    </xf>
    <xf numFmtId="9" fontId="79" fillId="0" borderId="17" xfId="0" applyNumberFormat="1" applyFont="1" applyBorder="1" applyAlignment="1">
      <alignment horizontal="center"/>
    </xf>
    <xf numFmtId="170" fontId="79" fillId="0" borderId="17" xfId="1" applyNumberFormat="1" applyFont="1" applyBorder="1" applyProtection="1"/>
    <xf numFmtId="170" fontId="79" fillId="0" borderId="49" xfId="1" applyNumberFormat="1" applyFont="1" applyBorder="1" applyProtection="1"/>
    <xf numFmtId="170" fontId="79" fillId="0" borderId="43" xfId="1" applyNumberFormat="1" applyFont="1" applyBorder="1" applyProtection="1"/>
    <xf numFmtId="170" fontId="79" fillId="0" borderId="6" xfId="0" applyNumberFormat="1" applyFont="1" applyBorder="1"/>
    <xf numFmtId="0" fontId="0" fillId="0" borderId="55" xfId="0" applyBorder="1"/>
    <xf numFmtId="168" fontId="0" fillId="0" borderId="0" xfId="4" applyNumberFormat="1" applyFont="1" applyProtection="1"/>
    <xf numFmtId="9" fontId="0" fillId="0" borderId="52" xfId="4" applyFont="1" applyFill="1" applyBorder="1" applyProtection="1"/>
    <xf numFmtId="0" fontId="97" fillId="0" borderId="32" xfId="0" applyFont="1" applyBorder="1"/>
    <xf numFmtId="0" fontId="98" fillId="0" borderId="76" xfId="0" applyFont="1" applyBorder="1" applyAlignment="1">
      <alignment horizontal="center" wrapText="1"/>
    </xf>
    <xf numFmtId="0" fontId="98" fillId="0" borderId="69" xfId="0" applyFont="1" applyBorder="1" applyAlignment="1">
      <alignment horizontal="center" wrapText="1"/>
    </xf>
    <xf numFmtId="0" fontId="98" fillId="0" borderId="62" xfId="0" applyFont="1" applyBorder="1" applyAlignment="1">
      <alignment horizontal="center" wrapText="1"/>
    </xf>
    <xf numFmtId="0" fontId="97" fillId="0" borderId="31" xfId="0" applyFont="1" applyBorder="1" applyAlignment="1">
      <alignment horizontal="center"/>
    </xf>
    <xf numFmtId="167" fontId="97" fillId="0" borderId="48" xfId="0" applyNumberFormat="1" applyFont="1" applyBorder="1" applyAlignment="1">
      <alignment horizontal="center"/>
    </xf>
    <xf numFmtId="170" fontId="93" fillId="0" borderId="53" xfId="1" applyNumberFormat="1" applyFont="1" applyFill="1" applyBorder="1" applyProtection="1"/>
    <xf numFmtId="9" fontId="0" fillId="0" borderId="0" xfId="4" applyFont="1" applyAlignment="1" applyProtection="1">
      <alignment horizontal="center"/>
    </xf>
    <xf numFmtId="171" fontId="0" fillId="0" borderId="0" xfId="0" applyNumberFormat="1" applyAlignment="1">
      <alignment horizontal="center"/>
    </xf>
    <xf numFmtId="0" fontId="93" fillId="0" borderId="57" xfId="0" applyFont="1" applyBorder="1"/>
    <xf numFmtId="170" fontId="93" fillId="0" borderId="17" xfId="1" applyNumberFormat="1" applyFont="1" applyFill="1" applyBorder="1" applyProtection="1"/>
    <xf numFmtId="0" fontId="96" fillId="0" borderId="53" xfId="0" applyFont="1" applyBorder="1"/>
    <xf numFmtId="0" fontId="0" fillId="0" borderId="53" xfId="0" applyBorder="1"/>
    <xf numFmtId="0" fontId="97" fillId="0" borderId="17" xfId="0" applyFont="1" applyBorder="1" applyAlignment="1">
      <alignment horizontal="center"/>
    </xf>
    <xf numFmtId="167" fontId="97" fillId="0" borderId="49" xfId="0" applyNumberFormat="1" applyFont="1" applyBorder="1" applyAlignment="1">
      <alignment horizontal="center"/>
    </xf>
    <xf numFmtId="0" fontId="0" fillId="0" borderId="27" xfId="0" applyBorder="1"/>
    <xf numFmtId="0" fontId="0" fillId="0" borderId="31" xfId="0" applyBorder="1" applyAlignment="1">
      <alignment horizontal="left"/>
    </xf>
    <xf numFmtId="0" fontId="0" fillId="0" borderId="36" xfId="0" applyBorder="1"/>
    <xf numFmtId="0" fontId="0" fillId="0" borderId="10" xfId="0" applyBorder="1"/>
    <xf numFmtId="0" fontId="0" fillId="0" borderId="17" xfId="0" applyBorder="1" applyAlignment="1">
      <alignment horizontal="left"/>
    </xf>
    <xf numFmtId="0" fontId="97" fillId="0" borderId="38" xfId="0" applyFont="1" applyBorder="1" applyAlignment="1">
      <alignment horizontal="center"/>
    </xf>
    <xf numFmtId="3" fontId="81" fillId="0" borderId="3" xfId="0" applyNumberFormat="1" applyFont="1" applyBorder="1" applyAlignment="1">
      <alignment horizontal="center"/>
    </xf>
    <xf numFmtId="3" fontId="97" fillId="0" borderId="15" xfId="0" applyNumberFormat="1" applyFont="1" applyBorder="1" applyAlignment="1">
      <alignment horizontal="center"/>
    </xf>
    <xf numFmtId="3" fontId="97" fillId="0" borderId="7" xfId="0" applyNumberFormat="1" applyFont="1" applyBorder="1" applyAlignment="1">
      <alignment horizontal="center"/>
    </xf>
    <xf numFmtId="0" fontId="97" fillId="0" borderId="3" xfId="0" applyFont="1" applyBorder="1" applyAlignment="1">
      <alignment horizontal="center"/>
    </xf>
    <xf numFmtId="167" fontId="97" fillId="0" borderId="56" xfId="0" applyNumberFormat="1" applyFont="1" applyBorder="1" applyAlignment="1">
      <alignment horizontal="center"/>
    </xf>
    <xf numFmtId="170" fontId="79" fillId="0" borderId="55" xfId="1" applyNumberFormat="1" applyFont="1" applyBorder="1" applyProtection="1"/>
    <xf numFmtId="0" fontId="0" fillId="0" borderId="43" xfId="0" applyBorder="1"/>
    <xf numFmtId="0" fontId="0" fillId="0" borderId="66" xfId="0" applyBorder="1"/>
    <xf numFmtId="168" fontId="0" fillId="0" borderId="14" xfId="0" applyNumberFormat="1" applyBorder="1" applyAlignment="1">
      <alignment horizontal="center"/>
    </xf>
    <xf numFmtId="0" fontId="98" fillId="0" borderId="27" xfId="0" applyFont="1" applyBorder="1" applyAlignment="1">
      <alignment horizontal="center" wrapText="1"/>
    </xf>
    <xf numFmtId="0" fontId="98" fillId="0" borderId="48" xfId="0" applyFont="1" applyBorder="1" applyAlignment="1">
      <alignment horizontal="center" wrapText="1"/>
    </xf>
    <xf numFmtId="0" fontId="93" fillId="0" borderId="58" xfId="0" applyFont="1" applyBorder="1" applyAlignment="1">
      <alignment horizontal="center" wrapText="1"/>
    </xf>
    <xf numFmtId="0" fontId="93" fillId="0" borderId="2" xfId="0" applyFont="1" applyBorder="1"/>
    <xf numFmtId="0" fontId="93" fillId="0" borderId="55" xfId="0" applyFont="1" applyBorder="1"/>
    <xf numFmtId="0" fontId="93" fillId="0" borderId="47" xfId="0" applyFont="1" applyBorder="1"/>
    <xf numFmtId="0" fontId="97" fillId="0" borderId="10" xfId="0" applyFont="1" applyBorder="1" applyAlignment="1">
      <alignment horizontal="center"/>
    </xf>
    <xf numFmtId="3" fontId="0" fillId="9" borderId="1" xfId="0" applyNumberFormat="1" applyFill="1" applyBorder="1" applyAlignment="1" applyProtection="1">
      <alignment horizontal="center"/>
      <protection locked="0"/>
    </xf>
    <xf numFmtId="3" fontId="0" fillId="9" borderId="31" xfId="0" applyNumberFormat="1" applyFill="1" applyBorder="1" applyAlignment="1" applyProtection="1">
      <alignment horizontal="center"/>
      <protection locked="0"/>
    </xf>
    <xf numFmtId="3" fontId="0" fillId="9" borderId="17" xfId="0" applyNumberFormat="1" applyFill="1" applyBorder="1" applyAlignment="1" applyProtection="1">
      <alignment horizontal="center"/>
      <protection locked="0"/>
    </xf>
    <xf numFmtId="167" fontId="41" fillId="0" borderId="4" xfId="4" applyNumberFormat="1" applyFont="1" applyFill="1" applyBorder="1" applyAlignment="1" applyProtection="1">
      <alignment horizontal="center"/>
      <protection locked="0"/>
    </xf>
    <xf numFmtId="168" fontId="6" fillId="15" borderId="7" xfId="4" quotePrefix="1" applyNumberFormat="1" applyFont="1" applyFill="1" applyBorder="1" applyAlignment="1" applyProtection="1">
      <alignment horizontal="center"/>
      <protection locked="0"/>
    </xf>
    <xf numFmtId="0" fontId="21" fillId="0" borderId="0" xfId="0" applyFont="1"/>
    <xf numFmtId="0" fontId="33" fillId="0" borderId="1" xfId="0" applyFont="1" applyBorder="1"/>
    <xf numFmtId="3" fontId="33" fillId="10" borderId="1" xfId="0" applyNumberFormat="1" applyFont="1" applyFill="1" applyBorder="1"/>
    <xf numFmtId="0" fontId="41" fillId="0" borderId="1" xfId="0" applyFont="1" applyBorder="1"/>
    <xf numFmtId="0" fontId="23" fillId="0" borderId="1" xfId="0" applyFont="1" applyBorder="1"/>
    <xf numFmtId="167" fontId="23" fillId="10" borderId="1" xfId="0" applyNumberFormat="1" applyFont="1" applyFill="1" applyBorder="1"/>
    <xf numFmtId="0" fontId="30" fillId="0" borderId="0" xfId="0" applyFont="1"/>
    <xf numFmtId="0" fontId="34" fillId="0" borderId="0" xfId="0" applyFont="1"/>
    <xf numFmtId="3" fontId="41" fillId="6" borderId="1" xfId="0" applyNumberFormat="1" applyFont="1" applyFill="1" applyBorder="1"/>
    <xf numFmtId="3" fontId="6" fillId="7" borderId="1" xfId="0" applyNumberFormat="1" applyFont="1" applyFill="1" applyBorder="1" applyAlignment="1">
      <alignment horizontal="right"/>
    </xf>
    <xf numFmtId="0" fontId="24" fillId="0" borderId="0" xfId="0" applyFont="1"/>
    <xf numFmtId="1" fontId="31" fillId="0" borderId="0" xfId="0" applyNumberFormat="1" applyFont="1"/>
    <xf numFmtId="0" fontId="31" fillId="0" borderId="0" xfId="0" applyFont="1"/>
    <xf numFmtId="0" fontId="23" fillId="6" borderId="1" xfId="0" applyFont="1" applyFill="1" applyBorder="1"/>
    <xf numFmtId="0" fontId="35" fillId="0" borderId="0" xfId="0" applyFont="1"/>
    <xf numFmtId="0" fontId="33" fillId="6" borderId="14" xfId="0" applyFont="1" applyFill="1" applyBorder="1"/>
    <xf numFmtId="168" fontId="23" fillId="6" borderId="1" xfId="4" applyNumberFormat="1" applyFont="1" applyFill="1" applyBorder="1" applyProtection="1"/>
    <xf numFmtId="9" fontId="33" fillId="6" borderId="1" xfId="4" applyFont="1" applyFill="1" applyBorder="1" applyProtection="1"/>
    <xf numFmtId="3" fontId="6" fillId="7" borderId="5" xfId="0" applyNumberFormat="1" applyFont="1" applyFill="1" applyBorder="1" applyAlignment="1">
      <alignment horizontal="right"/>
    </xf>
    <xf numFmtId="168" fontId="41" fillId="0" borderId="0" xfId="4" applyNumberFormat="1" applyFont="1" applyFill="1" applyBorder="1" applyProtection="1"/>
    <xf numFmtId="0" fontId="17" fillId="0" borderId="0" xfId="0" applyFont="1"/>
    <xf numFmtId="168" fontId="25" fillId="6" borderId="1" xfId="5" applyNumberFormat="1" applyFont="1" applyFill="1" applyBorder="1" applyAlignment="1" applyProtection="1">
      <alignment horizontal="center"/>
    </xf>
    <xf numFmtId="168" fontId="25" fillId="0" borderId="0" xfId="5" applyNumberFormat="1" applyFont="1" applyFill="1" applyBorder="1" applyAlignment="1" applyProtection="1">
      <alignment horizontal="center"/>
    </xf>
    <xf numFmtId="168" fontId="37" fillId="6" borderId="1" xfId="5" applyNumberFormat="1" applyFont="1" applyFill="1" applyBorder="1" applyAlignment="1" applyProtection="1">
      <alignment horizontal="center"/>
    </xf>
    <xf numFmtId="168" fontId="18" fillId="0" borderId="0" xfId="4" applyNumberFormat="1" applyFont="1" applyBorder="1" applyAlignment="1" applyProtection="1">
      <alignment vertical="center" wrapText="1"/>
    </xf>
    <xf numFmtId="0" fontId="41" fillId="0" borderId="0" xfId="0" applyFont="1" applyAlignment="1">
      <alignment horizontal="left" indent="1"/>
    </xf>
    <xf numFmtId="2" fontId="23" fillId="6" borderId="1" xfId="0" applyNumberFormat="1" applyFont="1" applyFill="1" applyBorder="1"/>
    <xf numFmtId="2" fontId="33" fillId="6" borderId="1" xfId="0" applyNumberFormat="1" applyFont="1" applyFill="1" applyBorder="1"/>
    <xf numFmtId="9" fontId="23" fillId="6" borderId="1" xfId="4" applyFont="1" applyFill="1" applyBorder="1" applyProtection="1"/>
    <xf numFmtId="0" fontId="41" fillId="6" borderId="1" xfId="0" applyFont="1" applyFill="1" applyBorder="1"/>
    <xf numFmtId="0" fontId="38" fillId="0" borderId="0" xfId="0" applyFont="1"/>
    <xf numFmtId="9" fontId="41" fillId="0" borderId="0" xfId="4" applyFont="1" applyProtection="1"/>
    <xf numFmtId="1" fontId="41" fillId="0" borderId="0" xfId="4" applyNumberFormat="1" applyFont="1" applyProtection="1"/>
    <xf numFmtId="1" fontId="41" fillId="0" borderId="0" xfId="0" applyNumberFormat="1" applyFont="1"/>
    <xf numFmtId="167" fontId="41" fillId="6" borderId="1" xfId="4" applyNumberFormat="1" applyFont="1" applyFill="1" applyBorder="1" applyProtection="1"/>
    <xf numFmtId="9" fontId="23" fillId="0" borderId="0" xfId="4" applyFont="1" applyProtection="1"/>
    <xf numFmtId="1" fontId="23" fillId="0" borderId="0" xfId="4" applyNumberFormat="1" applyFont="1" applyProtection="1"/>
    <xf numFmtId="1" fontId="23" fillId="0" borderId="0" xfId="0" applyNumberFormat="1" applyFont="1"/>
    <xf numFmtId="9" fontId="33" fillId="0" borderId="0" xfId="4" applyFont="1" applyProtection="1"/>
    <xf numFmtId="1" fontId="33" fillId="0" borderId="0" xfId="4" applyNumberFormat="1" applyFont="1" applyProtection="1"/>
    <xf numFmtId="1" fontId="41" fillId="6" borderId="1" xfId="4" applyNumberFormat="1" applyFont="1" applyFill="1" applyBorder="1" applyProtection="1"/>
    <xf numFmtId="0" fontId="68" fillId="0" borderId="0" xfId="0" applyFont="1"/>
    <xf numFmtId="1" fontId="23" fillId="6" borderId="1" xfId="4" applyNumberFormat="1" applyFont="1" applyFill="1" applyBorder="1" applyProtection="1"/>
    <xf numFmtId="1" fontId="33" fillId="6" borderId="1" xfId="4" applyNumberFormat="1" applyFont="1" applyFill="1" applyBorder="1" applyProtection="1"/>
    <xf numFmtId="1" fontId="23" fillId="0" borderId="0" xfId="4" applyNumberFormat="1" applyFont="1" applyFill="1" applyBorder="1" applyProtection="1"/>
    <xf numFmtId="2" fontId="41" fillId="6" borderId="1" xfId="4" applyNumberFormat="1" applyFont="1" applyFill="1" applyBorder="1" applyProtection="1"/>
    <xf numFmtId="165" fontId="33" fillId="0" borderId="0" xfId="4" applyNumberFormat="1" applyFont="1" applyFill="1" applyBorder="1" applyProtection="1"/>
    <xf numFmtId="9" fontId="41" fillId="6" borderId="1" xfId="4" applyFont="1" applyFill="1" applyBorder="1" applyProtection="1"/>
    <xf numFmtId="167" fontId="23" fillId="6" borderId="1" xfId="0" applyNumberFormat="1" applyFont="1" applyFill="1" applyBorder="1"/>
    <xf numFmtId="165" fontId="41" fillId="6" borderId="1" xfId="0" applyNumberFormat="1" applyFont="1" applyFill="1" applyBorder="1"/>
    <xf numFmtId="166" fontId="41" fillId="6" borderId="1" xfId="0" applyNumberFormat="1" applyFont="1" applyFill="1" applyBorder="1"/>
    <xf numFmtId="168" fontId="41" fillId="10" borderId="1" xfId="4" applyNumberFormat="1" applyFont="1" applyFill="1" applyBorder="1" applyProtection="1"/>
    <xf numFmtId="1" fontId="6" fillId="6" borderId="1" xfId="4" applyNumberFormat="1" applyFont="1" applyFill="1" applyBorder="1" applyProtection="1"/>
    <xf numFmtId="9" fontId="33" fillId="0" borderId="0" xfId="4" applyFont="1" applyFill="1" applyBorder="1" applyProtection="1"/>
    <xf numFmtId="0" fontId="33" fillId="6" borderId="1" xfId="0" applyFont="1" applyFill="1" applyBorder="1"/>
    <xf numFmtId="167" fontId="41" fillId="6" borderId="1" xfId="0" applyNumberFormat="1" applyFont="1" applyFill="1" applyBorder="1"/>
    <xf numFmtId="0" fontId="26" fillId="0" borderId="0" xfId="0" applyFont="1"/>
    <xf numFmtId="168" fontId="6" fillId="6" borderId="1" xfId="4" applyNumberFormat="1" applyFont="1" applyFill="1" applyBorder="1" applyProtection="1"/>
    <xf numFmtId="0" fontId="33" fillId="0" borderId="2" xfId="0" applyFont="1" applyBorder="1"/>
    <xf numFmtId="0" fontId="29" fillId="0" borderId="0" xfId="0" applyFont="1"/>
    <xf numFmtId="0" fontId="6" fillId="6" borderId="28" xfId="0" applyFont="1" applyFill="1" applyBorder="1" applyAlignment="1">
      <alignment horizontal="right"/>
    </xf>
    <xf numFmtId="0" fontId="58" fillId="0" borderId="0" xfId="0" applyFont="1" applyAlignment="1">
      <alignment vertical="center" wrapText="1"/>
    </xf>
    <xf numFmtId="168" fontId="11" fillId="6" borderId="28" xfId="5" applyNumberFormat="1" applyFont="1" applyFill="1" applyBorder="1" applyAlignment="1" applyProtection="1">
      <alignment horizontal="right"/>
    </xf>
    <xf numFmtId="168" fontId="25" fillId="6" borderId="28" xfId="5" applyNumberFormat="1" applyFont="1" applyFill="1" applyBorder="1" applyAlignment="1" applyProtection="1">
      <alignment horizontal="right"/>
    </xf>
    <xf numFmtId="168" fontId="37" fillId="6" borderId="28" xfId="5" applyNumberFormat="1" applyFont="1" applyFill="1" applyBorder="1" applyAlignment="1" applyProtection="1">
      <alignment horizontal="right"/>
    </xf>
    <xf numFmtId="168" fontId="41" fillId="6" borderId="1" xfId="4" applyNumberFormat="1" applyFont="1" applyFill="1" applyBorder="1" applyProtection="1"/>
    <xf numFmtId="0" fontId="50" fillId="0" borderId="1" xfId="0" applyFont="1" applyBorder="1" applyAlignment="1">
      <alignment horizontal="left"/>
    </xf>
    <xf numFmtId="0" fontId="26" fillId="0" borderId="1" xfId="0" applyFont="1" applyBorder="1"/>
    <xf numFmtId="0" fontId="21" fillId="0" borderId="1" xfId="0" applyFont="1" applyBorder="1"/>
    <xf numFmtId="9" fontId="6" fillId="6" borderId="1" xfId="4" applyFont="1" applyFill="1" applyBorder="1" applyProtection="1"/>
    <xf numFmtId="0" fontId="46" fillId="0" borderId="0" xfId="0" applyFont="1" applyAlignment="1">
      <alignment vertical="center"/>
    </xf>
    <xf numFmtId="0" fontId="6" fillId="6" borderId="1" xfId="0" applyFont="1" applyFill="1" applyBorder="1"/>
    <xf numFmtId="0" fontId="18" fillId="0" borderId="0" xfId="0" applyFont="1" applyAlignment="1">
      <alignment horizontal="left" vertical="center"/>
    </xf>
    <xf numFmtId="0" fontId="46" fillId="0" borderId="0" xfId="0" applyFont="1" applyAlignment="1">
      <alignment horizontal="center" vertical="center"/>
    </xf>
    <xf numFmtId="3" fontId="23" fillId="6" borderId="1" xfId="0" applyNumberFormat="1" applyFont="1" applyFill="1" applyBorder="1"/>
    <xf numFmtId="3" fontId="33" fillId="6" borderId="1" xfId="0" applyNumberFormat="1" applyFont="1" applyFill="1" applyBorder="1"/>
    <xf numFmtId="169" fontId="33" fillId="6" borderId="1" xfId="0" applyNumberFormat="1" applyFont="1" applyFill="1" applyBorder="1"/>
    <xf numFmtId="0" fontId="18" fillId="10" borderId="0" xfId="0" applyFont="1" applyFill="1"/>
    <xf numFmtId="9" fontId="6" fillId="0" borderId="0" xfId="0" applyNumberFormat="1" applyFont="1"/>
    <xf numFmtId="9" fontId="41" fillId="0" borderId="1" xfId="4" applyFont="1" applyFill="1" applyBorder="1" applyAlignment="1" applyProtection="1">
      <alignment horizontal="right"/>
    </xf>
    <xf numFmtId="0" fontId="25" fillId="0" borderId="1" xfId="0" applyFont="1" applyBorder="1" applyAlignment="1">
      <alignment horizontal="right"/>
    </xf>
    <xf numFmtId="0" fontId="25" fillId="0" borderId="1" xfId="0" applyFont="1" applyBorder="1" applyAlignment="1">
      <alignment horizontal="center"/>
    </xf>
    <xf numFmtId="164" fontId="6" fillId="7" borderId="1" xfId="0" applyNumberFormat="1" applyFont="1" applyFill="1" applyBorder="1" applyAlignment="1">
      <alignment horizontal="center"/>
    </xf>
    <xf numFmtId="0" fontId="25" fillId="0" borderId="1" xfId="0" applyFont="1" applyBorder="1"/>
    <xf numFmtId="0" fontId="25" fillId="0" borderId="1" xfId="0" quotePrefix="1" applyFont="1" applyBorder="1" applyAlignment="1">
      <alignment horizontal="center"/>
    </xf>
    <xf numFmtId="1" fontId="6" fillId="7" borderId="1" xfId="0" applyNumberFormat="1" applyFont="1" applyFill="1" applyBorder="1" applyAlignment="1">
      <alignment horizontal="center"/>
    </xf>
    <xf numFmtId="0" fontId="37" fillId="0" borderId="1" xfId="0" applyFont="1" applyBorder="1" applyAlignment="1">
      <alignment horizontal="right"/>
    </xf>
    <xf numFmtId="0" fontId="37" fillId="0" borderId="1" xfId="0" quotePrefix="1" applyFont="1" applyBorder="1" applyAlignment="1">
      <alignment horizontal="center"/>
    </xf>
    <xf numFmtId="3" fontId="6" fillId="7" borderId="1" xfId="0" applyNumberFormat="1" applyFont="1" applyFill="1" applyBorder="1" applyAlignment="1">
      <alignment horizontal="center"/>
    </xf>
    <xf numFmtId="0" fontId="37" fillId="0" borderId="1" xfId="0" applyFont="1" applyBorder="1"/>
    <xf numFmtId="0" fontId="11" fillId="0" borderId="1" xfId="0" applyFont="1" applyBorder="1" applyAlignment="1">
      <alignment horizontal="right"/>
    </xf>
    <xf numFmtId="0" fontId="6" fillId="7" borderId="1" xfId="0" applyFont="1" applyFill="1" applyBorder="1" applyAlignment="1">
      <alignment horizontal="center"/>
    </xf>
    <xf numFmtId="0" fontId="37" fillId="0" borderId="1" xfId="0" quotePrefix="1" applyFont="1" applyBorder="1"/>
    <xf numFmtId="9" fontId="23" fillId="0" borderId="1" xfId="0" applyNumberFormat="1" applyFont="1" applyBorder="1"/>
    <xf numFmtId="0" fontId="11" fillId="0" borderId="1" xfId="0" quotePrefix="1" applyFont="1" applyBorder="1" applyAlignment="1">
      <alignment horizontal="center"/>
    </xf>
    <xf numFmtId="0" fontId="11" fillId="0" borderId="1" xfId="0" applyFont="1" applyBorder="1"/>
    <xf numFmtId="4" fontId="6" fillId="7" borderId="1" xfId="0" applyNumberFormat="1" applyFont="1" applyFill="1" applyBorder="1" applyAlignment="1">
      <alignment horizontal="center"/>
    </xf>
    <xf numFmtId="172" fontId="6" fillId="7" borderId="1" xfId="0" applyNumberFormat="1" applyFont="1" applyFill="1" applyBorder="1" applyAlignment="1">
      <alignment horizontal="center"/>
    </xf>
    <xf numFmtId="9" fontId="6" fillId="8" borderId="1" xfId="4" applyFont="1" applyFill="1" applyBorder="1" applyProtection="1"/>
    <xf numFmtId="167" fontId="6" fillId="7" borderId="1" xfId="0" applyNumberFormat="1" applyFont="1" applyFill="1" applyBorder="1" applyAlignment="1">
      <alignment horizontal="center"/>
    </xf>
    <xf numFmtId="0" fontId="6" fillId="0" borderId="0" xfId="0" applyFont="1" applyAlignment="1">
      <alignment horizontal="center"/>
    </xf>
    <xf numFmtId="0" fontId="11" fillId="0" borderId="0" xfId="0" applyFont="1"/>
    <xf numFmtId="0" fontId="11" fillId="0" borderId="0" xfId="0" quotePrefix="1" applyFont="1" applyAlignment="1">
      <alignment horizontal="center"/>
    </xf>
    <xf numFmtId="164" fontId="33" fillId="10" borderId="1" xfId="0" applyNumberFormat="1" applyFont="1" applyFill="1" applyBorder="1"/>
    <xf numFmtId="2" fontId="23" fillId="10" borderId="1" xfId="0" applyNumberFormat="1" applyFont="1" applyFill="1" applyBorder="1"/>
    <xf numFmtId="0" fontId="41" fillId="0" borderId="1" xfId="0" applyFont="1" applyBorder="1" applyAlignment="1">
      <alignment horizontal="center"/>
    </xf>
    <xf numFmtId="1" fontId="41" fillId="6" borderId="1" xfId="0" applyNumberFormat="1" applyFont="1" applyFill="1" applyBorder="1" applyAlignment="1">
      <alignment horizontal="center"/>
    </xf>
    <xf numFmtId="165" fontId="41" fillId="6" borderId="1" xfId="0" applyNumberFormat="1" applyFont="1" applyFill="1" applyBorder="1" applyAlignment="1">
      <alignment horizontal="center"/>
    </xf>
    <xf numFmtId="1" fontId="41" fillId="0" borderId="1" xfId="0" applyNumberFormat="1" applyFont="1" applyBorder="1" applyAlignment="1">
      <alignment horizontal="center"/>
    </xf>
    <xf numFmtId="1" fontId="23" fillId="0" borderId="1" xfId="0" applyNumberFormat="1" applyFont="1" applyBorder="1" applyAlignment="1">
      <alignment horizontal="center"/>
    </xf>
    <xf numFmtId="0" fontId="0" fillId="0" borderId="11" xfId="0" applyBorder="1" applyAlignment="1">
      <alignment vertical="center" wrapText="1"/>
    </xf>
    <xf numFmtId="0" fontId="105" fillId="0" borderId="32" xfId="0" applyFont="1" applyBorder="1" applyAlignment="1">
      <alignment horizontal="center" vertical="center" wrapText="1"/>
    </xf>
    <xf numFmtId="0" fontId="105" fillId="0" borderId="24" xfId="0" applyFont="1" applyBorder="1" applyAlignment="1">
      <alignment vertical="center" wrapText="1"/>
    </xf>
    <xf numFmtId="0" fontId="0" fillId="0" borderId="33" xfId="0" applyBorder="1" applyAlignment="1">
      <alignment horizontal="center" vertical="center" wrapText="1"/>
    </xf>
    <xf numFmtId="0" fontId="105" fillId="0" borderId="11" xfId="0" applyFont="1" applyBorder="1" applyAlignment="1">
      <alignment vertical="center" wrapText="1"/>
    </xf>
    <xf numFmtId="0" fontId="0" fillId="0" borderId="32" xfId="0" applyBorder="1" applyAlignment="1">
      <alignment horizontal="center" vertical="center" wrapText="1"/>
    </xf>
    <xf numFmtId="167" fontId="33" fillId="15" borderId="59" xfId="0" applyNumberFormat="1" applyFont="1" applyFill="1" applyBorder="1" applyAlignment="1" applyProtection="1">
      <alignment horizontal="center"/>
      <protection locked="0"/>
    </xf>
    <xf numFmtId="171" fontId="11" fillId="15" borderId="7" xfId="0" applyNumberFormat="1" applyFont="1" applyFill="1" applyBorder="1" applyAlignment="1" applyProtection="1">
      <alignment horizontal="center"/>
      <protection locked="0"/>
    </xf>
    <xf numFmtId="167" fontId="33" fillId="15" borderId="4" xfId="0" applyNumberFormat="1" applyFont="1" applyFill="1" applyBorder="1" applyAlignment="1" applyProtection="1">
      <alignment horizontal="center"/>
      <protection locked="0"/>
    </xf>
    <xf numFmtId="2" fontId="33" fillId="0" borderId="4" xfId="0" applyNumberFormat="1" applyFont="1" applyBorder="1" applyAlignment="1">
      <alignment horizontal="center"/>
    </xf>
    <xf numFmtId="3" fontId="6" fillId="15" borderId="21" xfId="0" applyNumberFormat="1" applyFont="1" applyFill="1" applyBorder="1" applyAlignment="1" applyProtection="1">
      <alignment horizontal="center"/>
      <protection locked="0"/>
    </xf>
    <xf numFmtId="0" fontId="67" fillId="5" borderId="46" xfId="0" applyFont="1" applyFill="1" applyBorder="1" applyAlignment="1" applyProtection="1">
      <alignment horizontal="center"/>
      <protection locked="0"/>
    </xf>
    <xf numFmtId="0" fontId="67" fillId="5" borderId="35" xfId="0" applyFont="1" applyFill="1" applyBorder="1" applyAlignment="1" applyProtection="1">
      <alignment horizontal="left"/>
      <protection locked="0"/>
    </xf>
    <xf numFmtId="0" fontId="67" fillId="5" borderId="35" xfId="0" applyFont="1" applyFill="1" applyBorder="1" applyAlignment="1">
      <alignment horizontal="left"/>
    </xf>
    <xf numFmtId="0" fontId="67" fillId="5" borderId="58" xfId="0" applyFont="1" applyFill="1" applyBorder="1" applyAlignment="1">
      <alignment horizontal="left"/>
    </xf>
    <xf numFmtId="0" fontId="0" fillId="0" borderId="24" xfId="0" applyBorder="1" applyAlignment="1">
      <alignment horizontal="right"/>
    </xf>
    <xf numFmtId="0" fontId="0" fillId="0" borderId="24" xfId="0" applyBorder="1"/>
    <xf numFmtId="0" fontId="67" fillId="5" borderId="61" xfId="0" applyFont="1" applyFill="1" applyBorder="1" applyAlignment="1" applyProtection="1">
      <alignment horizontal="left"/>
      <protection locked="0"/>
    </xf>
    <xf numFmtId="0" fontId="67" fillId="5" borderId="61" xfId="0" applyFont="1" applyFill="1" applyBorder="1" applyAlignment="1">
      <alignment horizontal="left"/>
    </xf>
    <xf numFmtId="0" fontId="67" fillId="5" borderId="59" xfId="0" applyFont="1" applyFill="1" applyBorder="1" applyAlignment="1">
      <alignment horizontal="left"/>
    </xf>
    <xf numFmtId="168" fontId="33" fillId="15" borderId="4" xfId="4" applyNumberFormat="1" applyFont="1" applyFill="1" applyBorder="1" applyAlignment="1" applyProtection="1">
      <alignment horizontal="center"/>
      <protection locked="0"/>
    </xf>
    <xf numFmtId="1" fontId="11" fillId="0" borderId="28" xfId="0" applyNumberFormat="1" applyFont="1" applyBorder="1" applyAlignment="1">
      <alignment horizontal="center"/>
    </xf>
    <xf numFmtId="1" fontId="11" fillId="0" borderId="14" xfId="0" applyNumberFormat="1" applyFont="1" applyBorder="1" applyAlignment="1">
      <alignment horizontal="center"/>
    </xf>
    <xf numFmtId="10" fontId="23" fillId="0" borderId="0" xfId="4" applyNumberFormat="1" applyFont="1" applyProtection="1"/>
    <xf numFmtId="3" fontId="99" fillId="5" borderId="14" xfId="0" applyNumberFormat="1" applyFont="1" applyFill="1" applyBorder="1" applyAlignment="1" applyProtection="1">
      <alignment horizontal="center" vertical="center" wrapText="1"/>
      <protection locked="0"/>
    </xf>
    <xf numFmtId="3" fontId="41" fillId="0" borderId="4" xfId="0" applyNumberFormat="1" applyFont="1" applyBorder="1" applyAlignment="1">
      <alignment horizontal="center"/>
    </xf>
    <xf numFmtId="168" fontId="41" fillId="0" borderId="10" xfId="4" applyNumberFormat="1" applyFont="1" applyFill="1" applyBorder="1" applyAlignment="1" applyProtection="1">
      <alignment horizontal="center"/>
    </xf>
    <xf numFmtId="0" fontId="33" fillId="0" borderId="4" xfId="4" applyNumberFormat="1" applyFont="1" applyFill="1" applyBorder="1" applyAlignment="1" applyProtection="1">
      <alignment horizontal="center"/>
    </xf>
    <xf numFmtId="3" fontId="33" fillId="0" borderId="44" xfId="0" applyNumberFormat="1" applyFont="1" applyBorder="1" applyAlignment="1">
      <alignment horizontal="center"/>
    </xf>
    <xf numFmtId="1" fontId="41" fillId="0" borderId="45" xfId="0" applyNumberFormat="1" applyFont="1" applyBorder="1" applyAlignment="1">
      <alignment horizontal="center"/>
    </xf>
    <xf numFmtId="0" fontId="6" fillId="0" borderId="37" xfId="0" applyFont="1" applyBorder="1" applyAlignment="1">
      <alignment horizontal="right"/>
    </xf>
    <xf numFmtId="2" fontId="41" fillId="0" borderId="46" xfId="0" applyNumberFormat="1" applyFont="1" applyBorder="1" applyAlignment="1">
      <alignment horizontal="center"/>
    </xf>
    <xf numFmtId="1" fontId="7" fillId="0" borderId="57" xfId="0" applyNumberFormat="1" applyFont="1" applyBorder="1" applyAlignment="1">
      <alignment horizontal="center"/>
    </xf>
    <xf numFmtId="0" fontId="97" fillId="0" borderId="0" xfId="0" applyFont="1" applyAlignment="1">
      <alignment horizontal="left" wrapText="1"/>
    </xf>
    <xf numFmtId="0" fontId="0" fillId="0" borderId="0" xfId="0" applyAlignment="1">
      <alignment horizontal="center"/>
    </xf>
    <xf numFmtId="171" fontId="7" fillId="2" borderId="17" xfId="0" quotePrefix="1" applyNumberFormat="1" applyFont="1" applyFill="1" applyBorder="1" applyAlignment="1">
      <alignment horizontal="center"/>
    </xf>
    <xf numFmtId="0" fontId="66" fillId="5" borderId="44" xfId="0" applyFont="1" applyFill="1" applyBorder="1" applyAlignment="1" applyProtection="1">
      <alignment horizontal="center"/>
      <protection locked="0"/>
    </xf>
    <xf numFmtId="168" fontId="11" fillId="15" borderId="7" xfId="4" applyNumberFormat="1" applyFont="1" applyFill="1" applyBorder="1" applyAlignment="1" applyProtection="1">
      <alignment horizontal="center"/>
      <protection locked="0"/>
    </xf>
    <xf numFmtId="3" fontId="6" fillId="0" borderId="18" xfId="0" applyNumberFormat="1" applyFont="1" applyBorder="1" applyAlignment="1">
      <alignment horizontal="center"/>
    </xf>
    <xf numFmtId="3" fontId="93" fillId="0" borderId="5" xfId="0" applyNumberFormat="1" applyFont="1" applyBorder="1" applyAlignment="1">
      <alignment horizontal="center" vertical="center" wrapText="1"/>
    </xf>
    <xf numFmtId="168" fontId="99" fillId="5" borderId="14" xfId="4" applyNumberFormat="1" applyFont="1" applyFill="1" applyBorder="1" applyAlignment="1" applyProtection="1">
      <alignment horizontal="center"/>
      <protection locked="0"/>
    </xf>
    <xf numFmtId="0" fontId="109" fillId="0" borderId="78" xfId="6" applyProtection="1">
      <protection locked="0"/>
    </xf>
    <xf numFmtId="0" fontId="0" fillId="0" borderId="0" xfId="0" applyProtection="1">
      <protection locked="0"/>
    </xf>
    <xf numFmtId="3" fontId="0" fillId="0" borderId="1" xfId="0" applyNumberFormat="1" applyBorder="1" applyProtection="1">
      <protection locked="0"/>
    </xf>
    <xf numFmtId="0" fontId="0" fillId="0" borderId="0" xfId="7" applyFont="1" applyFill="1" applyProtection="1">
      <protection locked="0"/>
    </xf>
    <xf numFmtId="4" fontId="0" fillId="0" borderId="1" xfId="0" applyNumberFormat="1" applyBorder="1" applyProtection="1">
      <protection locked="0"/>
    </xf>
    <xf numFmtId="3" fontId="0" fillId="0" borderId="0" xfId="0" applyNumberFormat="1" applyProtection="1">
      <protection locked="0"/>
    </xf>
    <xf numFmtId="3" fontId="66" fillId="5" borderId="14" xfId="0" applyNumberFormat="1" applyFont="1" applyFill="1" applyBorder="1" applyAlignment="1" applyProtection="1">
      <alignment horizontal="center"/>
      <protection locked="0"/>
    </xf>
    <xf numFmtId="0" fontId="66" fillId="5" borderId="14" xfId="0" applyFont="1" applyFill="1" applyBorder="1" applyAlignment="1" applyProtection="1">
      <alignment horizontal="center"/>
      <protection locked="0"/>
    </xf>
    <xf numFmtId="3" fontId="66" fillId="5" borderId="5" xfId="0" applyNumberFormat="1" applyFont="1" applyFill="1" applyBorder="1" applyAlignment="1" applyProtection="1">
      <alignment horizontal="center"/>
      <protection locked="0"/>
    </xf>
    <xf numFmtId="0" fontId="6" fillId="0" borderId="20" xfId="0" applyFont="1" applyBorder="1" applyAlignment="1">
      <alignment horizontal="right" vertical="center"/>
    </xf>
    <xf numFmtId="0" fontId="48" fillId="0" borderId="1" xfId="0" applyFont="1" applyBorder="1"/>
    <xf numFmtId="0" fontId="70" fillId="0" borderId="0" xfId="0" applyFont="1" applyAlignment="1">
      <alignment vertical="center" wrapText="1"/>
    </xf>
    <xf numFmtId="0" fontId="6" fillId="0" borderId="1" xfId="0" applyFont="1" applyBorder="1" applyAlignment="1">
      <alignment horizontal="center"/>
    </xf>
    <xf numFmtId="3" fontId="0" fillId="15" borderId="14" xfId="0" applyNumberFormat="1" applyFill="1" applyBorder="1" applyAlignment="1" applyProtection="1">
      <alignment horizontal="center" vertical="center" wrapText="1"/>
      <protection locked="0"/>
    </xf>
    <xf numFmtId="168" fontId="93" fillId="15" borderId="14" xfId="4" applyNumberFormat="1" applyFont="1" applyFill="1" applyBorder="1" applyAlignment="1" applyProtection="1">
      <alignment horizontal="center"/>
      <protection locked="0"/>
    </xf>
    <xf numFmtId="168" fontId="99" fillId="5" borderId="5" xfId="4" applyNumberFormat="1" applyFont="1" applyFill="1" applyBorder="1" applyAlignment="1" applyProtection="1">
      <alignment horizontal="center"/>
      <protection locked="0"/>
    </xf>
    <xf numFmtId="3" fontId="82" fillId="15" borderId="4" xfId="0" applyNumberFormat="1" applyFont="1" applyFill="1" applyBorder="1" applyAlignment="1" applyProtection="1">
      <alignment horizontal="center"/>
      <protection locked="0"/>
    </xf>
    <xf numFmtId="171" fontId="7" fillId="2" borderId="4" xfId="0" applyNumberFormat="1" applyFont="1" applyFill="1" applyBorder="1" applyAlignment="1">
      <alignment horizontal="center"/>
    </xf>
    <xf numFmtId="0" fontId="103" fillId="17" borderId="8" xfId="0" applyFont="1" applyFill="1" applyBorder="1" applyAlignment="1" applyProtection="1">
      <alignment horizontal="left"/>
      <protection locked="0"/>
    </xf>
    <xf numFmtId="16" fontId="103" fillId="17" borderId="9" xfId="0" applyNumberFormat="1" applyFont="1" applyFill="1" applyBorder="1" applyAlignment="1" applyProtection="1">
      <alignment horizontal="left"/>
      <protection locked="0"/>
    </xf>
    <xf numFmtId="0" fontId="104" fillId="17" borderId="9" xfId="0" applyFont="1" applyFill="1" applyBorder="1" applyAlignment="1" applyProtection="1">
      <alignment horizontal="left"/>
      <protection locked="0"/>
    </xf>
    <xf numFmtId="9" fontId="103" fillId="17" borderId="9" xfId="4" applyFont="1" applyFill="1" applyBorder="1" applyAlignment="1" applyProtection="1">
      <alignment horizontal="center"/>
      <protection locked="0"/>
    </xf>
    <xf numFmtId="168" fontId="103" fillId="17" borderId="9" xfId="4" applyNumberFormat="1" applyFont="1" applyFill="1" applyBorder="1" applyAlignment="1" applyProtection="1">
      <alignment horizontal="center"/>
      <protection locked="0"/>
    </xf>
    <xf numFmtId="0" fontId="113" fillId="0" borderId="8" xfId="0" applyFont="1" applyBorder="1" applyAlignment="1">
      <alignment horizontal="center" wrapText="1"/>
    </xf>
    <xf numFmtId="0" fontId="113" fillId="0" borderId="9" xfId="0" applyFont="1" applyBorder="1" applyAlignment="1">
      <alignment horizontal="center" wrapText="1"/>
    </xf>
    <xf numFmtId="0" fontId="114" fillId="0" borderId="9" xfId="0" applyFont="1" applyBorder="1" applyAlignment="1">
      <alignment horizontal="center" wrapText="1"/>
    </xf>
    <xf numFmtId="0" fontId="114" fillId="18" borderId="9" xfId="0" applyFont="1" applyFill="1" applyBorder="1" applyAlignment="1">
      <alignment horizontal="center" wrapText="1"/>
    </xf>
    <xf numFmtId="0" fontId="113" fillId="18" borderId="9" xfId="0" applyFont="1" applyFill="1" applyBorder="1" applyAlignment="1">
      <alignment horizontal="center" wrapText="1"/>
    </xf>
    <xf numFmtId="1" fontId="6" fillId="0" borderId="1" xfId="0" applyNumberFormat="1" applyFont="1" applyBorder="1" applyAlignment="1">
      <alignment horizontal="center"/>
    </xf>
    <xf numFmtId="1" fontId="6" fillId="15" borderId="1" xfId="0" applyNumberFormat="1" applyFont="1" applyFill="1" applyBorder="1" applyAlignment="1">
      <alignment horizontal="center"/>
    </xf>
    <xf numFmtId="3" fontId="7" fillId="2" borderId="1" xfId="0" applyNumberFormat="1" applyFont="1" applyFill="1" applyBorder="1" applyAlignment="1">
      <alignment horizontal="center"/>
    </xf>
    <xf numFmtId="1" fontId="6" fillId="0" borderId="0" xfId="0" applyNumberFormat="1" applyFont="1" applyAlignment="1">
      <alignment horizontal="center"/>
    </xf>
    <xf numFmtId="9" fontId="6" fillId="0" borderId="0" xfId="5" applyFont="1" applyProtection="1"/>
    <xf numFmtId="9" fontId="6" fillId="0" borderId="42" xfId="5" applyFont="1" applyBorder="1" applyProtection="1"/>
    <xf numFmtId="9" fontId="6" fillId="0" borderId="0" xfId="5" applyFont="1" applyBorder="1" applyProtection="1"/>
    <xf numFmtId="0" fontId="6" fillId="0" borderId="40" xfId="0" applyFont="1" applyBorder="1"/>
    <xf numFmtId="9" fontId="6" fillId="0" borderId="40" xfId="5" applyFont="1" applyBorder="1" applyProtection="1"/>
    <xf numFmtId="0" fontId="6" fillId="0" borderId="14" xfId="0" applyFont="1" applyBorder="1" applyAlignment="1">
      <alignment horizontal="center" vertical="center" wrapText="1"/>
    </xf>
    <xf numFmtId="0" fontId="6" fillId="0" borderId="0" xfId="0" applyFont="1" applyAlignment="1">
      <alignment horizontal="center" wrapText="1"/>
    </xf>
    <xf numFmtId="0" fontId="6" fillId="0" borderId="61"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28" xfId="0" applyFont="1" applyBorder="1" applyAlignment="1">
      <alignment horizontal="center" vertical="center" wrapText="1"/>
    </xf>
    <xf numFmtId="164" fontId="7" fillId="2" borderId="4" xfId="0" applyNumberFormat="1" applyFont="1" applyFill="1" applyBorder="1" applyAlignment="1">
      <alignment horizontal="center" vertical="center"/>
    </xf>
    <xf numFmtId="0" fontId="6" fillId="0" borderId="10"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36" xfId="0" applyFont="1" applyBorder="1" applyAlignment="1">
      <alignment horizontal="center" vertical="center" wrapText="1"/>
    </xf>
    <xf numFmtId="0" fontId="7" fillId="0" borderId="39" xfId="0" applyFont="1" applyBorder="1"/>
    <xf numFmtId="2" fontId="7" fillId="2" borderId="4" xfId="0" applyNumberFormat="1" applyFont="1" applyFill="1" applyBorder="1" applyAlignment="1">
      <alignment horizontal="center" vertical="center"/>
    </xf>
    <xf numFmtId="171" fontId="11" fillId="15" borderId="4" xfId="0" applyNumberFormat="1" applyFont="1" applyFill="1" applyBorder="1" applyAlignment="1" applyProtection="1">
      <alignment horizontal="center"/>
      <protection locked="0"/>
    </xf>
    <xf numFmtId="168" fontId="11" fillId="15" borderId="4" xfId="5" applyNumberFormat="1" applyFont="1" applyFill="1" applyBorder="1" applyAlignment="1" applyProtection="1">
      <alignment horizontal="center"/>
      <protection locked="0"/>
    </xf>
    <xf numFmtId="3" fontId="6" fillId="0" borderId="4" xfId="0" applyNumberFormat="1" applyFont="1" applyBorder="1" applyAlignment="1">
      <alignment horizontal="center"/>
    </xf>
    <xf numFmtId="171" fontId="6" fillId="0" borderId="44" xfId="0" applyNumberFormat="1" applyFont="1" applyBorder="1" applyAlignment="1">
      <alignment horizontal="center"/>
    </xf>
    <xf numFmtId="167" fontId="6" fillId="0" borderId="45" xfId="0" applyNumberFormat="1" applyFont="1" applyBorder="1" applyAlignment="1">
      <alignment horizontal="center"/>
    </xf>
    <xf numFmtId="0" fontId="21" fillId="0" borderId="53" xfId="0" applyFont="1" applyBorder="1"/>
    <xf numFmtId="0" fontId="6" fillId="0" borderId="1" xfId="0" applyFont="1" applyBorder="1" applyAlignment="1">
      <alignment horizontal="right"/>
    </xf>
    <xf numFmtId="3" fontId="6" fillId="0" borderId="0" xfId="0" applyNumberFormat="1" applyFont="1"/>
    <xf numFmtId="167" fontId="6" fillId="0" borderId="0" xfId="0" applyNumberFormat="1" applyFont="1"/>
    <xf numFmtId="0" fontId="8" fillId="0" borderId="56" xfId="0" applyFont="1" applyBorder="1" applyAlignment="1">
      <alignment vertical="center" wrapText="1"/>
    </xf>
    <xf numFmtId="0" fontId="41" fillId="0" borderId="49" xfId="0" applyFont="1" applyBorder="1" applyAlignment="1">
      <alignment vertical="center" wrapText="1"/>
    </xf>
    <xf numFmtId="1" fontId="7" fillId="0" borderId="79" xfId="0" applyNumberFormat="1" applyFont="1" applyBorder="1" applyAlignment="1">
      <alignment horizontal="center"/>
    </xf>
    <xf numFmtId="1" fontId="7" fillId="0" borderId="61" xfId="0" applyNumberFormat="1" applyFont="1" applyBorder="1" applyAlignment="1">
      <alignment horizontal="center"/>
    </xf>
    <xf numFmtId="1" fontId="38" fillId="0" borderId="55" xfId="0" applyNumberFormat="1" applyFont="1" applyBorder="1" applyAlignment="1">
      <alignment horizontal="center"/>
    </xf>
    <xf numFmtId="165" fontId="41" fillId="0" borderId="4" xfId="0" applyNumberFormat="1" applyFont="1" applyBorder="1" applyAlignment="1">
      <alignment horizontal="center"/>
    </xf>
    <xf numFmtId="164" fontId="41" fillId="0" borderId="1" xfId="0" applyNumberFormat="1" applyFont="1" applyBorder="1"/>
    <xf numFmtId="3" fontId="11" fillId="15" borderId="44" xfId="0" applyNumberFormat="1" applyFont="1" applyFill="1" applyBorder="1" applyAlignment="1" applyProtection="1">
      <alignment horizontal="center"/>
      <protection locked="0"/>
    </xf>
    <xf numFmtId="0" fontId="6" fillId="10" borderId="1" xfId="0" applyFont="1" applyFill="1" applyBorder="1"/>
    <xf numFmtId="168" fontId="33" fillId="6" borderId="1" xfId="4" applyNumberFormat="1" applyFont="1" applyFill="1" applyBorder="1" applyProtection="1"/>
    <xf numFmtId="4" fontId="6" fillId="0" borderId="4" xfId="0" applyNumberFormat="1" applyFont="1" applyBorder="1" applyAlignment="1">
      <alignment horizontal="center"/>
    </xf>
    <xf numFmtId="9" fontId="92" fillId="4" borderId="14" xfId="5" applyFont="1" applyFill="1" applyBorder="1" applyAlignment="1" applyProtection="1">
      <alignment horizontal="center"/>
    </xf>
    <xf numFmtId="0" fontId="6" fillId="10" borderId="29" xfId="0" applyFont="1" applyFill="1" applyBorder="1" applyAlignment="1">
      <alignment horizontal="right"/>
    </xf>
    <xf numFmtId="0" fontId="7" fillId="0" borderId="51" xfId="0" applyFont="1" applyBorder="1"/>
    <xf numFmtId="0" fontId="6" fillId="0" borderId="4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44" xfId="0" applyFont="1" applyBorder="1" applyAlignment="1">
      <alignment horizontal="right"/>
    </xf>
    <xf numFmtId="0" fontId="67" fillId="5" borderId="45" xfId="0" applyFont="1" applyFill="1" applyBorder="1" applyAlignment="1" applyProtection="1">
      <alignment horizontal="center"/>
      <protection locked="0"/>
    </xf>
    <xf numFmtId="3" fontId="11" fillId="0" borderId="44" xfId="0" applyNumberFormat="1" applyFont="1" applyBorder="1" applyAlignment="1">
      <alignment horizontal="center"/>
    </xf>
    <xf numFmtId="3" fontId="11" fillId="0" borderId="30" xfId="0" applyNumberFormat="1" applyFont="1" applyBorder="1" applyAlignment="1">
      <alignment horizontal="center"/>
    </xf>
    <xf numFmtId="3" fontId="11" fillId="0" borderId="45" xfId="0" applyNumberFormat="1" applyFont="1" applyBorder="1" applyAlignment="1">
      <alignment horizontal="center"/>
    </xf>
    <xf numFmtId="3" fontId="41" fillId="2" borderId="51" xfId="0" applyNumberFormat="1" applyFont="1" applyFill="1" applyBorder="1" applyAlignment="1">
      <alignment horizontal="center"/>
    </xf>
    <xf numFmtId="0" fontId="6" fillId="10" borderId="29" xfId="0" applyFont="1" applyFill="1" applyBorder="1" applyAlignment="1">
      <alignment horizontal="right" wrapText="1"/>
    </xf>
    <xf numFmtId="3" fontId="6" fillId="0" borderId="72" xfId="0" applyNumberFormat="1" applyFont="1" applyBorder="1" applyAlignment="1">
      <alignment horizontal="center"/>
    </xf>
    <xf numFmtId="3" fontId="6" fillId="0" borderId="73" xfId="0" applyNumberFormat="1" applyFont="1" applyBorder="1" applyAlignment="1">
      <alignment horizontal="center"/>
    </xf>
    <xf numFmtId="3" fontId="6" fillId="0" borderId="68" xfId="0" applyNumberFormat="1" applyFont="1" applyBorder="1" applyAlignment="1">
      <alignment horizontal="center"/>
    </xf>
    <xf numFmtId="10" fontId="11" fillId="0" borderId="4" xfId="5" applyNumberFormat="1" applyFont="1" applyFill="1" applyBorder="1" applyAlignment="1" applyProtection="1">
      <alignment horizontal="center"/>
    </xf>
    <xf numFmtId="10" fontId="37" fillId="0" borderId="4" xfId="5" applyNumberFormat="1" applyFont="1" applyFill="1" applyBorder="1" applyAlignment="1" applyProtection="1">
      <alignment horizontal="center"/>
    </xf>
    <xf numFmtId="0" fontId="107" fillId="0" borderId="1" xfId="0" applyFont="1" applyBorder="1" applyAlignment="1">
      <alignment horizontal="right"/>
    </xf>
    <xf numFmtId="2" fontId="41" fillId="0" borderId="3" xfId="0" applyNumberFormat="1" applyFont="1" applyBorder="1"/>
    <xf numFmtId="164" fontId="41" fillId="0" borderId="5" xfId="0" applyNumberFormat="1" applyFont="1" applyBorder="1" applyAlignment="1">
      <alignment horizontal="center"/>
    </xf>
    <xf numFmtId="2" fontId="23" fillId="6" borderId="1" xfId="0" applyNumberFormat="1" applyFont="1" applyFill="1" applyBorder="1" applyAlignment="1">
      <alignment horizontal="center"/>
    </xf>
    <xf numFmtId="164" fontId="23" fillId="6" borderId="1" xfId="0" applyNumberFormat="1" applyFont="1" applyFill="1" applyBorder="1" applyAlignment="1">
      <alignment horizontal="center"/>
    </xf>
    <xf numFmtId="165" fontId="23" fillId="6" borderId="1" xfId="0" applyNumberFormat="1" applyFont="1" applyFill="1" applyBorder="1" applyAlignment="1">
      <alignment horizontal="center"/>
    </xf>
    <xf numFmtId="0" fontId="41" fillId="0" borderId="0" xfId="0" applyFont="1" applyAlignment="1">
      <alignment horizontal="right"/>
    </xf>
    <xf numFmtId="0" fontId="117" fillId="0" borderId="1" xfId="0" applyFont="1" applyBorder="1" applyAlignment="1">
      <alignment horizontal="center"/>
    </xf>
    <xf numFmtId="168" fontId="41" fillId="20" borderId="1" xfId="4" applyNumberFormat="1" applyFont="1" applyFill="1" applyBorder="1" applyProtection="1"/>
    <xf numFmtId="173" fontId="41" fillId="20" borderId="1" xfId="0" applyNumberFormat="1" applyFont="1" applyFill="1" applyBorder="1"/>
    <xf numFmtId="0" fontId="76" fillId="0" borderId="1" xfId="0" applyFont="1" applyBorder="1" applyAlignment="1">
      <alignment horizontal="center"/>
    </xf>
    <xf numFmtId="0" fontId="28" fillId="0" borderId="1" xfId="0" applyFont="1" applyBorder="1"/>
    <xf numFmtId="0" fontId="41" fillId="20" borderId="1" xfId="0" applyFont="1" applyFill="1" applyBorder="1"/>
    <xf numFmtId="2" fontId="41" fillId="20" borderId="1" xfId="0" applyNumberFormat="1" applyFont="1" applyFill="1" applyBorder="1"/>
    <xf numFmtId="3" fontId="53" fillId="0" borderId="27" xfId="0" applyNumberFormat="1" applyFont="1" applyBorder="1" applyAlignment="1">
      <alignment horizontal="center"/>
    </xf>
    <xf numFmtId="3" fontId="53" fillId="0" borderId="4" xfId="0" applyNumberFormat="1" applyFont="1" applyBorder="1" applyAlignment="1">
      <alignment horizontal="center"/>
    </xf>
    <xf numFmtId="3" fontId="53" fillId="0" borderId="46" xfId="0" applyNumberFormat="1" applyFont="1" applyBorder="1"/>
    <xf numFmtId="3" fontId="53" fillId="0" borderId="14" xfId="0" applyNumberFormat="1" applyFont="1" applyBorder="1"/>
    <xf numFmtId="168" fontId="92" fillId="17" borderId="1" xfId="4" applyNumberFormat="1" applyFont="1" applyFill="1" applyBorder="1" applyProtection="1"/>
    <xf numFmtId="9" fontId="41" fillId="20" borderId="1" xfId="4" applyFont="1" applyFill="1" applyBorder="1" applyProtection="1"/>
    <xf numFmtId="10" fontId="23" fillId="6" borderId="1" xfId="4" applyNumberFormat="1" applyFont="1" applyFill="1" applyBorder="1" applyProtection="1"/>
    <xf numFmtId="0" fontId="112" fillId="0" borderId="0" xfId="0" applyFont="1" applyAlignment="1">
      <alignment vertical="center" wrapText="1"/>
    </xf>
    <xf numFmtId="0" fontId="23" fillId="6" borderId="1" xfId="0" applyFont="1" applyFill="1" applyBorder="1" applyAlignment="1">
      <alignment horizontal="center"/>
    </xf>
    <xf numFmtId="0" fontId="23" fillId="6" borderId="14" xfId="0" applyFont="1" applyFill="1" applyBorder="1" applyAlignment="1">
      <alignment horizontal="center"/>
    </xf>
    <xf numFmtId="0" fontId="6" fillId="0" borderId="10" xfId="0" applyFont="1" applyBorder="1" applyAlignment="1">
      <alignment horizontal="right"/>
    </xf>
    <xf numFmtId="2" fontId="41" fillId="0" borderId="14" xfId="0" applyNumberFormat="1" applyFont="1" applyBorder="1"/>
    <xf numFmtId="0" fontId="82" fillId="0" borderId="0" xfId="0" applyFont="1"/>
    <xf numFmtId="0" fontId="32" fillId="0" borderId="1" xfId="0" applyFont="1" applyBorder="1"/>
    <xf numFmtId="0" fontId="105" fillId="0" borderId="1" xfId="0" applyFont="1" applyBorder="1"/>
    <xf numFmtId="0" fontId="32" fillId="0" borderId="0" xfId="0" applyFont="1"/>
    <xf numFmtId="0" fontId="32" fillId="14" borderId="1" xfId="0" applyFont="1" applyFill="1" applyBorder="1" applyAlignment="1">
      <alignment horizontal="center"/>
    </xf>
    <xf numFmtId="0" fontId="32" fillId="0" borderId="31" xfId="0" applyFont="1" applyBorder="1" applyAlignment="1">
      <alignment horizontal="center"/>
    </xf>
    <xf numFmtId="0" fontId="32" fillId="0" borderId="46" xfId="0" applyFont="1" applyBorder="1" applyAlignment="1">
      <alignment horizontal="center"/>
    </xf>
    <xf numFmtId="0" fontId="76" fillId="0" borderId="14" xfId="0" applyFont="1" applyBorder="1" applyAlignment="1">
      <alignment horizontal="center"/>
    </xf>
    <xf numFmtId="0" fontId="32" fillId="0" borderId="1" xfId="0" applyFont="1" applyBorder="1" applyAlignment="1">
      <alignment horizontal="right" vertical="center"/>
    </xf>
    <xf numFmtId="0" fontId="21" fillId="0" borderId="68" xfId="0" applyFont="1" applyBorder="1"/>
    <xf numFmtId="0" fontId="21" fillId="0" borderId="28" xfId="0" applyFont="1" applyBorder="1"/>
    <xf numFmtId="0" fontId="21" fillId="0" borderId="2" xfId="0" applyFont="1" applyBorder="1"/>
    <xf numFmtId="0" fontId="28" fillId="0" borderId="61" xfId="0" applyFont="1" applyBorder="1"/>
    <xf numFmtId="0" fontId="91" fillId="0" borderId="9" xfId="0" applyFont="1" applyBorder="1" applyAlignment="1">
      <alignment horizontal="left"/>
    </xf>
    <xf numFmtId="0" fontId="6" fillId="0" borderId="38" xfId="0" applyFont="1" applyBorder="1" applyAlignment="1">
      <alignment horizontal="right" wrapText="1"/>
    </xf>
    <xf numFmtId="0" fontId="6" fillId="0" borderId="19" xfId="0" applyFont="1" applyBorder="1" applyAlignment="1">
      <alignment horizontal="right"/>
    </xf>
    <xf numFmtId="0" fontId="11" fillId="0" borderId="16" xfId="0" applyFont="1" applyBorder="1" applyAlignment="1">
      <alignment horizontal="right"/>
    </xf>
    <xf numFmtId="0" fontId="11" fillId="0" borderId="29" xfId="0" applyFont="1" applyBorder="1" applyAlignment="1">
      <alignment horizontal="right"/>
    </xf>
    <xf numFmtId="0" fontId="11" fillId="0" borderId="51" xfId="0" applyFont="1" applyBorder="1" applyAlignment="1">
      <alignment horizontal="right"/>
    </xf>
    <xf numFmtId="0" fontId="95" fillId="0" borderId="8" xfId="0" applyFont="1" applyBorder="1" applyAlignment="1">
      <alignment horizontal="center"/>
    </xf>
    <xf numFmtId="0" fontId="84" fillId="0" borderId="52" xfId="0" applyFont="1" applyBorder="1" applyAlignment="1">
      <alignment horizontal="center"/>
    </xf>
    <xf numFmtId="0" fontId="0" fillId="0" borderId="0" xfId="0" applyAlignment="1">
      <alignment horizontal="left" vertical="top" wrapText="1"/>
    </xf>
    <xf numFmtId="0" fontId="7" fillId="0" borderId="40" xfId="0" applyFont="1" applyBorder="1" applyAlignment="1">
      <alignment horizontal="left"/>
    </xf>
    <xf numFmtId="0" fontId="7" fillId="0" borderId="41" xfId="0" applyFont="1" applyBorder="1" applyAlignment="1">
      <alignment horizontal="left"/>
    </xf>
    <xf numFmtId="0" fontId="7" fillId="0" borderId="12" xfId="0" applyFont="1" applyBorder="1" applyAlignment="1">
      <alignment horizontal="left"/>
    </xf>
    <xf numFmtId="0" fontId="7" fillId="0" borderId="52" xfId="0" applyFont="1" applyBorder="1" applyAlignment="1">
      <alignment horizontal="left"/>
    </xf>
    <xf numFmtId="0" fontId="7" fillId="0" borderId="32" xfId="0" applyFont="1" applyBorder="1" applyAlignment="1">
      <alignment horizontal="left"/>
    </xf>
    <xf numFmtId="0" fontId="6" fillId="0" borderId="0" xfId="0" applyFont="1" applyAlignment="1">
      <alignment vertical="top" wrapText="1"/>
    </xf>
    <xf numFmtId="0" fontId="0" fillId="0" borderId="0" xfId="0" applyAlignment="1">
      <alignment vertical="top"/>
    </xf>
    <xf numFmtId="0" fontId="6" fillId="0" borderId="1" xfId="0" applyFont="1" applyBorder="1" applyAlignment="1">
      <alignment horizontal="left"/>
    </xf>
    <xf numFmtId="0" fontId="108" fillId="0" borderId="20" xfId="0" applyFont="1" applyBorder="1" applyAlignment="1">
      <alignment horizontal="right"/>
    </xf>
    <xf numFmtId="0" fontId="11" fillId="0" borderId="20" xfId="0" applyFont="1" applyBorder="1" applyAlignment="1">
      <alignment horizontal="right"/>
    </xf>
    <xf numFmtId="2" fontId="7" fillId="2" borderId="77" xfId="0" applyNumberFormat="1" applyFont="1" applyFill="1" applyBorder="1" applyAlignment="1">
      <alignment horizontal="center"/>
    </xf>
    <xf numFmtId="0" fontId="41" fillId="0" borderId="45" xfId="0" applyFont="1" applyBorder="1" applyAlignment="1">
      <alignment vertical="center" wrapText="1"/>
    </xf>
    <xf numFmtId="164" fontId="38" fillId="2" borderId="44" xfId="0" applyNumberFormat="1" applyFont="1" applyFill="1" applyBorder="1" applyAlignment="1">
      <alignment horizontal="center"/>
    </xf>
    <xf numFmtId="0" fontId="41" fillId="0" borderId="45" xfId="0" applyFont="1" applyBorder="1" applyAlignment="1">
      <alignment wrapText="1"/>
    </xf>
    <xf numFmtId="164" fontId="38" fillId="2" borderId="30" xfId="0" applyNumberFormat="1" applyFont="1" applyFill="1" applyBorder="1" applyAlignment="1">
      <alignment horizontal="center"/>
    </xf>
    <xf numFmtId="0" fontId="41" fillId="0" borderId="30" xfId="0" applyFont="1" applyBorder="1" applyAlignment="1">
      <alignment horizontal="center" vertical="center" wrapText="1"/>
    </xf>
    <xf numFmtId="1" fontId="66" fillId="0" borderId="45" xfId="0" applyNumberFormat="1" applyFont="1" applyBorder="1" applyAlignment="1">
      <alignment horizontal="center" vertical="center" wrapText="1"/>
    </xf>
    <xf numFmtId="0" fontId="66" fillId="5" borderId="3" xfId="0" applyFont="1" applyFill="1" applyBorder="1" applyAlignment="1" applyProtection="1">
      <alignment horizontal="center" vertical="center" wrapText="1"/>
      <protection locked="0"/>
    </xf>
    <xf numFmtId="0" fontId="66" fillId="4" borderId="15" xfId="0" applyFont="1" applyFill="1" applyBorder="1" applyAlignment="1">
      <alignment horizontal="center" vertical="center" wrapText="1"/>
    </xf>
    <xf numFmtId="3" fontId="66" fillId="5" borderId="3" xfId="0" applyNumberFormat="1" applyFont="1" applyFill="1" applyBorder="1" applyAlignment="1" applyProtection="1">
      <alignment horizontal="center" vertical="center" wrapText="1"/>
      <protection locked="0"/>
    </xf>
    <xf numFmtId="0" fontId="23" fillId="0" borderId="15" xfId="0" applyFont="1" applyBorder="1" applyAlignment="1">
      <alignment vertical="center"/>
    </xf>
    <xf numFmtId="3" fontId="66" fillId="5" borderId="59" xfId="0" applyNumberFormat="1" applyFont="1" applyFill="1" applyBorder="1" applyAlignment="1" applyProtection="1">
      <alignment horizontal="center" vertical="center" wrapText="1"/>
      <protection locked="0"/>
    </xf>
    <xf numFmtId="3" fontId="66" fillId="5" borderId="53" xfId="0" applyNumberFormat="1" applyFont="1" applyFill="1" applyBorder="1" applyAlignment="1" applyProtection="1">
      <alignment horizontal="center" vertical="center" wrapText="1"/>
      <protection locked="0"/>
    </xf>
    <xf numFmtId="0" fontId="41" fillId="0" borderId="65" xfId="0" applyFont="1" applyBorder="1" applyAlignment="1">
      <alignment horizontal="center" vertical="center" wrapText="1"/>
    </xf>
    <xf numFmtId="0" fontId="6" fillId="0" borderId="19" xfId="0" applyFont="1" applyBorder="1" applyAlignment="1">
      <alignment horizontal="right" wrapText="1"/>
    </xf>
    <xf numFmtId="0" fontId="6" fillId="0" borderId="20" xfId="0" applyFont="1" applyBorder="1" applyAlignment="1">
      <alignment horizontal="right" wrapText="1"/>
    </xf>
    <xf numFmtId="0" fontId="38" fillId="0" borderId="21" xfId="0" applyFont="1" applyBorder="1" applyAlignment="1">
      <alignment wrapText="1"/>
    </xf>
    <xf numFmtId="1" fontId="66" fillId="5" borderId="3" xfId="0" applyNumberFormat="1" applyFont="1" applyFill="1" applyBorder="1" applyAlignment="1" applyProtection="1">
      <alignment horizontal="center" vertical="center" wrapText="1"/>
      <protection locked="0"/>
    </xf>
    <xf numFmtId="1" fontId="66" fillId="4" borderId="15" xfId="0" applyNumberFormat="1" applyFont="1" applyFill="1" applyBorder="1" applyAlignment="1">
      <alignment horizontal="center" vertical="center" wrapText="1"/>
    </xf>
    <xf numFmtId="0" fontId="66" fillId="5" borderId="59" xfId="0" applyFont="1" applyFill="1" applyBorder="1" applyAlignment="1" applyProtection="1">
      <alignment horizontal="center" vertical="center" wrapText="1"/>
      <protection locked="0"/>
    </xf>
    <xf numFmtId="0" fontId="66" fillId="5" borderId="53" xfId="0" applyFont="1" applyFill="1" applyBorder="1" applyAlignment="1" applyProtection="1">
      <alignment horizontal="center" vertical="center" wrapText="1"/>
      <protection locked="0"/>
    </xf>
    <xf numFmtId="0" fontId="23" fillId="0" borderId="21" xfId="0" applyFont="1" applyBorder="1" applyAlignment="1">
      <alignment horizontal="right" wrapText="1"/>
    </xf>
    <xf numFmtId="1" fontId="66" fillId="5" borderId="59" xfId="0" applyNumberFormat="1" applyFont="1" applyFill="1" applyBorder="1" applyAlignment="1" applyProtection="1">
      <alignment horizontal="center" vertical="center" wrapText="1"/>
      <protection locked="0"/>
    </xf>
    <xf numFmtId="164" fontId="38" fillId="2" borderId="53" xfId="0" applyNumberFormat="1" applyFont="1" applyFill="1" applyBorder="1" applyAlignment="1">
      <alignment horizontal="center" vertical="center"/>
    </xf>
    <xf numFmtId="0" fontId="7" fillId="0" borderId="21" xfId="0" applyFont="1" applyBorder="1"/>
    <xf numFmtId="0" fontId="7" fillId="0" borderId="73" xfId="0" applyFont="1" applyBorder="1"/>
    <xf numFmtId="0" fontId="23" fillId="0" borderId="65"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30" xfId="0" applyFont="1" applyBorder="1" applyAlignment="1">
      <alignment horizontal="center" vertical="center" wrapText="1"/>
    </xf>
    <xf numFmtId="0" fontId="7" fillId="0" borderId="67" xfId="0" applyFont="1" applyBorder="1" applyAlignment="1">
      <alignment horizontal="right"/>
    </xf>
    <xf numFmtId="2" fontId="5" fillId="2" borderId="70" xfId="0" applyNumberFormat="1" applyFont="1" applyFill="1" applyBorder="1" applyAlignment="1">
      <alignment horizontal="center" vertical="center" wrapText="1"/>
    </xf>
    <xf numFmtId="0" fontId="6" fillId="0" borderId="63" xfId="0" applyFont="1" applyBorder="1" applyAlignment="1">
      <alignment horizontal="center" vertical="center" wrapText="1"/>
    </xf>
    <xf numFmtId="2" fontId="5" fillId="2" borderId="76" xfId="0" applyNumberFormat="1" applyFont="1" applyFill="1" applyBorder="1" applyAlignment="1">
      <alignment horizontal="center" vertical="center" wrapText="1"/>
    </xf>
    <xf numFmtId="0" fontId="23" fillId="0" borderId="5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7" xfId="0" applyFont="1" applyBorder="1" applyAlignment="1">
      <alignment horizontal="center" vertical="center" wrapText="1"/>
    </xf>
    <xf numFmtId="0" fontId="42" fillId="0" borderId="15" xfId="0" applyFont="1" applyBorder="1" applyAlignment="1">
      <alignment wrapText="1"/>
    </xf>
    <xf numFmtId="2" fontId="7" fillId="2" borderId="44" xfId="0" applyNumberFormat="1" applyFont="1" applyFill="1" applyBorder="1" applyAlignment="1">
      <alignment horizontal="center" vertical="center"/>
    </xf>
    <xf numFmtId="2" fontId="23" fillId="0" borderId="45" xfId="0" applyNumberFormat="1" applyFont="1" applyBorder="1" applyAlignment="1">
      <alignment horizontal="center"/>
    </xf>
    <xf numFmtId="171" fontId="7" fillId="2" borderId="44" xfId="0" applyNumberFormat="1" applyFont="1" applyFill="1" applyBorder="1" applyAlignment="1">
      <alignment horizontal="center"/>
    </xf>
    <xf numFmtId="2" fontId="56" fillId="0" borderId="45" xfId="0" applyNumberFormat="1" applyFont="1" applyBorder="1" applyAlignment="1">
      <alignment horizontal="left"/>
    </xf>
    <xf numFmtId="0" fontId="6" fillId="0" borderId="51" xfId="0" applyFont="1" applyBorder="1" applyAlignment="1">
      <alignment horizontal="right"/>
    </xf>
    <xf numFmtId="2" fontId="21" fillId="0" borderId="45" xfId="0" applyNumberFormat="1" applyFont="1" applyBorder="1" applyAlignment="1">
      <alignment horizontal="left"/>
    </xf>
    <xf numFmtId="0" fontId="7" fillId="0" borderId="16" xfId="0" applyFont="1" applyBorder="1" applyAlignment="1">
      <alignment horizontal="right"/>
    </xf>
    <xf numFmtId="0" fontId="23" fillId="0" borderId="45" xfId="0" applyFont="1" applyBorder="1" applyAlignment="1">
      <alignment wrapText="1"/>
    </xf>
    <xf numFmtId="0" fontId="6" fillId="0" borderId="51" xfId="0" applyFont="1" applyBorder="1" applyAlignment="1">
      <alignment horizontal="right" indent="1"/>
    </xf>
    <xf numFmtId="167" fontId="92" fillId="17" borderId="44" xfId="0" applyNumberFormat="1" applyFont="1" applyFill="1" applyBorder="1" applyAlignment="1" applyProtection="1">
      <alignment horizontal="center"/>
      <protection locked="0"/>
    </xf>
    <xf numFmtId="167" fontId="33" fillId="0" borderId="45" xfId="0" applyNumberFormat="1" applyFont="1" applyBorder="1" applyAlignment="1">
      <alignment horizontal="center"/>
    </xf>
    <xf numFmtId="1" fontId="33" fillId="15" borderId="77" xfId="0" applyNumberFormat="1" applyFont="1" applyFill="1" applyBorder="1" applyAlignment="1" applyProtection="1">
      <alignment horizontal="center"/>
      <protection locked="0"/>
    </xf>
    <xf numFmtId="168" fontId="11" fillId="0" borderId="15" xfId="5" applyNumberFormat="1" applyFont="1" applyFill="1" applyBorder="1" applyAlignment="1" applyProtection="1">
      <alignment horizontal="center"/>
    </xf>
    <xf numFmtId="0" fontId="23" fillId="0" borderId="38" xfId="0" applyFont="1" applyBorder="1" applyAlignment="1">
      <alignment horizontal="right"/>
    </xf>
    <xf numFmtId="0" fontId="23" fillId="0" borderId="15" xfId="0" applyFont="1" applyBorder="1" applyAlignment="1">
      <alignment horizontal="center"/>
    </xf>
    <xf numFmtId="0" fontId="75" fillId="0" borderId="51" xfId="0" applyFont="1" applyBorder="1" applyAlignment="1">
      <alignment horizontal="right"/>
    </xf>
    <xf numFmtId="1" fontId="38" fillId="0" borderId="45" xfId="0" applyNumberFormat="1" applyFont="1" applyBorder="1" applyAlignment="1">
      <alignment horizontal="center"/>
    </xf>
    <xf numFmtId="1" fontId="66" fillId="4" borderId="15" xfId="0" applyNumberFormat="1" applyFont="1" applyFill="1" applyBorder="1" applyAlignment="1">
      <alignment horizontal="center"/>
    </xf>
    <xf numFmtId="0" fontId="6" fillId="0" borderId="51" xfId="0" applyFont="1" applyBorder="1" applyAlignment="1">
      <alignment horizontal="right" wrapText="1"/>
    </xf>
    <xf numFmtId="168" fontId="11" fillId="15" borderId="44" xfId="4" applyNumberFormat="1" applyFont="1" applyFill="1" applyBorder="1" applyAlignment="1" applyProtection="1">
      <alignment horizontal="center"/>
      <protection locked="0"/>
    </xf>
    <xf numFmtId="168" fontId="66" fillId="4" borderId="45" xfId="4" applyNumberFormat="1" applyFont="1" applyFill="1" applyBorder="1" applyAlignment="1" applyProtection="1">
      <alignment horizontal="center"/>
    </xf>
    <xf numFmtId="0" fontId="41" fillId="0" borderId="38" xfId="0" applyFont="1" applyBorder="1" applyAlignment="1">
      <alignment horizontal="right"/>
    </xf>
    <xf numFmtId="167" fontId="41" fillId="0" borderId="7" xfId="0" applyNumberFormat="1" applyFont="1" applyBorder="1" applyAlignment="1">
      <alignment horizontal="center" wrapText="1"/>
    </xf>
    <xf numFmtId="0" fontId="41" fillId="0" borderId="15" xfId="0" applyFont="1" applyBorder="1" applyAlignment="1">
      <alignment wrapText="1"/>
    </xf>
    <xf numFmtId="0" fontId="7" fillId="0" borderId="73" xfId="0" applyFont="1" applyBorder="1" applyAlignment="1">
      <alignment horizontal="right"/>
    </xf>
    <xf numFmtId="0" fontId="41" fillId="0" borderId="45" xfId="0" applyFont="1" applyBorder="1"/>
    <xf numFmtId="0" fontId="6" fillId="0" borderId="73" xfId="0" applyFont="1" applyBorder="1" applyAlignment="1">
      <alignment horizontal="right"/>
    </xf>
    <xf numFmtId="164" fontId="33" fillId="0" borderId="44" xfId="0" applyNumberFormat="1" applyFont="1" applyBorder="1" applyAlignment="1">
      <alignment horizontal="center"/>
    </xf>
    <xf numFmtId="168" fontId="37" fillId="0" borderId="45" xfId="5" applyNumberFormat="1" applyFont="1" applyFill="1" applyBorder="1" applyAlignment="1" applyProtection="1">
      <alignment horizontal="center"/>
    </xf>
    <xf numFmtId="166" fontId="41" fillId="0" borderId="59" xfId="0" applyNumberFormat="1" applyFont="1" applyBorder="1" applyAlignment="1">
      <alignment horizontal="center"/>
    </xf>
    <xf numFmtId="2" fontId="7" fillId="2" borderId="59" xfId="0" applyNumberFormat="1" applyFont="1" applyFill="1" applyBorder="1" applyAlignment="1">
      <alignment horizontal="center"/>
    </xf>
    <xf numFmtId="175" fontId="41" fillId="0" borderId="59" xfId="0" applyNumberFormat="1" applyFont="1" applyBorder="1" applyAlignment="1">
      <alignment horizontal="center"/>
    </xf>
    <xf numFmtId="0" fontId="11" fillId="0" borderId="19" xfId="0" applyFont="1" applyBorder="1" applyAlignment="1">
      <alignment horizontal="right"/>
    </xf>
    <xf numFmtId="3" fontId="7" fillId="2" borderId="44" xfId="0" applyNumberFormat="1" applyFont="1" applyFill="1" applyBorder="1" applyAlignment="1">
      <alignment horizontal="center"/>
    </xf>
    <xf numFmtId="1" fontId="7" fillId="0" borderId="72" xfId="0" applyNumberFormat="1" applyFont="1" applyBorder="1" applyAlignment="1">
      <alignment horizontal="center"/>
    </xf>
    <xf numFmtId="1" fontId="7" fillId="0" borderId="17" xfId="0" applyNumberFormat="1" applyFont="1" applyBorder="1" applyAlignment="1">
      <alignment horizontal="center"/>
    </xf>
    <xf numFmtId="2" fontId="7" fillId="2" borderId="74" xfId="0" applyNumberFormat="1" applyFont="1" applyFill="1" applyBorder="1" applyAlignment="1">
      <alignment horizontal="center"/>
    </xf>
    <xf numFmtId="1" fontId="7" fillId="0" borderId="62" xfId="0" applyNumberFormat="1" applyFont="1" applyBorder="1" applyAlignment="1">
      <alignment horizontal="center"/>
    </xf>
    <xf numFmtId="1" fontId="7" fillId="0" borderId="63" xfId="0" applyNumberFormat="1" applyFont="1" applyBorder="1" applyAlignment="1">
      <alignment horizontal="center"/>
    </xf>
    <xf numFmtId="0" fontId="53" fillId="0" borderId="15" xfId="0" applyFont="1" applyBorder="1"/>
    <xf numFmtId="0" fontId="7" fillId="0" borderId="47" xfId="0" applyFont="1" applyBorder="1" applyAlignment="1">
      <alignment horizontal="right"/>
    </xf>
    <xf numFmtId="9" fontId="120" fillId="4" borderId="15" xfId="4" applyFont="1" applyFill="1" applyBorder="1" applyAlignment="1" applyProtection="1">
      <alignment horizontal="center"/>
    </xf>
    <xf numFmtId="0" fontId="13" fillId="0" borderId="27" xfId="0" applyFont="1" applyBorder="1" applyAlignment="1">
      <alignment horizontal="left"/>
    </xf>
    <xf numFmtId="0" fontId="13" fillId="0" borderId="4" xfId="0" applyFont="1" applyBorder="1" applyAlignment="1">
      <alignment horizontal="left"/>
    </xf>
    <xf numFmtId="0" fontId="13" fillId="0" borderId="10" xfId="0" applyFont="1" applyBorder="1" applyAlignment="1">
      <alignment horizontal="left"/>
    </xf>
    <xf numFmtId="0" fontId="38" fillId="0" borderId="0" xfId="0" applyFont="1" applyAlignment="1">
      <alignment horizontal="center" wrapText="1"/>
    </xf>
    <xf numFmtId="3" fontId="23" fillId="0" borderId="14" xfId="0" applyNumberFormat="1" applyFont="1" applyBorder="1" applyAlignment="1">
      <alignment horizontal="center"/>
    </xf>
    <xf numFmtId="0" fontId="23" fillId="0" borderId="0" xfId="0" applyFont="1" applyAlignment="1">
      <alignment horizontal="left"/>
    </xf>
    <xf numFmtId="0" fontId="74" fillId="0" borderId="19" xfId="0" applyFont="1" applyBorder="1" applyAlignment="1">
      <alignment horizontal="center"/>
    </xf>
    <xf numFmtId="0" fontId="74" fillId="0" borderId="24" xfId="0" applyFont="1" applyBorder="1" applyAlignment="1">
      <alignment horizontal="center"/>
    </xf>
    <xf numFmtId="0" fontId="41" fillId="0" borderId="44" xfId="0" applyFont="1" applyBorder="1" applyAlignment="1">
      <alignment horizontal="right"/>
    </xf>
    <xf numFmtId="3" fontId="7" fillId="2" borderId="37" xfId="0" applyNumberFormat="1" applyFont="1" applyFill="1" applyBorder="1" applyAlignment="1">
      <alignment horizontal="center"/>
    </xf>
    <xf numFmtId="0" fontId="13" fillId="0" borderId="12" xfId="0" applyFont="1" applyBorder="1" applyAlignment="1">
      <alignment horizontal="right"/>
    </xf>
    <xf numFmtId="3" fontId="7" fillId="2" borderId="11" xfId="0" applyNumberFormat="1" applyFont="1" applyFill="1" applyBorder="1" applyAlignment="1">
      <alignment horizontal="center"/>
    </xf>
    <xf numFmtId="0" fontId="51" fillId="0" borderId="0" xfId="0" applyFont="1"/>
    <xf numFmtId="0" fontId="13" fillId="0" borderId="0" xfId="0" applyFont="1" applyAlignment="1">
      <alignment horizontal="right"/>
    </xf>
    <xf numFmtId="3" fontId="7" fillId="0" borderId="0" xfId="0" applyNumberFormat="1" applyFont="1" applyAlignment="1">
      <alignment horizontal="center"/>
    </xf>
    <xf numFmtId="0" fontId="5" fillId="0" borderId="27" xfId="0" applyFont="1" applyBorder="1" applyAlignment="1">
      <alignment horizontal="right"/>
    </xf>
    <xf numFmtId="3" fontId="7" fillId="2" borderId="31" xfId="0" applyNumberFormat="1" applyFont="1" applyFill="1" applyBorder="1" applyAlignment="1">
      <alignment horizontal="center"/>
    </xf>
    <xf numFmtId="3" fontId="7" fillId="2" borderId="46" xfId="0" applyNumberFormat="1" applyFont="1" applyFill="1" applyBorder="1" applyAlignment="1">
      <alignment horizontal="center"/>
    </xf>
    <xf numFmtId="0" fontId="5" fillId="0" borderId="4" xfId="0" applyFont="1" applyBorder="1" applyAlignment="1">
      <alignment horizontal="right"/>
    </xf>
    <xf numFmtId="0" fontId="5" fillId="0" borderId="10" xfId="0" applyFont="1" applyBorder="1" applyAlignment="1">
      <alignment horizontal="right"/>
    </xf>
    <xf numFmtId="4" fontId="7" fillId="2" borderId="17" xfId="0" applyNumberFormat="1" applyFont="1" applyFill="1" applyBorder="1" applyAlignment="1">
      <alignment horizontal="center"/>
    </xf>
    <xf numFmtId="0" fontId="53" fillId="0" borderId="0" xfId="0" applyFont="1" applyAlignment="1">
      <alignment horizontal="center"/>
    </xf>
    <xf numFmtId="4" fontId="53" fillId="0" borderId="0" xfId="0" applyNumberFormat="1" applyFont="1"/>
    <xf numFmtId="171" fontId="7" fillId="2" borderId="25" xfId="0" applyNumberFormat="1" applyFont="1" applyFill="1" applyBorder="1" applyAlignment="1">
      <alignment horizontal="center"/>
    </xf>
    <xf numFmtId="3" fontId="7" fillId="2" borderId="24" xfId="0" applyNumberFormat="1" applyFont="1" applyFill="1" applyBorder="1" applyAlignment="1">
      <alignment horizontal="center"/>
    </xf>
    <xf numFmtId="3" fontId="41" fillId="2" borderId="1" xfId="0" applyNumberFormat="1" applyFont="1" applyFill="1" applyBorder="1" applyAlignment="1" applyProtection="1">
      <alignment horizontal="center"/>
      <protection locked="0"/>
    </xf>
    <xf numFmtId="0" fontId="99" fillId="5" borderId="10" xfId="0" applyFont="1" applyFill="1" applyBorder="1" applyAlignment="1" applyProtection="1">
      <alignment horizontal="center" vertical="center" wrapText="1"/>
      <protection locked="0"/>
    </xf>
    <xf numFmtId="0" fontId="99" fillId="5" borderId="15" xfId="0" applyFont="1" applyFill="1" applyBorder="1" applyAlignment="1" applyProtection="1">
      <alignment horizontal="center" vertical="center" wrapText="1"/>
      <protection locked="0"/>
    </xf>
    <xf numFmtId="0" fontId="99" fillId="5" borderId="17" xfId="0" applyFont="1" applyFill="1" applyBorder="1" applyAlignment="1" applyProtection="1">
      <alignment horizontal="center" vertical="center" wrapText="1"/>
      <protection locked="0"/>
    </xf>
    <xf numFmtId="3" fontId="82" fillId="0" borderId="53" xfId="0" applyNumberFormat="1" applyFont="1" applyBorder="1" applyAlignment="1">
      <alignment horizontal="center" vertical="center" wrapText="1"/>
    </xf>
    <xf numFmtId="3" fontId="82" fillId="0" borderId="1" xfId="0" applyNumberFormat="1" applyFont="1" applyBorder="1" applyAlignment="1">
      <alignment horizontal="center" vertical="center" wrapText="1"/>
    </xf>
    <xf numFmtId="9" fontId="23" fillId="0" borderId="10" xfId="5" applyFont="1" applyFill="1" applyBorder="1" applyAlignment="1" applyProtection="1">
      <alignment horizontal="center"/>
      <protection locked="0"/>
    </xf>
    <xf numFmtId="0" fontId="33" fillId="0" borderId="14" xfId="0" applyFont="1" applyBorder="1" applyProtection="1">
      <protection locked="0"/>
    </xf>
    <xf numFmtId="0" fontId="6" fillId="10" borderId="38" xfId="0" applyFont="1" applyFill="1" applyBorder="1" applyAlignment="1">
      <alignment horizontal="right"/>
    </xf>
    <xf numFmtId="1" fontId="66" fillId="5" borderId="7" xfId="0" applyNumberFormat="1" applyFont="1" applyFill="1" applyBorder="1" applyAlignment="1" applyProtection="1">
      <alignment horizontal="center"/>
      <protection locked="0"/>
    </xf>
    <xf numFmtId="172" fontId="11" fillId="10" borderId="1" xfId="0" applyNumberFormat="1" applyFont="1" applyFill="1" applyBorder="1" applyAlignment="1">
      <alignment horizontal="right" vertical="center" wrapText="1"/>
    </xf>
    <xf numFmtId="0" fontId="115" fillId="0" borderId="0" xfId="0" applyFont="1" applyAlignment="1">
      <alignment horizontal="center"/>
    </xf>
    <xf numFmtId="2" fontId="11" fillId="20" borderId="1" xfId="0" applyNumberFormat="1" applyFont="1" applyFill="1" applyBorder="1" applyAlignment="1">
      <alignment horizontal="right" vertical="center" wrapText="1"/>
    </xf>
    <xf numFmtId="167" fontId="11" fillId="20" borderId="1" xfId="0" applyNumberFormat="1" applyFont="1" applyFill="1" applyBorder="1" applyAlignment="1">
      <alignment horizontal="right" vertical="center" wrapText="1"/>
    </xf>
    <xf numFmtId="0" fontId="111" fillId="0" borderId="1" xfId="0" applyFont="1" applyBorder="1"/>
    <xf numFmtId="0" fontId="111" fillId="0" borderId="30" xfId="0" applyFont="1" applyBorder="1"/>
    <xf numFmtId="168" fontId="103" fillId="17" borderId="3" xfId="4" applyNumberFormat="1" applyFont="1" applyFill="1" applyBorder="1" applyAlignment="1" applyProtection="1">
      <alignment horizontal="center"/>
      <protection locked="0"/>
    </xf>
    <xf numFmtId="168" fontId="79" fillId="0" borderId="1" xfId="5" applyNumberFormat="1" applyFont="1" applyFill="1" applyBorder="1" applyAlignment="1" applyProtection="1">
      <alignment horizontal="center"/>
    </xf>
    <xf numFmtId="167" fontId="33" fillId="15" borderId="7" xfId="0" applyNumberFormat="1" applyFont="1" applyFill="1" applyBorder="1" applyAlignment="1" applyProtection="1">
      <alignment horizontal="center"/>
      <protection locked="0"/>
    </xf>
    <xf numFmtId="168" fontId="66" fillId="5" borderId="27" xfId="5" applyNumberFormat="1" applyFont="1" applyFill="1" applyBorder="1" applyAlignment="1" applyProtection="1">
      <alignment horizontal="center"/>
      <protection locked="0"/>
    </xf>
    <xf numFmtId="168" fontId="66" fillId="4" borderId="46" xfId="5" applyNumberFormat="1" applyFont="1" applyFill="1" applyBorder="1" applyAlignment="1" applyProtection="1">
      <alignment horizontal="center"/>
    </xf>
    <xf numFmtId="2" fontId="11" fillId="0" borderId="44" xfId="0" applyNumberFormat="1" applyFont="1" applyBorder="1" applyAlignment="1">
      <alignment horizontal="center"/>
    </xf>
    <xf numFmtId="2" fontId="6" fillId="0" borderId="45" xfId="0" applyNumberFormat="1" applyFont="1" applyBorder="1" applyAlignment="1">
      <alignment horizontal="center"/>
    </xf>
    <xf numFmtId="1" fontId="55" fillId="0" borderId="14" xfId="0" applyNumberFormat="1" applyFont="1" applyBorder="1" applyAlignment="1">
      <alignment horizontal="left"/>
    </xf>
    <xf numFmtId="164" fontId="41" fillId="0" borderId="76" xfId="0" applyNumberFormat="1" applyFont="1" applyBorder="1" applyAlignment="1">
      <alignment horizontal="center"/>
    </xf>
    <xf numFmtId="164" fontId="41" fillId="0" borderId="62" xfId="0" applyNumberFormat="1" applyFont="1" applyBorder="1" applyAlignment="1">
      <alignment horizontal="center"/>
    </xf>
    <xf numFmtId="164" fontId="41" fillId="0" borderId="63" xfId="0" applyNumberFormat="1" applyFont="1" applyBorder="1" applyAlignment="1">
      <alignment horizontal="center"/>
    </xf>
    <xf numFmtId="167" fontId="6" fillId="0" borderId="27" xfId="0" applyNumberFormat="1" applyFont="1" applyBorder="1" applyAlignment="1">
      <alignment horizontal="center"/>
    </xf>
    <xf numFmtId="167" fontId="6" fillId="0" borderId="4" xfId="0" quotePrefix="1" applyNumberFormat="1" applyFont="1" applyBorder="1" applyAlignment="1">
      <alignment horizontal="center"/>
    </xf>
    <xf numFmtId="2" fontId="23" fillId="0" borderId="45" xfId="0" applyNumberFormat="1" applyFont="1" applyBorder="1" applyAlignment="1">
      <alignment wrapText="1"/>
    </xf>
    <xf numFmtId="171" fontId="33" fillId="0" borderId="15" xfId="0" applyNumberFormat="1" applyFont="1" applyBorder="1" applyAlignment="1">
      <alignment horizontal="center"/>
    </xf>
    <xf numFmtId="168" fontId="92" fillId="17" borderId="1" xfId="4" applyNumberFormat="1" applyFont="1" applyFill="1" applyBorder="1" applyProtection="1">
      <protection locked="0"/>
    </xf>
    <xf numFmtId="2" fontId="92" fillId="17" borderId="1" xfId="0" applyNumberFormat="1" applyFont="1" applyFill="1" applyBorder="1" applyProtection="1">
      <protection locked="0"/>
    </xf>
    <xf numFmtId="9" fontId="92" fillId="17" borderId="1" xfId="4" applyFont="1" applyFill="1" applyBorder="1" applyProtection="1">
      <protection locked="0"/>
    </xf>
    <xf numFmtId="0" fontId="92" fillId="17" borderId="1" xfId="0" applyFont="1" applyFill="1" applyBorder="1" applyProtection="1">
      <protection locked="0"/>
    </xf>
    <xf numFmtId="1" fontId="23" fillId="17" borderId="1" xfId="0" applyNumberFormat="1" applyFont="1" applyFill="1" applyBorder="1" applyAlignment="1" applyProtection="1">
      <alignment horizontal="center"/>
      <protection locked="0"/>
    </xf>
    <xf numFmtId="0" fontId="99" fillId="5" borderId="28" xfId="0" applyFont="1" applyFill="1" applyBorder="1" applyAlignment="1" applyProtection="1">
      <alignment horizontal="center" vertical="center" wrapText="1"/>
      <protection locked="0"/>
    </xf>
    <xf numFmtId="0" fontId="99" fillId="5" borderId="46" xfId="0" applyFont="1" applyFill="1" applyBorder="1" applyAlignment="1" applyProtection="1">
      <alignment horizontal="center" vertical="center" wrapText="1"/>
      <protection locked="0"/>
    </xf>
    <xf numFmtId="0" fontId="6" fillId="0" borderId="25" xfId="0" applyFont="1" applyBorder="1" applyAlignment="1">
      <alignment horizontal="right"/>
    </xf>
    <xf numFmtId="0" fontId="6" fillId="0" borderId="38" xfId="0" applyFont="1" applyBorder="1" applyAlignment="1">
      <alignment horizontal="left"/>
    </xf>
    <xf numFmtId="0" fontId="93" fillId="15" borderId="14" xfId="1" applyNumberFormat="1" applyFont="1" applyFill="1" applyBorder="1" applyProtection="1">
      <protection locked="0"/>
    </xf>
    <xf numFmtId="168" fontId="93" fillId="15" borderId="5" xfId="4" applyNumberFormat="1" applyFont="1" applyFill="1" applyBorder="1" applyAlignment="1" applyProtection="1">
      <alignment horizontal="center"/>
      <protection locked="0"/>
    </xf>
    <xf numFmtId="0" fontId="0" fillId="0" borderId="0" xfId="0" applyAlignment="1">
      <alignment vertical="top" wrapText="1"/>
    </xf>
    <xf numFmtId="0" fontId="80" fillId="0" borderId="0" xfId="0" applyFont="1" applyAlignment="1">
      <alignment vertical="top" wrapText="1"/>
    </xf>
    <xf numFmtId="0" fontId="71" fillId="0" borderId="66" xfId="0" applyFont="1" applyBorder="1" applyAlignment="1">
      <alignment horizontal="center" wrapText="1"/>
    </xf>
    <xf numFmtId="1" fontId="66" fillId="5" borderId="1" xfId="0" applyNumberFormat="1" applyFont="1" applyFill="1" applyBorder="1" applyAlignment="1" applyProtection="1">
      <alignment horizontal="center"/>
      <protection locked="0"/>
    </xf>
    <xf numFmtId="0" fontId="93" fillId="0" borderId="76" xfId="0" applyFont="1" applyBorder="1"/>
    <xf numFmtId="43" fontId="0" fillId="0" borderId="0" xfId="0" applyNumberFormat="1"/>
    <xf numFmtId="2" fontId="103" fillId="17" borderId="9" xfId="4" applyNumberFormat="1" applyFont="1" applyFill="1" applyBorder="1" applyAlignment="1" applyProtection="1">
      <alignment horizontal="center"/>
      <protection locked="0"/>
    </xf>
    <xf numFmtId="1" fontId="92" fillId="17" borderId="1" xfId="4" applyNumberFormat="1" applyFont="1" applyFill="1" applyBorder="1" applyAlignment="1" applyProtection="1">
      <alignment horizontal="center"/>
      <protection locked="0"/>
    </xf>
    <xf numFmtId="1" fontId="92" fillId="17" borderId="14" xfId="4" applyNumberFormat="1" applyFont="1" applyFill="1" applyBorder="1" applyAlignment="1" applyProtection="1">
      <alignment horizontal="center"/>
      <protection locked="0"/>
    </xf>
    <xf numFmtId="1" fontId="92" fillId="17" borderId="17" xfId="4" applyNumberFormat="1" applyFont="1" applyFill="1" applyBorder="1" applyAlignment="1" applyProtection="1">
      <alignment horizontal="center"/>
      <protection locked="0"/>
    </xf>
    <xf numFmtId="1" fontId="92" fillId="17" borderId="5" xfId="4" applyNumberFormat="1" applyFont="1" applyFill="1" applyBorder="1" applyAlignment="1" applyProtection="1">
      <alignment horizontal="center"/>
      <protection locked="0"/>
    </xf>
    <xf numFmtId="0" fontId="12" fillId="0" borderId="0" xfId="0" applyFont="1" applyAlignment="1">
      <alignment horizontal="center"/>
    </xf>
    <xf numFmtId="0" fontId="0" fillId="0" borderId="0" xfId="0" applyAlignment="1">
      <alignment horizontal="center"/>
    </xf>
    <xf numFmtId="0" fontId="23" fillId="0" borderId="4" xfId="0" applyFont="1" applyBorder="1" applyAlignment="1">
      <alignment horizontal="right"/>
    </xf>
    <xf numFmtId="0" fontId="23" fillId="0" borderId="1" xfId="0" applyFont="1" applyBorder="1" applyAlignment="1">
      <alignment horizontal="right"/>
    </xf>
    <xf numFmtId="0" fontId="12" fillId="0" borderId="0" xfId="0" applyFont="1" applyAlignment="1">
      <alignment horizontal="left"/>
    </xf>
    <xf numFmtId="0" fontId="13" fillId="0" borderId="47" xfId="0" applyFont="1" applyBorder="1" applyAlignment="1">
      <alignment horizontal="left" vertical="center" wrapText="1"/>
    </xf>
    <xf numFmtId="0" fontId="13" fillId="0" borderId="40" xfId="0" applyFont="1" applyBorder="1" applyAlignment="1">
      <alignment horizontal="left" vertical="center" wrapText="1"/>
    </xf>
    <xf numFmtId="0" fontId="13" fillId="0" borderId="41" xfId="0" applyFont="1" applyBorder="1" applyAlignment="1">
      <alignment horizontal="left" vertical="center" wrapText="1"/>
    </xf>
    <xf numFmtId="0" fontId="6" fillId="0" borderId="4" xfId="0" applyFont="1" applyBorder="1" applyAlignment="1">
      <alignment horizontal="right"/>
    </xf>
    <xf numFmtId="0" fontId="12" fillId="0" borderId="67" xfId="0" applyFont="1" applyBorder="1" applyAlignment="1">
      <alignment horizontal="center" vertical="center" wrapText="1"/>
    </xf>
    <xf numFmtId="0" fontId="12" fillId="0" borderId="24" xfId="0" applyFont="1" applyBorder="1" applyAlignment="1">
      <alignment horizontal="center" vertical="center" wrapText="1"/>
    </xf>
    <xf numFmtId="4" fontId="69" fillId="5" borderId="31" xfId="0" applyNumberFormat="1" applyFont="1" applyFill="1" applyBorder="1" applyAlignment="1" applyProtection="1">
      <alignment horizontal="left"/>
      <protection locked="0"/>
    </xf>
    <xf numFmtId="4" fontId="69" fillId="5" borderId="46" xfId="0" applyNumberFormat="1" applyFont="1" applyFill="1" applyBorder="1" applyAlignment="1" applyProtection="1">
      <alignment horizontal="left"/>
      <protection locked="0"/>
    </xf>
    <xf numFmtId="4" fontId="69" fillId="5" borderId="1" xfId="0" applyNumberFormat="1" applyFont="1" applyFill="1" applyBorder="1" applyAlignment="1" applyProtection="1">
      <alignment horizontal="left"/>
      <protection locked="0"/>
    </xf>
    <xf numFmtId="4" fontId="69" fillId="5" borderId="14" xfId="0" applyNumberFormat="1" applyFont="1" applyFill="1" applyBorder="1" applyAlignment="1" applyProtection="1">
      <alignment horizontal="left"/>
      <protection locked="0"/>
    </xf>
    <xf numFmtId="14" fontId="69" fillId="5" borderId="1" xfId="0" applyNumberFormat="1" applyFont="1" applyFill="1" applyBorder="1" applyAlignment="1" applyProtection="1">
      <alignment horizontal="left"/>
      <protection locked="0"/>
    </xf>
    <xf numFmtId="14" fontId="69" fillId="5" borderId="14" xfId="0" applyNumberFormat="1" applyFont="1" applyFill="1" applyBorder="1" applyAlignment="1" applyProtection="1">
      <alignment horizontal="left"/>
      <protection locked="0"/>
    </xf>
    <xf numFmtId="4" fontId="69" fillId="5" borderId="17" xfId="0" applyNumberFormat="1" applyFont="1" applyFill="1" applyBorder="1" applyAlignment="1" applyProtection="1">
      <alignment horizontal="left"/>
      <protection locked="0"/>
    </xf>
    <xf numFmtId="4" fontId="69" fillId="5" borderId="5" xfId="0" applyNumberFormat="1" applyFont="1" applyFill="1" applyBorder="1" applyAlignment="1" applyProtection="1">
      <alignment horizontal="left"/>
      <protection locked="0"/>
    </xf>
    <xf numFmtId="0" fontId="63" fillId="0" borderId="67" xfId="0" applyFont="1" applyBorder="1" applyAlignment="1">
      <alignment horizontal="center" vertical="center"/>
    </xf>
    <xf numFmtId="0" fontId="63" fillId="0" borderId="24" xfId="0" applyFont="1" applyBorder="1" applyAlignment="1">
      <alignment horizontal="center" vertical="center"/>
    </xf>
    <xf numFmtId="0" fontId="6" fillId="0" borderId="39" xfId="0" applyFont="1" applyBorder="1" applyAlignment="1">
      <alignment horizontal="right"/>
    </xf>
    <xf numFmtId="0" fontId="23" fillId="0" borderId="55" xfId="0" applyFont="1" applyBorder="1" applyAlignment="1">
      <alignment horizontal="right"/>
    </xf>
    <xf numFmtId="0" fontId="23" fillId="0" borderId="57" xfId="0" applyFont="1" applyBorder="1" applyAlignment="1">
      <alignment horizontal="right"/>
    </xf>
    <xf numFmtId="0" fontId="84" fillId="0" borderId="27" xfId="0" applyFont="1" applyBorder="1" applyAlignment="1">
      <alignment horizontal="center"/>
    </xf>
    <xf numFmtId="0" fontId="84" fillId="0" borderId="31" xfId="0" applyFont="1" applyBorder="1" applyAlignment="1">
      <alignment horizontal="center"/>
    </xf>
    <xf numFmtId="0" fontId="84" fillId="0" borderId="46" xfId="0" applyFont="1" applyBorder="1" applyAlignment="1">
      <alignment horizontal="center"/>
    </xf>
    <xf numFmtId="0" fontId="84" fillId="0" borderId="8" xfId="0" applyFont="1" applyBorder="1" applyAlignment="1">
      <alignment horizontal="center"/>
    </xf>
    <xf numFmtId="0" fontId="84" fillId="0" borderId="9" xfId="0" applyFont="1" applyBorder="1" applyAlignment="1">
      <alignment horizontal="center"/>
    </xf>
    <xf numFmtId="0" fontId="84" fillId="0" borderId="6" xfId="0" applyFont="1" applyBorder="1" applyAlignment="1">
      <alignment horizontal="center"/>
    </xf>
    <xf numFmtId="0" fontId="95" fillId="0" borderId="8" xfId="0" applyFont="1" applyBorder="1" applyAlignment="1">
      <alignment horizontal="center"/>
    </xf>
    <xf numFmtId="0" fontId="95" fillId="0" borderId="9" xfId="0" applyFont="1" applyBorder="1" applyAlignment="1">
      <alignment horizontal="center"/>
    </xf>
    <xf numFmtId="0" fontId="95" fillId="0" borderId="6" xfId="0" applyFont="1" applyBorder="1" applyAlignment="1">
      <alignment horizontal="center"/>
    </xf>
    <xf numFmtId="0" fontId="0" fillId="0" borderId="0" xfId="0" applyAlignment="1">
      <alignment horizontal="left" wrapText="1"/>
    </xf>
    <xf numFmtId="0" fontId="6" fillId="0" borderId="28" xfId="0" applyFont="1" applyBorder="1" applyAlignment="1">
      <alignment horizontal="right" vertical="top"/>
    </xf>
    <xf numFmtId="0" fontId="6" fillId="0" borderId="2" xfId="0" applyFont="1" applyBorder="1" applyAlignment="1">
      <alignment horizontal="right" vertical="top"/>
    </xf>
    <xf numFmtId="0" fontId="6" fillId="0" borderId="53" xfId="0" applyFont="1" applyBorder="1" applyAlignment="1">
      <alignment horizontal="right" vertical="top"/>
    </xf>
    <xf numFmtId="0" fontId="65" fillId="0" borderId="28" xfId="0" applyFont="1" applyBorder="1" applyAlignment="1">
      <alignment horizontal="center" vertical="top"/>
    </xf>
    <xf numFmtId="0" fontId="65" fillId="0" borderId="2" xfId="0" applyFont="1" applyBorder="1" applyAlignment="1">
      <alignment horizontal="center" vertical="top"/>
    </xf>
    <xf numFmtId="0" fontId="65" fillId="0" borderId="53" xfId="0" applyFont="1" applyBorder="1" applyAlignment="1">
      <alignment horizontal="center" vertical="top"/>
    </xf>
    <xf numFmtId="0" fontId="93" fillId="0" borderId="12" xfId="0" applyFont="1" applyBorder="1" applyAlignment="1">
      <alignment horizontal="center"/>
    </xf>
    <xf numFmtId="0" fontId="93" fillId="0" borderId="52" xfId="0" applyFont="1" applyBorder="1" applyAlignment="1">
      <alignment horizontal="center"/>
    </xf>
    <xf numFmtId="0" fontId="93" fillId="0" borderId="32" xfId="0" applyFont="1" applyBorder="1" applyAlignment="1">
      <alignment horizontal="center"/>
    </xf>
    <xf numFmtId="0" fontId="0" fillId="0" borderId="68" xfId="0" applyBorder="1" applyAlignment="1">
      <alignment horizontal="center"/>
    </xf>
    <xf numFmtId="0" fontId="0" fillId="0" borderId="61" xfId="0" applyBorder="1" applyAlignment="1">
      <alignment horizontal="center"/>
    </xf>
    <xf numFmtId="170" fontId="93" fillId="0" borderId="54" xfId="1" applyNumberFormat="1" applyFont="1" applyFill="1" applyBorder="1" applyAlignment="1" applyProtection="1">
      <alignment horizontal="center"/>
    </xf>
    <xf numFmtId="170" fontId="93" fillId="0" borderId="68" xfId="1" applyNumberFormat="1" applyFont="1" applyFill="1" applyBorder="1" applyAlignment="1" applyProtection="1">
      <alignment horizontal="center"/>
    </xf>
    <xf numFmtId="170" fontId="93" fillId="0" borderId="65" xfId="1" applyNumberFormat="1" applyFont="1" applyFill="1" applyBorder="1" applyAlignment="1" applyProtection="1">
      <alignment horizontal="center"/>
    </xf>
    <xf numFmtId="170" fontId="93" fillId="0" borderId="69" xfId="1" applyNumberFormat="1" applyFont="1" applyFill="1" applyBorder="1" applyAlignment="1" applyProtection="1">
      <alignment horizontal="center"/>
    </xf>
    <xf numFmtId="170" fontId="93" fillId="0" borderId="0" xfId="1" applyNumberFormat="1" applyFont="1" applyFill="1" applyBorder="1" applyAlignment="1" applyProtection="1">
      <alignment horizontal="center"/>
    </xf>
    <xf numFmtId="170" fontId="93" fillId="0" borderId="70" xfId="1" applyNumberFormat="1" applyFont="1" applyFill="1" applyBorder="1" applyAlignment="1" applyProtection="1">
      <alignment horizontal="center"/>
    </xf>
    <xf numFmtId="170" fontId="93" fillId="0" borderId="56" xfId="1" applyNumberFormat="1" applyFont="1" applyFill="1" applyBorder="1" applyAlignment="1" applyProtection="1">
      <alignment horizontal="center"/>
    </xf>
    <xf numFmtId="170" fontId="93" fillId="0" borderId="61" xfId="1" applyNumberFormat="1" applyFont="1" applyFill="1" applyBorder="1" applyAlignment="1" applyProtection="1">
      <alignment horizontal="center"/>
    </xf>
    <xf numFmtId="170" fontId="93" fillId="0" borderId="59" xfId="1" applyNumberFormat="1" applyFont="1" applyFill="1" applyBorder="1" applyAlignment="1" applyProtection="1">
      <alignment horizontal="center"/>
    </xf>
    <xf numFmtId="0" fontId="79" fillId="0" borderId="40" xfId="0" applyFont="1" applyBorder="1" applyAlignment="1">
      <alignment horizontal="center"/>
    </xf>
    <xf numFmtId="0" fontId="0" fillId="0" borderId="52" xfId="0" applyBorder="1" applyAlignment="1">
      <alignment horizontal="center"/>
    </xf>
    <xf numFmtId="0" fontId="129" fillId="0" borderId="1" xfId="0" applyFont="1" applyBorder="1" applyAlignment="1">
      <alignment horizontal="left" vertical="top" wrapText="1"/>
    </xf>
    <xf numFmtId="0" fontId="93" fillId="0" borderId="54" xfId="0" applyFont="1" applyBorder="1" applyAlignment="1">
      <alignment horizontal="center"/>
    </xf>
    <xf numFmtId="0" fontId="93" fillId="0" borderId="68" xfId="0" applyFont="1" applyBorder="1" applyAlignment="1">
      <alignment horizontal="center"/>
    </xf>
    <xf numFmtId="0" fontId="93" fillId="0" borderId="65" xfId="0" applyFont="1" applyBorder="1" applyAlignment="1">
      <alignment horizontal="center"/>
    </xf>
    <xf numFmtId="0" fontId="93" fillId="0" borderId="69" xfId="0" applyFont="1" applyBorder="1" applyAlignment="1">
      <alignment horizontal="center"/>
    </xf>
    <xf numFmtId="0" fontId="93" fillId="0" borderId="0" xfId="0" applyFont="1" applyAlignment="1">
      <alignment horizontal="center"/>
    </xf>
    <xf numFmtId="0" fontId="93" fillId="0" borderId="70" xfId="0" applyFont="1" applyBorder="1" applyAlignment="1">
      <alignment horizontal="center"/>
    </xf>
    <xf numFmtId="0" fontId="93" fillId="0" borderId="71" xfId="0" applyFont="1" applyBorder="1" applyAlignment="1">
      <alignment horizontal="center"/>
    </xf>
    <xf numFmtId="0" fontId="93" fillId="0" borderId="42" xfId="0" applyFont="1" applyBorder="1" applyAlignment="1">
      <alignment horizontal="center"/>
    </xf>
    <xf numFmtId="0" fontId="93" fillId="0" borderId="22" xfId="0" applyFont="1" applyBorder="1" applyAlignment="1">
      <alignment horizontal="center"/>
    </xf>
    <xf numFmtId="170" fontId="93" fillId="0" borderId="71" xfId="1" applyNumberFormat="1" applyFont="1" applyFill="1" applyBorder="1" applyAlignment="1" applyProtection="1">
      <alignment horizontal="center"/>
    </xf>
    <xf numFmtId="170" fontId="93" fillId="0" borderId="42" xfId="1" applyNumberFormat="1" applyFont="1" applyFill="1" applyBorder="1" applyAlignment="1" applyProtection="1">
      <alignment horizontal="center"/>
    </xf>
    <xf numFmtId="170" fontId="93" fillId="0" borderId="22" xfId="1" applyNumberFormat="1" applyFont="1" applyFill="1" applyBorder="1" applyAlignment="1" applyProtection="1">
      <alignment horizontal="center"/>
    </xf>
    <xf numFmtId="0" fontId="93" fillId="0" borderId="56" xfId="0" applyFont="1" applyBorder="1" applyAlignment="1">
      <alignment horizontal="center"/>
    </xf>
    <xf numFmtId="0" fontId="93" fillId="0" borderId="61" xfId="0" applyFont="1" applyBorder="1" applyAlignment="1">
      <alignment horizontal="center"/>
    </xf>
    <xf numFmtId="0" fontId="93" fillId="0" borderId="59" xfId="0" applyFont="1" applyBorder="1" applyAlignment="1">
      <alignment horizontal="center"/>
    </xf>
    <xf numFmtId="0" fontId="96" fillId="0" borderId="12" xfId="0" applyFont="1" applyBorder="1" applyAlignment="1">
      <alignment horizontal="right"/>
    </xf>
    <xf numFmtId="0" fontId="96" fillId="0" borderId="52" xfId="0" applyFont="1" applyBorder="1" applyAlignment="1">
      <alignment horizontal="right"/>
    </xf>
    <xf numFmtId="0" fontId="96" fillId="0" borderId="60" xfId="0" applyFont="1" applyBorder="1" applyAlignment="1">
      <alignment horizontal="right"/>
    </xf>
    <xf numFmtId="0" fontId="84" fillId="0" borderId="12" xfId="0" applyFont="1" applyBorder="1" applyAlignment="1">
      <alignment horizontal="center"/>
    </xf>
    <xf numFmtId="0" fontId="84" fillId="0" borderId="52" xfId="0" applyFont="1" applyBorder="1" applyAlignment="1">
      <alignment horizontal="center"/>
    </xf>
    <xf numFmtId="0" fontId="84" fillId="0" borderId="32" xfId="0" applyFont="1" applyBorder="1" applyAlignment="1">
      <alignment horizontal="center"/>
    </xf>
    <xf numFmtId="0" fontId="91" fillId="0" borderId="13" xfId="0" applyFont="1" applyBorder="1" applyAlignment="1">
      <alignment horizontal="left"/>
    </xf>
    <xf numFmtId="0" fontId="91" fillId="0" borderId="52" xfId="0" applyFont="1" applyBorder="1" applyAlignment="1">
      <alignment horizontal="left"/>
    </xf>
    <xf numFmtId="0" fontId="91" fillId="0" borderId="32" xfId="0" applyFont="1" applyBorder="1" applyAlignment="1">
      <alignment horizontal="left"/>
    </xf>
    <xf numFmtId="170" fontId="93" fillId="0" borderId="1" xfId="1" applyNumberFormat="1" applyFont="1" applyFill="1" applyBorder="1" applyAlignment="1" applyProtection="1">
      <alignment horizontal="center"/>
    </xf>
    <xf numFmtId="0" fontId="93" fillId="0" borderId="1" xfId="0" applyFont="1" applyBorder="1" applyAlignment="1">
      <alignment horizontal="center"/>
    </xf>
    <xf numFmtId="0" fontId="0" fillId="0" borderId="65" xfId="0" applyBorder="1" applyAlignment="1">
      <alignment horizontal="center"/>
    </xf>
    <xf numFmtId="0" fontId="0" fillId="0" borderId="70" xfId="0" applyBorder="1" applyAlignment="1">
      <alignment horizontal="center"/>
    </xf>
    <xf numFmtId="0" fontId="0" fillId="0" borderId="59" xfId="0" applyBorder="1" applyAlignment="1">
      <alignment horizontal="center"/>
    </xf>
    <xf numFmtId="0" fontId="90" fillId="0" borderId="0" xfId="0" applyFont="1" applyAlignment="1">
      <alignment horizontal="center"/>
    </xf>
    <xf numFmtId="0" fontId="130" fillId="0" borderId="0" xfId="0" applyFont="1" applyAlignment="1">
      <alignment horizontal="left" wrapText="1"/>
    </xf>
    <xf numFmtId="0" fontId="97" fillId="0" borderId="4" xfId="0" applyFont="1" applyBorder="1" applyAlignment="1">
      <alignment horizontal="left" wrapText="1"/>
    </xf>
    <xf numFmtId="0" fontId="97" fillId="0" borderId="1" xfId="0" applyFont="1" applyBorder="1" applyAlignment="1">
      <alignment horizontal="left" wrapText="1"/>
    </xf>
    <xf numFmtId="0" fontId="97" fillId="0" borderId="10" xfId="0" applyFont="1" applyBorder="1" applyAlignment="1">
      <alignment horizontal="left" wrapText="1"/>
    </xf>
    <xf numFmtId="0" fontId="97" fillId="0" borderId="17" xfId="0" applyFont="1" applyBorder="1" applyAlignment="1">
      <alignment horizontal="left" wrapText="1"/>
    </xf>
    <xf numFmtId="0" fontId="90" fillId="0" borderId="27" xfId="0" applyFont="1" applyBorder="1" applyAlignment="1">
      <alignment horizontal="left"/>
    </xf>
    <xf numFmtId="0" fontId="90" fillId="0" borderId="31" xfId="0" applyFont="1" applyBorder="1" applyAlignment="1">
      <alignment horizontal="left"/>
    </xf>
    <xf numFmtId="0" fontId="90" fillId="0" borderId="46" xfId="0" applyFont="1" applyBorder="1" applyAlignment="1">
      <alignment horizontal="left"/>
    </xf>
    <xf numFmtId="0" fontId="0" fillId="0" borderId="0" xfId="0" applyAlignment="1">
      <alignment horizontal="left" vertical="top" wrapText="1"/>
    </xf>
    <xf numFmtId="0" fontId="6" fillId="0" borderId="34" xfId="0" applyFont="1" applyBorder="1" applyAlignment="1">
      <alignment horizontal="center"/>
    </xf>
    <xf numFmtId="0" fontId="6" fillId="0" borderId="36" xfId="0" applyFont="1" applyBorder="1" applyAlignment="1">
      <alignment horizontal="center"/>
    </xf>
    <xf numFmtId="0" fontId="6" fillId="0" borderId="51" xfId="0" applyFont="1" applyBorder="1" applyAlignment="1">
      <alignment horizontal="center"/>
    </xf>
    <xf numFmtId="0" fontId="6" fillId="0" borderId="72" xfId="0" applyFont="1" applyBorder="1" applyAlignment="1">
      <alignment horizontal="center"/>
    </xf>
    <xf numFmtId="0" fontId="6" fillId="0" borderId="0" xfId="0" applyFont="1" applyAlignment="1">
      <alignment horizontal="left" vertical="top" wrapText="1"/>
    </xf>
    <xf numFmtId="0" fontId="12" fillId="0" borderId="67" xfId="0" applyFont="1" applyBorder="1" applyAlignment="1">
      <alignment horizontal="center" wrapText="1"/>
    </xf>
    <xf numFmtId="0" fontId="12" fillId="0" borderId="24" xfId="0" applyFont="1" applyBorder="1" applyAlignment="1">
      <alignment horizontal="center" wrapText="1"/>
    </xf>
    <xf numFmtId="0" fontId="7" fillId="0" borderId="12" xfId="0" applyFont="1" applyBorder="1" applyAlignment="1">
      <alignment horizontal="left"/>
    </xf>
    <xf numFmtId="0" fontId="7" fillId="0" borderId="52" xfId="0" applyFont="1" applyBorder="1" applyAlignment="1">
      <alignment horizontal="left"/>
    </xf>
    <xf numFmtId="0" fontId="7" fillId="0" borderId="32" xfId="0" applyFont="1" applyBorder="1" applyAlignment="1">
      <alignment horizontal="left"/>
    </xf>
    <xf numFmtId="0" fontId="23" fillId="0" borderId="12" xfId="0" applyFont="1" applyBorder="1" applyAlignment="1">
      <alignment horizontal="center"/>
    </xf>
    <xf numFmtId="0" fontId="23" fillId="0" borderId="52" xfId="0" applyFont="1" applyBorder="1" applyAlignment="1">
      <alignment horizontal="center"/>
    </xf>
    <xf numFmtId="0" fontId="23" fillId="0" borderId="32" xfId="0" applyFont="1" applyBorder="1" applyAlignment="1">
      <alignment horizontal="center"/>
    </xf>
    <xf numFmtId="0" fontId="38" fillId="0" borderId="12" xfId="0" applyFont="1" applyBorder="1" applyAlignment="1">
      <alignment horizontal="left"/>
    </xf>
    <xf numFmtId="0" fontId="38" fillId="0" borderId="52" xfId="0" applyFont="1" applyBorder="1" applyAlignment="1">
      <alignment horizontal="left"/>
    </xf>
    <xf numFmtId="0" fontId="38" fillId="0" borderId="32" xfId="0" applyFont="1" applyBorder="1" applyAlignment="1">
      <alignment horizontal="left"/>
    </xf>
    <xf numFmtId="0" fontId="7" fillId="0" borderId="12" xfId="0" applyFont="1" applyBorder="1" applyAlignment="1">
      <alignment horizontal="left" wrapText="1"/>
    </xf>
    <xf numFmtId="0" fontId="7" fillId="0" borderId="52" xfId="0" applyFont="1" applyBorder="1" applyAlignment="1">
      <alignment horizontal="left" wrapText="1"/>
    </xf>
    <xf numFmtId="0" fontId="7" fillId="0" borderId="32" xfId="0" applyFont="1" applyBorder="1" applyAlignment="1">
      <alignment horizontal="left" wrapText="1"/>
    </xf>
    <xf numFmtId="0" fontId="7" fillId="0" borderId="16" xfId="0" applyFont="1" applyBorder="1" applyAlignment="1">
      <alignment horizontal="left" wrapText="1"/>
    </xf>
    <xf numFmtId="0" fontId="7" fillId="0" borderId="0" xfId="0" applyFont="1" applyAlignment="1">
      <alignment horizontal="left" wrapText="1"/>
    </xf>
    <xf numFmtId="0" fontId="7" fillId="0" borderId="26" xfId="0" applyFont="1" applyBorder="1" applyAlignment="1">
      <alignment horizontal="left" wrapText="1"/>
    </xf>
    <xf numFmtId="0" fontId="53" fillId="0" borderId="12" xfId="0" applyFont="1" applyBorder="1" applyAlignment="1">
      <alignment horizontal="center" wrapText="1"/>
    </xf>
    <xf numFmtId="0" fontId="53" fillId="0" borderId="52" xfId="0" applyFont="1" applyBorder="1" applyAlignment="1">
      <alignment horizontal="center" wrapText="1"/>
    </xf>
    <xf numFmtId="0" fontId="53" fillId="0" borderId="32" xfId="0" applyFont="1" applyBorder="1" applyAlignment="1">
      <alignment horizontal="center" wrapText="1"/>
    </xf>
    <xf numFmtId="0" fontId="12" fillId="0" borderId="67" xfId="0" applyFont="1" applyBorder="1" applyAlignment="1">
      <alignment horizontal="center"/>
    </xf>
    <xf numFmtId="0" fontId="12" fillId="0" borderId="24" xfId="0" applyFont="1" applyBorder="1" applyAlignment="1">
      <alignment horizontal="center"/>
    </xf>
    <xf numFmtId="0" fontId="0" fillId="0" borderId="0" xfId="0" applyAlignment="1">
      <alignment horizontal="left" vertical="top"/>
    </xf>
    <xf numFmtId="0" fontId="33" fillId="0" borderId="12" xfId="0" applyFont="1" applyBorder="1" applyAlignment="1">
      <alignment horizontal="left"/>
    </xf>
    <xf numFmtId="0" fontId="33" fillId="0" borderId="52" xfId="0" applyFont="1" applyBorder="1" applyAlignment="1">
      <alignment horizontal="left"/>
    </xf>
    <xf numFmtId="0" fontId="33" fillId="0" borderId="32" xfId="0" applyFont="1" applyBorder="1" applyAlignment="1">
      <alignment horizontal="left"/>
    </xf>
    <xf numFmtId="0" fontId="7" fillId="0" borderId="16" xfId="0" applyFont="1" applyBorder="1" applyAlignment="1">
      <alignment horizontal="left"/>
    </xf>
    <xf numFmtId="0" fontId="7" fillId="0" borderId="0" xfId="0" applyFont="1" applyAlignment="1">
      <alignment horizontal="left"/>
    </xf>
    <xf numFmtId="0" fontId="7" fillId="0" borderId="26" xfId="0" applyFont="1" applyBorder="1" applyAlignment="1">
      <alignment horizontal="left"/>
    </xf>
    <xf numFmtId="0" fontId="7" fillId="0" borderId="40" xfId="0" applyFont="1" applyBorder="1" applyAlignment="1">
      <alignment horizontal="left"/>
    </xf>
    <xf numFmtId="0" fontId="23" fillId="0" borderId="39" xfId="0" applyFont="1" applyBorder="1" applyAlignment="1">
      <alignment horizontal="center"/>
    </xf>
    <xf numFmtId="0" fontId="23" fillId="0" borderId="43" xfId="0" applyFont="1" applyBorder="1" applyAlignment="1">
      <alignment horizontal="center"/>
    </xf>
    <xf numFmtId="0" fontId="6" fillId="0" borderId="39" xfId="0" applyFont="1" applyBorder="1" applyAlignment="1">
      <alignment horizontal="center"/>
    </xf>
    <xf numFmtId="0" fontId="6" fillId="0" borderId="43" xfId="0" applyFont="1" applyBorder="1" applyAlignment="1">
      <alignment horizontal="center"/>
    </xf>
    <xf numFmtId="0" fontId="38" fillId="0" borderId="47" xfId="0" applyFont="1" applyBorder="1" applyAlignment="1">
      <alignment horizontal="center"/>
    </xf>
    <xf numFmtId="0" fontId="38" fillId="0" borderId="40" xfId="0" applyFont="1" applyBorder="1" applyAlignment="1">
      <alignment horizontal="center"/>
    </xf>
    <xf numFmtId="0" fontId="38" fillId="0" borderId="41" xfId="0" applyFont="1" applyBorder="1" applyAlignment="1">
      <alignment horizontal="center"/>
    </xf>
    <xf numFmtId="0" fontId="6" fillId="0" borderId="0" xfId="0" applyFont="1" applyAlignment="1">
      <alignment vertical="top" wrapText="1"/>
    </xf>
    <xf numFmtId="0" fontId="0" fillId="0" borderId="0" xfId="0" applyAlignment="1">
      <alignment vertical="top"/>
    </xf>
    <xf numFmtId="0" fontId="33" fillId="0" borderId="12" xfId="0" applyFont="1" applyBorder="1" applyAlignment="1">
      <alignment horizontal="center" wrapText="1"/>
    </xf>
    <xf numFmtId="0" fontId="33" fillId="0" borderId="52" xfId="0" applyFont="1" applyBorder="1" applyAlignment="1">
      <alignment horizontal="center" wrapText="1"/>
    </xf>
    <xf numFmtId="0" fontId="33" fillId="0" borderId="32" xfId="0" applyFont="1" applyBorder="1" applyAlignment="1">
      <alignment horizontal="center" wrapText="1"/>
    </xf>
    <xf numFmtId="0" fontId="7" fillId="0" borderId="47" xfId="0" applyFont="1" applyBorder="1" applyAlignment="1">
      <alignment horizontal="left"/>
    </xf>
    <xf numFmtId="0" fontId="7" fillId="0" borderId="41" xfId="0" applyFont="1" applyBorder="1" applyAlignment="1">
      <alignment horizontal="left"/>
    </xf>
    <xf numFmtId="0" fontId="0" fillId="0" borderId="0" xfId="0"/>
    <xf numFmtId="0" fontId="0" fillId="0" borderId="12" xfId="0" applyBorder="1" applyAlignment="1">
      <alignment horizontal="left"/>
    </xf>
    <xf numFmtId="0" fontId="0" fillId="0" borderId="52" xfId="0" applyBorder="1" applyAlignment="1">
      <alignment horizontal="left"/>
    </xf>
    <xf numFmtId="0" fontId="0" fillId="0" borderId="32" xfId="0" applyBorder="1" applyAlignment="1">
      <alignment horizontal="left"/>
    </xf>
    <xf numFmtId="0" fontId="12" fillId="0" borderId="47" xfId="0" applyFont="1" applyBorder="1" applyAlignment="1">
      <alignment horizontal="center"/>
    </xf>
    <xf numFmtId="0" fontId="12" fillId="0" borderId="50" xfId="0" applyFont="1" applyBorder="1" applyAlignment="1">
      <alignment horizontal="center"/>
    </xf>
    <xf numFmtId="0" fontId="6" fillId="0" borderId="12" xfId="0" applyFont="1" applyBorder="1" applyAlignment="1">
      <alignment horizontal="left"/>
    </xf>
    <xf numFmtId="0" fontId="6" fillId="0" borderId="52" xfId="0" applyFont="1" applyBorder="1" applyAlignment="1">
      <alignment horizontal="left"/>
    </xf>
    <xf numFmtId="0" fontId="6" fillId="0" borderId="32" xfId="0" applyFont="1" applyBorder="1" applyAlignment="1">
      <alignment horizontal="left"/>
    </xf>
    <xf numFmtId="0" fontId="7" fillId="0" borderId="42" xfId="0" applyFont="1" applyBorder="1" applyAlignment="1">
      <alignment horizontal="left"/>
    </xf>
    <xf numFmtId="0" fontId="6" fillId="16" borderId="1" xfId="0" applyFont="1" applyFill="1" applyBorder="1" applyAlignment="1">
      <alignment horizontal="left"/>
    </xf>
    <xf numFmtId="0" fontId="5" fillId="0" borderId="20" xfId="0" applyFont="1" applyBorder="1" applyAlignment="1">
      <alignment horizontal="center"/>
    </xf>
    <xf numFmtId="0" fontId="40" fillId="0" borderId="20" xfId="0" applyFont="1" applyBorder="1" applyAlignment="1">
      <alignment horizontal="center"/>
    </xf>
    <xf numFmtId="0" fontId="5" fillId="0" borderId="73" xfId="0" applyFont="1" applyBorder="1" applyAlignment="1">
      <alignment horizontal="center"/>
    </xf>
    <xf numFmtId="0" fontId="5" fillId="0" borderId="37" xfId="0" applyFont="1" applyBorder="1" applyAlignment="1">
      <alignment horizontal="center"/>
    </xf>
    <xf numFmtId="0" fontId="5" fillId="0" borderId="25" xfId="0" applyFont="1" applyBorder="1" applyAlignment="1">
      <alignment horizontal="center"/>
    </xf>
    <xf numFmtId="0" fontId="5" fillId="0" borderId="18" xfId="0" applyFont="1" applyBorder="1" applyAlignment="1">
      <alignment horizontal="center"/>
    </xf>
    <xf numFmtId="0" fontId="5" fillId="0" borderId="29" xfId="0" applyFont="1" applyBorder="1" applyAlignment="1">
      <alignment horizontal="center"/>
    </xf>
    <xf numFmtId="0" fontId="40" fillId="0" borderId="29" xfId="0" applyFont="1" applyBorder="1" applyAlignment="1">
      <alignment horizontal="center"/>
    </xf>
    <xf numFmtId="0" fontId="6" fillId="0" borderId="19" xfId="0" applyFont="1" applyBorder="1" applyAlignment="1">
      <alignment horizontal="center" wrapText="1"/>
    </xf>
    <xf numFmtId="0" fontId="6" fillId="0" borderId="20" xfId="0" applyFont="1" applyBorder="1" applyAlignment="1">
      <alignment horizontal="center" wrapText="1"/>
    </xf>
    <xf numFmtId="0" fontId="6" fillId="0" borderId="21" xfId="0" applyFont="1" applyBorder="1" applyAlignment="1">
      <alignment horizontal="center" wrapText="1"/>
    </xf>
    <xf numFmtId="0" fontId="13" fillId="0" borderId="9" xfId="0" applyFont="1" applyBorder="1"/>
    <xf numFmtId="0" fontId="0" fillId="0" borderId="9" xfId="0" applyBorder="1"/>
    <xf numFmtId="0" fontId="0" fillId="0" borderId="13" xfId="0" applyBorder="1"/>
    <xf numFmtId="0" fontId="0" fillId="0" borderId="6" xfId="0" applyBorder="1"/>
    <xf numFmtId="0" fontId="65" fillId="0" borderId="12" xfId="0" applyFont="1" applyBorder="1" applyAlignment="1">
      <alignment horizontal="center" vertical="top"/>
    </xf>
    <xf numFmtId="0" fontId="65" fillId="0" borderId="32" xfId="0" applyFont="1" applyBorder="1" applyAlignment="1">
      <alignment horizontal="center" vertical="top"/>
    </xf>
    <xf numFmtId="0" fontId="32" fillId="0" borderId="30" xfId="0" applyFont="1" applyBorder="1" applyAlignment="1">
      <alignment horizontal="center" vertical="center" wrapText="1"/>
    </xf>
    <xf numFmtId="0" fontId="32" fillId="0" borderId="76" xfId="0" applyFont="1" applyBorder="1" applyAlignment="1">
      <alignment horizontal="center" vertical="center" wrapText="1"/>
    </xf>
    <xf numFmtId="0" fontId="32"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34" xfId="0" applyFont="1" applyBorder="1" applyAlignment="1">
      <alignment horizontal="center"/>
    </xf>
    <xf numFmtId="0" fontId="7" fillId="0" borderId="35" xfId="0" applyFont="1" applyBorder="1" applyAlignment="1">
      <alignment horizontal="center"/>
    </xf>
    <xf numFmtId="0" fontId="7" fillId="0" borderId="36" xfId="0" applyFont="1" applyBorder="1" applyAlignment="1">
      <alignment horizontal="center"/>
    </xf>
    <xf numFmtId="0" fontId="127" fillId="0" borderId="29" xfId="0" applyFont="1" applyBorder="1" applyAlignment="1">
      <alignment horizontal="right"/>
    </xf>
    <xf numFmtId="0" fontId="127" fillId="0" borderId="2" xfId="0" applyFont="1" applyBorder="1" applyAlignment="1">
      <alignment horizontal="right"/>
    </xf>
    <xf numFmtId="0" fontId="127" fillId="0" borderId="53" xfId="0" applyFont="1" applyBorder="1" applyAlignment="1">
      <alignment horizontal="right"/>
    </xf>
    <xf numFmtId="0" fontId="108" fillId="0" borderId="29" xfId="0" applyFont="1" applyBorder="1" applyAlignment="1">
      <alignment horizontal="right"/>
    </xf>
    <xf numFmtId="0" fontId="108" fillId="0" borderId="2" xfId="0" applyFont="1" applyBorder="1" applyAlignment="1">
      <alignment horizontal="right"/>
    </xf>
    <xf numFmtId="0" fontId="108" fillId="0" borderId="53" xfId="0" applyFont="1" applyBorder="1" applyAlignment="1">
      <alignment horizontal="right"/>
    </xf>
    <xf numFmtId="0" fontId="108" fillId="0" borderId="39" xfId="0" applyFont="1" applyBorder="1" applyAlignment="1">
      <alignment horizontal="right"/>
    </xf>
    <xf numFmtId="0" fontId="108" fillId="0" borderId="55" xfId="0" applyFont="1" applyBorder="1" applyAlignment="1">
      <alignment horizontal="right"/>
    </xf>
    <xf numFmtId="0" fontId="108" fillId="0" borderId="57" xfId="0" applyFont="1" applyBorder="1" applyAlignment="1">
      <alignment horizontal="right"/>
    </xf>
    <xf numFmtId="0" fontId="6" fillId="0" borderId="27" xfId="0" applyFont="1" applyBorder="1" applyAlignment="1">
      <alignment horizontal="center" vertical="center" wrapText="1"/>
    </xf>
    <xf numFmtId="0" fontId="23" fillId="0" borderId="4" xfId="0" applyFont="1" applyBorder="1" applyAlignment="1">
      <alignment horizontal="center" vertical="center" wrapText="1"/>
    </xf>
    <xf numFmtId="0" fontId="116" fillId="0" borderId="69" xfId="0" applyFont="1" applyBorder="1" applyAlignment="1">
      <alignment horizontal="center" vertical="center" wrapText="1"/>
    </xf>
    <xf numFmtId="0" fontId="32" fillId="0" borderId="30" xfId="0" applyFont="1" applyBorder="1" applyAlignment="1">
      <alignment horizontal="center" vertical="center"/>
    </xf>
    <xf numFmtId="0" fontId="32" fillId="0" borderId="3" xfId="0" applyFont="1" applyBorder="1" applyAlignment="1">
      <alignment horizontal="center" vertical="center"/>
    </xf>
    <xf numFmtId="0" fontId="32" fillId="0" borderId="76" xfId="0" applyFont="1" applyBorder="1" applyAlignment="1">
      <alignment horizontal="center" vertical="center"/>
    </xf>
    <xf numFmtId="0" fontId="6" fillId="0" borderId="28" xfId="0" applyFont="1" applyBorder="1" applyAlignment="1">
      <alignment horizontal="center"/>
    </xf>
    <xf numFmtId="0" fontId="6" fillId="0" borderId="53" xfId="0" applyFont="1" applyBorder="1" applyAlignment="1">
      <alignment horizontal="center"/>
    </xf>
    <xf numFmtId="0" fontId="32" fillId="0" borderId="1" xfId="0" applyFont="1" applyBorder="1" applyAlignment="1">
      <alignment horizontal="center" vertical="center" wrapText="1"/>
    </xf>
    <xf numFmtId="0" fontId="6" fillId="0" borderId="4" xfId="0" applyFont="1" applyBorder="1" applyAlignment="1">
      <alignment horizontal="center" vertical="center" wrapText="1"/>
    </xf>
    <xf numFmtId="0" fontId="23" fillId="0" borderId="10" xfId="0" applyFont="1" applyBorder="1" applyAlignment="1">
      <alignment horizontal="center" vertical="center" wrapText="1"/>
    </xf>
    <xf numFmtId="9" fontId="92" fillId="17" borderId="28" xfId="4" applyFont="1" applyFill="1" applyBorder="1" applyAlignment="1" applyProtection="1">
      <alignment horizontal="center"/>
      <protection locked="0"/>
    </xf>
    <xf numFmtId="9" fontId="92" fillId="17" borderId="18" xfId="4" applyFont="1" applyFill="1" applyBorder="1" applyAlignment="1" applyProtection="1">
      <alignment horizontal="center"/>
      <protection locked="0"/>
    </xf>
    <xf numFmtId="0" fontId="16" fillId="0" borderId="1" xfId="0" applyFont="1" applyBorder="1" applyAlignment="1">
      <alignment horizontal="center"/>
    </xf>
    <xf numFmtId="0" fontId="16" fillId="0" borderId="14" xfId="0" applyFont="1" applyBorder="1" applyAlignment="1">
      <alignment horizontal="center"/>
    </xf>
    <xf numFmtId="0" fontId="23" fillId="0" borderId="44" xfId="0" applyFont="1" applyBorder="1" applyAlignment="1">
      <alignment horizontal="center"/>
    </xf>
    <xf numFmtId="0" fontId="23" fillId="0" borderId="77" xfId="0" applyFont="1" applyBorder="1" applyAlignment="1">
      <alignment horizontal="center"/>
    </xf>
    <xf numFmtId="0" fontId="23" fillId="0" borderId="7" xfId="0" applyFont="1" applyBorder="1" applyAlignment="1">
      <alignment horizontal="center"/>
    </xf>
    <xf numFmtId="0" fontId="16" fillId="0" borderId="27" xfId="0" applyFont="1" applyBorder="1" applyAlignment="1">
      <alignment horizontal="center"/>
    </xf>
    <xf numFmtId="0" fontId="16" fillId="0" borderId="31" xfId="0" applyFont="1" applyBorder="1" applyAlignment="1">
      <alignment horizontal="center"/>
    </xf>
    <xf numFmtId="0" fontId="16" fillId="0" borderId="46" xfId="0" applyFont="1" applyBorder="1" applyAlignment="1">
      <alignment horizontal="center"/>
    </xf>
    <xf numFmtId="0" fontId="58" fillId="0" borderId="0" xfId="0" applyFont="1" applyAlignment="1">
      <alignment horizontal="left" vertical="center" wrapText="1"/>
    </xf>
    <xf numFmtId="0" fontId="11" fillId="0" borderId="28" xfId="0" applyFont="1" applyBorder="1" applyAlignment="1">
      <alignment horizontal="center"/>
    </xf>
    <xf numFmtId="0" fontId="37" fillId="0" borderId="2" xfId="0" applyFont="1" applyBorder="1" applyAlignment="1">
      <alignment horizontal="center"/>
    </xf>
    <xf numFmtId="0" fontId="37" fillId="0" borderId="53" xfId="0" applyFont="1" applyBorder="1" applyAlignment="1">
      <alignment horizontal="center"/>
    </xf>
    <xf numFmtId="0" fontId="18" fillId="0" borderId="0" xfId="0" applyFont="1" applyAlignment="1">
      <alignment horizontal="left" vertical="center" wrapText="1"/>
    </xf>
    <xf numFmtId="0" fontId="7" fillId="10" borderId="12" xfId="0" applyFont="1" applyFill="1" applyBorder="1" applyAlignment="1">
      <alignment horizontal="left"/>
    </xf>
    <xf numFmtId="0" fontId="7" fillId="10" borderId="52" xfId="0" applyFont="1" applyFill="1" applyBorder="1" applyAlignment="1">
      <alignment horizontal="left"/>
    </xf>
    <xf numFmtId="0" fontId="7" fillId="10" borderId="32" xfId="0" applyFont="1" applyFill="1" applyBorder="1" applyAlignment="1">
      <alignment horizontal="left"/>
    </xf>
    <xf numFmtId="0" fontId="7" fillId="0" borderId="8" xfId="0" applyFont="1" applyBorder="1" applyAlignment="1">
      <alignment horizontal="left"/>
    </xf>
    <xf numFmtId="0" fontId="7" fillId="0" borderId="9" xfId="0" applyFont="1" applyBorder="1" applyAlignment="1">
      <alignment horizontal="left"/>
    </xf>
    <xf numFmtId="0" fontId="7" fillId="0" borderId="6" xfId="0" applyFont="1" applyBorder="1" applyAlignment="1">
      <alignment horizontal="left"/>
    </xf>
    <xf numFmtId="0" fontId="6" fillId="0" borderId="12" xfId="0" applyFont="1" applyBorder="1" applyAlignment="1">
      <alignment horizontal="center"/>
    </xf>
    <xf numFmtId="0" fontId="6" fillId="0" borderId="42" xfId="0" applyFont="1" applyBorder="1" applyAlignment="1">
      <alignment horizontal="center"/>
    </xf>
    <xf numFmtId="0" fontId="6" fillId="0" borderId="52" xfId="0" applyFont="1" applyBorder="1" applyAlignment="1">
      <alignment horizontal="center"/>
    </xf>
    <xf numFmtId="0" fontId="6" fillId="0" borderId="32" xfId="0" applyFont="1" applyBorder="1" applyAlignment="1">
      <alignment horizontal="center"/>
    </xf>
  </cellXfs>
  <cellStyles count="8">
    <cellStyle name="20% - Accent1" xfId="7" builtinId="30"/>
    <cellStyle name="Comma" xfId="1" builtinId="3"/>
    <cellStyle name="Comma 2" xfId="2" xr:uid="{00000000-0005-0000-0000-000002000000}"/>
    <cellStyle name="Heading 1" xfId="6" builtinId="16"/>
    <cellStyle name="Hyperlink" xfId="3" builtinId="8"/>
    <cellStyle name="Normal" xfId="0" builtinId="0"/>
    <cellStyle name="Percent" xfId="4" builtinId="5"/>
    <cellStyle name="Percent 2" xfId="5" xr:uid="{00000000-0005-0000-0000-000007000000}"/>
  </cellStyles>
  <dxfs count="28">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ill>
        <patternFill>
          <bgColor rgb="FFFFC000"/>
        </patternFill>
      </fill>
    </dxf>
    <dxf>
      <font>
        <color theme="0"/>
      </font>
      <fill>
        <patternFill>
          <bgColor rgb="FF808000"/>
        </patternFill>
      </fill>
    </dxf>
    <dxf>
      <font>
        <color theme="0"/>
      </font>
      <fill>
        <patternFill>
          <bgColor rgb="FF808000"/>
        </patternFill>
      </fill>
    </dxf>
    <dxf>
      <fill>
        <patternFill>
          <bgColor rgb="FFFFC000"/>
        </patternFill>
      </fill>
    </dxf>
  </dxfs>
  <tableStyles count="0" defaultTableStyle="TableStyleMedium9" defaultPivotStyle="PivotStyleLight16"/>
  <colors>
    <mruColors>
      <color rgb="FFFFC000"/>
      <color rgb="FFFF6600"/>
      <color rgb="FF808000"/>
      <color rgb="FFDA9694"/>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microsoft.com/office/2017/10/relationships/person" Target="persons/person.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Component Emissions by Scenario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Charts!$B$4</c:f>
              <c:strCache>
                <c:ptCount val="1"/>
                <c:pt idx="0">
                  <c:v>CO₂</c:v>
                </c:pt>
              </c:strCache>
            </c:strRef>
          </c:tx>
          <c:spPr>
            <a:solidFill>
              <a:schemeClr val="accent6">
                <a:lumMod val="50000"/>
              </a:schemeClr>
            </a:solidFill>
            <a:ln>
              <a:noFill/>
            </a:ln>
            <a:effectLst/>
          </c:spPr>
          <c:invertIfNegative val="0"/>
          <c:cat>
            <c:strRef>
              <c:f>Charts!$C$3:$I$3</c:f>
              <c:strCache>
                <c:ptCount val="7"/>
                <c:pt idx="0">
                  <c:v>Landfill</c:v>
                </c:pt>
                <c:pt idx="1">
                  <c:v>Co-digestion</c:v>
                </c:pt>
                <c:pt idx="2">
                  <c:v>0</c:v>
                </c:pt>
                <c:pt idx="3">
                  <c:v>0</c:v>
                </c:pt>
                <c:pt idx="4">
                  <c:v>0</c:v>
                </c:pt>
                <c:pt idx="5">
                  <c:v>0</c:v>
                </c:pt>
                <c:pt idx="6">
                  <c:v> </c:v>
                </c:pt>
              </c:strCache>
            </c:strRef>
          </c:cat>
          <c:val>
            <c:numRef>
              <c:f>Charts!$C$4:$I$4</c:f>
              <c:numCache>
                <c:formatCode>#,##0</c:formatCode>
                <c:ptCount val="7"/>
                <c:pt idx="0">
                  <c:v>-1063.6354920637518</c:v>
                </c:pt>
                <c:pt idx="1">
                  <c:v>-1042.0391287311779</c:v>
                </c:pt>
                <c:pt idx="2">
                  <c:v>0</c:v>
                </c:pt>
                <c:pt idx="3">
                  <c:v>0</c:v>
                </c:pt>
                <c:pt idx="4">
                  <c:v>0</c:v>
                </c:pt>
                <c:pt idx="5">
                  <c:v>0</c:v>
                </c:pt>
                <c:pt idx="6">
                  <c:v>0</c:v>
                </c:pt>
              </c:numCache>
            </c:numRef>
          </c:val>
          <c:extLst>
            <c:ext xmlns:c16="http://schemas.microsoft.com/office/drawing/2014/chart" uri="{C3380CC4-5D6E-409C-BE32-E72D297353CC}">
              <c16:uniqueId val="{00000000-916E-445B-8E63-DE707D3ADA1E}"/>
            </c:ext>
          </c:extLst>
        </c:ser>
        <c:ser>
          <c:idx val="1"/>
          <c:order val="1"/>
          <c:tx>
            <c:strRef>
              <c:f>Charts!$B$5</c:f>
              <c:strCache>
                <c:ptCount val="1"/>
                <c:pt idx="0">
                  <c:v>CH₄ (CO₂ eq)</c:v>
                </c:pt>
              </c:strCache>
            </c:strRef>
          </c:tx>
          <c:spPr>
            <a:solidFill>
              <a:schemeClr val="accent6">
                <a:lumMod val="75000"/>
              </a:schemeClr>
            </a:solidFill>
            <a:ln>
              <a:noFill/>
            </a:ln>
            <a:effectLst/>
          </c:spPr>
          <c:invertIfNegative val="0"/>
          <c:cat>
            <c:strRef>
              <c:f>Charts!$C$3:$I$3</c:f>
              <c:strCache>
                <c:ptCount val="7"/>
                <c:pt idx="0">
                  <c:v>Landfill</c:v>
                </c:pt>
                <c:pt idx="1">
                  <c:v>Co-digestion</c:v>
                </c:pt>
                <c:pt idx="2">
                  <c:v>0</c:v>
                </c:pt>
                <c:pt idx="3">
                  <c:v>0</c:v>
                </c:pt>
                <c:pt idx="4">
                  <c:v>0</c:v>
                </c:pt>
                <c:pt idx="5">
                  <c:v>0</c:v>
                </c:pt>
                <c:pt idx="6">
                  <c:v> </c:v>
                </c:pt>
              </c:strCache>
            </c:strRef>
          </c:cat>
          <c:val>
            <c:numRef>
              <c:f>Charts!$C$5:$I$5</c:f>
              <c:numCache>
                <c:formatCode>#,##0</c:formatCode>
                <c:ptCount val="7"/>
                <c:pt idx="0">
                  <c:v>7411.9475631671594</c:v>
                </c:pt>
                <c:pt idx="1">
                  <c:v>66.475807857688338</c:v>
                </c:pt>
                <c:pt idx="2">
                  <c:v>0</c:v>
                </c:pt>
                <c:pt idx="3">
                  <c:v>0</c:v>
                </c:pt>
                <c:pt idx="4">
                  <c:v>0</c:v>
                </c:pt>
                <c:pt idx="5">
                  <c:v>0</c:v>
                </c:pt>
                <c:pt idx="6">
                  <c:v>0</c:v>
                </c:pt>
              </c:numCache>
            </c:numRef>
          </c:val>
          <c:extLst>
            <c:ext xmlns:c16="http://schemas.microsoft.com/office/drawing/2014/chart" uri="{C3380CC4-5D6E-409C-BE32-E72D297353CC}">
              <c16:uniqueId val="{00000001-916E-445B-8E63-DE707D3ADA1E}"/>
            </c:ext>
          </c:extLst>
        </c:ser>
        <c:ser>
          <c:idx val="2"/>
          <c:order val="2"/>
          <c:tx>
            <c:strRef>
              <c:f>Charts!$B$6</c:f>
              <c:strCache>
                <c:ptCount val="1"/>
                <c:pt idx="0">
                  <c:v>N₂O (CO₂ eq)</c:v>
                </c:pt>
              </c:strCache>
            </c:strRef>
          </c:tx>
          <c:spPr>
            <a:solidFill>
              <a:schemeClr val="accent6">
                <a:lumMod val="40000"/>
                <a:lumOff val="60000"/>
              </a:schemeClr>
            </a:solidFill>
            <a:ln>
              <a:noFill/>
            </a:ln>
            <a:effectLst/>
          </c:spPr>
          <c:invertIfNegative val="0"/>
          <c:cat>
            <c:strRef>
              <c:f>Charts!$C$3:$I$3</c:f>
              <c:strCache>
                <c:ptCount val="7"/>
                <c:pt idx="0">
                  <c:v>Landfill</c:v>
                </c:pt>
                <c:pt idx="1">
                  <c:v>Co-digestion</c:v>
                </c:pt>
                <c:pt idx="2">
                  <c:v>0</c:v>
                </c:pt>
                <c:pt idx="3">
                  <c:v>0</c:v>
                </c:pt>
                <c:pt idx="4">
                  <c:v>0</c:v>
                </c:pt>
                <c:pt idx="5">
                  <c:v>0</c:v>
                </c:pt>
                <c:pt idx="6">
                  <c:v> </c:v>
                </c:pt>
              </c:strCache>
            </c:strRef>
          </c:cat>
          <c:val>
            <c:numRef>
              <c:f>Charts!$C$6:$I$6</c:f>
              <c:numCache>
                <c:formatCode>#,##0</c:formatCode>
                <c:ptCount val="7"/>
                <c:pt idx="0">
                  <c:v>431.22978728946327</c:v>
                </c:pt>
                <c:pt idx="1">
                  <c:v>103.98146352582856</c:v>
                </c:pt>
                <c:pt idx="2">
                  <c:v>0</c:v>
                </c:pt>
                <c:pt idx="3">
                  <c:v>0</c:v>
                </c:pt>
                <c:pt idx="4">
                  <c:v>0</c:v>
                </c:pt>
                <c:pt idx="5">
                  <c:v>0</c:v>
                </c:pt>
                <c:pt idx="6">
                  <c:v>0</c:v>
                </c:pt>
              </c:numCache>
            </c:numRef>
          </c:val>
          <c:extLst>
            <c:ext xmlns:c16="http://schemas.microsoft.com/office/drawing/2014/chart" uri="{C3380CC4-5D6E-409C-BE32-E72D297353CC}">
              <c16:uniqueId val="{00000002-916E-445B-8E63-DE707D3ADA1E}"/>
            </c:ext>
          </c:extLst>
        </c:ser>
        <c:dLbls>
          <c:showLegendKey val="0"/>
          <c:showVal val="0"/>
          <c:showCatName val="0"/>
          <c:showSerName val="0"/>
          <c:showPercent val="0"/>
          <c:showBubbleSize val="0"/>
        </c:dLbls>
        <c:gapWidth val="150"/>
        <c:overlap val="100"/>
        <c:axId val="1223465632"/>
        <c:axId val="1223470208"/>
      </c:barChart>
      <c:catAx>
        <c:axId val="1223465632"/>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470208"/>
        <c:crosses val="autoZero"/>
        <c:auto val="1"/>
        <c:lblAlgn val="ctr"/>
        <c:lblOffset val="100"/>
        <c:noMultiLvlLbl val="0"/>
      </c:catAx>
      <c:valAx>
        <c:axId val="12234702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200" b="0" i="0" baseline="0">
                    <a:effectLst/>
                  </a:rPr>
                  <a:t>CO₂E  (Mg)</a:t>
                </a:r>
                <a:r>
                  <a:rPr lang="en-US" sz="700"/>
                  <a:t> </a:t>
                </a: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4656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Net Emissions</a:t>
            </a:r>
            <a:r>
              <a:rPr lang="en-US" baseline="0"/>
              <a:t> per Ton of Biosolids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3">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Charts!$M$3:$S$3</c:f>
              <c:strCache>
                <c:ptCount val="7"/>
                <c:pt idx="0">
                  <c:v>Landfill</c:v>
                </c:pt>
                <c:pt idx="1">
                  <c:v>Co-digestion</c:v>
                </c:pt>
                <c:pt idx="2">
                  <c:v>0</c:v>
                </c:pt>
                <c:pt idx="3">
                  <c:v>0</c:v>
                </c:pt>
                <c:pt idx="4">
                  <c:v>0</c:v>
                </c:pt>
                <c:pt idx="5">
                  <c:v>0</c:v>
                </c:pt>
                <c:pt idx="6">
                  <c:v> </c:v>
                </c:pt>
              </c:strCache>
            </c:strRef>
          </c:cat>
          <c:val>
            <c:numRef>
              <c:f>Charts!$M$4:$S$4</c:f>
              <c:numCache>
                <c:formatCode>#,##0.00</c:formatCode>
                <c:ptCount val="7"/>
                <c:pt idx="0">
                  <c:v>2.7607925303954679</c:v>
                </c:pt>
                <c:pt idx="1">
                  <c:v>-0.35492909869931055</c:v>
                </c:pt>
                <c:pt idx="2">
                  <c:v>0</c:v>
                </c:pt>
                <c:pt idx="3">
                  <c:v>0</c:v>
                </c:pt>
                <c:pt idx="4">
                  <c:v>0</c:v>
                </c:pt>
                <c:pt idx="5">
                  <c:v>0</c:v>
                </c:pt>
                <c:pt idx="6">
                  <c:v>0</c:v>
                </c:pt>
              </c:numCache>
            </c:numRef>
          </c:val>
          <c:extLst>
            <c:ext xmlns:c16="http://schemas.microsoft.com/office/drawing/2014/chart" uri="{C3380CC4-5D6E-409C-BE32-E72D297353CC}">
              <c16:uniqueId val="{00000000-09D6-47E6-8889-FA916EAA09AF}"/>
            </c:ext>
          </c:extLst>
        </c:ser>
        <c:dLbls>
          <c:dLblPos val="inEnd"/>
          <c:showLegendKey val="0"/>
          <c:showVal val="1"/>
          <c:showCatName val="0"/>
          <c:showSerName val="0"/>
          <c:showPercent val="0"/>
          <c:showBubbleSize val="0"/>
        </c:dLbls>
        <c:gapWidth val="75"/>
        <c:overlap val="-27"/>
        <c:axId val="1183190496"/>
        <c:axId val="1183194240"/>
      </c:barChart>
      <c:catAx>
        <c:axId val="118319049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83194240"/>
        <c:crosses val="autoZero"/>
        <c:auto val="1"/>
        <c:lblAlgn val="ctr"/>
        <c:lblOffset val="100"/>
        <c:noMultiLvlLbl val="0"/>
      </c:catAx>
      <c:valAx>
        <c:axId val="118319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r>
                  <a:rPr lang="en-US" sz="1100" b="0" i="0" baseline="0">
                    <a:effectLst/>
                  </a:rPr>
                  <a:t>CO</a:t>
                </a:r>
                <a:r>
                  <a:rPr lang="en-US" sz="1100" b="0" i="0" baseline="-25000">
                    <a:effectLst/>
                  </a:rPr>
                  <a:t>2</a:t>
                </a:r>
                <a:r>
                  <a:rPr lang="en-US" sz="1100" b="0" i="0" baseline="0">
                    <a:effectLst/>
                  </a:rPr>
                  <a:t>E per Dry Mg</a:t>
                </a:r>
                <a:endParaRPr lang="en-US" sz="1100">
                  <a:effectLst/>
                </a:endParaRP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8319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Component Emissions</a:t>
            </a:r>
            <a:r>
              <a:rPr lang="en-US" baseline="0"/>
              <a:t> by Scenario</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Charts!$B$4</c:f>
              <c:strCache>
                <c:ptCount val="1"/>
                <c:pt idx="0">
                  <c:v>CO₂</c:v>
                </c:pt>
              </c:strCache>
            </c:strRef>
          </c:tx>
          <c:spPr>
            <a:solidFill>
              <a:schemeClr val="accent6">
                <a:lumMod val="50000"/>
              </a:schemeClr>
            </a:solidFill>
            <a:ln>
              <a:noFill/>
            </a:ln>
            <a:effectLst/>
          </c:spPr>
          <c:invertIfNegative val="0"/>
          <c:val>
            <c:numRef>
              <c:f>Charts!$C$4:$I$4</c:f>
              <c:numCache>
                <c:formatCode>#,##0</c:formatCode>
                <c:ptCount val="7"/>
                <c:pt idx="0">
                  <c:v>-1063.6354920637518</c:v>
                </c:pt>
                <c:pt idx="1">
                  <c:v>-1042.0391287311779</c:v>
                </c:pt>
                <c:pt idx="2">
                  <c:v>0</c:v>
                </c:pt>
                <c:pt idx="3">
                  <c:v>0</c:v>
                </c:pt>
                <c:pt idx="4">
                  <c:v>0</c:v>
                </c:pt>
                <c:pt idx="5">
                  <c:v>0</c:v>
                </c:pt>
                <c:pt idx="6">
                  <c:v>0</c:v>
                </c:pt>
              </c:numCache>
            </c:numRef>
          </c:val>
          <c:extLst>
            <c:ext xmlns:c16="http://schemas.microsoft.com/office/drawing/2014/chart" uri="{C3380CC4-5D6E-409C-BE32-E72D297353CC}">
              <c16:uniqueId val="{00000000-9358-413F-B4FC-FB85C39A0B14}"/>
            </c:ext>
          </c:extLst>
        </c:ser>
        <c:ser>
          <c:idx val="1"/>
          <c:order val="1"/>
          <c:tx>
            <c:strRef>
              <c:f>Charts!$B$5</c:f>
              <c:strCache>
                <c:ptCount val="1"/>
                <c:pt idx="0">
                  <c:v>CH₄ (CO₂ eq)</c:v>
                </c:pt>
              </c:strCache>
            </c:strRef>
          </c:tx>
          <c:spPr>
            <a:solidFill>
              <a:schemeClr val="accent6">
                <a:lumMod val="75000"/>
              </a:schemeClr>
            </a:solidFill>
            <a:ln>
              <a:noFill/>
            </a:ln>
            <a:effectLst/>
          </c:spPr>
          <c:invertIfNegative val="0"/>
          <c:val>
            <c:numRef>
              <c:f>Charts!$C$5:$I$5</c:f>
              <c:numCache>
                <c:formatCode>#,##0</c:formatCode>
                <c:ptCount val="7"/>
                <c:pt idx="0">
                  <c:v>7411.9475631671594</c:v>
                </c:pt>
                <c:pt idx="1">
                  <c:v>66.475807857688338</c:v>
                </c:pt>
                <c:pt idx="2">
                  <c:v>0</c:v>
                </c:pt>
                <c:pt idx="3">
                  <c:v>0</c:v>
                </c:pt>
                <c:pt idx="4">
                  <c:v>0</c:v>
                </c:pt>
                <c:pt idx="5">
                  <c:v>0</c:v>
                </c:pt>
                <c:pt idx="6">
                  <c:v>0</c:v>
                </c:pt>
              </c:numCache>
            </c:numRef>
          </c:val>
          <c:extLst>
            <c:ext xmlns:c16="http://schemas.microsoft.com/office/drawing/2014/chart" uri="{C3380CC4-5D6E-409C-BE32-E72D297353CC}">
              <c16:uniqueId val="{00000001-9358-413F-B4FC-FB85C39A0B14}"/>
            </c:ext>
          </c:extLst>
        </c:ser>
        <c:ser>
          <c:idx val="2"/>
          <c:order val="2"/>
          <c:tx>
            <c:strRef>
              <c:f>Charts!$B$6</c:f>
              <c:strCache>
                <c:ptCount val="1"/>
                <c:pt idx="0">
                  <c:v>N₂O (CO₂ eq)</c:v>
                </c:pt>
              </c:strCache>
            </c:strRef>
          </c:tx>
          <c:spPr>
            <a:solidFill>
              <a:schemeClr val="accent6">
                <a:lumMod val="40000"/>
                <a:lumOff val="60000"/>
              </a:schemeClr>
            </a:solidFill>
            <a:ln>
              <a:noFill/>
            </a:ln>
            <a:effectLst/>
          </c:spPr>
          <c:invertIfNegative val="0"/>
          <c:val>
            <c:numRef>
              <c:f>Charts!$C$6:$I$6</c:f>
              <c:numCache>
                <c:formatCode>#,##0</c:formatCode>
                <c:ptCount val="7"/>
                <c:pt idx="0">
                  <c:v>431.22978728946327</c:v>
                </c:pt>
                <c:pt idx="1">
                  <c:v>103.98146352582856</c:v>
                </c:pt>
                <c:pt idx="2">
                  <c:v>0</c:v>
                </c:pt>
                <c:pt idx="3">
                  <c:v>0</c:v>
                </c:pt>
                <c:pt idx="4">
                  <c:v>0</c:v>
                </c:pt>
                <c:pt idx="5">
                  <c:v>0</c:v>
                </c:pt>
                <c:pt idx="6">
                  <c:v>0</c:v>
                </c:pt>
              </c:numCache>
            </c:numRef>
          </c:val>
          <c:extLst>
            <c:ext xmlns:c16="http://schemas.microsoft.com/office/drawing/2014/chart" uri="{C3380CC4-5D6E-409C-BE32-E72D297353CC}">
              <c16:uniqueId val="{00000002-9358-413F-B4FC-FB85C39A0B14}"/>
            </c:ext>
          </c:extLst>
        </c:ser>
        <c:dLbls>
          <c:showLegendKey val="0"/>
          <c:showVal val="0"/>
          <c:showCatName val="0"/>
          <c:showSerName val="0"/>
          <c:showPercent val="0"/>
          <c:showBubbleSize val="0"/>
        </c:dLbls>
        <c:gapWidth val="219"/>
        <c:overlap val="100"/>
        <c:axId val="1134969423"/>
        <c:axId val="1134973999"/>
      </c:barChart>
      <c:lineChart>
        <c:grouping val="standard"/>
        <c:varyColors val="0"/>
        <c:ser>
          <c:idx val="3"/>
          <c:order val="3"/>
          <c:tx>
            <c:strRef>
              <c:f>Charts!$J$9</c:f>
              <c:strCache>
                <c:ptCount val="1"/>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w="6350">
                      <a:noFill/>
                    </a:ln>
                    <a:solidFill>
                      <a:schemeClr val="tx1">
                        <a:lumMod val="75000"/>
                        <a:lumOff val="25000"/>
                      </a:schemeClr>
                    </a:solidFill>
                    <a:effectLst>
                      <a:glow rad="190500">
                        <a:schemeClr val="bg2">
                          <a:alpha val="40000"/>
                        </a:schemeClr>
                      </a:glow>
                    </a:effectLst>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Charts!$C$3:$I$3</c:f>
              <c:strCache>
                <c:ptCount val="7"/>
                <c:pt idx="0">
                  <c:v>Landfill</c:v>
                </c:pt>
                <c:pt idx="1">
                  <c:v>Co-digestion</c:v>
                </c:pt>
                <c:pt idx="2">
                  <c:v>0</c:v>
                </c:pt>
                <c:pt idx="3">
                  <c:v>0</c:v>
                </c:pt>
                <c:pt idx="4">
                  <c:v>0</c:v>
                </c:pt>
                <c:pt idx="5">
                  <c:v>0</c:v>
                </c:pt>
                <c:pt idx="6">
                  <c:v> </c:v>
                </c:pt>
              </c:strCache>
            </c:strRef>
          </c:cat>
          <c:val>
            <c:numRef>
              <c:f>Charts!$C$7:$I$7</c:f>
              <c:numCache>
                <c:formatCode>#,##0</c:formatCode>
                <c:ptCount val="7"/>
                <c:pt idx="0">
                  <c:v>6779.5418583928704</c:v>
                </c:pt>
                <c:pt idx="1">
                  <c:v>-871.58185734766096</c:v>
                </c:pt>
                <c:pt idx="2">
                  <c:v>0</c:v>
                </c:pt>
                <c:pt idx="3">
                  <c:v>0</c:v>
                </c:pt>
                <c:pt idx="4">
                  <c:v>0</c:v>
                </c:pt>
                <c:pt idx="5">
                  <c:v>0</c:v>
                </c:pt>
                <c:pt idx="6">
                  <c:v>0</c:v>
                </c:pt>
              </c:numCache>
            </c:numRef>
          </c:val>
          <c:smooth val="0"/>
          <c:extLst>
            <c:ext xmlns:c16="http://schemas.microsoft.com/office/drawing/2014/chart" uri="{C3380CC4-5D6E-409C-BE32-E72D297353CC}">
              <c16:uniqueId val="{00000003-9358-413F-B4FC-FB85C39A0B14}"/>
            </c:ext>
          </c:extLst>
        </c:ser>
        <c:dLbls>
          <c:showLegendKey val="0"/>
          <c:showVal val="0"/>
          <c:showCatName val="0"/>
          <c:showSerName val="0"/>
          <c:showPercent val="0"/>
          <c:showBubbleSize val="0"/>
        </c:dLbls>
        <c:marker val="1"/>
        <c:smooth val="0"/>
        <c:axId val="1134969423"/>
        <c:axId val="1134973999"/>
      </c:lineChart>
      <c:catAx>
        <c:axId val="1134969423"/>
        <c:scaling>
          <c:orientation val="minMax"/>
        </c:scaling>
        <c:delete val="0"/>
        <c:axPos val="b"/>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4973999"/>
        <c:crosses val="autoZero"/>
        <c:auto val="1"/>
        <c:lblAlgn val="ctr"/>
        <c:lblOffset val="100"/>
        <c:noMultiLvlLbl val="0"/>
      </c:catAx>
      <c:valAx>
        <c:axId val="11349739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CO₂E  (Mg) </a:t>
                </a:r>
                <a:endParaRPr lang="en-US" sz="600">
                  <a:effectLst/>
                </a:endParaRPr>
              </a:p>
            </c:rich>
          </c:tx>
          <c:layout>
            <c:manualLayout>
              <c:xMode val="edge"/>
              <c:yMode val="edge"/>
              <c:x val="2.2222222222222223E-2"/>
              <c:y val="0.3902697579469233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496942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180971</xdr:rowOff>
    </xdr:from>
    <xdr:to>
      <xdr:col>13</xdr:col>
      <xdr:colOff>400050</xdr:colOff>
      <xdr:row>44</xdr:row>
      <xdr:rowOff>57151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09600" y="180971"/>
          <a:ext cx="7715250" cy="825818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u="sng"/>
            <a:t>Instructions</a:t>
          </a:r>
        </a:p>
        <a:p>
          <a:endParaRPr lang="en-US" sz="1100" b="1"/>
        </a:p>
        <a:p>
          <a:r>
            <a:rPr lang="en-US" sz="1100" b="1">
              <a:solidFill>
                <a:schemeClr val="dk1"/>
              </a:solidFill>
              <a:effectLst/>
              <a:latin typeface="+mn-lt"/>
              <a:ea typeface="+mn-ea"/>
              <a:cs typeface="+mn-cs"/>
            </a:rPr>
            <a:t>BEAM*2022</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This version of the BEAM was updated to include 10 Scenarios in 2020. It was updated to include the Biodrying and Pyrolysis unit processes in 2021. In 2022, the BEAM underwent a comprehensive overhaul led by the Science Review Team (SRT) and implemented by Northern Tilth.  The instructions below provide guidance for getting started and using the model. </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Getting Started</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Detailed descriptions of each tab/worksheet in the Excel spreadsheet are provided in Appendix A of the BEAM*2022 User Guide, but these six steps outline the overall strategy. Pay careful attention to the units requested for each data entry. Tons of biosolids, etc. are to be entered as </a:t>
          </a:r>
          <a:r>
            <a:rPr lang="en-US" sz="1100" i="1">
              <a:solidFill>
                <a:schemeClr val="dk1"/>
              </a:solidFill>
              <a:effectLst/>
              <a:latin typeface="+mn-lt"/>
              <a:ea typeface="+mn-ea"/>
              <a:cs typeface="+mn-cs"/>
            </a:rPr>
            <a:t>short (U. S.)</a:t>
          </a:r>
          <a:r>
            <a:rPr lang="en-US" sz="1100">
              <a:solidFill>
                <a:schemeClr val="dk1"/>
              </a:solidFill>
              <a:effectLst/>
              <a:latin typeface="+mn-lt"/>
              <a:ea typeface="+mn-ea"/>
              <a:cs typeface="+mn-cs"/>
            </a:rPr>
            <a:t> tons, unless indicated otherwise.</a:t>
          </a:r>
        </a:p>
        <a:p>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1) On the “WRRF Info &amp; Results” sheet, fill in the olive green input cells with overall project information.</a:t>
          </a:r>
        </a:p>
        <a:p>
          <a:pPr lvl="0"/>
          <a:r>
            <a:rPr lang="en-US" sz="1100">
              <a:solidFill>
                <a:schemeClr val="dk1"/>
              </a:solidFill>
              <a:effectLst/>
              <a:latin typeface="+mn-lt"/>
              <a:ea typeface="+mn-ea"/>
              <a:cs typeface="+mn-cs"/>
            </a:rPr>
            <a:t>2) On the “Scenarios Data” sheet, fill in the olive green input cells for as many scenarios as you want to test, and select which unit processes to include for each scenario by inserting an “x” in the appropriate cell.</a:t>
          </a:r>
        </a:p>
        <a:p>
          <a:pPr lvl="0"/>
          <a:r>
            <a:rPr lang="en-US" sz="1100">
              <a:solidFill>
                <a:schemeClr val="dk1"/>
              </a:solidFill>
              <a:effectLst/>
              <a:latin typeface="+mn-lt"/>
              <a:ea typeface="+mn-ea"/>
              <a:cs typeface="+mn-cs"/>
            </a:rPr>
            <a:t>3) On the “Amount and Destination” sheet, fill in the olive green input cells with information about specific scenarios.</a:t>
          </a:r>
        </a:p>
        <a:p>
          <a:pPr lvl="0"/>
          <a:r>
            <a:rPr lang="en-US" sz="1100">
              <a:solidFill>
                <a:schemeClr val="dk1"/>
              </a:solidFill>
              <a:effectLst/>
              <a:latin typeface="+mn-lt"/>
              <a:ea typeface="+mn-ea"/>
              <a:cs typeface="+mn-cs"/>
            </a:rPr>
            <a:t>4) On the “Analyses” sheet, fill in as much real-world data from your project as possible in the olive green input cells.  Although default values are provided in the cells, overwriting the default values with measured data from your facility will produce results better tailored to your operation.</a:t>
          </a:r>
        </a:p>
        <a:p>
          <a:pPr lvl="0"/>
          <a:r>
            <a:rPr lang="en-US" sz="1100">
              <a:solidFill>
                <a:schemeClr val="dk1"/>
              </a:solidFill>
              <a:effectLst/>
              <a:latin typeface="+mn-lt"/>
              <a:ea typeface="+mn-ea"/>
              <a:cs typeface="+mn-cs"/>
            </a:rPr>
            <a:t>5) Fill in the olive green input cells on each unit process sheet for which you filled out an “x” in the Scenarios Data worksheet.</a:t>
          </a:r>
        </a:p>
        <a:p>
          <a:pPr lvl="0"/>
          <a:r>
            <a:rPr lang="en-US" sz="1100">
              <a:solidFill>
                <a:schemeClr val="dk1"/>
              </a:solidFill>
              <a:effectLst/>
              <a:latin typeface="+mn-lt"/>
              <a:ea typeface="+mn-ea"/>
              <a:cs typeface="+mn-cs"/>
            </a:rPr>
            <a:t>6) Evaluate your results on the “WRRF Info &amp; Results” worksheet.</a:t>
          </a:r>
        </a:p>
        <a:p>
          <a:br>
            <a:rPr lang="en-US" sz="1100"/>
          </a:br>
          <a:r>
            <a:rPr lang="en-US" sz="1100" b="1">
              <a:solidFill>
                <a:schemeClr val="dk1"/>
              </a:solidFill>
              <a:effectLst/>
              <a:latin typeface="+mn-lt"/>
              <a:ea typeface="+mn-ea"/>
              <a:cs typeface="+mn-cs"/>
            </a:rPr>
            <a:t>Unit Processes &amp; Model Use</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There are 21 unit process worksheets that correspond to the categories on the “Scenarios Data” worksheet. For a given Scenario, each unit process marked with an 'x' on the 'Scenarios Data' worksheet should have its corresponding unit process sheet filled in (except the 'Transporation' sheet, which auto-calculates). For example, if “Storage” and “Composting” are marked with an 'x' for Scenario 1 on the “Scenarios Data” worksheet, fill in the Scenario 1 column on the “Storage” and “Composting” worksheets.</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See the color-coded key information in the box to the right for descriptions of each cell color.  You can also find this color-coded key on each unit process worksheet.</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basic steps outlined below apply to the individual worksheets for each unit process.  Each unit process worksheet also contains brief instructions and notes specific to that process.</a:t>
          </a:r>
        </a:p>
        <a:p>
          <a:endParaRPr lang="en-US" sz="1100" b="0" u="none" baseline="0"/>
        </a:p>
        <a:p>
          <a:r>
            <a:rPr lang="en-US" sz="1100" b="0" u="sng"/>
            <a:t>1. Fill in the inputs</a:t>
          </a:r>
        </a:p>
        <a:p>
          <a:r>
            <a:rPr lang="en-US" sz="1100" b="0" u="none"/>
            <a:t>Cells in which the user enters data are olive green. Fill</a:t>
          </a:r>
          <a:r>
            <a:rPr lang="en-US" sz="1100" b="0" u="none" baseline="0"/>
            <a:t> in all olive green cells with the best available data. If data is unknown, use the adjacent default value in the blue cell to the right of the input cell. </a:t>
          </a:r>
          <a:r>
            <a:rPr lang="en-US" sz="1100" i="1">
              <a:solidFill>
                <a:schemeClr val="dk1"/>
              </a:solidFill>
              <a:effectLst/>
              <a:latin typeface="+mn-lt"/>
              <a:ea typeface="+mn-ea"/>
              <a:cs typeface="+mn-cs"/>
            </a:rPr>
            <a:t>Note that using real data will result in a more accurate estimation of emissions and that scenario-specific data should be sought out before resorting to defaults.</a:t>
          </a:r>
          <a:endParaRPr lang="en-US" sz="1100" b="0" u="none" baseline="0"/>
        </a:p>
        <a:p>
          <a:r>
            <a:rPr lang="en-US" sz="1100" b="0" u="none" baseline="0"/>
            <a:t>If the 'Amount and Destination' page was filled in completely, the unit process page may fill in the amount of material going to that unit process automatically in an orange cell. Orange cells indicate that while they may auto-calculate, the user may enter data instead if better data is available or if it is different than what has auto-filled.</a:t>
          </a:r>
        </a:p>
        <a:p>
          <a:r>
            <a:rPr lang="en-US" sz="1100" b="0" u="sng" baseline="0"/>
            <a:t>2. Double check</a:t>
          </a:r>
        </a:p>
        <a:p>
          <a:r>
            <a:rPr lang="en-US" sz="1100" b="0" u="none" baseline="0"/>
            <a:t>Make sure that all input cells and drop-downs have been filled in. </a:t>
          </a:r>
          <a:r>
            <a:rPr lang="en-US" sz="1100">
              <a:solidFill>
                <a:schemeClr val="dk1"/>
              </a:solidFill>
              <a:effectLst/>
              <a:latin typeface="+mn-lt"/>
              <a:ea typeface="+mn-ea"/>
              <a:cs typeface="+mn-cs"/>
            </a:rPr>
            <a:t>The final CO₂ equivalents calculated in the gray cells of each unit process worksheet should match the outputs on the “Scenarios Data” summary worksheet.</a:t>
          </a:r>
        </a:p>
        <a:p>
          <a:r>
            <a:rPr lang="en-US" sz="1100" b="0" u="sng" baseline="0"/>
            <a:t>3. Compare</a:t>
          </a:r>
        </a:p>
        <a:p>
          <a:r>
            <a:rPr lang="en-US" sz="1100" b="0" u="none" baseline="0"/>
            <a:t>Results from different Scenarios can be compared by unit process on the sheet called 'WRRF Info &amp; Results.'</a:t>
          </a:r>
        </a:p>
        <a:p>
          <a:endParaRPr lang="en-US" sz="1100" b="0" u="none"/>
        </a:p>
      </xdr:txBody>
    </xdr:sp>
    <xdr:clientData/>
  </xdr:twoCellAnchor>
  <xdr:twoCellAnchor editAs="oneCell">
    <xdr:from>
      <xdr:col>14</xdr:col>
      <xdr:colOff>28575</xdr:colOff>
      <xdr:row>1</xdr:row>
      <xdr:rowOff>0</xdr:rowOff>
    </xdr:from>
    <xdr:to>
      <xdr:col>24</xdr:col>
      <xdr:colOff>504004</xdr:colOff>
      <xdr:row>25</xdr:row>
      <xdr:rowOff>18476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8562975" y="190500"/>
          <a:ext cx="6571429" cy="4590476"/>
        </a:xfrm>
        <a:prstGeom prst="rect">
          <a:avLst/>
        </a:prstGeom>
        <a:ln w="19050">
          <a:solidFill>
            <a:sysClr val="windowText" lastClr="000000"/>
          </a:solidFill>
        </a:ln>
      </xdr:spPr>
    </xdr:pic>
    <xdr:clientData/>
  </xdr:twoCellAnchor>
  <xdr:twoCellAnchor>
    <xdr:from>
      <xdr:col>14</xdr:col>
      <xdr:colOff>9525</xdr:colOff>
      <xdr:row>26</xdr:row>
      <xdr:rowOff>19050</xdr:rowOff>
    </xdr:from>
    <xdr:to>
      <xdr:col>22</xdr:col>
      <xdr:colOff>161925</xdr:colOff>
      <xdr:row>35</xdr:row>
      <xdr:rowOff>66675</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8543925" y="4972050"/>
          <a:ext cx="5029200" cy="176212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u="sng"/>
            <a:t>Note About Pyrolysis Unit Process</a:t>
          </a:r>
        </a:p>
        <a:p>
          <a:endParaRPr lang="en-US" sz="1100" b="1"/>
        </a:p>
        <a:p>
          <a:r>
            <a:rPr lang="en-US" sz="1100" b="0" u="none"/>
            <a:t>If</a:t>
          </a:r>
          <a:r>
            <a:rPr lang="en-US" sz="1100" b="0" u="none" baseline="0"/>
            <a:t> material is pyrolyzed, the main management category to select for the material on the 'Amount and Destination' sheet is 'Combustion' and the management sub-category is 'Pyrolysis.'</a:t>
          </a:r>
        </a:p>
        <a:p>
          <a:endParaRPr lang="en-US" sz="1100" b="0" u="none" baseline="0"/>
        </a:p>
        <a:p>
          <a:r>
            <a:rPr lang="en-US" sz="1100" b="0" u="none" baseline="0"/>
            <a:t>If the pyrolyzed material is land-applied, the user should select 'Carbonization' for processing prior to land application under the 'Biosolids characteristics' heading on the 'Land Application' and 'Land Application (2)' sheets.</a:t>
          </a:r>
          <a:endParaRPr lang="en-US" sz="1100" b="0" u="non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371475</xdr:colOff>
      <xdr:row>8</xdr:row>
      <xdr:rowOff>109536</xdr:rowOff>
    </xdr:from>
    <xdr:to>
      <xdr:col>8</xdr:col>
      <xdr:colOff>257175</xdr:colOff>
      <xdr:row>26</xdr:row>
      <xdr:rowOff>76199</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595312</xdr:colOff>
      <xdr:row>6</xdr:row>
      <xdr:rowOff>176212</xdr:rowOff>
    </xdr:from>
    <xdr:to>
      <xdr:col>17</xdr:col>
      <xdr:colOff>219076</xdr:colOff>
      <xdr:row>22</xdr:row>
      <xdr:rowOff>123826</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481011</xdr:colOff>
      <xdr:row>27</xdr:row>
      <xdr:rowOff>61911</xdr:rowOff>
    </xdr:from>
    <xdr:to>
      <xdr:col>9</xdr:col>
      <xdr:colOff>161925</xdr:colOff>
      <xdr:row>45</xdr:row>
      <xdr:rowOff>28575</xdr:rowOff>
    </xdr:to>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ILTH.000\Documents\Northern%20Tilth\Clients\NYC%20DEP\NYC%20DEP%20SSO%20AD%20GHG%20project\Food%20waste%20dilu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onversions constants"/>
    </sheetNames>
    <sheetDataSet>
      <sheetData sheetId="0"/>
      <sheetData sheetId="1">
        <row r="3">
          <cell r="C3">
            <v>2000</v>
          </cell>
        </row>
      </sheetData>
    </sheetDataSet>
  </externalBook>
</externalLink>
</file>

<file path=xl/persons/person.xml><?xml version="1.0" encoding="utf-8"?>
<personList xmlns="http://schemas.microsoft.com/office/spreadsheetml/2018/threadedcomments" xmlns:x="http://schemas.openxmlformats.org/spreadsheetml/2006/main">
  <person displayName="Janine Burke-Wells" id="{9E30873D-1318-4F97-A30F-83135CF6B8EB}" userId="3dd31374e5379b3b" providerId="Windows Live"/>
  <person displayName="Shen, Emma" id="{000E9C97-51DD-494C-BD92-76652706EDA9}" userId="S::Emma.Shen@jacobs.com::30c57657-053b-4a16-8261-0e6960f9dd3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7" dT="2024-03-28T20:59:05.74" personId="{000E9C97-51DD-494C-BD92-76652706EDA9}" id="{EE6428FC-F456-4BB4-A1A5-2CB719C9A917}">
    <text>60-d storage capacity - 16% of time</text>
  </threadedComment>
</ThreadedComments>
</file>

<file path=xl/threadedComments/threadedComment2.xml><?xml version="1.0" encoding="utf-8"?>
<ThreadedComments xmlns="http://schemas.microsoft.com/office/spreadsheetml/2018/threadedcomments" xmlns:x="http://schemas.openxmlformats.org/spreadsheetml/2006/main">
  <threadedComment ref="A73" dT="2023-02-28T16:58:20.84" personId="{9E30873D-1318-4F97-A30F-83135CF6B8EB}" id="{3957ED93-6421-43B5-8DD4-FA7C52DC7CEB}">
    <text>Any updates on this factor?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3.bin"/><Relationship Id="rId4" Type="http://schemas.microsoft.com/office/2017/10/relationships/threadedComment" Target="../threadedComments/threadedComment1.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s://www.geotab.com/truck-mpg-benchmark/" TargetMode="External"/><Relationship Id="rId1" Type="http://schemas.openxmlformats.org/officeDocument/2006/relationships/hyperlink" Target="http://tractortestlab.unl.edu/"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AB26" sqref="AB26"/>
    </sheetView>
  </sheetViews>
  <sheetFormatPr defaultColWidth="9.140625" defaultRowHeight="15" x14ac:dyDescent="0.25"/>
  <sheetData/>
  <sheetProtection algorithmName="SHA-512" hashValue="oRGHqM9/sgjH4OARU7+o1keT95xg5W8rnoXf2L1TObmyEYcvbMuojb6ibinRDEvbBXQ2oNg0ZE36CNVd4QKrCA==" saltValue="BS9WYsV8TPHXLlFlYsYGhA==" spinCount="100000" sheet="1" objects="1" scenarios="1"/>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A1:U40"/>
  <sheetViews>
    <sheetView workbookViewId="0">
      <selection activeCell="B6" sqref="B6"/>
    </sheetView>
  </sheetViews>
  <sheetFormatPr defaultColWidth="11.42578125" defaultRowHeight="14.25" x14ac:dyDescent="0.2"/>
  <cols>
    <col min="1" max="1" width="64.85546875" style="130" customWidth="1"/>
    <col min="2" max="2" width="15.140625" style="130" customWidth="1"/>
    <col min="3" max="3" width="15.42578125" style="130" customWidth="1"/>
    <col min="4" max="4" width="15.140625" style="130" customWidth="1"/>
    <col min="5" max="5" width="15.42578125" style="130" customWidth="1"/>
    <col min="6" max="6" width="15.140625" style="130" customWidth="1"/>
    <col min="7" max="7" width="15.42578125" style="130" customWidth="1"/>
    <col min="8" max="8" width="15.140625" style="130" customWidth="1"/>
    <col min="9" max="9" width="15.42578125" style="130" customWidth="1"/>
    <col min="10" max="10" width="15.140625" style="130" customWidth="1"/>
    <col min="11" max="11" width="15.42578125" style="130" customWidth="1"/>
    <col min="12" max="12" width="15.140625" style="130" customWidth="1"/>
    <col min="13" max="13" width="15.42578125" style="130" customWidth="1"/>
    <col min="14" max="14" width="15.140625" style="130" customWidth="1"/>
    <col min="15" max="15" width="15.42578125" style="130" customWidth="1"/>
    <col min="16" max="16" width="15.140625" style="130" customWidth="1"/>
    <col min="17" max="17" width="15.42578125" style="130" customWidth="1"/>
    <col min="18" max="18" width="15.140625" style="130" customWidth="1"/>
    <col min="19" max="19" width="15.42578125" style="130" customWidth="1"/>
    <col min="20" max="20" width="15.140625" style="130" customWidth="1"/>
    <col min="21" max="21" width="15.42578125" style="130" customWidth="1"/>
    <col min="22" max="16384" width="11.42578125" style="130"/>
  </cols>
  <sheetData>
    <row r="1" spans="1:21" s="105" customFormat="1" ht="15" thickBot="1" x14ac:dyDescent="0.25"/>
    <row r="2" spans="1:21" s="105" customFormat="1" ht="15.6" customHeight="1" x14ac:dyDescent="0.2">
      <c r="A2" s="1318" t="s">
        <v>195</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15.6" customHeight="1" thickBot="1" x14ac:dyDescent="0.25">
      <c r="A3" s="1319"/>
      <c r="B3" s="1295" t="str">
        <f>'Scenarios Data'!B1</f>
        <v>Landfill</v>
      </c>
      <c r="C3" s="1296"/>
      <c r="D3" s="1295" t="str">
        <f>'Scenarios Data'!B33</f>
        <v>Co-digestion</v>
      </c>
      <c r="E3" s="1296"/>
      <c r="F3" s="1295">
        <f>'Scenarios Data'!B65</f>
        <v>0</v>
      </c>
      <c r="G3" s="1296"/>
      <c r="H3" s="1295">
        <f>'Scenarios Data'!B97</f>
        <v>0</v>
      </c>
      <c r="I3" s="1296"/>
      <c r="J3" s="1295">
        <f>'Scenarios Data'!B129</f>
        <v>0</v>
      </c>
      <c r="K3" s="1296"/>
      <c r="L3" s="1295">
        <f>'Scenarios Data'!B161</f>
        <v>0</v>
      </c>
      <c r="M3" s="1296"/>
      <c r="N3" s="1295" t="str">
        <f>'Scenarios Data'!B193</f>
        <v xml:space="preserve"> </v>
      </c>
      <c r="O3" s="1296"/>
      <c r="P3" s="1295">
        <f>'Scenarios Data'!B225</f>
        <v>0</v>
      </c>
      <c r="Q3" s="1296"/>
      <c r="R3" s="1295">
        <f>'Scenarios Data'!B257</f>
        <v>0</v>
      </c>
      <c r="S3" s="1296"/>
      <c r="T3" s="1295">
        <f>'Scenarios Data'!B289</f>
        <v>0</v>
      </c>
      <c r="U3" s="1296"/>
    </row>
    <row r="4" spans="1:21" ht="48" customHeight="1" thickBot="1" x14ac:dyDescent="0.25">
      <c r="A4" s="145" t="s">
        <v>104</v>
      </c>
      <c r="B4" s="147"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s="183" customFormat="1" ht="15.75" customHeight="1" thickBot="1" x14ac:dyDescent="0.3">
      <c r="A5" s="1300" t="s">
        <v>63</v>
      </c>
      <c r="B5" s="1327"/>
      <c r="C5" s="1327"/>
      <c r="D5" s="1301"/>
      <c r="E5" s="1301"/>
      <c r="F5" s="1301"/>
      <c r="G5" s="1301"/>
      <c r="H5" s="1301"/>
      <c r="I5" s="1301"/>
      <c r="J5" s="1301"/>
      <c r="K5" s="1301"/>
      <c r="L5" s="1301"/>
      <c r="M5" s="1301"/>
      <c r="N5" s="1301"/>
      <c r="O5" s="1301"/>
      <c r="P5" s="1301"/>
      <c r="Q5" s="1301"/>
      <c r="R5" s="1301"/>
      <c r="S5" s="1301"/>
      <c r="T5" s="1301"/>
      <c r="U5" s="1302"/>
    </row>
    <row r="6" spans="1:21" ht="15.75" customHeight="1" x14ac:dyDescent="0.2">
      <c r="A6" s="1023" t="s">
        <v>905</v>
      </c>
      <c r="B6" s="26">
        <f>+aerobic_feed_rate</f>
        <v>0</v>
      </c>
      <c r="C6" s="225"/>
      <c r="D6" s="25">
        <f>+aerobic_feed_rate</f>
        <v>0</v>
      </c>
      <c r="E6" s="225"/>
      <c r="F6" s="25">
        <f>+aerobic_feed_rate</f>
        <v>0</v>
      </c>
      <c r="G6" s="225"/>
      <c r="H6" s="25">
        <f>+aerobic_feed_rate</f>
        <v>0</v>
      </c>
      <c r="I6" s="225"/>
      <c r="J6" s="25">
        <f>+aerobic_feed_rate</f>
        <v>0</v>
      </c>
      <c r="K6" s="225"/>
      <c r="L6" s="25">
        <f>+aerobic_feed_rate</f>
        <v>0</v>
      </c>
      <c r="M6" s="225"/>
      <c r="N6" s="25">
        <f>+aerobic_feed_rate</f>
        <v>0</v>
      </c>
      <c r="O6" s="225"/>
      <c r="P6" s="25">
        <f>+aerobic_feed_rate</f>
        <v>0</v>
      </c>
      <c r="Q6" s="225"/>
      <c r="R6" s="25">
        <f>+aerobic_feed_rate</f>
        <v>0</v>
      </c>
      <c r="S6" s="225"/>
      <c r="T6" s="25">
        <f>+aerobic_feed_rate</f>
        <v>0</v>
      </c>
      <c r="U6" s="225"/>
    </row>
    <row r="7" spans="1:21" s="226" customFormat="1" ht="15.75" customHeight="1" x14ac:dyDescent="0.2">
      <c r="A7" s="247" t="s">
        <v>474</v>
      </c>
      <c r="B7" s="909">
        <f>+SRT_aerobic</f>
        <v>0</v>
      </c>
      <c r="C7" s="198">
        <f>+Default_SRT_aerobic</f>
        <v>40</v>
      </c>
      <c r="D7" s="909">
        <f>+SRT_aerobic</f>
        <v>0</v>
      </c>
      <c r="E7" s="198">
        <f>+Default_SRT_aerobic</f>
        <v>40</v>
      </c>
      <c r="F7" s="909">
        <f>+SRT_aerobic</f>
        <v>0</v>
      </c>
      <c r="G7" s="198">
        <f>+Default_SRT_aerobic</f>
        <v>40</v>
      </c>
      <c r="H7" s="909">
        <f>+SRT_aerobic</f>
        <v>0</v>
      </c>
      <c r="I7" s="198">
        <f>+Default_SRT_aerobic</f>
        <v>40</v>
      </c>
      <c r="J7" s="909">
        <f>+SRT_aerobic</f>
        <v>0</v>
      </c>
      <c r="K7" s="198">
        <f>+Default_SRT_aerobic</f>
        <v>40</v>
      </c>
      <c r="L7" s="909">
        <f>+SRT_aerobic</f>
        <v>0</v>
      </c>
      <c r="M7" s="198">
        <f>+Default_SRT_aerobic</f>
        <v>40</v>
      </c>
      <c r="N7" s="909">
        <f>+SRT_aerobic</f>
        <v>0</v>
      </c>
      <c r="O7" s="198">
        <f>+Default_SRT_aerobic</f>
        <v>40</v>
      </c>
      <c r="P7" s="909">
        <f>+SRT_aerobic</f>
        <v>0</v>
      </c>
      <c r="Q7" s="198">
        <f>+Default_SRT_aerobic</f>
        <v>40</v>
      </c>
      <c r="R7" s="909">
        <f>+SRT_aerobic</f>
        <v>0</v>
      </c>
      <c r="S7" s="198">
        <f>+Default_SRT_aerobic</f>
        <v>40</v>
      </c>
      <c r="T7" s="909">
        <f>+SRT_aerobic</f>
        <v>0</v>
      </c>
      <c r="U7" s="198">
        <f>+Default_SRT_aerobic</f>
        <v>40</v>
      </c>
    </row>
    <row r="8" spans="1:21" s="183" customFormat="1" ht="15.75" customHeight="1" x14ac:dyDescent="0.2">
      <c r="A8" s="247" t="s">
        <v>906</v>
      </c>
      <c r="B8" s="879">
        <f>IFERROR(B6*B7,"N/A")</f>
        <v>0</v>
      </c>
      <c r="C8" s="228"/>
      <c r="D8" s="879">
        <f>IFERROR(D6*D7,"N/A")</f>
        <v>0</v>
      </c>
      <c r="E8" s="228"/>
      <c r="F8" s="879">
        <f>IFERROR(F6*F7,"N/A")</f>
        <v>0</v>
      </c>
      <c r="G8" s="228"/>
      <c r="H8" s="879">
        <f>IFERROR(H6*H7,"N/A")</f>
        <v>0</v>
      </c>
      <c r="I8" s="228"/>
      <c r="J8" s="879">
        <f>IFERROR(J6*J7,"N/A")</f>
        <v>0</v>
      </c>
      <c r="K8" s="228"/>
      <c r="L8" s="879">
        <f>IFERROR(L6*L7,"N/A")</f>
        <v>0</v>
      </c>
      <c r="M8" s="228"/>
      <c r="N8" s="879">
        <f>IFERROR(N6*N7,"N/A")</f>
        <v>0</v>
      </c>
      <c r="O8" s="228"/>
      <c r="P8" s="879">
        <f>IFERROR(P6*P7,"N/A")</f>
        <v>0</v>
      </c>
      <c r="Q8" s="228"/>
      <c r="R8" s="879">
        <f>IFERROR(R6*R7,"N/A")</f>
        <v>0</v>
      </c>
      <c r="S8" s="228"/>
      <c r="T8" s="879">
        <f>IFERROR(T6*T7,"N/A")</f>
        <v>0</v>
      </c>
      <c r="U8" s="228"/>
    </row>
    <row r="9" spans="1:21" s="183" customFormat="1" ht="15.75" customHeight="1" x14ac:dyDescent="0.2">
      <c r="A9" s="247" t="s">
        <v>475</v>
      </c>
      <c r="B9" s="40">
        <f>+aerobic_solids_in</f>
        <v>7.1999999999999995E-2</v>
      </c>
      <c r="C9" s="228"/>
      <c r="D9" s="40">
        <f>+aerobic_solids_in</f>
        <v>7.1999999999999995E-2</v>
      </c>
      <c r="E9" s="228"/>
      <c r="F9" s="40">
        <f>+aerobic_solids_in</f>
        <v>7.1999999999999995E-2</v>
      </c>
      <c r="G9" s="228"/>
      <c r="H9" s="40">
        <f>+aerobic_solids_in</f>
        <v>7.1999999999999995E-2</v>
      </c>
      <c r="I9" s="228"/>
      <c r="J9" s="40">
        <f>+aerobic_solids_in</f>
        <v>7.1999999999999995E-2</v>
      </c>
      <c r="K9" s="228"/>
      <c r="L9" s="40">
        <f>+aerobic_solids_in</f>
        <v>7.1999999999999995E-2</v>
      </c>
      <c r="M9" s="228"/>
      <c r="N9" s="40">
        <f>+aerobic_solids_in</f>
        <v>7.1999999999999995E-2</v>
      </c>
      <c r="O9" s="228"/>
      <c r="P9" s="40">
        <f>+aerobic_solids_in</f>
        <v>7.1999999999999995E-2</v>
      </c>
      <c r="Q9" s="228"/>
      <c r="R9" s="40">
        <f>+aerobic_solids_in</f>
        <v>7.1999999999999995E-2</v>
      </c>
      <c r="S9" s="228"/>
      <c r="T9" s="40">
        <f>+aerobic_solids_in</f>
        <v>7.1999999999999995E-2</v>
      </c>
      <c r="U9" s="228"/>
    </row>
    <row r="10" spans="1:21" ht="15.75" customHeight="1" x14ac:dyDescent="0.2">
      <c r="A10" s="882" t="s">
        <v>666</v>
      </c>
      <c r="B10" s="40">
        <f>+aerobic_VS_in</f>
        <v>0</v>
      </c>
      <c r="C10" s="228"/>
      <c r="D10" s="40">
        <f>+aerobic_VS_in</f>
        <v>0</v>
      </c>
      <c r="E10" s="228"/>
      <c r="F10" s="40">
        <f>+aerobic_VS_in</f>
        <v>0</v>
      </c>
      <c r="G10" s="228"/>
      <c r="H10" s="40">
        <f>+aerobic_VS_in</f>
        <v>0</v>
      </c>
      <c r="I10" s="228"/>
      <c r="J10" s="40">
        <f>+aerobic_VS_in</f>
        <v>0</v>
      </c>
      <c r="K10" s="228"/>
      <c r="L10" s="40">
        <f>+aerobic_VS_in</f>
        <v>0</v>
      </c>
      <c r="M10" s="228"/>
      <c r="N10" s="40">
        <f>+aerobic_VS_in</f>
        <v>0</v>
      </c>
      <c r="O10" s="228"/>
      <c r="P10" s="40">
        <f>+aerobic_VS_in</f>
        <v>0</v>
      </c>
      <c r="Q10" s="228"/>
      <c r="R10" s="40">
        <f>+aerobic_VS_in</f>
        <v>0</v>
      </c>
      <c r="S10" s="228"/>
      <c r="T10" s="40">
        <f>+aerobic_VS_in</f>
        <v>0</v>
      </c>
      <c r="U10" s="228"/>
    </row>
    <row r="11" spans="1:21" ht="15.75" customHeight="1" x14ac:dyDescent="0.2">
      <c r="A11" s="315" t="s">
        <v>286</v>
      </c>
      <c r="B11" s="880">
        <f>+IFERROR(B6*density_h2o*B9*B10,"N/A")</f>
        <v>0</v>
      </c>
      <c r="C11" s="881"/>
      <c r="D11" s="880">
        <f>+IFERROR(D6*density_h2o*D9*D10,"N/A")</f>
        <v>0</v>
      </c>
      <c r="E11" s="881"/>
      <c r="F11" s="880">
        <f>+IFERROR(F6*density_h2o*F9*F10,"N/A")</f>
        <v>0</v>
      </c>
      <c r="G11" s="881"/>
      <c r="H11" s="880">
        <f>+IFERROR(H6*density_h2o*H9*H10,"N/A")</f>
        <v>0</v>
      </c>
      <c r="I11" s="881"/>
      <c r="J11" s="880">
        <f>+IFERROR(J6*density_h2o*J9*J10,"N/A")</f>
        <v>0</v>
      </c>
      <c r="K11" s="881"/>
      <c r="L11" s="880">
        <f>+IFERROR(L6*density_h2o*L9*L10,"N/A")</f>
        <v>0</v>
      </c>
      <c r="M11" s="881"/>
      <c r="N11" s="880">
        <f>+IFERROR(N6*density_h2o*N9*N10,"N/A")</f>
        <v>0</v>
      </c>
      <c r="O11" s="881"/>
      <c r="P11" s="880">
        <f>+IFERROR(P6*density_h2o*P9*P10,"N/A")</f>
        <v>0</v>
      </c>
      <c r="Q11" s="881"/>
      <c r="R11" s="880">
        <f>+IFERROR(R6*density_h2o*R9*R10,"N/A")</f>
        <v>0</v>
      </c>
      <c r="S11" s="881"/>
      <c r="T11" s="880">
        <f>+IFERROR(T6*density_h2o*T9*T10,"N/A")</f>
        <v>0</v>
      </c>
      <c r="U11" s="881"/>
    </row>
    <row r="12" spans="1:21" ht="15.75" customHeight="1" thickBot="1" x14ac:dyDescent="0.25">
      <c r="A12" s="333"/>
      <c r="B12" s="878"/>
      <c r="C12" s="235"/>
      <c r="D12" s="234"/>
      <c r="E12" s="235"/>
      <c r="F12" s="234"/>
      <c r="G12" s="235"/>
      <c r="H12" s="234"/>
      <c r="I12" s="235"/>
      <c r="J12" s="234"/>
      <c r="K12" s="235"/>
      <c r="L12" s="234"/>
      <c r="M12" s="235"/>
      <c r="N12" s="234"/>
      <c r="O12" s="235"/>
      <c r="P12" s="234"/>
      <c r="Q12" s="235"/>
      <c r="R12" s="234"/>
      <c r="S12" s="235"/>
      <c r="T12" s="234"/>
      <c r="U12" s="235"/>
    </row>
    <row r="13" spans="1:21" s="183" customFormat="1" ht="15.75" customHeight="1" thickBot="1" x14ac:dyDescent="0.3">
      <c r="A13" s="1324" t="s">
        <v>64</v>
      </c>
      <c r="B13" s="1325"/>
      <c r="C13" s="1325"/>
      <c r="D13" s="1325"/>
      <c r="E13" s="1325"/>
      <c r="F13" s="1325"/>
      <c r="G13" s="1325"/>
      <c r="H13" s="1325"/>
      <c r="I13" s="1325"/>
      <c r="J13" s="1325"/>
      <c r="K13" s="1325"/>
      <c r="L13" s="1325"/>
      <c r="M13" s="1325"/>
      <c r="N13" s="1325"/>
      <c r="O13" s="1325"/>
      <c r="P13" s="1325"/>
      <c r="Q13" s="1325"/>
      <c r="R13" s="1325"/>
      <c r="S13" s="1325"/>
      <c r="T13" s="1325"/>
      <c r="U13" s="1326"/>
    </row>
    <row r="14" spans="1:21" s="183" customFormat="1" ht="15.75" customHeight="1" x14ac:dyDescent="0.2">
      <c r="A14" s="1023" t="s">
        <v>907</v>
      </c>
      <c r="B14" s="26">
        <f>+B6*(1-aerobic_vol_reduct)</f>
        <v>0</v>
      </c>
      <c r="C14" s="206">
        <f>IFERROR(B6*(1-aerobic_vol_reduct),"N/A")</f>
        <v>0</v>
      </c>
      <c r="D14" s="26">
        <f>+D6*(1-aerobic_vol_reduct)</f>
        <v>0</v>
      </c>
      <c r="E14" s="206">
        <f>IFERROR(D6*(1-aerobic_vol_reduct),"N/A")</f>
        <v>0</v>
      </c>
      <c r="F14" s="26">
        <f>+F6*(1-aerobic_vol_reduct)</f>
        <v>0</v>
      </c>
      <c r="G14" s="206">
        <f>IFERROR(F6*(1-aerobic_vol_reduct),"N/A")</f>
        <v>0</v>
      </c>
      <c r="H14" s="26">
        <f>+H6*(1-aerobic_vol_reduct)</f>
        <v>0</v>
      </c>
      <c r="I14" s="206">
        <f>IFERROR(H6*(1-aerobic_vol_reduct),"N/A")</f>
        <v>0</v>
      </c>
      <c r="J14" s="26">
        <f>+J6*(1-aerobic_vol_reduct)</f>
        <v>0</v>
      </c>
      <c r="K14" s="206">
        <f>IFERROR(J6*(1-aerobic_vol_reduct),"N/A")</f>
        <v>0</v>
      </c>
      <c r="L14" s="26">
        <f>+L6*(1-aerobic_vol_reduct)</f>
        <v>0</v>
      </c>
      <c r="M14" s="206">
        <f>IFERROR(L6*(1-aerobic_vol_reduct),"N/A")</f>
        <v>0</v>
      </c>
      <c r="N14" s="26">
        <f>+N6*(1-aerobic_vol_reduct)</f>
        <v>0</v>
      </c>
      <c r="O14" s="206">
        <f>IFERROR(N6*(1-aerobic_vol_reduct),"N/A")</f>
        <v>0</v>
      </c>
      <c r="P14" s="26">
        <f>+P6*(1-aerobic_vol_reduct)</f>
        <v>0</v>
      </c>
      <c r="Q14" s="206">
        <f>IFERROR(P6*(1-aerobic_vol_reduct),"N/A")</f>
        <v>0</v>
      </c>
      <c r="R14" s="26">
        <f>+R6*(1-aerobic_vol_reduct)</f>
        <v>0</v>
      </c>
      <c r="S14" s="206">
        <f>IFERROR(R6*(1-aerobic_vol_reduct),"N/A")</f>
        <v>0</v>
      </c>
      <c r="T14" s="26">
        <f>+T6*(1-aerobic_vol_reduct)</f>
        <v>0</v>
      </c>
      <c r="U14" s="206">
        <f>IFERROR(T6*(1-aerobic_vol_reduct),"N/A")</f>
        <v>0</v>
      </c>
    </row>
    <row r="15" spans="1:21" ht="15.75" customHeight="1" x14ac:dyDescent="0.2">
      <c r="A15" s="308" t="s">
        <v>285</v>
      </c>
      <c r="B15" s="40">
        <f>Aerobic_VSR</f>
        <v>0</v>
      </c>
      <c r="C15" s="232"/>
      <c r="D15" s="40">
        <f>Aerobic_VSR</f>
        <v>0</v>
      </c>
      <c r="E15" s="232"/>
      <c r="F15" s="40">
        <f>Aerobic_VSR</f>
        <v>0</v>
      </c>
      <c r="G15" s="232"/>
      <c r="H15" s="40">
        <f>Aerobic_VSR</f>
        <v>0</v>
      </c>
      <c r="I15" s="232"/>
      <c r="J15" s="40">
        <f>Aerobic_VSR</f>
        <v>0</v>
      </c>
      <c r="K15" s="232"/>
      <c r="L15" s="40">
        <f>Aerobic_VSR</f>
        <v>0</v>
      </c>
      <c r="M15" s="232"/>
      <c r="N15" s="40">
        <f>Aerobic_VSR</f>
        <v>0</v>
      </c>
      <c r="O15" s="232"/>
      <c r="P15" s="40">
        <f>Aerobic_VSR</f>
        <v>0</v>
      </c>
      <c r="Q15" s="232"/>
      <c r="R15" s="40">
        <f>Aerobic_VSR</f>
        <v>0</v>
      </c>
      <c r="S15" s="232"/>
      <c r="T15" s="40">
        <f>Aerobic_VSR</f>
        <v>0</v>
      </c>
      <c r="U15" s="232"/>
    </row>
    <row r="16" spans="1:21" ht="15.75" customHeight="1" x14ac:dyDescent="0.2">
      <c r="A16" s="308" t="s">
        <v>287</v>
      </c>
      <c r="B16" s="877">
        <f>IFERROR(B11*B15,"N/A")</f>
        <v>0</v>
      </c>
      <c r="C16" s="232"/>
      <c r="D16" s="877">
        <f>IFERROR(D11*D15,"N/A")</f>
        <v>0</v>
      </c>
      <c r="E16" s="232"/>
      <c r="F16" s="877">
        <f>IFERROR(F11*F15,"N/A")</f>
        <v>0</v>
      </c>
      <c r="G16" s="232"/>
      <c r="H16" s="877">
        <f>IFERROR(H11*H15,"N/A")</f>
        <v>0</v>
      </c>
      <c r="I16" s="232"/>
      <c r="J16" s="877">
        <f>IFERROR(J11*J15,"N/A")</f>
        <v>0</v>
      </c>
      <c r="K16" s="232"/>
      <c r="L16" s="877">
        <f>IFERROR(L11*L15,"N/A")</f>
        <v>0</v>
      </c>
      <c r="M16" s="232"/>
      <c r="N16" s="877">
        <f>IFERROR(N11*N15,"N/A")</f>
        <v>0</v>
      </c>
      <c r="O16" s="232"/>
      <c r="P16" s="877">
        <f>IFERROR(P11*P15,"N/A")</f>
        <v>0</v>
      </c>
      <c r="Q16" s="232"/>
      <c r="R16" s="877">
        <f>IFERROR(R11*R15,"N/A")</f>
        <v>0</v>
      </c>
      <c r="S16" s="232"/>
      <c r="T16" s="877">
        <f>IFERROR(T11*T15,"N/A")</f>
        <v>0</v>
      </c>
      <c r="U16" s="232"/>
    </row>
    <row r="17" spans="1:21" ht="15.75" customHeight="1" thickBot="1" x14ac:dyDescent="0.25">
      <c r="A17" s="333"/>
      <c r="B17" s="878"/>
      <c r="C17" s="235"/>
      <c r="D17" s="234"/>
      <c r="E17" s="235"/>
      <c r="F17" s="234"/>
      <c r="G17" s="235"/>
      <c r="H17" s="234"/>
      <c r="I17" s="235"/>
      <c r="J17" s="234"/>
      <c r="K17" s="235"/>
      <c r="L17" s="234"/>
      <c r="M17" s="235"/>
      <c r="N17" s="234"/>
      <c r="O17" s="235"/>
      <c r="P17" s="234"/>
      <c r="Q17" s="235"/>
      <c r="R17" s="234"/>
      <c r="S17" s="235"/>
      <c r="T17" s="234"/>
      <c r="U17" s="235"/>
    </row>
    <row r="18" spans="1:21" s="183" customFormat="1" ht="15.75" customHeight="1" thickBot="1" x14ac:dyDescent="0.3">
      <c r="A18" s="1324" t="s">
        <v>153</v>
      </c>
      <c r="B18" s="1325"/>
      <c r="C18" s="1325"/>
      <c r="D18" s="1325"/>
      <c r="E18" s="1325"/>
      <c r="F18" s="1325"/>
      <c r="G18" s="1325"/>
      <c r="H18" s="1325"/>
      <c r="I18" s="1325"/>
      <c r="J18" s="1325"/>
      <c r="K18" s="1325"/>
      <c r="L18" s="1325"/>
      <c r="M18" s="1325"/>
      <c r="N18" s="1325"/>
      <c r="O18" s="1325"/>
      <c r="P18" s="1325"/>
      <c r="Q18" s="1325"/>
      <c r="R18" s="1325"/>
      <c r="S18" s="1325"/>
      <c r="T18" s="1325"/>
      <c r="U18" s="1326"/>
    </row>
    <row r="19" spans="1:21" s="226" customFormat="1" ht="15.75" customHeight="1" x14ac:dyDescent="0.2">
      <c r="A19" s="270" t="s">
        <v>908</v>
      </c>
      <c r="B19" s="15"/>
      <c r="C19" s="883"/>
      <c r="D19" s="16"/>
      <c r="E19" s="883"/>
      <c r="F19" s="16"/>
      <c r="G19" s="883"/>
      <c r="H19" s="16"/>
      <c r="I19" s="883"/>
      <c r="J19" s="16"/>
      <c r="K19" s="883"/>
      <c r="L19" s="16"/>
      <c r="M19" s="883"/>
      <c r="N19" s="16"/>
      <c r="O19" s="883"/>
      <c r="P19" s="16"/>
      <c r="Q19" s="883"/>
      <c r="R19" s="16"/>
      <c r="S19" s="883"/>
      <c r="T19" s="16"/>
      <c r="U19" s="883"/>
    </row>
    <row r="20" spans="1:21" s="105" customFormat="1" ht="15.75" customHeight="1" x14ac:dyDescent="0.2">
      <c r="A20" s="245" t="s">
        <v>205</v>
      </c>
      <c r="B20" s="8"/>
      <c r="C20" s="198">
        <f>+IFERROR(B6*AerobicD_electricity_use_MandE*24,"N/A")</f>
        <v>0</v>
      </c>
      <c r="D20" s="8"/>
      <c r="E20" s="198">
        <f>+IFERROR(D6*AerobicD_electricity_use_MandE*24,"N/A")</f>
        <v>0</v>
      </c>
      <c r="F20" s="8"/>
      <c r="G20" s="198">
        <f>+IFERROR(F6*AerobicD_electricity_use_MandE*24,"N/A")</f>
        <v>0</v>
      </c>
      <c r="H20" s="8"/>
      <c r="I20" s="198">
        <f>+IFERROR(H6*AerobicD_electricity_use_MandE*24,"N/A")</f>
        <v>0</v>
      </c>
      <c r="J20" s="8"/>
      <c r="K20" s="198">
        <f>+IFERROR(J6*AerobicD_electricity_use_MandE*24,"N/A")</f>
        <v>0</v>
      </c>
      <c r="L20" s="8"/>
      <c r="M20" s="198">
        <f>+IFERROR(L6*AerobicD_electricity_use_MandE*24,"N/A")</f>
        <v>0</v>
      </c>
      <c r="N20" s="8"/>
      <c r="O20" s="198">
        <f>+IFERROR(N6*AerobicD_electricity_use_MandE*24,"N/A")</f>
        <v>0</v>
      </c>
      <c r="P20" s="8"/>
      <c r="Q20" s="198">
        <f>+IFERROR(P6*AerobicD_electricity_use_MandE*24,"N/A")</f>
        <v>0</v>
      </c>
      <c r="R20" s="8"/>
      <c r="S20" s="198">
        <f>+IFERROR(R6*AerobicD_electricity_use_MandE*24,"N/A")</f>
        <v>0</v>
      </c>
      <c r="T20" s="8"/>
      <c r="U20" s="198">
        <f>+IFERROR(T6*AerobicD_electricity_use_MandE*24,"N/A")</f>
        <v>0</v>
      </c>
    </row>
    <row r="21" spans="1:21" ht="15.75" customHeight="1" x14ac:dyDescent="0.3">
      <c r="A21" s="168" t="s">
        <v>77</v>
      </c>
      <c r="B21" s="252">
        <f>+B19*CO2E_naturalgas_combustion/1000000</f>
        <v>0</v>
      </c>
      <c r="C21" s="237"/>
      <c r="D21" s="236">
        <f>+D19*CO2E_naturalgas_combustion/1000000</f>
        <v>0</v>
      </c>
      <c r="E21" s="237"/>
      <c r="F21" s="236">
        <f>+F19*CO2E_naturalgas_combustion/1000000</f>
        <v>0</v>
      </c>
      <c r="G21" s="237"/>
      <c r="H21" s="236">
        <f>+H19*CO2E_naturalgas_combustion/1000000</f>
        <v>0</v>
      </c>
      <c r="I21" s="237"/>
      <c r="J21" s="236">
        <f>+J19*CO2E_naturalgas_combustion/1000000</f>
        <v>0</v>
      </c>
      <c r="K21" s="237"/>
      <c r="L21" s="236">
        <f>+L19*CO2E_naturalgas_combustion/1000000</f>
        <v>0</v>
      </c>
      <c r="M21" s="237"/>
      <c r="N21" s="236">
        <f>+N19*CO2E_naturalgas_combustion/1000000</f>
        <v>0</v>
      </c>
      <c r="O21" s="237"/>
      <c r="P21" s="236">
        <f>+P19*CO2E_naturalgas_combustion/1000000</f>
        <v>0</v>
      </c>
      <c r="Q21" s="237"/>
      <c r="R21" s="236">
        <f>+R19*CO2E_naturalgas_combustion/1000000</f>
        <v>0</v>
      </c>
      <c r="S21" s="237"/>
      <c r="T21" s="236">
        <f>+T19*CO2E_naturalgas_combustion/1000000</f>
        <v>0</v>
      </c>
      <c r="U21" s="237"/>
    </row>
    <row r="22" spans="1:21" s="183" customFormat="1" ht="15.75" customHeight="1" x14ac:dyDescent="0.3">
      <c r="A22" s="417" t="s">
        <v>75</v>
      </c>
      <c r="B22" s="453">
        <f>+B20*GHG_emissions_factors_by_province/1000000</f>
        <v>0</v>
      </c>
      <c r="C22" s="1078"/>
      <c r="D22" s="432">
        <f>+D20*GHG_emissions_factors_by_province/1000000</f>
        <v>0</v>
      </c>
      <c r="E22" s="1078"/>
      <c r="F22" s="432">
        <f>+F20*GHG_emissions_factors_by_province/1000000</f>
        <v>0</v>
      </c>
      <c r="G22" s="1078"/>
      <c r="H22" s="432">
        <f>+H20*GHG_emissions_factors_by_province/1000000</f>
        <v>0</v>
      </c>
      <c r="I22" s="1078"/>
      <c r="J22" s="432">
        <f>+J20*GHG_emissions_factors_by_province/1000000</f>
        <v>0</v>
      </c>
      <c r="K22" s="1078"/>
      <c r="L22" s="432">
        <f>+L20*GHG_emissions_factors_by_province/1000000</f>
        <v>0</v>
      </c>
      <c r="M22" s="1078"/>
      <c r="N22" s="432">
        <f>+N20*GHG_emissions_factors_by_province/1000000</f>
        <v>0</v>
      </c>
      <c r="O22" s="1078"/>
      <c r="P22" s="432">
        <f>+P20*GHG_emissions_factors_by_province/1000000</f>
        <v>0</v>
      </c>
      <c r="Q22" s="1078"/>
      <c r="R22" s="432">
        <f>+R20*GHG_emissions_factors_by_province/1000000</f>
        <v>0</v>
      </c>
      <c r="S22" s="1078"/>
      <c r="T22" s="432">
        <f>+T20*GHG_emissions_factors_by_province/1000000</f>
        <v>0</v>
      </c>
      <c r="U22" s="1078"/>
    </row>
    <row r="23" spans="1:21" s="183" customFormat="1" ht="15.75" customHeight="1" thickBot="1" x14ac:dyDescent="0.25">
      <c r="A23" s="333"/>
      <c r="B23" s="878"/>
      <c r="C23" s="235"/>
      <c r="D23" s="234"/>
      <c r="E23" s="235"/>
      <c r="F23" s="234"/>
      <c r="G23" s="235"/>
      <c r="H23" s="234"/>
      <c r="I23" s="235"/>
      <c r="J23" s="234"/>
      <c r="K23" s="235"/>
      <c r="L23" s="234"/>
      <c r="M23" s="235"/>
      <c r="N23" s="234"/>
      <c r="O23" s="235"/>
      <c r="P23" s="234"/>
      <c r="Q23" s="235"/>
      <c r="R23" s="234"/>
      <c r="S23" s="235"/>
      <c r="T23" s="234"/>
      <c r="U23" s="235"/>
    </row>
    <row r="24" spans="1:21" ht="15.75" customHeight="1" thickBot="1" x14ac:dyDescent="0.25">
      <c r="A24" s="1321"/>
      <c r="B24" s="1322"/>
      <c r="C24" s="1322"/>
      <c r="D24" s="1322"/>
      <c r="E24" s="1322"/>
      <c r="F24" s="1322"/>
      <c r="G24" s="1322"/>
      <c r="H24" s="1322"/>
      <c r="I24" s="1322"/>
      <c r="J24" s="1322"/>
      <c r="K24" s="1322"/>
      <c r="L24" s="1322"/>
      <c r="M24" s="1322"/>
      <c r="N24" s="1322"/>
      <c r="O24" s="1322"/>
      <c r="P24" s="1322"/>
      <c r="Q24" s="1322"/>
      <c r="R24" s="1322"/>
      <c r="S24" s="1322"/>
      <c r="T24" s="1322"/>
      <c r="U24" s="1323"/>
    </row>
    <row r="25" spans="1:21" ht="18.75" customHeight="1" thickBot="1" x14ac:dyDescent="0.3">
      <c r="A25" s="238" t="s">
        <v>329</v>
      </c>
      <c r="B25" s="239">
        <f>SUM(B21:B22)*days_yr</f>
        <v>0</v>
      </c>
      <c r="C25" s="240"/>
      <c r="D25" s="239">
        <f>SUM(D21:D22)*days_yr</f>
        <v>0</v>
      </c>
      <c r="E25" s="158"/>
      <c r="F25" s="239">
        <f>SUM(F21:F22)*days_yr</f>
        <v>0</v>
      </c>
      <c r="G25" s="158"/>
      <c r="H25" s="239">
        <f>SUM(H21:H22)*days_yr</f>
        <v>0</v>
      </c>
      <c r="I25" s="158"/>
      <c r="J25" s="239">
        <f>SUM(J21:J22)*days_yr</f>
        <v>0</v>
      </c>
      <c r="K25" s="158"/>
      <c r="L25" s="239">
        <f>SUM(L21:L22)*days_yr</f>
        <v>0</v>
      </c>
      <c r="M25" s="158"/>
      <c r="N25" s="239">
        <f>SUM(N21:N22)*days_yr</f>
        <v>0</v>
      </c>
      <c r="O25" s="158"/>
      <c r="P25" s="239">
        <f>SUM(P21:P22)*days_yr</f>
        <v>0</v>
      </c>
      <c r="Q25" s="158"/>
      <c r="R25" s="239">
        <f>SUM(R21:R22)*days_yr</f>
        <v>0</v>
      </c>
      <c r="S25" s="158"/>
      <c r="T25" s="239">
        <f>SUM(T21:T22)*days_yr</f>
        <v>0</v>
      </c>
      <c r="U25" s="160"/>
    </row>
    <row r="26" spans="1:21" s="105" customFormat="1" ht="15.75" customHeight="1" x14ac:dyDescent="0.25">
      <c r="A26" s="241" t="s">
        <v>228</v>
      </c>
      <c r="B26" s="242">
        <f>B21*days_yr</f>
        <v>0</v>
      </c>
      <c r="D26" s="242">
        <f>D21*days_yr</f>
        <v>0</v>
      </c>
      <c r="F26" s="242">
        <f>F21*days_yr</f>
        <v>0</v>
      </c>
      <c r="H26" s="242">
        <f>H21*days_yr</f>
        <v>0</v>
      </c>
      <c r="J26" s="242">
        <f>J21*days_yr</f>
        <v>0</v>
      </c>
      <c r="L26" s="242">
        <f>L21*days_yr</f>
        <v>0</v>
      </c>
      <c r="N26" s="242">
        <f>N21*days_yr</f>
        <v>0</v>
      </c>
      <c r="P26" s="242">
        <f>P21*days_yr</f>
        <v>0</v>
      </c>
      <c r="R26" s="242">
        <f>R21*days_yr</f>
        <v>0</v>
      </c>
      <c r="T26" s="242">
        <f>T21*days_yr</f>
        <v>0</v>
      </c>
      <c r="U26" s="163"/>
    </row>
    <row r="27" spans="1:21" ht="15.75" customHeight="1" x14ac:dyDescent="0.25">
      <c r="A27" s="218" t="s">
        <v>229</v>
      </c>
      <c r="B27" s="219">
        <f>B22*days_yr</f>
        <v>0</v>
      </c>
      <c r="D27" s="219">
        <f>D22*days_yr</f>
        <v>0</v>
      </c>
      <c r="F27" s="219">
        <f>F22*days_yr</f>
        <v>0</v>
      </c>
      <c r="H27" s="219">
        <f>H22*days_yr</f>
        <v>0</v>
      </c>
      <c r="J27" s="219">
        <f>J22*days_yr</f>
        <v>0</v>
      </c>
      <c r="L27" s="219">
        <f>L22*days_yr</f>
        <v>0</v>
      </c>
      <c r="N27" s="219">
        <f>N22*days_yr</f>
        <v>0</v>
      </c>
      <c r="P27" s="219">
        <f>P22*days_yr</f>
        <v>0</v>
      </c>
      <c r="R27" s="219">
        <f>R22*days_yr</f>
        <v>0</v>
      </c>
      <c r="T27" s="219">
        <f>T22*days_yr</f>
        <v>0</v>
      </c>
      <c r="U27" s="167"/>
    </row>
    <row r="28" spans="1:21" s="105" customFormat="1" ht="15.75" customHeight="1" x14ac:dyDescent="0.25">
      <c r="A28" s="215" t="s">
        <v>207</v>
      </c>
      <c r="B28" s="216">
        <f>B26+B27</f>
        <v>0</v>
      </c>
      <c r="D28" s="216">
        <f>D26+D27</f>
        <v>0</v>
      </c>
      <c r="F28" s="216">
        <f>F26+F27</f>
        <v>0</v>
      </c>
      <c r="H28" s="216">
        <f>H26+H27</f>
        <v>0</v>
      </c>
      <c r="J28" s="216">
        <f>J26+J27</f>
        <v>0</v>
      </c>
      <c r="L28" s="216">
        <f>L26+L27</f>
        <v>0</v>
      </c>
      <c r="N28" s="216">
        <f>N26+N27</f>
        <v>0</v>
      </c>
      <c r="P28" s="216">
        <f>P26+P27</f>
        <v>0</v>
      </c>
      <c r="R28" s="216">
        <f>R26+R27</f>
        <v>0</v>
      </c>
      <c r="T28" s="216">
        <f>T26+T27</f>
        <v>0</v>
      </c>
      <c r="U28" s="163"/>
    </row>
    <row r="29" spans="1:21" ht="15.75" customHeight="1" x14ac:dyDescent="0.25">
      <c r="A29" s="218" t="s">
        <v>230</v>
      </c>
      <c r="B29" s="219">
        <v>0</v>
      </c>
      <c r="D29" s="219">
        <v>0</v>
      </c>
      <c r="F29" s="219">
        <v>0</v>
      </c>
      <c r="H29" s="219">
        <v>0</v>
      </c>
      <c r="J29" s="219">
        <v>0</v>
      </c>
      <c r="L29" s="219">
        <v>0</v>
      </c>
      <c r="N29" s="219">
        <v>0</v>
      </c>
      <c r="P29" s="219">
        <v>0</v>
      </c>
      <c r="R29" s="219">
        <v>0</v>
      </c>
      <c r="T29" s="219">
        <v>0</v>
      </c>
      <c r="U29" s="167"/>
    </row>
    <row r="30" spans="1:21" s="105" customFormat="1" ht="15.75" customHeight="1" thickBot="1" x14ac:dyDescent="0.3">
      <c r="A30" s="153" t="s">
        <v>232</v>
      </c>
      <c r="B30" s="221" t="s">
        <v>102</v>
      </c>
      <c r="C30" s="171"/>
      <c r="D30" s="221" t="s">
        <v>102</v>
      </c>
      <c r="E30" s="171"/>
      <c r="F30" s="221" t="s">
        <v>102</v>
      </c>
      <c r="G30" s="171"/>
      <c r="H30" s="221" t="s">
        <v>102</v>
      </c>
      <c r="I30" s="171"/>
      <c r="J30" s="221" t="s">
        <v>102</v>
      </c>
      <c r="K30" s="171"/>
      <c r="L30" s="221" t="s">
        <v>102</v>
      </c>
      <c r="M30" s="171"/>
      <c r="N30" s="221" t="s">
        <v>102</v>
      </c>
      <c r="O30" s="171"/>
      <c r="P30" s="221" t="s">
        <v>102</v>
      </c>
      <c r="Q30" s="171"/>
      <c r="R30" s="221" t="s">
        <v>102</v>
      </c>
      <c r="S30" s="171"/>
      <c r="T30" s="221" t="s">
        <v>102</v>
      </c>
      <c r="U30" s="173"/>
    </row>
    <row r="31" spans="1:21" x14ac:dyDescent="0.2">
      <c r="A31" s="105"/>
      <c r="B31" s="105"/>
      <c r="C31" s="105"/>
    </row>
    <row r="32" spans="1:21" ht="18" x14ac:dyDescent="0.25">
      <c r="A32" s="176" t="s">
        <v>97</v>
      </c>
      <c r="B32" s="155"/>
      <c r="C32" s="105"/>
    </row>
    <row r="33" spans="1:5" ht="54.75" customHeight="1" x14ac:dyDescent="0.25">
      <c r="A33" s="1297" t="s">
        <v>106</v>
      </c>
      <c r="B33" s="1320"/>
      <c r="C33" s="1320"/>
      <c r="D33"/>
    </row>
    <row r="34" spans="1:5" ht="15" x14ac:dyDescent="0.2">
      <c r="B34" s="1234" t="s">
        <v>110</v>
      </c>
      <c r="C34" s="1235"/>
      <c r="D34" s="1235"/>
      <c r="E34" s="1236"/>
    </row>
    <row r="35" spans="1:5" x14ac:dyDescent="0.2">
      <c r="B35" s="1231" t="s">
        <v>31</v>
      </c>
      <c r="C35" s="1232"/>
      <c r="D35" s="1233"/>
      <c r="E35" s="563">
        <v>0</v>
      </c>
    </row>
    <row r="36" spans="1:5" x14ac:dyDescent="0.2">
      <c r="B36" s="1231" t="s">
        <v>32</v>
      </c>
      <c r="C36" s="1232"/>
      <c r="D36" s="1233"/>
      <c r="E36" s="564">
        <v>0</v>
      </c>
    </row>
    <row r="37" spans="1:5" x14ac:dyDescent="0.2">
      <c r="B37" s="1231" t="s">
        <v>615</v>
      </c>
      <c r="C37" s="1232"/>
      <c r="D37" s="1233"/>
      <c r="E37" s="565">
        <v>0</v>
      </c>
    </row>
    <row r="38" spans="1:5" ht="15" x14ac:dyDescent="0.25">
      <c r="B38" s="1231" t="s">
        <v>70</v>
      </c>
      <c r="C38" s="1232"/>
      <c r="D38" s="1233"/>
      <c r="E38" s="566">
        <v>0</v>
      </c>
    </row>
    <row r="39" spans="1:5" x14ac:dyDescent="0.2">
      <c r="B39" s="1231" t="s">
        <v>550</v>
      </c>
      <c r="C39" s="1232"/>
      <c r="D39" s="1233"/>
      <c r="E39" s="567">
        <v>0</v>
      </c>
    </row>
    <row r="40" spans="1:5" x14ac:dyDescent="0.2">
      <c r="B40" s="1231" t="s">
        <v>610</v>
      </c>
      <c r="C40" s="1232"/>
      <c r="D40" s="1233"/>
      <c r="E40" s="227">
        <v>0</v>
      </c>
    </row>
  </sheetData>
  <sheetProtection algorithmName="SHA-512" hashValue="rpk5EFU0ouXhPg6J/6M/Gs8do9M8+SlQHprtFfKXXrbpTjRHn3RneLAdzTNiWk4uN78r33Jf5/fauZfhH/MHvg==" saltValue="SWS2Uta5jiWG+XbTSoTR4g==" spinCount="100000" sheet="1" objects="1" scenarios="1"/>
  <mergeCells count="33">
    <mergeCell ref="A13:U13"/>
    <mergeCell ref="A5:U5"/>
    <mergeCell ref="P2:Q2"/>
    <mergeCell ref="R2:S2"/>
    <mergeCell ref="T2:U2"/>
    <mergeCell ref="L3:M3"/>
    <mergeCell ref="A2:A3"/>
    <mergeCell ref="P3:Q3"/>
    <mergeCell ref="R3:S3"/>
    <mergeCell ref="T3:U3"/>
    <mergeCell ref="A33:C33"/>
    <mergeCell ref="B2:C2"/>
    <mergeCell ref="A24:U24"/>
    <mergeCell ref="N3:O3"/>
    <mergeCell ref="D2:E2"/>
    <mergeCell ref="F2:G2"/>
    <mergeCell ref="H2:I2"/>
    <mergeCell ref="J2:K2"/>
    <mergeCell ref="L2:M2"/>
    <mergeCell ref="N2:O2"/>
    <mergeCell ref="B3:C3"/>
    <mergeCell ref="D3:E3"/>
    <mergeCell ref="F3:G3"/>
    <mergeCell ref="H3:I3"/>
    <mergeCell ref="J3:K3"/>
    <mergeCell ref="A18:U18"/>
    <mergeCell ref="B39:D39"/>
    <mergeCell ref="B40:D40"/>
    <mergeCell ref="B34:E34"/>
    <mergeCell ref="B35:D35"/>
    <mergeCell ref="B36:D36"/>
    <mergeCell ref="B37:D37"/>
    <mergeCell ref="B38:D38"/>
  </mergeCells>
  <phoneticPr fontId="44" type="noConversion"/>
  <pageMargins left="0.75" right="0.75" top="1" bottom="1" header="0.5" footer="0.5"/>
  <pageSetup scale="12" orientation="portrait" horizontalDpi="4294967292" verticalDpi="4294967292"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X71"/>
  <sheetViews>
    <sheetView tabSelected="1" topLeftCell="A30" zoomScaleNormal="100" workbookViewId="0">
      <selection activeCell="D22" sqref="D22"/>
    </sheetView>
  </sheetViews>
  <sheetFormatPr defaultColWidth="11.42578125" defaultRowHeight="14.25" x14ac:dyDescent="0.2"/>
  <cols>
    <col min="1" max="1" width="79.5703125" style="105" customWidth="1"/>
    <col min="2" max="2" width="16" style="105" customWidth="1"/>
    <col min="3" max="3" width="15" style="105" customWidth="1"/>
    <col min="4" max="4" width="16" style="105" customWidth="1"/>
    <col min="5" max="5" width="15" style="105" customWidth="1"/>
    <col min="6" max="6" width="16" style="105" customWidth="1"/>
    <col min="7" max="7" width="15" style="105" customWidth="1"/>
    <col min="8" max="8" width="16" style="105" customWidth="1"/>
    <col min="9" max="9" width="15" style="105" customWidth="1"/>
    <col min="10" max="10" width="16" style="105" customWidth="1"/>
    <col min="11" max="11" width="15" style="105" customWidth="1"/>
    <col min="12" max="12" width="16" style="105" customWidth="1"/>
    <col min="13" max="13" width="15" style="105" customWidth="1"/>
    <col min="14" max="14" width="16" style="105" customWidth="1"/>
    <col min="15" max="15" width="15" style="105" customWidth="1"/>
    <col min="16" max="16" width="16" style="105" customWidth="1"/>
    <col min="17" max="17" width="15" style="105" customWidth="1"/>
    <col min="18" max="18" width="16" style="105" customWidth="1"/>
    <col min="19" max="19" width="15" style="105" customWidth="1"/>
    <col min="20" max="20" width="16" style="105" customWidth="1"/>
    <col min="21" max="21" width="15" style="105" customWidth="1"/>
    <col min="22" max="16384" width="11.42578125" style="105"/>
  </cols>
  <sheetData>
    <row r="1" spans="1:21" ht="24" thickBot="1" x14ac:dyDescent="0.4">
      <c r="B1" s="243"/>
      <c r="C1" s="243"/>
      <c r="D1" s="243"/>
      <c r="E1" s="243"/>
      <c r="F1" s="243"/>
      <c r="G1" s="243"/>
      <c r="H1" s="243"/>
    </row>
    <row r="2" spans="1:21" ht="23.25" customHeight="1" x14ac:dyDescent="0.2">
      <c r="A2" s="1318" t="s">
        <v>197</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30" customFormat="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s="183" customFormat="1" ht="15.75" thickBot="1" x14ac:dyDescent="0.3">
      <c r="A5" s="1300" t="s">
        <v>63</v>
      </c>
      <c r="B5" s="1301"/>
      <c r="C5" s="1301"/>
      <c r="D5" s="1301"/>
      <c r="E5" s="1301"/>
      <c r="F5" s="1301"/>
      <c r="G5" s="1301"/>
      <c r="H5" s="1301"/>
      <c r="I5" s="1301"/>
      <c r="J5" s="1301"/>
      <c r="K5" s="1301"/>
      <c r="L5" s="1301"/>
      <c r="M5" s="1301"/>
      <c r="N5" s="1301"/>
      <c r="O5" s="1301"/>
      <c r="P5" s="1301"/>
      <c r="Q5" s="1301"/>
      <c r="R5" s="1301"/>
      <c r="S5" s="1301"/>
      <c r="T5" s="1301"/>
      <c r="U5" s="1302"/>
    </row>
    <row r="6" spans="1:21" s="183" customFormat="1" x14ac:dyDescent="0.2">
      <c r="A6" s="1039" t="s">
        <v>930</v>
      </c>
      <c r="B6" s="25">
        <f>+mass_condit_solids</f>
        <v>0</v>
      </c>
      <c r="C6" s="244"/>
      <c r="D6" s="25">
        <v>93.6</v>
      </c>
      <c r="E6" s="244"/>
      <c r="F6" s="25">
        <f>+mass_condit_solids</f>
        <v>0</v>
      </c>
      <c r="G6" s="244"/>
      <c r="H6" s="25">
        <f>+mass_condit_solids</f>
        <v>0</v>
      </c>
      <c r="I6" s="244"/>
      <c r="J6" s="25">
        <f>+mass_condit_solids</f>
        <v>0</v>
      </c>
      <c r="K6" s="244"/>
      <c r="L6" s="25">
        <f>+mass_condit_solids</f>
        <v>0</v>
      </c>
      <c r="M6" s="244"/>
      <c r="N6" s="25">
        <f>+mass_condit_solids</f>
        <v>0</v>
      </c>
      <c r="O6" s="244"/>
      <c r="P6" s="25">
        <f>+mass_condit_solids</f>
        <v>0</v>
      </c>
      <c r="Q6" s="244"/>
      <c r="R6" s="25">
        <f>+mass_condit_solids</f>
        <v>0</v>
      </c>
      <c r="S6" s="244"/>
      <c r="T6" s="25">
        <f>+mass_condit_solids</f>
        <v>0</v>
      </c>
      <c r="U6" s="244"/>
    </row>
    <row r="7" spans="1:21" s="130" customFormat="1" ht="17.25" customHeight="1" x14ac:dyDescent="0.2">
      <c r="A7" s="457" t="s">
        <v>914</v>
      </c>
      <c r="B7" s="25">
        <f>+B6</f>
        <v>0</v>
      </c>
      <c r="C7" s="244"/>
      <c r="D7" s="25">
        <f>+D6</f>
        <v>93.6</v>
      </c>
      <c r="E7" s="244"/>
      <c r="F7" s="25">
        <f>+F6</f>
        <v>0</v>
      </c>
      <c r="G7" s="244"/>
      <c r="H7" s="25">
        <f>+H6</f>
        <v>0</v>
      </c>
      <c r="I7" s="244"/>
      <c r="J7" s="25">
        <f>+J6</f>
        <v>0</v>
      </c>
      <c r="K7" s="244"/>
      <c r="L7" s="25">
        <f>+L6</f>
        <v>0</v>
      </c>
      <c r="M7" s="244"/>
      <c r="N7" s="25">
        <f>+N6</f>
        <v>0</v>
      </c>
      <c r="O7" s="244"/>
      <c r="P7" s="25">
        <f>+P6</f>
        <v>0</v>
      </c>
      <c r="Q7" s="244"/>
      <c r="R7" s="25">
        <f>+R6</f>
        <v>0</v>
      </c>
      <c r="S7" s="244"/>
      <c r="T7" s="25">
        <f>+T6</f>
        <v>0</v>
      </c>
      <c r="U7" s="244"/>
    </row>
    <row r="8" spans="1:21" s="130" customFormat="1" ht="17.25" customHeight="1" x14ac:dyDescent="0.2">
      <c r="A8" s="457" t="s">
        <v>915</v>
      </c>
      <c r="B8" s="944">
        <f>+B7*solids_after_condit</f>
        <v>0</v>
      </c>
      <c r="C8" s="244"/>
      <c r="D8" s="944">
        <f>+D7*solids_after_condit</f>
        <v>6.7391999999999994</v>
      </c>
      <c r="E8" s="244"/>
      <c r="F8" s="944">
        <f>+F7*solids_after_condit</f>
        <v>0</v>
      </c>
      <c r="G8" s="244"/>
      <c r="H8" s="944">
        <f>+H7*solids_after_condit</f>
        <v>0</v>
      </c>
      <c r="I8" s="244"/>
      <c r="J8" s="944">
        <f>+J7*solids_after_condit</f>
        <v>0</v>
      </c>
      <c r="K8" s="244"/>
      <c r="L8" s="944">
        <f>+L7*solids_after_condit</f>
        <v>0</v>
      </c>
      <c r="M8" s="244"/>
      <c r="N8" s="944">
        <f>+N7*solids_after_condit</f>
        <v>0</v>
      </c>
      <c r="O8" s="244"/>
      <c r="P8" s="944">
        <f>+P7*solids_after_condit</f>
        <v>0</v>
      </c>
      <c r="Q8" s="244"/>
      <c r="R8" s="944">
        <f>+R7*solids_after_condit</f>
        <v>0</v>
      </c>
      <c r="S8" s="244"/>
      <c r="T8" s="944">
        <f>+T7*solids_after_condit</f>
        <v>0</v>
      </c>
      <c r="U8" s="244"/>
    </row>
    <row r="9" spans="1:21" s="130" customFormat="1" ht="17.25" customHeight="1" x14ac:dyDescent="0.2">
      <c r="A9" s="1024" t="s">
        <v>666</v>
      </c>
      <c r="B9" s="945">
        <f>+AD_VS_in</f>
        <v>0.94386666666666685</v>
      </c>
      <c r="C9" s="244"/>
      <c r="D9" s="945">
        <f>+AD_VS_in</f>
        <v>0.94386666666666685</v>
      </c>
      <c r="E9" s="244"/>
      <c r="F9" s="945">
        <f>+AD_VS_in</f>
        <v>0.94386666666666685</v>
      </c>
      <c r="G9" s="244"/>
      <c r="H9" s="945">
        <f>+AD_VS_in</f>
        <v>0.94386666666666685</v>
      </c>
      <c r="I9" s="244"/>
      <c r="J9" s="945">
        <f>+AD_VS_in</f>
        <v>0.94386666666666685</v>
      </c>
      <c r="K9" s="244"/>
      <c r="L9" s="945">
        <f>+AD_VS_in</f>
        <v>0.94386666666666685</v>
      </c>
      <c r="M9" s="244"/>
      <c r="N9" s="945">
        <f>+AD_VS_in</f>
        <v>0.94386666666666685</v>
      </c>
      <c r="O9" s="244"/>
      <c r="P9" s="945">
        <f>+AD_VS_in</f>
        <v>0.94386666666666685</v>
      </c>
      <c r="Q9" s="244"/>
      <c r="R9" s="945">
        <f>+AD_VS_in</f>
        <v>0.94386666666666685</v>
      </c>
      <c r="S9" s="244"/>
      <c r="T9" s="945">
        <f>+AD_VS_in</f>
        <v>0.94386666666666685</v>
      </c>
      <c r="U9" s="244"/>
    </row>
    <row r="10" spans="1:21" s="183" customFormat="1" ht="17.25" customHeight="1" x14ac:dyDescent="0.2">
      <c r="A10" s="1025" t="s">
        <v>723</v>
      </c>
      <c r="B10" s="944">
        <f>+B8*B9</f>
        <v>0</v>
      </c>
      <c r="C10" s="588"/>
      <c r="D10" s="944">
        <f>+D8*D9</f>
        <v>6.3609062400000003</v>
      </c>
      <c r="E10" s="588"/>
      <c r="F10" s="944">
        <f>+F8*F9</f>
        <v>0</v>
      </c>
      <c r="G10" s="588"/>
      <c r="H10" s="944">
        <f>+H8*H9</f>
        <v>0</v>
      </c>
      <c r="I10" s="588"/>
      <c r="J10" s="944">
        <f>+J8*J9</f>
        <v>0</v>
      </c>
      <c r="K10" s="588"/>
      <c r="L10" s="944">
        <f>+L8*L9</f>
        <v>0</v>
      </c>
      <c r="M10" s="588"/>
      <c r="N10" s="944">
        <f>+N8*N9</f>
        <v>0</v>
      </c>
      <c r="O10" s="588"/>
      <c r="P10" s="944">
        <f>+P8*P9</f>
        <v>0</v>
      </c>
      <c r="Q10" s="588"/>
      <c r="R10" s="944">
        <f>+R8*R9</f>
        <v>0</v>
      </c>
      <c r="S10" s="588"/>
      <c r="T10" s="944">
        <f>+T8*T9</f>
        <v>0</v>
      </c>
      <c r="U10" s="588"/>
    </row>
    <row r="11" spans="1:21" s="183" customFormat="1" ht="17.25" customHeight="1" x14ac:dyDescent="0.2">
      <c r="A11" s="1026" t="s">
        <v>743</v>
      </c>
      <c r="B11" s="960">
        <f>+SRT_AD</f>
        <v>15</v>
      </c>
      <c r="C11" s="248">
        <f>+Default_SRT_anaerobic</f>
        <v>22</v>
      </c>
      <c r="D11" s="960">
        <f>+SRT_AD</f>
        <v>15</v>
      </c>
      <c r="E11" s="248">
        <f>+Default_SRT_anaerobic</f>
        <v>22</v>
      </c>
      <c r="F11" s="960">
        <f>+SRT_AD</f>
        <v>15</v>
      </c>
      <c r="G11" s="248">
        <f>+Default_SRT_anaerobic</f>
        <v>22</v>
      </c>
      <c r="H11" s="960">
        <f>+SRT_AD</f>
        <v>15</v>
      </c>
      <c r="I11" s="248">
        <f>+Default_SRT_anaerobic</f>
        <v>22</v>
      </c>
      <c r="J11" s="960">
        <f>+SRT_AD</f>
        <v>15</v>
      </c>
      <c r="K11" s="248">
        <f>+Default_SRT_anaerobic</f>
        <v>22</v>
      </c>
      <c r="L11" s="960">
        <f>+SRT_AD</f>
        <v>15</v>
      </c>
      <c r="M11" s="248">
        <f>+Default_SRT_anaerobic</f>
        <v>22</v>
      </c>
      <c r="N11" s="960">
        <f>+SRT_AD</f>
        <v>15</v>
      </c>
      <c r="O11" s="248">
        <f>+Default_SRT_anaerobic</f>
        <v>22</v>
      </c>
      <c r="P11" s="960">
        <f>+SRT_AD</f>
        <v>15</v>
      </c>
      <c r="Q11" s="248">
        <f>+Default_SRT_anaerobic</f>
        <v>22</v>
      </c>
      <c r="R11" s="960">
        <f>+SRT_AD</f>
        <v>15</v>
      </c>
      <c r="S11" s="248">
        <f>+Default_SRT_anaerobic</f>
        <v>22</v>
      </c>
      <c r="T11" s="960">
        <f>+SRT_AD</f>
        <v>15</v>
      </c>
      <c r="U11" s="248">
        <f>+Default_SRT_anaerobic</f>
        <v>22</v>
      </c>
    </row>
    <row r="12" spans="1:21" s="226" customFormat="1" ht="15" thickBot="1" x14ac:dyDescent="0.25">
      <c r="A12" s="333"/>
      <c r="B12" s="878"/>
      <c r="C12" s="235"/>
      <c r="D12" s="234"/>
      <c r="E12" s="235"/>
      <c r="F12" s="234"/>
      <c r="G12" s="235"/>
      <c r="H12" s="234"/>
      <c r="I12" s="235"/>
      <c r="J12" s="234"/>
      <c r="K12" s="235"/>
      <c r="L12" s="234"/>
      <c r="M12" s="235"/>
      <c r="N12" s="234"/>
      <c r="O12" s="235"/>
      <c r="P12" s="234"/>
      <c r="Q12" s="235"/>
      <c r="R12" s="234"/>
      <c r="S12" s="235"/>
      <c r="T12" s="234"/>
      <c r="U12" s="235"/>
    </row>
    <row r="13" spans="1:21" s="183" customFormat="1" ht="15.75" thickBot="1" x14ac:dyDescent="0.3">
      <c r="A13" s="1300" t="s">
        <v>64</v>
      </c>
      <c r="B13" s="1301"/>
      <c r="C13" s="1301"/>
      <c r="D13" s="1301"/>
      <c r="E13" s="1301"/>
      <c r="F13" s="1301"/>
      <c r="G13" s="1301"/>
      <c r="H13" s="1301"/>
      <c r="I13" s="1301"/>
      <c r="J13" s="1301"/>
      <c r="K13" s="1301"/>
      <c r="L13" s="1301"/>
      <c r="M13" s="1301"/>
      <c r="N13" s="1301"/>
      <c r="O13" s="1301"/>
      <c r="P13" s="1301"/>
      <c r="Q13" s="1301"/>
      <c r="R13" s="1301"/>
      <c r="S13" s="1301"/>
      <c r="T13" s="1301"/>
      <c r="U13" s="1302"/>
    </row>
    <row r="14" spans="1:21" s="183" customFormat="1" x14ac:dyDescent="0.2">
      <c r="A14" s="451" t="s">
        <v>907</v>
      </c>
      <c r="B14" s="14"/>
      <c r="C14" s="248">
        <f>+IFERROR(B6*(1-AD_volume_reduct),"N/A")</f>
        <v>0</v>
      </c>
      <c r="D14" s="14">
        <f>E14</f>
        <v>93.6</v>
      </c>
      <c r="E14" s="248">
        <f>+IFERROR(D6*(1-AD_volume_reduct),"N/A")</f>
        <v>93.6</v>
      </c>
      <c r="F14" s="14"/>
      <c r="G14" s="248">
        <f>+IFERROR(F6*(1-AD_volume_reduct),"N/A")</f>
        <v>0</v>
      </c>
      <c r="H14" s="14"/>
      <c r="I14" s="248">
        <f>+IFERROR(H6*(1-AD_volume_reduct),"N/A")</f>
        <v>0</v>
      </c>
      <c r="J14" s="14"/>
      <c r="K14" s="248">
        <f>+IFERROR(J6*(1-AD_volume_reduct),"N/A")</f>
        <v>0</v>
      </c>
      <c r="L14" s="14"/>
      <c r="M14" s="248">
        <f>+IFERROR(L6*(1-AD_volume_reduct),"N/A")</f>
        <v>0</v>
      </c>
      <c r="N14" s="14"/>
      <c r="O14" s="248">
        <f>+IFERROR(N6*(1-AD_volume_reduct),"N/A")</f>
        <v>0</v>
      </c>
      <c r="P14" s="14"/>
      <c r="Q14" s="248">
        <f>+IFERROR(P6*(1-AD_volume_reduct),"N/A")</f>
        <v>0</v>
      </c>
      <c r="R14" s="14"/>
      <c r="S14" s="248">
        <f>+IFERROR(R6*(1-AD_volume_reduct),"N/A")</f>
        <v>0</v>
      </c>
      <c r="T14" s="14"/>
      <c r="U14" s="248">
        <f>+IFERROR(T6*(1-AD_volume_reduct),"N/A")</f>
        <v>0</v>
      </c>
    </row>
    <row r="15" spans="1:21" s="130" customFormat="1" x14ac:dyDescent="0.2">
      <c r="A15" s="245" t="s">
        <v>285</v>
      </c>
      <c r="B15" s="945">
        <f>+AD_VSR</f>
        <v>0.8</v>
      </c>
      <c r="C15" s="473"/>
      <c r="D15" s="945">
        <f>+AD_VSR</f>
        <v>0.8</v>
      </c>
      <c r="E15" s="473"/>
      <c r="F15" s="945">
        <f>+AD_VSR</f>
        <v>0.8</v>
      </c>
      <c r="G15" s="473"/>
      <c r="H15" s="945">
        <f>+AD_VSR</f>
        <v>0.8</v>
      </c>
      <c r="I15" s="473"/>
      <c r="J15" s="945">
        <f>+AD_VSR</f>
        <v>0.8</v>
      </c>
      <c r="K15" s="473"/>
      <c r="L15" s="945">
        <f>+AD_VSR</f>
        <v>0.8</v>
      </c>
      <c r="M15" s="473"/>
      <c r="N15" s="945">
        <f>+AD_VSR</f>
        <v>0.8</v>
      </c>
      <c r="O15" s="473"/>
      <c r="P15" s="945">
        <f>+AD_VSR</f>
        <v>0.8</v>
      </c>
      <c r="Q15" s="473"/>
      <c r="R15" s="945">
        <f>+AD_VSR</f>
        <v>0.8</v>
      </c>
      <c r="S15" s="473"/>
      <c r="T15" s="945">
        <f>+AD_VSR</f>
        <v>0.8</v>
      </c>
      <c r="U15" s="473"/>
    </row>
    <row r="16" spans="1:21" s="130" customFormat="1" x14ac:dyDescent="0.2">
      <c r="A16" s="245" t="s">
        <v>287</v>
      </c>
      <c r="B16" s="946">
        <f>IFERROR(B10*B15*Mg_kg,"N/A")</f>
        <v>0</v>
      </c>
      <c r="C16" s="473"/>
      <c r="D16" s="946">
        <f>IFERROR(D10*D15*Mg_kg,"N/A")</f>
        <v>5088.7249920000004</v>
      </c>
      <c r="E16" s="473"/>
      <c r="F16" s="946">
        <f>IFERROR(F10*F15*Mg_kg,"N/A")</f>
        <v>0</v>
      </c>
      <c r="G16" s="473"/>
      <c r="H16" s="946">
        <f>IFERROR(H10*H15*Mg_kg,"N/A")</f>
        <v>0</v>
      </c>
      <c r="I16" s="473"/>
      <c r="J16" s="946">
        <f>IFERROR(J10*J15*Mg_kg,"N/A")</f>
        <v>0</v>
      </c>
      <c r="K16" s="473"/>
      <c r="L16" s="946">
        <f>IFERROR(L10*L15*Mg_kg,"N/A")</f>
        <v>0</v>
      </c>
      <c r="M16" s="473"/>
      <c r="N16" s="946">
        <f>IFERROR(N10*N15*Mg_kg,"N/A")</f>
        <v>0</v>
      </c>
      <c r="O16" s="473"/>
      <c r="P16" s="946">
        <f>IFERROR(P10*P15*Mg_kg,"N/A")</f>
        <v>0</v>
      </c>
      <c r="Q16" s="473"/>
      <c r="R16" s="946">
        <f>IFERROR(R10*R15*Mg_kg,"N/A")</f>
        <v>0</v>
      </c>
      <c r="S16" s="473"/>
      <c r="T16" s="946">
        <f>IFERROR(T10*T15*Mg_kg,"N/A")</f>
        <v>0</v>
      </c>
      <c r="U16" s="473"/>
    </row>
    <row r="17" spans="1:21" s="130" customFormat="1" x14ac:dyDescent="0.2">
      <c r="A17" s="245" t="s">
        <v>848</v>
      </c>
      <c r="B17" s="947">
        <f>IFERROR(B8-(B16/Mg_kg),"N/A")</f>
        <v>0</v>
      </c>
      <c r="C17" s="948"/>
      <c r="D17" s="947">
        <f>IFERROR(D8-(D16/Mg_kg),"N/A")</f>
        <v>1.650475007999999</v>
      </c>
      <c r="E17" s="948"/>
      <c r="F17" s="947">
        <f>IFERROR(F8-(F16/Mg_kg),"N/A")</f>
        <v>0</v>
      </c>
      <c r="G17" s="948"/>
      <c r="H17" s="947">
        <f>IFERROR(H8-(H16/Mg_kg),"N/A")</f>
        <v>0</v>
      </c>
      <c r="I17" s="948"/>
      <c r="J17" s="947">
        <f>IFERROR(J8-(J16/Mg_kg),"N/A")</f>
        <v>0</v>
      </c>
      <c r="K17" s="948"/>
      <c r="L17" s="947">
        <f>IFERROR(L8-(L16/Mg_kg),"N/A")</f>
        <v>0</v>
      </c>
      <c r="M17" s="948"/>
      <c r="N17" s="947">
        <f>IFERROR(N8-(N16/Mg_kg),"N/A")</f>
        <v>0</v>
      </c>
      <c r="O17" s="948"/>
      <c r="P17" s="947">
        <f>IFERROR(P8-(P16/Mg_kg),"N/A")</f>
        <v>0</v>
      </c>
      <c r="Q17" s="948"/>
      <c r="R17" s="947">
        <f>IFERROR(R8-(R16/Mg_kg),"N/A")</f>
        <v>0</v>
      </c>
      <c r="S17" s="948"/>
      <c r="T17" s="947">
        <f>IFERROR(T8-(T16/Mg_kg),"N/A")</f>
        <v>0</v>
      </c>
      <c r="U17" s="948"/>
    </row>
    <row r="18" spans="1:21" s="130" customFormat="1" x14ac:dyDescent="0.2">
      <c r="A18" s="1081" t="s">
        <v>849</v>
      </c>
      <c r="B18" s="482" t="str">
        <f>IFERROR((B10-(B16/Mg_kg))/(B8-(B16/Mg_kg)),"N/A")</f>
        <v>N/A</v>
      </c>
      <c r="C18" s="948"/>
      <c r="D18" s="482">
        <f>IFERROR((D10-(D16/Mg_kg))/(D8-(D16/Mg_kg)),"N/A")</f>
        <v>0.77079703832752655</v>
      </c>
      <c r="E18" s="948"/>
      <c r="F18" s="482" t="str">
        <f>IFERROR((F10-(F16/Mg_kg))/(F8-(F16/Mg_kg)),"N/A")</f>
        <v>N/A</v>
      </c>
      <c r="G18" s="948"/>
      <c r="H18" s="482" t="str">
        <f>IFERROR((H10-(H16/Mg_kg))/(H8-(H16/Mg_kg)),"N/A")</f>
        <v>N/A</v>
      </c>
      <c r="I18" s="948"/>
      <c r="J18" s="482" t="str">
        <f>IFERROR((J10-(J16/Mg_kg))/(J8-(J16/Mg_kg)),"N/A")</f>
        <v>N/A</v>
      </c>
      <c r="K18" s="948"/>
      <c r="L18" s="482" t="str">
        <f>IFERROR((L10-(L16/Mg_kg))/(L8-(L16/Mg_kg)),"N/A")</f>
        <v>N/A</v>
      </c>
      <c r="M18" s="948"/>
      <c r="N18" s="482" t="str">
        <f>IFERROR((N10-(N16/Mg_kg))/(N8-(N16/Mg_kg)),"N/A")</f>
        <v>N/A</v>
      </c>
      <c r="O18" s="948"/>
      <c r="P18" s="482" t="str">
        <f>IFERROR((P10-(P16/Mg_kg))/(P8-(P16/Mg_kg)),"N/A")</f>
        <v>N/A</v>
      </c>
      <c r="Q18" s="948"/>
      <c r="R18" s="482" t="str">
        <f>IFERROR((R10-(R16/Mg_kg))/(R8-(R16/Mg_kg)),"N/A")</f>
        <v>N/A</v>
      </c>
      <c r="S18" s="948"/>
      <c r="T18" s="482" t="str">
        <f>IFERROR((T10-(T16/Mg_kg))/(T8-(T16/Mg_kg)),"N/A")</f>
        <v>N/A</v>
      </c>
      <c r="U18" s="948"/>
    </row>
    <row r="19" spans="1:21" s="130" customFormat="1" ht="15" thickBot="1" x14ac:dyDescent="0.25">
      <c r="A19" s="333"/>
      <c r="B19" s="878"/>
      <c r="C19" s="235"/>
      <c r="D19" s="234"/>
      <c r="E19" s="235"/>
      <c r="F19" s="234"/>
      <c r="G19" s="235"/>
      <c r="H19" s="234"/>
      <c r="I19" s="235"/>
      <c r="J19" s="234"/>
      <c r="K19" s="235"/>
      <c r="L19" s="234"/>
      <c r="M19" s="235"/>
      <c r="N19" s="234"/>
      <c r="O19" s="235"/>
      <c r="P19" s="234"/>
      <c r="Q19" s="235"/>
      <c r="R19" s="234"/>
      <c r="S19" s="235"/>
      <c r="T19" s="234"/>
      <c r="U19" s="235"/>
    </row>
    <row r="20" spans="1:21" s="183" customFormat="1" ht="15.75" thickBot="1" x14ac:dyDescent="0.3">
      <c r="A20" s="1300" t="s">
        <v>153</v>
      </c>
      <c r="B20" s="1301"/>
      <c r="C20" s="1301"/>
      <c r="D20" s="1301"/>
      <c r="E20" s="1301"/>
      <c r="F20" s="1301"/>
      <c r="G20" s="1301"/>
      <c r="H20" s="1301"/>
      <c r="I20" s="1301"/>
      <c r="J20" s="1301"/>
      <c r="K20" s="1301"/>
      <c r="L20" s="1301"/>
      <c r="M20" s="1301"/>
      <c r="N20" s="1301"/>
      <c r="O20" s="1301"/>
      <c r="P20" s="1301"/>
      <c r="Q20" s="1301"/>
      <c r="R20" s="1301"/>
      <c r="S20" s="1301"/>
      <c r="T20" s="1301"/>
      <c r="U20" s="1302"/>
    </row>
    <row r="21" spans="1:21" s="183" customFormat="1" ht="15.6" customHeight="1" x14ac:dyDescent="0.2">
      <c r="A21" s="451" t="s">
        <v>68</v>
      </c>
      <c r="B21" s="14"/>
      <c r="C21" s="248">
        <f>IFERROR(B16*Biogas_yield_from_VS_destroyed,"N/A")</f>
        <v>0</v>
      </c>
      <c r="D21" s="14">
        <f>E21</f>
        <v>4579.8524928000006</v>
      </c>
      <c r="E21" s="248">
        <f>IFERROR(D16*Biogas_yield_from_VS_destroyed,"N/A")</f>
        <v>4579.8524928000006</v>
      </c>
      <c r="F21" s="14"/>
      <c r="G21" s="248">
        <f>IFERROR(F16*Biogas_yield_from_VS_destroyed,"N/A")</f>
        <v>0</v>
      </c>
      <c r="H21" s="14"/>
      <c r="I21" s="248">
        <f>IFERROR(H16*Biogas_yield_from_VS_destroyed,"N/A")</f>
        <v>0</v>
      </c>
      <c r="J21" s="14"/>
      <c r="K21" s="248">
        <f>IFERROR(J16*Biogas_yield_from_VS_destroyed,"N/A")</f>
        <v>0</v>
      </c>
      <c r="L21" s="14"/>
      <c r="M21" s="248">
        <f>+L16*Biogas_yield_from_VS_destroyed</f>
        <v>0</v>
      </c>
      <c r="N21" s="14"/>
      <c r="O21" s="248">
        <f>IFERROR(N16*Biogas_yield_from_VS_destroyed,"N/A")</f>
        <v>0</v>
      </c>
      <c r="P21" s="14"/>
      <c r="Q21" s="248">
        <f>IFERROR(P16*Biogas_yield_from_VS_destroyed,"N/A")</f>
        <v>0</v>
      </c>
      <c r="R21" s="14"/>
      <c r="S21" s="248">
        <f>IFERROR(R16*Biogas_yield_from_VS_destroyed,"N/A")</f>
        <v>0</v>
      </c>
      <c r="T21" s="14"/>
      <c r="U21" s="248">
        <f>IFERROR(T16*Biogas_yield_from_VS_destroyed,"N/A")</f>
        <v>0</v>
      </c>
    </row>
    <row r="22" spans="1:21" s="183" customFormat="1" ht="16.5" x14ac:dyDescent="0.2">
      <c r="A22" s="245" t="s">
        <v>69</v>
      </c>
      <c r="B22" s="14"/>
      <c r="C22" s="198">
        <f>IFERROR(B21*Methane_in_anaerobic_digester_gas_Monteith,"N/A")</f>
        <v>0</v>
      </c>
      <c r="D22" s="14">
        <f>E22</f>
        <v>2976.9041203200004</v>
      </c>
      <c r="E22" s="198">
        <f>IFERROR(D21*Methane_in_anaerobic_digester_gas_Monteith,"N/A")</f>
        <v>2976.9041203200004</v>
      </c>
      <c r="F22" s="14"/>
      <c r="G22" s="198">
        <f>IFERROR(F21*Methane_in_anaerobic_digester_gas_Monteith,"N/A")</f>
        <v>0</v>
      </c>
      <c r="H22" s="14"/>
      <c r="I22" s="198">
        <f>IFERROR(H21*Methane_in_anaerobic_digester_gas_Monteith,"N/A")</f>
        <v>0</v>
      </c>
      <c r="J22" s="14"/>
      <c r="K22" s="198">
        <f>IFERROR(J21*Methane_in_anaerobic_digester_gas_Monteith,"N/A")</f>
        <v>0</v>
      </c>
      <c r="L22" s="14"/>
      <c r="M22" s="198">
        <f>IFERROR(L21*Methane_in_anaerobic_digester_gas_Monteith,"N/A")</f>
        <v>0</v>
      </c>
      <c r="N22" s="14"/>
      <c r="O22" s="198">
        <f>IFERROR(N21*Methane_in_anaerobic_digester_gas_Monteith,"N/A")</f>
        <v>0</v>
      </c>
      <c r="P22" s="14"/>
      <c r="Q22" s="198">
        <f>IFERROR(P21*Methane_in_anaerobic_digester_gas_Monteith,"N/A")</f>
        <v>0</v>
      </c>
      <c r="R22" s="14"/>
      <c r="S22" s="198">
        <f>IFERROR(R21*Methane_in_anaerobic_digester_gas_Monteith,"N/A")</f>
        <v>0</v>
      </c>
      <c r="T22" s="14"/>
      <c r="U22" s="198">
        <f>IFERROR(T21*Methane_in_anaerobic_digester_gas_Monteith,"N/A")</f>
        <v>0</v>
      </c>
    </row>
    <row r="23" spans="1:21" s="183" customFormat="1" x14ac:dyDescent="0.2">
      <c r="A23" s="245" t="s">
        <v>761</v>
      </c>
      <c r="B23" s="11"/>
      <c r="C23" s="251"/>
      <c r="D23" s="11" t="s">
        <v>270</v>
      </c>
      <c r="E23" s="251"/>
      <c r="F23" s="11"/>
      <c r="G23" s="251"/>
      <c r="H23" s="11"/>
      <c r="I23" s="251"/>
      <c r="J23" s="11"/>
      <c r="K23" s="251"/>
      <c r="L23" s="11"/>
      <c r="M23" s="251"/>
      <c r="N23" s="11"/>
      <c r="O23" s="251"/>
      <c r="P23" s="11"/>
      <c r="Q23" s="251"/>
      <c r="R23" s="11"/>
      <c r="S23" s="251"/>
      <c r="T23" s="11"/>
      <c r="U23" s="251"/>
    </row>
    <row r="24" spans="1:21" s="183" customFormat="1" ht="29.25" customHeight="1" x14ac:dyDescent="0.2">
      <c r="A24" s="189" t="s">
        <v>933</v>
      </c>
      <c r="B24" s="12"/>
      <c r="C24" s="251"/>
      <c r="D24" s="12">
        <v>1</v>
      </c>
      <c r="E24" s="251"/>
      <c r="F24" s="12"/>
      <c r="G24" s="251"/>
      <c r="H24" s="12"/>
      <c r="I24" s="251"/>
      <c r="J24" s="12"/>
      <c r="K24" s="251"/>
      <c r="L24" s="12"/>
      <c r="M24" s="251"/>
      <c r="N24" s="12"/>
      <c r="O24" s="251"/>
      <c r="P24" s="12"/>
      <c r="Q24" s="251"/>
      <c r="R24" s="12"/>
      <c r="S24" s="251"/>
      <c r="T24" s="12"/>
      <c r="U24" s="251"/>
    </row>
    <row r="25" spans="1:21" s="183" customFormat="1" x14ac:dyDescent="0.2">
      <c r="A25" s="245" t="s">
        <v>756</v>
      </c>
      <c r="B25" s="12"/>
      <c r="C25" s="248" t="str">
        <f>+'References Assumptions'!$A$93</f>
        <v>Normal</v>
      </c>
      <c r="D25" s="12" t="s">
        <v>751</v>
      </c>
      <c r="E25" s="248" t="str">
        <f>+'References Assumptions'!$A$93</f>
        <v>Normal</v>
      </c>
      <c r="F25" s="12"/>
      <c r="G25" s="248" t="str">
        <f>+'References Assumptions'!$A$93</f>
        <v>Normal</v>
      </c>
      <c r="H25" s="12"/>
      <c r="I25" s="248" t="str">
        <f>+'References Assumptions'!$A$93</f>
        <v>Normal</v>
      </c>
      <c r="J25" s="12"/>
      <c r="K25" s="248" t="str">
        <f>+'References Assumptions'!$A$93</f>
        <v>Normal</v>
      </c>
      <c r="L25" s="12"/>
      <c r="M25" s="248" t="str">
        <f>+'References Assumptions'!$A$93</f>
        <v>Normal</v>
      </c>
      <c r="N25" s="12"/>
      <c r="O25" s="248" t="str">
        <f>+'References Assumptions'!$A$93</f>
        <v>Normal</v>
      </c>
      <c r="P25" s="12"/>
      <c r="Q25" s="248" t="str">
        <f>+'References Assumptions'!$A$93</f>
        <v>Normal</v>
      </c>
      <c r="R25" s="12"/>
      <c r="S25" s="248" t="str">
        <f>+'References Assumptions'!$A$93</f>
        <v>Normal</v>
      </c>
      <c r="T25" s="12"/>
      <c r="U25" s="248" t="str">
        <f>+'References Assumptions'!$A$93</f>
        <v>Normal</v>
      </c>
    </row>
    <row r="26" spans="1:21" s="183" customFormat="1" ht="18.75" x14ac:dyDescent="0.35">
      <c r="A26" s="245" t="s">
        <v>755</v>
      </c>
      <c r="B26" s="963" t="str">
        <f>IFERROR(VLOOKUP(B25,'References Assumptions'!$A$93:$B$95,2,FALSE)*B24*B22*density_of_CH4_at_STP*CO2E_of_CH4_ClimateReg/Mg_kg,"N/A")</f>
        <v>N/A</v>
      </c>
      <c r="C26" s="251"/>
      <c r="D26" s="963">
        <f>IFERROR(VLOOKUP(D25,'References Assumptions'!$A$93:$B$95,2,FALSE)*D24*D22*density_of_CH4_at_STP*CO2E_of_CH4_ClimateReg/Mg_kg,"N/A")</f>
        <v>0.15785034097996803</v>
      </c>
      <c r="E26" s="251"/>
      <c r="F26" s="963" t="str">
        <f>IFERROR(VLOOKUP(F25,'References Assumptions'!$A$93:$B$95,2,FALSE)*F24*F22*density_of_CH4_at_STP*CO2E_of_CH4_ClimateReg/Mg_kg,"N/A")</f>
        <v>N/A</v>
      </c>
      <c r="G26" s="251"/>
      <c r="H26" s="963" t="str">
        <f>IFERROR(VLOOKUP(H25,'References Assumptions'!$A$93:$B$95,2,FALSE)*H24*H22*density_of_CH4_at_STP*CO2E_of_CH4_ClimateReg/Mg_kg,"N/A")</f>
        <v>N/A</v>
      </c>
      <c r="I26" s="251"/>
      <c r="J26" s="963" t="str">
        <f>IFERROR(VLOOKUP(J25,'References Assumptions'!$A$93:$B$95,2,FALSE)*J24*J22*density_of_CH4_at_STP*CO2E_of_CH4_ClimateReg/Mg_kg,"N/A")</f>
        <v>N/A</v>
      </c>
      <c r="K26" s="251"/>
      <c r="L26" s="963" t="str">
        <f>IFERROR(VLOOKUP(L25,'References Assumptions'!$A$93:$B$95,2,FALSE)*L24*L22*density_of_CH4_at_STP*CO2E_of_CH4_ClimateReg/Mg_kg,"N/A")</f>
        <v>N/A</v>
      </c>
      <c r="M26" s="251"/>
      <c r="N26" s="963" t="str">
        <f>IFERROR(VLOOKUP(N25,'References Assumptions'!$A$93:$B$95,2,FALSE)*N24*N22*density_of_CH4_at_STP*CO2E_of_CH4_ClimateReg/Mg_kg,"N/A")</f>
        <v>N/A</v>
      </c>
      <c r="O26" s="251"/>
      <c r="P26" s="963" t="str">
        <f>IFERROR(VLOOKUP(P25,'References Assumptions'!$A$93:$B$95,2,FALSE)*P24*P22*density_of_CH4_at_STP*CO2E_of_CH4_ClimateReg/Mg_kg,"N/A")</f>
        <v>N/A</v>
      </c>
      <c r="Q26" s="251"/>
      <c r="R26" s="963" t="str">
        <f>IFERROR(VLOOKUP(R25,'References Assumptions'!$A$93:$B$95,2,FALSE)*R24*R22*density_of_CH4_at_STP*CO2E_of_CH4_ClimateReg/Mg_kg,"N/A")</f>
        <v>N/A</v>
      </c>
      <c r="S26" s="251"/>
      <c r="T26" s="963" t="str">
        <f>IFERROR(VLOOKUP(T25,'References Assumptions'!$A$93:$B$95,2,FALSE)*T24*T22*density_of_CH4_at_STP*CO2E_of_CH4_ClimateReg/Mg_kg,"N/A")</f>
        <v>N/A</v>
      </c>
      <c r="U26" s="251"/>
    </row>
    <row r="27" spans="1:21" s="183" customFormat="1" x14ac:dyDescent="0.2">
      <c r="A27" s="245" t="s">
        <v>934</v>
      </c>
      <c r="B27" s="12"/>
      <c r="C27" s="412">
        <f>+IF(B$23="yes",B24*CHP_conv_heat,IF(B29="yes",0,1))</f>
        <v>1</v>
      </c>
      <c r="D27" s="12">
        <f>E27</f>
        <v>0.42</v>
      </c>
      <c r="E27" s="412">
        <f>+IF(D$23="yes",D24*CHP_conv_heat,IF(D29="yes",0,1))</f>
        <v>0.42</v>
      </c>
      <c r="F27" s="12"/>
      <c r="G27" s="412">
        <f>+IF(F$23="yes",F24*CHP_conv_heat,IF(F29="yes",0,1))</f>
        <v>1</v>
      </c>
      <c r="H27" s="12"/>
      <c r="I27" s="412">
        <f>+IF(H$23="yes",H24*CHP_conv_heat,IF(H29="yes",0,1))</f>
        <v>1</v>
      </c>
      <c r="J27" s="12"/>
      <c r="K27" s="412">
        <f>+IF(J$23="yes",J24*CHP_conv_heat,IF(J29="yes",0,1))</f>
        <v>1</v>
      </c>
      <c r="L27" s="12"/>
      <c r="M27" s="412">
        <f>+IF(L$23="yes",L24*CHP_conv_heat,IF(L29="yes",0,1))</f>
        <v>1</v>
      </c>
      <c r="N27" s="12"/>
      <c r="O27" s="412">
        <f>+IF(N$23="yes",N24*CHP_conv_heat,IF(N29="yes",0,1))</f>
        <v>1</v>
      </c>
      <c r="P27" s="12"/>
      <c r="Q27" s="412">
        <f>+IF(P$23="yes",P24*CHP_conv_heat,IF(P29="yes",0,1))</f>
        <v>1</v>
      </c>
      <c r="R27" s="12"/>
      <c r="S27" s="412">
        <f>+IF(R$23="yes",R24*CHP_conv_heat,IF(R29="yes",0,1))</f>
        <v>1</v>
      </c>
      <c r="T27" s="12"/>
      <c r="U27" s="412">
        <f>+IF(T$23="yes",T24*CHP_conv_heat,IF(T29="yes",0,1))</f>
        <v>1</v>
      </c>
    </row>
    <row r="28" spans="1:21" s="183" customFormat="1" x14ac:dyDescent="0.2">
      <c r="A28" s="245" t="s">
        <v>935</v>
      </c>
      <c r="B28" s="12"/>
      <c r="C28" s="412" t="str">
        <f>+IF(B$23="yes",B24*CHP_conv_elect,"N/A")</f>
        <v>N/A</v>
      </c>
      <c r="D28" s="12">
        <f>E28</f>
        <v>0.35</v>
      </c>
      <c r="E28" s="412">
        <f>+IF(D$23="yes",D24*CHP_conv_elect,"N/A")</f>
        <v>0.35</v>
      </c>
      <c r="F28" s="12"/>
      <c r="G28" s="412" t="str">
        <f>+IF(F$23="yes",F24*CHP_conv_elect,"N/A")</f>
        <v>N/A</v>
      </c>
      <c r="H28" s="12"/>
      <c r="I28" s="412" t="str">
        <f>+IF(H$23="yes",H24*CHP_conv_elect,"N/A")</f>
        <v>N/A</v>
      </c>
      <c r="J28" s="12"/>
      <c r="K28" s="412" t="str">
        <f>+IF(J$23="yes",J24*CHP_conv_elect,"N/A")</f>
        <v>N/A</v>
      </c>
      <c r="L28" s="12"/>
      <c r="M28" s="412" t="str">
        <f>+IF(L$23="yes",L24*CHP_conv_elect,"N/A")</f>
        <v>N/A</v>
      </c>
      <c r="N28" s="12"/>
      <c r="O28" s="412" t="str">
        <f>+IF(N$23="yes",N24*CHP_conv_elect,"N/A")</f>
        <v>N/A</v>
      </c>
      <c r="P28" s="12"/>
      <c r="Q28" s="412" t="str">
        <f>+IF(P$23="yes",P24*CHP_conv_elect,"N/A")</f>
        <v>N/A</v>
      </c>
      <c r="R28" s="12"/>
      <c r="S28" s="412" t="str">
        <f>+IF(R$23="yes",R24*CHP_conv_elect,"N/A")</f>
        <v>N/A</v>
      </c>
      <c r="T28" s="12"/>
      <c r="U28" s="412" t="str">
        <f>+IF(T$23="yes",T24*CHP_conv_elect,"N/A")</f>
        <v>N/A</v>
      </c>
    </row>
    <row r="29" spans="1:21" s="130" customFormat="1" x14ac:dyDescent="0.2">
      <c r="A29" s="245" t="s">
        <v>744</v>
      </c>
      <c r="B29" s="11"/>
      <c r="C29" s="251"/>
      <c r="D29" s="11" t="s">
        <v>304</v>
      </c>
      <c r="E29" s="251"/>
      <c r="F29" s="11"/>
      <c r="G29" s="251"/>
      <c r="H29" s="11"/>
      <c r="I29" s="251"/>
      <c r="J29" s="11"/>
      <c r="K29" s="251"/>
      <c r="L29" s="11"/>
      <c r="M29" s="251"/>
      <c r="N29" s="11"/>
      <c r="O29" s="251"/>
      <c r="P29" s="11"/>
      <c r="Q29" s="251"/>
      <c r="R29" s="11"/>
      <c r="S29" s="251"/>
      <c r="T29" s="11"/>
      <c r="U29" s="251"/>
    </row>
    <row r="30" spans="1:21" s="130" customFormat="1" x14ac:dyDescent="0.2">
      <c r="A30" s="245" t="s">
        <v>760</v>
      </c>
      <c r="B30" s="12"/>
      <c r="C30" s="412">
        <f>+IF(B29="yes",1,0)</f>
        <v>0</v>
      </c>
      <c r="D30" s="12"/>
      <c r="E30" s="412">
        <f>+IF(D29="yes",1,0)</f>
        <v>0</v>
      </c>
      <c r="F30" s="12"/>
      <c r="G30" s="412">
        <f>+IF(F29="yes",1,0)</f>
        <v>0</v>
      </c>
      <c r="H30" s="12"/>
      <c r="I30" s="412">
        <f>+IF(H29="yes",1,0)</f>
        <v>0</v>
      </c>
      <c r="J30" s="12"/>
      <c r="K30" s="412">
        <f>+IF(J29="yes",1,0)</f>
        <v>0</v>
      </c>
      <c r="L30" s="12"/>
      <c r="M30" s="412">
        <f>+IF(L29="yes",1,0)</f>
        <v>0</v>
      </c>
      <c r="N30" s="12"/>
      <c r="O30" s="412">
        <f>+IF(N29="yes",1,0)</f>
        <v>0</v>
      </c>
      <c r="P30" s="12"/>
      <c r="Q30" s="412">
        <f>+IF(P29="yes",1,0)</f>
        <v>0</v>
      </c>
      <c r="R30" s="12"/>
      <c r="S30" s="412">
        <f>+IF(R29="yes",1,0)</f>
        <v>0</v>
      </c>
      <c r="T30" s="12"/>
      <c r="U30" s="412">
        <f>+IF(T29="yes",1,0)</f>
        <v>0</v>
      </c>
    </row>
    <row r="31" spans="1:21" s="130" customFormat="1" x14ac:dyDescent="0.2">
      <c r="A31" s="245" t="s">
        <v>739</v>
      </c>
      <c r="B31" s="12"/>
      <c r="C31" s="248" t="str">
        <f>+'References Assumptions'!$A$87</f>
        <v>Default</v>
      </c>
      <c r="D31" s="12" t="s">
        <v>790</v>
      </c>
      <c r="E31" s="248" t="str">
        <f>+'References Assumptions'!$A$87</f>
        <v>Default</v>
      </c>
      <c r="F31" s="12"/>
      <c r="G31" s="248" t="str">
        <f>+'References Assumptions'!$A$87</f>
        <v>Default</v>
      </c>
      <c r="H31" s="12"/>
      <c r="I31" s="248" t="str">
        <f>+'References Assumptions'!$A$87</f>
        <v>Default</v>
      </c>
      <c r="J31" s="12"/>
      <c r="K31" s="248" t="str">
        <f>+'References Assumptions'!$A$87</f>
        <v>Default</v>
      </c>
      <c r="L31" s="12"/>
      <c r="M31" s="248" t="str">
        <f>+'References Assumptions'!$A$87</f>
        <v>Default</v>
      </c>
      <c r="N31" s="12"/>
      <c r="O31" s="248" t="str">
        <f>+'References Assumptions'!$A$87</f>
        <v>Default</v>
      </c>
      <c r="P31" s="12"/>
      <c r="Q31" s="248" t="str">
        <f>+'References Assumptions'!$A$87</f>
        <v>Default</v>
      </c>
      <c r="R31" s="12"/>
      <c r="S31" s="248" t="str">
        <f>+'References Assumptions'!$A$87</f>
        <v>Default</v>
      </c>
      <c r="T31" s="12"/>
      <c r="U31" s="248" t="str">
        <f>+'References Assumptions'!$A$87</f>
        <v>Default</v>
      </c>
    </row>
    <row r="32" spans="1:21" s="130" customFormat="1" x14ac:dyDescent="0.2">
      <c r="A32" s="245" t="s">
        <v>194</v>
      </c>
      <c r="B32" s="12"/>
      <c r="C32" s="251"/>
      <c r="D32" s="12"/>
      <c r="E32" s="251"/>
      <c r="F32" s="12"/>
      <c r="G32" s="251"/>
      <c r="H32" s="12"/>
      <c r="I32" s="251"/>
      <c r="J32" s="12"/>
      <c r="K32" s="251"/>
      <c r="L32" s="12"/>
      <c r="M32" s="251"/>
      <c r="N32" s="12"/>
      <c r="O32" s="251"/>
      <c r="P32" s="12"/>
      <c r="Q32" s="251"/>
      <c r="R32" s="12"/>
      <c r="S32" s="251"/>
      <c r="T32" s="12"/>
      <c r="U32" s="251"/>
    </row>
    <row r="33" spans="1:24" s="130" customFormat="1" ht="15.6" customHeight="1" x14ac:dyDescent="0.35">
      <c r="A33" s="245" t="s">
        <v>754</v>
      </c>
      <c r="B33" s="963" t="str">
        <f>+IFERROR(VLOOKUP(B31,'References Assumptions'!$A$87:$B$90,2,FALSE)*B32*B22*density_of_CH4_at_STP*CO2E_of_CH4_ClimateReg/Mg_kg,"N/A")</f>
        <v>N/A</v>
      </c>
      <c r="C33" s="251"/>
      <c r="D33" s="963">
        <f>+IFERROR(VLOOKUP(D31,'References Assumptions'!$A$87:$B$90,2,FALSE)*D32*D22*density_of_CH4_at_STP*CO2E_of_CH4_ClimateReg/Mg_kg,"N/A")</f>
        <v>0</v>
      </c>
      <c r="E33" s="251"/>
      <c r="F33" s="963" t="str">
        <f>+IFERROR(VLOOKUP(F31,'References Assumptions'!$A$87:$B$90,2,FALSE)*F32*F22*density_of_CH4_at_STP*CO2E_of_CH4_ClimateReg/Mg_kg,"N/A")</f>
        <v>N/A</v>
      </c>
      <c r="G33" s="251"/>
      <c r="H33" s="963" t="str">
        <f>+IFERROR(VLOOKUP(H31,'References Assumptions'!$A$87:$B$90,2,FALSE)*H32*H22*density_of_CH4_at_STP*CO2E_of_CH4_ClimateReg/Mg_kg,"N/A")</f>
        <v>N/A</v>
      </c>
      <c r="I33" s="251"/>
      <c r="J33" s="963" t="str">
        <f>+IFERROR(VLOOKUP(J31,'References Assumptions'!$A$87:$B$90,2,FALSE)*J32*J22*density_of_CH4_at_STP*CO2E_of_CH4_ClimateReg/Mg_kg,"N/A")</f>
        <v>N/A</v>
      </c>
      <c r="K33" s="251"/>
      <c r="L33" s="963" t="str">
        <f>+IFERROR(VLOOKUP(L31,'References Assumptions'!$A$87:$B$90,2,FALSE)*L32*L22*density_of_CH4_at_STP*CO2E_of_CH4_ClimateReg/Mg_kg,"N/A")</f>
        <v>N/A</v>
      </c>
      <c r="M33" s="251"/>
      <c r="N33" s="963" t="str">
        <f>+IFERROR(VLOOKUP(N31,'References Assumptions'!$A$87:$B$90,2,FALSE)*N32*N22*density_of_CH4_at_STP*CO2E_of_CH4_ClimateReg/Mg_kg,"N/A")</f>
        <v>N/A</v>
      </c>
      <c r="O33" s="251"/>
      <c r="P33" s="963" t="str">
        <f>+IFERROR(VLOOKUP(P31,'References Assumptions'!$A$87:$B$90,2,FALSE)*P32*P22*density_of_CH4_at_STP*CO2E_of_CH4_ClimateReg/Mg_kg,"N/A")</f>
        <v>N/A</v>
      </c>
      <c r="Q33" s="251"/>
      <c r="R33" s="963" t="str">
        <f>+IFERROR(VLOOKUP(R31,'References Assumptions'!$A$87:$B$90,2,FALSE)*R32*R22*density_of_CH4_at_STP*CO2E_of_CH4_ClimateReg/Mg_kg,"N/A")</f>
        <v>N/A</v>
      </c>
      <c r="S33" s="251"/>
      <c r="T33" s="963" t="str">
        <f>+IFERROR(VLOOKUP(T31,'References Assumptions'!$A$87:$B$90,2,FALSE)*T32*T22*density_of_CH4_at_STP*CO2E_of_CH4_ClimateReg/Mg_kg,"N/A")</f>
        <v>N/A</v>
      </c>
      <c r="U33" s="251"/>
    </row>
    <row r="34" spans="1:24" s="130" customFormat="1" x14ac:dyDescent="0.2">
      <c r="A34" s="245" t="s">
        <v>492</v>
      </c>
      <c r="B34" s="12"/>
      <c r="C34" s="412">
        <f>+IF(B29="yes",0,B24+B32)</f>
        <v>0</v>
      </c>
      <c r="D34" s="12">
        <f>E34</f>
        <v>1</v>
      </c>
      <c r="E34" s="412">
        <f>+IF(D29="yes",0,D24+D32)</f>
        <v>1</v>
      </c>
      <c r="F34" s="12"/>
      <c r="G34" s="412">
        <f>+IF(F29="yes",0,F24+F32)</f>
        <v>0</v>
      </c>
      <c r="H34" s="12"/>
      <c r="I34" s="412">
        <f>+IF(H29="yes",0,H24+H32)</f>
        <v>0</v>
      </c>
      <c r="J34" s="12"/>
      <c r="K34" s="412">
        <f>+IF(J29="yes",0,J24+J32)</f>
        <v>0</v>
      </c>
      <c r="L34" s="12"/>
      <c r="M34" s="412">
        <f>+IF(L29="yes",0,L24+L32)</f>
        <v>0</v>
      </c>
      <c r="N34" s="12"/>
      <c r="O34" s="412">
        <f>+IF(N29="yes",0,N24+N32)</f>
        <v>0</v>
      </c>
      <c r="P34" s="12"/>
      <c r="Q34" s="412">
        <f>+IF(P29="yes",0,P24+P32)</f>
        <v>0</v>
      </c>
      <c r="R34" s="12"/>
      <c r="S34" s="412">
        <f>+IF(R29="yes",0,R24+R32)</f>
        <v>0</v>
      </c>
      <c r="T34" s="12"/>
      <c r="U34" s="412">
        <f>+IF(T29="yes",0,T24+T32)</f>
        <v>0</v>
      </c>
    </row>
    <row r="35" spans="1:24" s="130" customFormat="1" x14ac:dyDescent="0.2">
      <c r="A35" s="245" t="s">
        <v>766</v>
      </c>
      <c r="B35" s="12"/>
      <c r="C35" s="964">
        <f>+IF(B29="no",1-B34,0)</f>
        <v>0</v>
      </c>
      <c r="D35" s="12">
        <v>0</v>
      </c>
      <c r="E35" s="964">
        <f>+IF(D29="no",1-D34,0)</f>
        <v>0</v>
      </c>
      <c r="F35" s="12"/>
      <c r="G35" s="964">
        <f>+IF(F29="no",1-F34,0)</f>
        <v>0</v>
      </c>
      <c r="H35" s="12"/>
      <c r="I35" s="964">
        <f>+IF(H29="no",1-H34,0)</f>
        <v>0</v>
      </c>
      <c r="J35" s="12"/>
      <c r="K35" s="964">
        <f>+IF(J29="no",1-J34,0)</f>
        <v>0</v>
      </c>
      <c r="L35" s="12"/>
      <c r="M35" s="964">
        <f>+IF(L29="no",1-L34,0)</f>
        <v>0</v>
      </c>
      <c r="N35" s="12"/>
      <c r="O35" s="964">
        <f>+IF(N29="no",1-N34,0)</f>
        <v>0</v>
      </c>
      <c r="P35" s="12"/>
      <c r="Q35" s="964">
        <f>+IF(P29="no",1-P34,0)</f>
        <v>0</v>
      </c>
      <c r="R35" s="12"/>
      <c r="S35" s="964">
        <f>+IF(R29="no",1-R34,0)</f>
        <v>0</v>
      </c>
      <c r="T35" s="12"/>
      <c r="U35" s="964">
        <f>+IF(T29="no",1-T34,0)</f>
        <v>0</v>
      </c>
    </row>
    <row r="36" spans="1:24" s="226" customFormat="1" ht="16.5" x14ac:dyDescent="0.2">
      <c r="A36" s="245" t="s">
        <v>495</v>
      </c>
      <c r="B36" s="8"/>
      <c r="C36" s="198">
        <f>+IF(B29="no",B22*B24*B27*btu_value_methane_epa_2004/btu_value_natural_gas_climate_registry,B30*B22*btu_value_methane_epa_2004/btu_value_natural_gas_climate_registry*(1-RNG_parasitic))</f>
        <v>0</v>
      </c>
      <c r="D36" s="8"/>
      <c r="E36" s="198">
        <f>+IF(D29="no",D22*D24*D27*btu_value_methane_epa_2004/btu_value_natural_gas_climate_registry,D30*D22*btu_value_methane_epa_2004/btu_value_natural_gas_climate_registry*(1-RNG_parasitic))</f>
        <v>1235.3541716599495</v>
      </c>
      <c r="F36" s="8"/>
      <c r="G36" s="198">
        <f>+IF(F29="no",F22*F24*F27*btu_value_methane_epa_2004/btu_value_natural_gas_climate_registry,F30*F22*btu_value_methane_epa_2004/btu_value_natural_gas_climate_registry*(1-RNG_parasitic))</f>
        <v>0</v>
      </c>
      <c r="H36" s="8"/>
      <c r="I36" s="198">
        <f>+IF(H29="no",H22*H24*H27*btu_value_methane_epa_2004/btu_value_natural_gas_climate_registry,H30*H22*btu_value_methane_epa_2004/btu_value_natural_gas_climate_registry*(1-RNG_parasitic))</f>
        <v>0</v>
      </c>
      <c r="J36" s="8"/>
      <c r="K36" s="198">
        <f>+IF(J29="no",J22*J24*J27*btu_value_methane_epa_2004/btu_value_natural_gas_climate_registry,J30*J22*btu_value_methane_epa_2004/btu_value_natural_gas_climate_registry*(1-RNG_parasitic))</f>
        <v>0</v>
      </c>
      <c r="L36" s="8"/>
      <c r="M36" s="198">
        <f>+IF(L29="no",L22*L24*L27*btu_value_methane_epa_2004/btu_value_natural_gas_climate_registry,L30*L22*btu_value_methane_epa_2004/btu_value_natural_gas_climate_registry*(1-RNG_parasitic))</f>
        <v>0</v>
      </c>
      <c r="N36" s="8"/>
      <c r="O36" s="198">
        <f>+IF(N29="no",N22*N24*N27*btu_value_methane_epa_2004/btu_value_natural_gas_climate_registry,N30*N22*btu_value_methane_epa_2004/btu_value_natural_gas_climate_registry*(1-RNG_parasitic))</f>
        <v>0</v>
      </c>
      <c r="P36" s="8"/>
      <c r="Q36" s="198">
        <f>+IF(P29="no",P22*P24*P27*btu_value_methane_epa_2004/btu_value_natural_gas_climate_registry,P30*P22*btu_value_methane_epa_2004/btu_value_natural_gas_climate_registry*(1-RNG_parasitic))</f>
        <v>0</v>
      </c>
      <c r="R36" s="8"/>
      <c r="S36" s="198">
        <f>+IF(R29="no",R22*R24*R27*btu_value_methane_epa_2004/btu_value_natural_gas_climate_registry,R30*R22*btu_value_methane_epa_2004/btu_value_natural_gas_climate_registry*(1-RNG_parasitic))</f>
        <v>0</v>
      </c>
      <c r="T36" s="8"/>
      <c r="U36" s="198">
        <f>+IF(T29="no",T22*T24*T27*btu_value_methane_epa_2004/btu_value_natural_gas_climate_registry,T30*T22*btu_value_methane_epa_2004/btu_value_natural_gas_climate_registry*(1-RNG_parasitic))</f>
        <v>0</v>
      </c>
      <c r="W36" s="130"/>
      <c r="X36" s="130"/>
    </row>
    <row r="37" spans="1:24" s="226" customFormat="1" x14ac:dyDescent="0.2">
      <c r="A37" s="245" t="s">
        <v>284</v>
      </c>
      <c r="B37" s="8"/>
      <c r="C37" s="198">
        <f>+B22*B24*B28*btu_value_methane_epa_2004*btu_kwh_100percent*Net_capacity_factor_EPA_2006</f>
        <v>0</v>
      </c>
      <c r="D37" s="8">
        <f>E37</f>
        <v>9300.1424978728082</v>
      </c>
      <c r="E37" s="198">
        <f>+D22*D24*D28*btu_value_methane_epa_2004*btu_kwh_100percent*Net_capacity_factor_EPA_2006</f>
        <v>9300.1424978728082</v>
      </c>
      <c r="F37" s="8"/>
      <c r="G37" s="198">
        <f>+F22*F24*F28*btu_value_methane_epa_2004*btu_kwh_100percent*Net_capacity_factor_EPA_2006</f>
        <v>0</v>
      </c>
      <c r="H37" s="8"/>
      <c r="I37" s="198">
        <f>+H22*H24*H28*btu_value_methane_epa_2004*btu_kwh_100percent*Net_capacity_factor_EPA_2006</f>
        <v>0</v>
      </c>
      <c r="J37" s="8"/>
      <c r="K37" s="198">
        <f>+J22*J24*J28*btu_value_methane_epa_2004*btu_kwh_100percent*Net_capacity_factor_EPA_2006</f>
        <v>0</v>
      </c>
      <c r="L37" s="8"/>
      <c r="M37" s="198">
        <f>+L22*L24*L28*btu_value_methane_epa_2004*btu_kwh_100percent*Net_capacity_factor_EPA_2006</f>
        <v>0</v>
      </c>
      <c r="N37" s="8"/>
      <c r="O37" s="198">
        <f>+N22*N24*N28*btu_value_methane_epa_2004*btu_kwh_100percent*Net_capacity_factor_EPA_2006</f>
        <v>0</v>
      </c>
      <c r="P37" s="8"/>
      <c r="Q37" s="198">
        <f>+P22*P24*P28*btu_value_methane_epa_2004*btu_kwh_100percent*Net_capacity_factor_EPA_2006</f>
        <v>0</v>
      </c>
      <c r="R37" s="8"/>
      <c r="S37" s="198">
        <f>+R22*R24*R28*btu_value_methane_epa_2004*btu_kwh_100percent*Net_capacity_factor_EPA_2006</f>
        <v>0</v>
      </c>
      <c r="T37" s="8"/>
      <c r="U37" s="198">
        <f>+T22*T24*T28*btu_value_methane_epa_2004*btu_kwh_100percent*Net_capacity_factor_EPA_2006</f>
        <v>0</v>
      </c>
      <c r="W37" s="130"/>
      <c r="X37" s="130"/>
    </row>
    <row r="38" spans="1:24" s="96" customFormat="1" ht="15.6" customHeight="1" x14ac:dyDescent="0.2">
      <c r="A38" s="245" t="s">
        <v>916</v>
      </c>
      <c r="B38" s="8"/>
      <c r="C38" s="198">
        <f>+IFERROR(B7*AD_heating_reqt_MandE,"N/A")</f>
        <v>0</v>
      </c>
      <c r="D38" s="8"/>
      <c r="E38" s="198">
        <f>+IFERROR(D7*AD_heating_reqt_MandE,"N/A")</f>
        <v>432.38356164383561</v>
      </c>
      <c r="F38" s="8"/>
      <c r="G38" s="198">
        <f>+IFERROR(F7*AD_heating_reqt_MandE,"N/A")</f>
        <v>0</v>
      </c>
      <c r="H38" s="8"/>
      <c r="I38" s="198">
        <f>+IFERROR(H7*AD_heating_reqt_MandE,"N/A")</f>
        <v>0</v>
      </c>
      <c r="J38" s="8"/>
      <c r="K38" s="198">
        <f>+IFERROR(J7*AD_heating_reqt_MandE,"N/A")</f>
        <v>0</v>
      </c>
      <c r="L38" s="8"/>
      <c r="M38" s="198">
        <f>+IFERROR(L7*AD_heating_reqt_MandE,"N/A")</f>
        <v>0</v>
      </c>
      <c r="N38" s="8"/>
      <c r="O38" s="198">
        <f>+IFERROR(N7*AD_heating_reqt_MandE,"N/A")</f>
        <v>0</v>
      </c>
      <c r="P38" s="8"/>
      <c r="Q38" s="198">
        <f>+IFERROR(P7*AD_heating_reqt_MandE,"N/A")</f>
        <v>0</v>
      </c>
      <c r="R38" s="8"/>
      <c r="S38" s="198">
        <f>+IFERROR(R7*AD_heating_reqt_MandE,"N/A")</f>
        <v>0</v>
      </c>
      <c r="T38" s="8"/>
      <c r="U38" s="198">
        <f>+IFERROR(T7*AD_heating_reqt_MandE,"N/A")</f>
        <v>0</v>
      </c>
      <c r="W38" s="130"/>
      <c r="X38" s="130"/>
    </row>
    <row r="39" spans="1:24" s="183" customFormat="1" ht="15.6" customHeight="1" x14ac:dyDescent="0.2">
      <c r="A39" s="245" t="s">
        <v>917</v>
      </c>
      <c r="B39" s="8"/>
      <c r="C39" s="198">
        <f>IFERROR(B6*AD_electricity_use_MandE*hrs_day*B11,"N/A")</f>
        <v>0</v>
      </c>
      <c r="D39" s="8"/>
      <c r="E39" s="198">
        <f>IFERROR(D6*AD_electricity_use_MandE*hrs_day*D11,"N/A")</f>
        <v>219.02399999999997</v>
      </c>
      <c r="F39" s="8"/>
      <c r="G39" s="198">
        <f>IFERROR(F6*AD_electricity_use_MandE*hrs_day*F11,"N/A")</f>
        <v>0</v>
      </c>
      <c r="H39" s="8"/>
      <c r="I39" s="198">
        <f>IFERROR(H6*AD_electricity_use_MandE*hrs_day*H11,"N/A")</f>
        <v>0</v>
      </c>
      <c r="J39" s="8"/>
      <c r="K39" s="198">
        <f>IFERROR(J6*AD_electricity_use_MandE*hrs_day*J11,"N/A")</f>
        <v>0</v>
      </c>
      <c r="L39" s="8"/>
      <c r="M39" s="198">
        <f>IFERROR(L6*AD_electricity_use_MandE*hrs_day*L11,"N/A")</f>
        <v>0</v>
      </c>
      <c r="N39" s="8"/>
      <c r="O39" s="198">
        <f>IFERROR(N6*AD_electricity_use_MandE*hrs_day*N11,"N/A")</f>
        <v>0</v>
      </c>
      <c r="P39" s="8"/>
      <c r="Q39" s="198">
        <f>IFERROR(P6*AD_electricity_use_MandE*hrs_day*P11,"N/A")</f>
        <v>0</v>
      </c>
      <c r="R39" s="8"/>
      <c r="S39" s="198">
        <f>IFERROR(R6*AD_electricity_use_MandE*hrs_day*R11,"N/A")</f>
        <v>0</v>
      </c>
      <c r="T39" s="8"/>
      <c r="U39" s="198">
        <f>IFERROR(T6*AD_electricity_use_MandE*hrs_day*T11,"N/A")</f>
        <v>0</v>
      </c>
      <c r="W39" s="130"/>
      <c r="X39" s="130"/>
    </row>
    <row r="40" spans="1:24" s="183" customFormat="1" ht="16.5" x14ac:dyDescent="0.2">
      <c r="A40" s="245" t="s">
        <v>73</v>
      </c>
      <c r="B40" s="8"/>
      <c r="C40" s="198">
        <f>+B38-B36</f>
        <v>0</v>
      </c>
      <c r="D40" s="8">
        <f t="shared" ref="D40:D41" si="0">E40</f>
        <v>0</v>
      </c>
      <c r="E40" s="198">
        <f>+D38-D36</f>
        <v>0</v>
      </c>
      <c r="F40" s="8"/>
      <c r="G40" s="198">
        <f>+F38-F36</f>
        <v>0</v>
      </c>
      <c r="H40" s="8"/>
      <c r="I40" s="198">
        <f>+H38-H36</f>
        <v>0</v>
      </c>
      <c r="J40" s="8"/>
      <c r="K40" s="198">
        <f>+J38-J36</f>
        <v>0</v>
      </c>
      <c r="L40" s="8"/>
      <c r="M40" s="198">
        <f>+L38-L36</f>
        <v>0</v>
      </c>
      <c r="N40" s="8"/>
      <c r="O40" s="198">
        <f>+N38-N36</f>
        <v>0</v>
      </c>
      <c r="P40" s="8"/>
      <c r="Q40" s="198">
        <f>+P38-P36</f>
        <v>0</v>
      </c>
      <c r="R40" s="8"/>
      <c r="S40" s="198">
        <f>+R38-R36</f>
        <v>0</v>
      </c>
      <c r="T40" s="8"/>
      <c r="U40" s="198">
        <f>+T38-T36</f>
        <v>0</v>
      </c>
      <c r="W40" s="130"/>
      <c r="X40" s="130"/>
    </row>
    <row r="41" spans="1:24" s="130" customFormat="1" ht="15.6" customHeight="1" x14ac:dyDescent="0.2">
      <c r="A41" s="245" t="s">
        <v>74</v>
      </c>
      <c r="B41" s="8"/>
      <c r="C41" s="198">
        <f>+B39-B37</f>
        <v>0</v>
      </c>
      <c r="D41" s="8">
        <f t="shared" si="0"/>
        <v>-9300.1424978728082</v>
      </c>
      <c r="E41" s="198">
        <f>+D39-D37</f>
        <v>-9300.1424978728082</v>
      </c>
      <c r="F41" s="8"/>
      <c r="G41" s="198">
        <f>+F39-F37</f>
        <v>0</v>
      </c>
      <c r="H41" s="8"/>
      <c r="I41" s="198">
        <f>+H39-H37</f>
        <v>0</v>
      </c>
      <c r="J41" s="8"/>
      <c r="K41" s="198">
        <f>+J39-J37</f>
        <v>0</v>
      </c>
      <c r="L41" s="8"/>
      <c r="M41" s="198">
        <f>+L39-L37</f>
        <v>0</v>
      </c>
      <c r="N41" s="8"/>
      <c r="O41" s="198">
        <f>+N39-N37</f>
        <v>0</v>
      </c>
      <c r="P41" s="8"/>
      <c r="Q41" s="198">
        <f>+P39-P37</f>
        <v>0</v>
      </c>
      <c r="R41" s="8"/>
      <c r="S41" s="198">
        <f>+R39-R37</f>
        <v>0</v>
      </c>
      <c r="T41" s="8"/>
      <c r="U41" s="198">
        <f>+T39-T37</f>
        <v>0</v>
      </c>
    </row>
    <row r="42" spans="1:24" ht="18" customHeight="1" x14ac:dyDescent="0.3">
      <c r="A42" s="168" t="s">
        <v>78</v>
      </c>
      <c r="B42" s="250">
        <f>+B40*CO2E_naturalgas_combustion/1000000</f>
        <v>0</v>
      </c>
      <c r="C42" s="251"/>
      <c r="D42" s="250">
        <f>+D40*CO2E_naturalgas_combustion/1000000</f>
        <v>0</v>
      </c>
      <c r="E42" s="251"/>
      <c r="F42" s="250">
        <f>+F40*CO2E_naturalgas_combustion/1000000</f>
        <v>0</v>
      </c>
      <c r="G42" s="251"/>
      <c r="H42" s="250">
        <f>+H40*CO2E_naturalgas_combustion/1000000</f>
        <v>0</v>
      </c>
      <c r="I42" s="251"/>
      <c r="J42" s="250">
        <f>+J40*CO2E_naturalgas_combustion/1000000</f>
        <v>0</v>
      </c>
      <c r="K42" s="251"/>
      <c r="L42" s="250">
        <f>+L40*CO2E_naturalgas_combustion/1000000</f>
        <v>0</v>
      </c>
      <c r="M42" s="251"/>
      <c r="N42" s="250">
        <f>+N40*CO2E_naturalgas_combustion/1000000</f>
        <v>0</v>
      </c>
      <c r="O42" s="251"/>
      <c r="P42" s="250">
        <f>+P40*CO2E_naturalgas_combustion/1000000</f>
        <v>0</v>
      </c>
      <c r="Q42" s="251"/>
      <c r="R42" s="250">
        <f>+R40*CO2E_naturalgas_combustion/1000000</f>
        <v>0</v>
      </c>
      <c r="S42" s="251"/>
      <c r="T42" s="250">
        <f>+T40*CO2E_naturalgas_combustion/1000000</f>
        <v>0</v>
      </c>
      <c r="U42" s="251"/>
      <c r="W42" s="130"/>
      <c r="X42" s="130"/>
    </row>
    <row r="43" spans="1:24" s="226" customFormat="1" ht="18" customHeight="1" x14ac:dyDescent="0.3">
      <c r="A43" s="168" t="s">
        <v>79</v>
      </c>
      <c r="B43" s="250">
        <f>+B41*GHG_emissions_factors_by_province/1000000</f>
        <v>0</v>
      </c>
      <c r="C43" s="237"/>
      <c r="D43" s="250">
        <f>+D41*GHG_emissions_factors_by_province/1000000</f>
        <v>-2.5493443105521663</v>
      </c>
      <c r="E43" s="237"/>
      <c r="F43" s="250">
        <f>+F41*GHG_emissions_factors_by_province/1000000</f>
        <v>0</v>
      </c>
      <c r="G43" s="237"/>
      <c r="H43" s="250">
        <f>+H41*GHG_emissions_factors_by_province/1000000</f>
        <v>0</v>
      </c>
      <c r="I43" s="237"/>
      <c r="J43" s="250">
        <f>+J41*GHG_emissions_factors_by_province/1000000</f>
        <v>0</v>
      </c>
      <c r="K43" s="237"/>
      <c r="L43" s="250">
        <f>+L41*GHG_emissions_factors_by_province/1000000</f>
        <v>0</v>
      </c>
      <c r="M43" s="237"/>
      <c r="N43" s="250">
        <f>+N41*GHG_emissions_factors_by_province/1000000</f>
        <v>0</v>
      </c>
      <c r="O43" s="237"/>
      <c r="P43" s="250">
        <f>+P41*GHG_emissions_factors_by_province/1000000</f>
        <v>0</v>
      </c>
      <c r="Q43" s="237"/>
      <c r="R43" s="250">
        <f>+R41*GHG_emissions_factors_by_province/1000000</f>
        <v>0</v>
      </c>
      <c r="S43" s="237"/>
      <c r="T43" s="250">
        <f>+T41*GHG_emissions_factors_by_province/1000000</f>
        <v>0</v>
      </c>
      <c r="U43" s="237"/>
      <c r="W43" s="130"/>
      <c r="X43" s="130"/>
    </row>
    <row r="44" spans="1:24" s="183" customFormat="1" ht="16.5" x14ac:dyDescent="0.3">
      <c r="A44" s="168" t="s">
        <v>80</v>
      </c>
      <c r="B44" s="250" t="e">
        <f>+(B22*B35*density_of_CH4_at_STP*CO2E_of_CH4_ClimateReg/Mg_kg)+B26+B33</f>
        <v>#VALUE!</v>
      </c>
      <c r="C44" s="253"/>
      <c r="D44" s="250">
        <f>+(D22*D35*density_of_CH4_at_STP*CO2E_of_CH4_ClimateReg/Mg_kg)+D26+D33</f>
        <v>0.15785034097996803</v>
      </c>
      <c r="E44" s="253"/>
      <c r="F44" s="250" t="e">
        <f>+(F22*F35*density_of_CH4_at_STP*CO2E_of_CH4_ClimateReg/Mg_kg)+F26+F33</f>
        <v>#VALUE!</v>
      </c>
      <c r="G44" s="253"/>
      <c r="H44" s="250" t="e">
        <f>+(H22*H35*density_of_CH4_at_STP*CO2E_of_CH4_ClimateReg/Mg_kg)+H26+H33</f>
        <v>#VALUE!</v>
      </c>
      <c r="I44" s="253"/>
      <c r="J44" s="250" t="e">
        <f>+(J22*J35*density_of_CH4_at_STP*CO2E_of_CH4_ClimateReg/Mg_kg)+J26+J33</f>
        <v>#VALUE!</v>
      </c>
      <c r="K44" s="253"/>
      <c r="L44" s="250" t="e">
        <f>+(L22*L35*density_of_CH4_at_STP*CO2E_of_CH4_ClimateReg/Mg_kg)+L26+L33</f>
        <v>#VALUE!</v>
      </c>
      <c r="M44" s="253"/>
      <c r="N44" s="250" t="e">
        <f>+(N22*N35*density_of_CH4_at_STP*CO2E_of_CH4_ClimateReg/Mg_kg)+N26+N33</f>
        <v>#VALUE!</v>
      </c>
      <c r="O44" s="253"/>
      <c r="P44" s="250" t="e">
        <f>+(P22*P35*density_of_CH4_at_STP*CO2E_of_CH4_ClimateReg/Mg_kg)+P26+P33</f>
        <v>#VALUE!</v>
      </c>
      <c r="Q44" s="253"/>
      <c r="R44" s="250" t="e">
        <f>+(R22*R35*density_of_CH4_at_STP*CO2E_of_CH4_ClimateReg/Mg_kg)+R26+R33</f>
        <v>#VALUE!</v>
      </c>
      <c r="S44" s="253"/>
      <c r="T44" s="250" t="e">
        <f>+(T22*T35*density_of_CH4_at_STP*CO2E_of_CH4_ClimateReg/Mg_kg)+T26+T33</f>
        <v>#VALUE!</v>
      </c>
      <c r="U44" s="253"/>
    </row>
    <row r="45" spans="1:24" ht="16.5" x14ac:dyDescent="0.3">
      <c r="A45" s="417" t="s">
        <v>757</v>
      </c>
      <c r="B45" s="1079">
        <f>+B22/Methane_in_anaerobic_digester_gas_Monteith*co2_biogas_combust/Mg_kg</f>
        <v>0</v>
      </c>
      <c r="C45" s="1080"/>
      <c r="D45" s="1079">
        <f>+D22/Methane_in_anaerobic_digester_gas_Monteith*co2_biogas_combust/Mg_kg</f>
        <v>4.2441493050777606</v>
      </c>
      <c r="E45" s="1080"/>
      <c r="F45" s="1079">
        <f>+F22/Methane_in_anaerobic_digester_gas_Monteith*co2_biogas_combust/Mg_kg</f>
        <v>0</v>
      </c>
      <c r="G45" s="1080"/>
      <c r="H45" s="1079">
        <f>+H22/Methane_in_anaerobic_digester_gas_Monteith*co2_biogas_combust/Mg_kg</f>
        <v>0</v>
      </c>
      <c r="I45" s="1080"/>
      <c r="J45" s="1079">
        <f>+J22/Methane_in_anaerobic_digester_gas_Monteith*co2_biogas_combust/Mg_kg</f>
        <v>0</v>
      </c>
      <c r="K45" s="1080"/>
      <c r="L45" s="1079">
        <f>+L22/Methane_in_anaerobic_digester_gas_Monteith*co2_biogas_combust/Mg_kg</f>
        <v>0</v>
      </c>
      <c r="M45" s="1080"/>
      <c r="N45" s="1079">
        <f>+N22/Methane_in_anaerobic_digester_gas_Monteith*co2_biogas_combust/Mg_kg</f>
        <v>0</v>
      </c>
      <c r="O45" s="1080"/>
      <c r="P45" s="1079">
        <f>+P22/Methane_in_anaerobic_digester_gas_Monteith*co2_biogas_combust/Mg_kg</f>
        <v>0</v>
      </c>
      <c r="Q45" s="1080"/>
      <c r="R45" s="1079">
        <f>+R22/Methane_in_anaerobic_digester_gas_Monteith*co2_biogas_combust/Mg_kg</f>
        <v>0</v>
      </c>
      <c r="S45" s="1080"/>
      <c r="T45" s="1079">
        <f>+T22/Methane_in_anaerobic_digester_gas_Monteith*co2_biogas_combust/Mg_kg</f>
        <v>0</v>
      </c>
      <c r="U45" s="1080"/>
    </row>
    <row r="46" spans="1:24" ht="15" thickBot="1" x14ac:dyDescent="0.25">
      <c r="A46" s="333"/>
      <c r="B46" s="878"/>
      <c r="C46" s="235"/>
      <c r="D46" s="234"/>
      <c r="E46" s="235"/>
      <c r="F46" s="234"/>
      <c r="G46" s="235"/>
      <c r="H46" s="234"/>
      <c r="I46" s="235"/>
      <c r="J46" s="234"/>
      <c r="K46" s="235"/>
      <c r="L46" s="234"/>
      <c r="M46" s="235"/>
      <c r="N46" s="234"/>
      <c r="O46" s="235"/>
      <c r="P46" s="234"/>
      <c r="Q46" s="235"/>
      <c r="R46" s="234"/>
      <c r="S46" s="235"/>
      <c r="T46" s="234"/>
      <c r="U46" s="235"/>
    </row>
    <row r="47" spans="1:24" s="226" customFormat="1" ht="15.75" thickBot="1" x14ac:dyDescent="0.3">
      <c r="A47" s="1332"/>
      <c r="B47" s="1333"/>
      <c r="C47" s="1333"/>
      <c r="D47" s="1333"/>
      <c r="E47" s="1333"/>
      <c r="F47" s="1333"/>
      <c r="G47" s="1333"/>
      <c r="H47" s="1333"/>
      <c r="I47" s="1333"/>
      <c r="J47" s="1333"/>
      <c r="K47" s="1333"/>
      <c r="L47" s="1333"/>
      <c r="M47" s="1333"/>
      <c r="N47" s="1333"/>
      <c r="O47" s="1333"/>
      <c r="P47" s="1333"/>
      <c r="Q47" s="1333"/>
      <c r="R47" s="1333"/>
      <c r="S47" s="1333"/>
      <c r="T47" s="1333"/>
      <c r="U47" s="1334"/>
    </row>
    <row r="48" spans="1:24" s="130" customFormat="1" ht="18.75" customHeight="1" thickBot="1" x14ac:dyDescent="0.3">
      <c r="A48" s="254" t="s">
        <v>44</v>
      </c>
      <c r="B48" s="255" t="e">
        <f>SUM(B42:B44)*days_yr</f>
        <v>#VALUE!</v>
      </c>
      <c r="C48" s="256"/>
      <c r="D48" s="255">
        <f>SUM(D42:D44)*days_yr</f>
        <v>-872.89529889385233</v>
      </c>
      <c r="E48" s="256"/>
      <c r="F48" s="255" t="e">
        <f>SUM(F42:F44)*days_yr</f>
        <v>#VALUE!</v>
      </c>
      <c r="G48" s="256"/>
      <c r="H48" s="255" t="e">
        <f>SUM(H42:H44)*days_yr</f>
        <v>#VALUE!</v>
      </c>
      <c r="I48" s="256"/>
      <c r="J48" s="255" t="e">
        <f>SUM(J42:J44)*days_yr</f>
        <v>#VALUE!</v>
      </c>
      <c r="K48" s="256"/>
      <c r="L48" s="255" t="e">
        <f>SUM(L42:L44)*days_yr</f>
        <v>#VALUE!</v>
      </c>
      <c r="M48" s="256"/>
      <c r="N48" s="255" t="e">
        <f>SUM(N42:N44)*days_yr</f>
        <v>#VALUE!</v>
      </c>
      <c r="O48" s="256"/>
      <c r="P48" s="255" t="e">
        <f>SUM(P42:P44)*days_yr</f>
        <v>#VALUE!</v>
      </c>
      <c r="Q48" s="256"/>
      <c r="R48" s="255" t="e">
        <f>SUM(R42:R44)*days_yr</f>
        <v>#VALUE!</v>
      </c>
      <c r="S48" s="256"/>
      <c r="T48" s="255" t="e">
        <f>SUM(T42:T44)*days_yr</f>
        <v>#VALUE!</v>
      </c>
      <c r="U48" s="256"/>
    </row>
    <row r="49" spans="1:21" ht="15.75" customHeight="1" x14ac:dyDescent="0.25">
      <c r="A49" s="161" t="s">
        <v>228</v>
      </c>
      <c r="B49" s="89" t="e">
        <f>(B42+B44)*days_yr</f>
        <v>#VALUE!</v>
      </c>
      <c r="C49" s="257"/>
      <c r="D49" s="89">
        <f>(D42+D44)*days_yr</f>
        <v>57.615374457688333</v>
      </c>
      <c r="E49" s="257"/>
      <c r="F49" s="89" t="e">
        <f>(F42+F44)*days_yr</f>
        <v>#VALUE!</v>
      </c>
      <c r="G49" s="257"/>
      <c r="H49" s="89" t="e">
        <f>(H42+H44)*days_yr</f>
        <v>#VALUE!</v>
      </c>
      <c r="I49" s="257"/>
      <c r="J49" s="89" t="e">
        <f>(J42+J44)*days_yr</f>
        <v>#VALUE!</v>
      </c>
      <c r="K49" s="257"/>
      <c r="L49" s="89" t="e">
        <f>(L42+L44)*days_yr</f>
        <v>#VALUE!</v>
      </c>
      <c r="M49" s="257"/>
      <c r="N49" s="89" t="e">
        <f>(N42+N44)*days_yr</f>
        <v>#VALUE!</v>
      </c>
      <c r="O49" s="257"/>
      <c r="P49" s="89" t="e">
        <f>(P42+P44)*days_yr</f>
        <v>#VALUE!</v>
      </c>
      <c r="Q49" s="257"/>
      <c r="R49" s="89" t="e">
        <f>(R42+R44)*days_yr</f>
        <v>#VALUE!</v>
      </c>
      <c r="S49" s="257"/>
      <c r="T49" s="89" t="e">
        <f>(T42+T44)*days_yr</f>
        <v>#VALUE!</v>
      </c>
      <c r="U49" s="257"/>
    </row>
    <row r="50" spans="1:21" s="130" customFormat="1" ht="15.75" customHeight="1" x14ac:dyDescent="0.25">
      <c r="A50" s="164" t="s">
        <v>229</v>
      </c>
      <c r="B50" s="258">
        <f>B43*days_yr</f>
        <v>0</v>
      </c>
      <c r="C50" s="259"/>
      <c r="D50" s="258">
        <f>D43*days_yr</f>
        <v>-930.51067335154073</v>
      </c>
      <c r="E50" s="259"/>
      <c r="F50" s="258">
        <f>F43*days_yr</f>
        <v>0</v>
      </c>
      <c r="G50" s="259"/>
      <c r="H50" s="258">
        <f>H43*days_yr</f>
        <v>0</v>
      </c>
      <c r="I50" s="259"/>
      <c r="J50" s="258">
        <f>J43*days_yr</f>
        <v>0</v>
      </c>
      <c r="K50" s="259"/>
      <c r="L50" s="258">
        <f>L43*days_yr</f>
        <v>0</v>
      </c>
      <c r="M50" s="259"/>
      <c r="N50" s="258">
        <f>N43*days_yr</f>
        <v>0</v>
      </c>
      <c r="O50" s="259"/>
      <c r="P50" s="258">
        <f>P43*days_yr</f>
        <v>0</v>
      </c>
      <c r="Q50" s="259"/>
      <c r="R50" s="258">
        <f>R43*days_yr</f>
        <v>0</v>
      </c>
      <c r="S50" s="259"/>
      <c r="T50" s="258">
        <f>T43*days_yr</f>
        <v>0</v>
      </c>
      <c r="U50" s="259"/>
    </row>
    <row r="51" spans="1:21" ht="15.75" customHeight="1" x14ac:dyDescent="0.25">
      <c r="A51" s="168" t="s">
        <v>207</v>
      </c>
      <c r="B51" s="99" t="e">
        <f>B49+B50</f>
        <v>#VALUE!</v>
      </c>
      <c r="C51" s="257"/>
      <c r="D51" s="99">
        <f>D49+D50</f>
        <v>-872.89529889385244</v>
      </c>
      <c r="E51" s="257"/>
      <c r="F51" s="99" t="e">
        <f>F49+F50</f>
        <v>#VALUE!</v>
      </c>
      <c r="G51" s="257"/>
      <c r="H51" s="99" t="e">
        <f>H49+H50</f>
        <v>#VALUE!</v>
      </c>
      <c r="I51" s="257"/>
      <c r="J51" s="99" t="e">
        <f>J49+J50</f>
        <v>#VALUE!</v>
      </c>
      <c r="K51" s="257"/>
      <c r="L51" s="99" t="e">
        <f>L49+L50</f>
        <v>#VALUE!</v>
      </c>
      <c r="M51" s="257"/>
      <c r="N51" s="99" t="e">
        <f>N49+N50</f>
        <v>#VALUE!</v>
      </c>
      <c r="O51" s="257"/>
      <c r="P51" s="99" t="e">
        <f>P49+P50</f>
        <v>#VALUE!</v>
      </c>
      <c r="Q51" s="257"/>
      <c r="R51" s="99" t="e">
        <f>R49+R50</f>
        <v>#VALUE!</v>
      </c>
      <c r="S51" s="257"/>
      <c r="T51" s="99" t="e">
        <f>T49+T50</f>
        <v>#VALUE!</v>
      </c>
      <c r="U51" s="257"/>
    </row>
    <row r="52" spans="1:21" s="130" customFormat="1" ht="15.75" customHeight="1" x14ac:dyDescent="0.25">
      <c r="A52" s="164" t="s">
        <v>230</v>
      </c>
      <c r="B52" s="258">
        <v>0</v>
      </c>
      <c r="C52" s="259"/>
      <c r="D52" s="258">
        <v>0</v>
      </c>
      <c r="E52" s="259"/>
      <c r="F52" s="258">
        <v>0</v>
      </c>
      <c r="G52" s="259"/>
      <c r="H52" s="258">
        <v>0</v>
      </c>
      <c r="I52" s="259"/>
      <c r="J52" s="258">
        <v>0</v>
      </c>
      <c r="K52" s="259"/>
      <c r="L52" s="258">
        <v>0</v>
      </c>
      <c r="M52" s="259"/>
      <c r="N52" s="258">
        <v>0</v>
      </c>
      <c r="O52" s="259"/>
      <c r="P52" s="258">
        <v>0</v>
      </c>
      <c r="Q52" s="259"/>
      <c r="R52" s="258">
        <v>0</v>
      </c>
      <c r="S52" s="259"/>
      <c r="T52" s="258">
        <v>0</v>
      </c>
      <c r="U52" s="259"/>
    </row>
    <row r="53" spans="1:21" ht="15.75" customHeight="1" thickBot="1" x14ac:dyDescent="0.3">
      <c r="A53" s="169" t="s">
        <v>325</v>
      </c>
      <c r="B53" s="114">
        <f>B45*days_yr</f>
        <v>0</v>
      </c>
      <c r="C53" s="260"/>
      <c r="D53" s="114">
        <f>D45*days_yr</f>
        <v>1549.1144963533825</v>
      </c>
      <c r="E53" s="260"/>
      <c r="F53" s="114">
        <f>F45*days_yr</f>
        <v>0</v>
      </c>
      <c r="G53" s="260"/>
      <c r="H53" s="114">
        <f>H45*days_yr</f>
        <v>0</v>
      </c>
      <c r="I53" s="260"/>
      <c r="J53" s="114">
        <f>J45*days_yr</f>
        <v>0</v>
      </c>
      <c r="K53" s="260"/>
      <c r="L53" s="114">
        <f>L45*days_yr</f>
        <v>0</v>
      </c>
      <c r="M53" s="260"/>
      <c r="N53" s="114">
        <f>N45*days_yr</f>
        <v>0</v>
      </c>
      <c r="O53" s="260"/>
      <c r="P53" s="114">
        <f>P45*days_yr</f>
        <v>0</v>
      </c>
      <c r="Q53" s="260"/>
      <c r="R53" s="114">
        <f>R45*days_yr</f>
        <v>0</v>
      </c>
      <c r="S53" s="260"/>
      <c r="T53" s="114">
        <f>T45*days_yr</f>
        <v>0</v>
      </c>
      <c r="U53" s="260"/>
    </row>
    <row r="55" spans="1:21" ht="18" x14ac:dyDescent="0.25">
      <c r="A55" s="176" t="s">
        <v>97</v>
      </c>
      <c r="B55" s="155"/>
    </row>
    <row r="56" spans="1:21" ht="54.75" customHeight="1" x14ac:dyDescent="0.2">
      <c r="A56" s="1297" t="s">
        <v>55</v>
      </c>
      <c r="B56" s="1320"/>
      <c r="C56" s="1320"/>
    </row>
    <row r="57" spans="1:21" ht="18.75" x14ac:dyDescent="0.35">
      <c r="A57" s="96" t="s">
        <v>107</v>
      </c>
    </row>
    <row r="58" spans="1:21" ht="15" x14ac:dyDescent="0.2">
      <c r="B58" s="1234" t="s">
        <v>110</v>
      </c>
      <c r="C58" s="1235"/>
      <c r="D58" s="1235"/>
      <c r="E58" s="1236"/>
    </row>
    <row r="59" spans="1:21" x14ac:dyDescent="0.2">
      <c r="B59" s="1231" t="s">
        <v>31</v>
      </c>
      <c r="C59" s="1232"/>
      <c r="D59" s="1233"/>
      <c r="E59" s="563">
        <v>0</v>
      </c>
    </row>
    <row r="60" spans="1:21" x14ac:dyDescent="0.2">
      <c r="B60" s="1231" t="s">
        <v>32</v>
      </c>
      <c r="C60" s="1232"/>
      <c r="D60" s="1233"/>
      <c r="E60" s="564">
        <v>0</v>
      </c>
    </row>
    <row r="61" spans="1:21" x14ac:dyDescent="0.2">
      <c r="B61" s="1231" t="s">
        <v>615</v>
      </c>
      <c r="C61" s="1232"/>
      <c r="D61" s="1233"/>
      <c r="E61" s="565">
        <v>0</v>
      </c>
    </row>
    <row r="62" spans="1:21" ht="15" x14ac:dyDescent="0.25">
      <c r="B62" s="1231" t="s">
        <v>70</v>
      </c>
      <c r="C62" s="1232"/>
      <c r="D62" s="1233"/>
      <c r="E62" s="566">
        <v>0</v>
      </c>
    </row>
    <row r="63" spans="1:21" x14ac:dyDescent="0.2">
      <c r="B63" s="1231" t="s">
        <v>550</v>
      </c>
      <c r="C63" s="1232"/>
      <c r="D63" s="1233"/>
      <c r="E63" s="567">
        <v>0</v>
      </c>
    </row>
    <row r="64" spans="1:21" x14ac:dyDescent="0.2">
      <c r="B64" s="1231" t="s">
        <v>610</v>
      </c>
      <c r="C64" s="1232"/>
      <c r="D64" s="1233"/>
      <c r="E64" s="227">
        <v>0</v>
      </c>
    </row>
    <row r="65" spans="3:7" x14ac:dyDescent="0.2">
      <c r="C65" s="96"/>
    </row>
    <row r="67" spans="3:7" x14ac:dyDescent="0.2">
      <c r="F67" s="261"/>
    </row>
    <row r="71" spans="3:7" x14ac:dyDescent="0.2">
      <c r="G71" s="875"/>
    </row>
  </sheetData>
  <sheetProtection algorithmName="SHA-512" hashValue="lvy59tsLbANONiA8rTN8AbwZyXuoDTjWNxc8WUwgvWWG2nPgYMkQgJxflbdSJGtJlXuc1HIi3xA6sYgrlUBUGQ==" saltValue="wtyafeKYoGHcilvO8A08hA==" spinCount="100000" sheet="1" objects="1" scenarios="1"/>
  <mergeCells count="33">
    <mergeCell ref="A56:C56"/>
    <mergeCell ref="A20:U20"/>
    <mergeCell ref="A13:U13"/>
    <mergeCell ref="B58:E58"/>
    <mergeCell ref="A5:U5"/>
    <mergeCell ref="A47:U47"/>
    <mergeCell ref="D3:E3"/>
    <mergeCell ref="F3:G3"/>
    <mergeCell ref="N3:O3"/>
    <mergeCell ref="P3:Q3"/>
    <mergeCell ref="R3:S3"/>
    <mergeCell ref="T3:U3"/>
    <mergeCell ref="A2:A3"/>
    <mergeCell ref="N2:O2"/>
    <mergeCell ref="P2:Q2"/>
    <mergeCell ref="R2:S2"/>
    <mergeCell ref="T2:U2"/>
    <mergeCell ref="B3:C3"/>
    <mergeCell ref="H3:I3"/>
    <mergeCell ref="J3:K3"/>
    <mergeCell ref="L3:M3"/>
    <mergeCell ref="B2:C2"/>
    <mergeCell ref="D2:E2"/>
    <mergeCell ref="F2:G2"/>
    <mergeCell ref="H2:I2"/>
    <mergeCell ref="J2:K2"/>
    <mergeCell ref="L2:M2"/>
    <mergeCell ref="B64:D64"/>
    <mergeCell ref="B59:D59"/>
    <mergeCell ref="B60:D60"/>
    <mergeCell ref="B61:D61"/>
    <mergeCell ref="B62:D62"/>
    <mergeCell ref="B63:D63"/>
  </mergeCells>
  <dataValidations count="3">
    <dataValidation type="list" allowBlank="1" showInputMessage="1" showErrorMessage="1" sqref="R29 N23 B23 D23 F23 H23 J23 L23 N29 P23 P29 B29 T23 D29 F29 H29 J29 L29 R23 T29" xr:uid="{00000000-0002-0000-0A00-000000000000}">
      <formula1>Yes_No</formula1>
    </dataValidation>
    <dataValidation type="list" allowBlank="1" showInputMessage="1" showErrorMessage="1" sqref="P31 B31 R31 D31 F31 H31 J31 L31 N31 T31" xr:uid="{00000000-0002-0000-0A00-000001000000}">
      <formula1>Flare_type</formula1>
    </dataValidation>
    <dataValidation type="list" allowBlank="1" showInputMessage="1" showErrorMessage="1" sqref="B25 R25 D25 F25 H25 J25 L25 N25 P25 T25" xr:uid="{00000000-0002-0000-0A00-000002000000}">
      <formula1>combust_efficiency</formula1>
    </dataValidation>
  </dataValidations>
  <pageMargins left="0.75" right="0.75" top="1" bottom="1" header="0.5" footer="0.5"/>
  <pageSetup scale="72" orientation="portrait" horizontalDpi="4294967292" verticalDpi="429496729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pageSetUpPr fitToPage="1"/>
  </sheetPr>
  <dimension ref="A1:U67"/>
  <sheetViews>
    <sheetView workbookViewId="0"/>
  </sheetViews>
  <sheetFormatPr defaultColWidth="11.42578125" defaultRowHeight="14.25" x14ac:dyDescent="0.2"/>
  <cols>
    <col min="1" max="1" width="91" style="105" customWidth="1"/>
    <col min="2" max="2" width="16" style="105" customWidth="1"/>
    <col min="3" max="3" width="15.85546875" style="105" customWidth="1"/>
    <col min="4" max="4" width="16" style="105" customWidth="1"/>
    <col min="5" max="5" width="15" style="105" customWidth="1"/>
    <col min="6" max="6" width="16" style="105" customWidth="1"/>
    <col min="7" max="7" width="15" style="105" customWidth="1"/>
    <col min="8" max="8" width="16" style="105" customWidth="1"/>
    <col min="9" max="9" width="15" style="105" customWidth="1"/>
    <col min="10" max="10" width="16" style="105" customWidth="1"/>
    <col min="11" max="11" width="15" style="105" customWidth="1"/>
    <col min="12" max="12" width="16" style="105" customWidth="1"/>
    <col min="13" max="13" width="15" style="105" customWidth="1"/>
    <col min="14" max="14" width="16" style="105" customWidth="1"/>
    <col min="15" max="15" width="15" style="105" customWidth="1"/>
    <col min="16" max="16" width="16" style="105" customWidth="1"/>
    <col min="17" max="17" width="15" style="105" customWidth="1"/>
    <col min="18" max="18" width="16" style="105" customWidth="1"/>
    <col min="19" max="19" width="15" style="105" customWidth="1"/>
    <col min="20" max="20" width="16" style="105" customWidth="1"/>
    <col min="21" max="21" width="15" style="105" customWidth="1"/>
    <col min="22" max="16384" width="11.42578125" style="105"/>
  </cols>
  <sheetData>
    <row r="1" spans="1:21" ht="24" thickBot="1" x14ac:dyDescent="0.4">
      <c r="B1" s="243"/>
      <c r="C1" s="243"/>
      <c r="D1" s="243"/>
      <c r="E1" s="243"/>
      <c r="F1" s="243"/>
      <c r="G1" s="243"/>
      <c r="H1" s="243"/>
    </row>
    <row r="2" spans="1:21" ht="23.25" customHeight="1" x14ac:dyDescent="0.2">
      <c r="A2" s="1318" t="s">
        <v>516</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30" customFormat="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s="183" customFormat="1" ht="15.75" thickBot="1" x14ac:dyDescent="0.3">
      <c r="A5" s="1300" t="s">
        <v>63</v>
      </c>
      <c r="B5" s="1301"/>
      <c r="C5" s="1301"/>
      <c r="D5" s="1301"/>
      <c r="E5" s="1301"/>
      <c r="F5" s="1301"/>
      <c r="G5" s="1301"/>
      <c r="H5" s="1301"/>
      <c r="I5" s="1301"/>
      <c r="J5" s="1301"/>
      <c r="K5" s="1301"/>
      <c r="L5" s="1301"/>
      <c r="M5" s="1301"/>
      <c r="N5" s="1301"/>
      <c r="O5" s="1301"/>
      <c r="P5" s="1301"/>
      <c r="Q5" s="1301"/>
      <c r="R5" s="1301"/>
      <c r="S5" s="1301"/>
      <c r="T5" s="1301"/>
      <c r="U5" s="1302"/>
    </row>
    <row r="6" spans="1:21" s="130" customFormat="1" ht="17.25" customHeight="1" x14ac:dyDescent="0.2">
      <c r="A6" s="1039" t="s">
        <v>926</v>
      </c>
      <c r="B6" s="25">
        <f>+mass_condit_solids</f>
        <v>0</v>
      </c>
      <c r="C6" s="244"/>
      <c r="D6" s="25">
        <f>+mass_condit_solids</f>
        <v>0</v>
      </c>
      <c r="E6" s="244"/>
      <c r="F6" s="25">
        <f>+mass_condit_solids</f>
        <v>0</v>
      </c>
      <c r="G6" s="244"/>
      <c r="H6" s="25">
        <f>+mass_condit_solids</f>
        <v>0</v>
      </c>
      <c r="I6" s="244"/>
      <c r="J6" s="25">
        <f>+mass_condit_solids</f>
        <v>0</v>
      </c>
      <c r="K6" s="244"/>
      <c r="L6" s="25">
        <f>+mass_condit_solids</f>
        <v>0</v>
      </c>
      <c r="M6" s="244"/>
      <c r="N6" s="25">
        <f>+mass_condit_solids</f>
        <v>0</v>
      </c>
      <c r="O6" s="244"/>
      <c r="P6" s="25">
        <f>+mass_condit_solids</f>
        <v>0</v>
      </c>
      <c r="Q6" s="244"/>
      <c r="R6" s="25">
        <f>+mass_condit_solids</f>
        <v>0</v>
      </c>
      <c r="S6" s="244"/>
      <c r="T6" s="25">
        <f>+mass_condit_solids</f>
        <v>0</v>
      </c>
      <c r="U6" s="244"/>
    </row>
    <row r="7" spans="1:21" s="130" customFormat="1" ht="17.25" customHeight="1" x14ac:dyDescent="0.2">
      <c r="A7" s="457" t="s">
        <v>918</v>
      </c>
      <c r="B7" s="25">
        <f>+B6</f>
        <v>0</v>
      </c>
      <c r="C7" s="244"/>
      <c r="D7" s="25">
        <f>+D6</f>
        <v>0</v>
      </c>
      <c r="E7" s="244"/>
      <c r="F7" s="25">
        <f>+F6</f>
        <v>0</v>
      </c>
      <c r="G7" s="244"/>
      <c r="H7" s="25">
        <f>+H6</f>
        <v>0</v>
      </c>
      <c r="I7" s="244"/>
      <c r="J7" s="25">
        <f>+J6</f>
        <v>0</v>
      </c>
      <c r="K7" s="244"/>
      <c r="L7" s="25">
        <f>+L6</f>
        <v>0</v>
      </c>
      <c r="M7" s="244"/>
      <c r="N7" s="25">
        <f>+N6</f>
        <v>0</v>
      </c>
      <c r="O7" s="244"/>
      <c r="P7" s="25">
        <f>+P6</f>
        <v>0</v>
      </c>
      <c r="Q7" s="244"/>
      <c r="R7" s="25">
        <f>+R6</f>
        <v>0</v>
      </c>
      <c r="S7" s="244"/>
      <c r="T7" s="25">
        <f>+T6</f>
        <v>0</v>
      </c>
      <c r="U7" s="244"/>
    </row>
    <row r="8" spans="1:21" s="130" customFormat="1" ht="17.25" customHeight="1" x14ac:dyDescent="0.2">
      <c r="A8" s="457" t="s">
        <v>919</v>
      </c>
      <c r="B8" s="944">
        <f>+B7*solids_after_condit</f>
        <v>0</v>
      </c>
      <c r="C8" s="244"/>
      <c r="D8" s="944">
        <f>+D7*solids_after_condit</f>
        <v>0</v>
      </c>
      <c r="E8" s="244"/>
      <c r="F8" s="944">
        <f>+F7*solids_after_condit</f>
        <v>0</v>
      </c>
      <c r="G8" s="244"/>
      <c r="H8" s="944">
        <f>+H7*solids_after_condit</f>
        <v>0</v>
      </c>
      <c r="I8" s="244"/>
      <c r="J8" s="944">
        <f>+J7*solids_after_condit</f>
        <v>0</v>
      </c>
      <c r="K8" s="244"/>
      <c r="L8" s="944">
        <f>+L7*solids_after_condit</f>
        <v>0</v>
      </c>
      <c r="M8" s="244"/>
      <c r="N8" s="944">
        <f>+N7*solids_after_condit</f>
        <v>0</v>
      </c>
      <c r="O8" s="244"/>
      <c r="P8" s="944">
        <f>+P7*solids_after_condit</f>
        <v>0</v>
      </c>
      <c r="Q8" s="244"/>
      <c r="R8" s="944">
        <f>+R7*solids_after_condit</f>
        <v>0</v>
      </c>
      <c r="S8" s="244"/>
      <c r="T8" s="944">
        <f>+T7*solids_after_condit</f>
        <v>0</v>
      </c>
      <c r="U8" s="244"/>
    </row>
    <row r="9" spans="1:21" s="183" customFormat="1" x14ac:dyDescent="0.2">
      <c r="A9" s="1024" t="s">
        <v>666</v>
      </c>
      <c r="B9" s="945">
        <f>+AD_VS_in</f>
        <v>0.94386666666666685</v>
      </c>
      <c r="C9" s="244"/>
      <c r="D9" s="945">
        <f>+AD_VS_in</f>
        <v>0.94386666666666685</v>
      </c>
      <c r="E9" s="244"/>
      <c r="F9" s="945">
        <f>+AD_VS_in</f>
        <v>0.94386666666666685</v>
      </c>
      <c r="G9" s="244"/>
      <c r="H9" s="945">
        <f>+AD_VS_in</f>
        <v>0.94386666666666685</v>
      </c>
      <c r="I9" s="244"/>
      <c r="J9" s="945">
        <f>+AD_VS_in</f>
        <v>0.94386666666666685</v>
      </c>
      <c r="K9" s="244"/>
      <c r="L9" s="945">
        <f>+AD_VS_in</f>
        <v>0.94386666666666685</v>
      </c>
      <c r="M9" s="244"/>
      <c r="N9" s="945">
        <f>+AD_VS_in</f>
        <v>0.94386666666666685</v>
      </c>
      <c r="O9" s="244"/>
      <c r="P9" s="945">
        <f>+AD_VS_in</f>
        <v>0.94386666666666685</v>
      </c>
      <c r="Q9" s="244"/>
      <c r="R9" s="945">
        <f>+AD_VS_in</f>
        <v>0.94386666666666685</v>
      </c>
      <c r="S9" s="244"/>
      <c r="T9" s="945">
        <f>+AD_VS_in</f>
        <v>0.94386666666666685</v>
      </c>
      <c r="U9" s="244"/>
    </row>
    <row r="10" spans="1:21" s="183" customFormat="1" x14ac:dyDescent="0.2">
      <c r="A10" s="1025" t="s">
        <v>723</v>
      </c>
      <c r="B10" s="944">
        <f>+B8*B9</f>
        <v>0</v>
      </c>
      <c r="C10" s="588"/>
      <c r="D10" s="944">
        <f>+D8*D9</f>
        <v>0</v>
      </c>
      <c r="E10" s="588"/>
      <c r="F10" s="944">
        <f>+F8*F9</f>
        <v>0</v>
      </c>
      <c r="G10" s="588"/>
      <c r="H10" s="944">
        <f>+H8*H9</f>
        <v>0</v>
      </c>
      <c r="I10" s="588"/>
      <c r="J10" s="944">
        <f>+J8*J9</f>
        <v>0</v>
      </c>
      <c r="K10" s="588"/>
      <c r="L10" s="944">
        <f>+L8*L9</f>
        <v>0</v>
      </c>
      <c r="M10" s="588"/>
      <c r="N10" s="944">
        <f>+N8*N9</f>
        <v>0</v>
      </c>
      <c r="O10" s="588"/>
      <c r="P10" s="944">
        <f>+P8*P9</f>
        <v>0</v>
      </c>
      <c r="Q10" s="588"/>
      <c r="R10" s="944">
        <f>+R8*R9</f>
        <v>0</v>
      </c>
      <c r="S10" s="588"/>
      <c r="T10" s="944">
        <f>+T8*T9</f>
        <v>0</v>
      </c>
      <c r="U10" s="588"/>
    </row>
    <row r="11" spans="1:21" s="183" customFormat="1" x14ac:dyDescent="0.2">
      <c r="A11" s="1026" t="s">
        <v>743</v>
      </c>
      <c r="B11" s="960">
        <f>+SRT_AD</f>
        <v>15</v>
      </c>
      <c r="C11" s="248">
        <f>+Default_SRT_anaerobic</f>
        <v>22</v>
      </c>
      <c r="D11" s="960">
        <f>+SRT_AD</f>
        <v>15</v>
      </c>
      <c r="E11" s="248">
        <f>+Default_SRT_anaerobic</f>
        <v>22</v>
      </c>
      <c r="F11" s="960">
        <f>+SRT_AD</f>
        <v>15</v>
      </c>
      <c r="G11" s="248">
        <f>+Default_SRT_anaerobic</f>
        <v>22</v>
      </c>
      <c r="H11" s="960">
        <f>+SRT_AD</f>
        <v>15</v>
      </c>
      <c r="I11" s="248">
        <f>+Default_SRT_anaerobic</f>
        <v>22</v>
      </c>
      <c r="J11" s="960">
        <f>+SRT_AD</f>
        <v>15</v>
      </c>
      <c r="K11" s="248">
        <f>+Default_SRT_anaerobic</f>
        <v>22</v>
      </c>
      <c r="L11" s="960">
        <f>+SRT_AD</f>
        <v>15</v>
      </c>
      <c r="M11" s="248">
        <f>+Default_SRT_anaerobic</f>
        <v>22</v>
      </c>
      <c r="N11" s="960">
        <f>+SRT_AD</f>
        <v>15</v>
      </c>
      <c r="O11" s="248">
        <f>+Default_SRT_anaerobic</f>
        <v>22</v>
      </c>
      <c r="P11" s="960">
        <f>+SRT_AD</f>
        <v>15</v>
      </c>
      <c r="Q11" s="248">
        <f>+Default_SRT_anaerobic</f>
        <v>22</v>
      </c>
      <c r="R11" s="960">
        <f>+SRT_AD</f>
        <v>15</v>
      </c>
      <c r="S11" s="248">
        <f>+Default_SRT_anaerobic</f>
        <v>22</v>
      </c>
      <c r="T11" s="960">
        <f>+SRT_AD</f>
        <v>15</v>
      </c>
      <c r="U11" s="248">
        <f>+Default_SRT_anaerobic</f>
        <v>22</v>
      </c>
    </row>
    <row r="12" spans="1:21" s="226" customFormat="1" ht="15" thickBot="1" x14ac:dyDescent="0.25">
      <c r="A12" s="333"/>
      <c r="B12" s="878"/>
      <c r="C12" s="235"/>
      <c r="D12" s="234"/>
      <c r="E12" s="235"/>
      <c r="F12" s="234"/>
      <c r="G12" s="235"/>
      <c r="H12" s="234"/>
      <c r="I12" s="235"/>
      <c r="J12" s="234"/>
      <c r="K12" s="235"/>
      <c r="L12" s="234"/>
      <c r="M12" s="235"/>
      <c r="N12" s="234"/>
      <c r="O12" s="235"/>
      <c r="P12" s="234"/>
      <c r="Q12" s="235"/>
      <c r="R12" s="234"/>
      <c r="S12" s="235"/>
      <c r="T12" s="234"/>
      <c r="U12" s="235"/>
    </row>
    <row r="13" spans="1:21" s="183" customFormat="1" ht="15.75" thickBot="1" x14ac:dyDescent="0.3">
      <c r="A13" s="1300" t="s">
        <v>64</v>
      </c>
      <c r="B13" s="1301"/>
      <c r="C13" s="1301"/>
      <c r="D13" s="1301"/>
      <c r="E13" s="1301"/>
      <c r="F13" s="1301"/>
      <c r="G13" s="1301"/>
      <c r="H13" s="1301"/>
      <c r="I13" s="1301"/>
      <c r="J13" s="1301"/>
      <c r="K13" s="1301"/>
      <c r="L13" s="1301"/>
      <c r="M13" s="1301"/>
      <c r="N13" s="1301"/>
      <c r="O13" s="1301"/>
      <c r="P13" s="1301"/>
      <c r="Q13" s="1301"/>
      <c r="R13" s="1301"/>
      <c r="S13" s="1301"/>
      <c r="T13" s="1301"/>
      <c r="U13" s="1302"/>
    </row>
    <row r="14" spans="1:21" s="183" customFormat="1" ht="16.5" x14ac:dyDescent="0.2">
      <c r="A14" s="451" t="s">
        <v>724</v>
      </c>
      <c r="B14" s="14"/>
      <c r="C14" s="248">
        <f>IFERROR(B6*(1-AD_volume_reduct),"N/A")</f>
        <v>0</v>
      </c>
      <c r="D14" s="14"/>
      <c r="E14" s="248">
        <f>IFERROR(D6*(1-AD_volume_reduct),"N/A")</f>
        <v>0</v>
      </c>
      <c r="F14" s="14"/>
      <c r="G14" s="248">
        <f>IFERROR(F6*(1-AD_volume_reduct),"N/A")</f>
        <v>0</v>
      </c>
      <c r="H14" s="14"/>
      <c r="I14" s="248">
        <f>IFERROR(H6*(1-AD_volume_reduct),"N/A")</f>
        <v>0</v>
      </c>
      <c r="J14" s="14"/>
      <c r="K14" s="248">
        <f>IFERROR(J6*(1-AD_volume_reduct),"N/A")</f>
        <v>0</v>
      </c>
      <c r="L14" s="14"/>
      <c r="M14" s="248">
        <f>IFERROR(L6*(1-AD_volume_reduct),"N/A")</f>
        <v>0</v>
      </c>
      <c r="N14" s="14"/>
      <c r="O14" s="248">
        <f>IFERROR(N6*(1-AD_volume_reduct),"N/A")</f>
        <v>0</v>
      </c>
      <c r="P14" s="14"/>
      <c r="Q14" s="248">
        <f>IFERROR(P6*(1-AD_volume_reduct),"N/A")</f>
        <v>0</v>
      </c>
      <c r="R14" s="14"/>
      <c r="S14" s="248">
        <f>IFERROR(R6*(1-AD_volume_reduct),"N/A")</f>
        <v>0</v>
      </c>
      <c r="T14" s="14"/>
      <c r="U14" s="248">
        <f>IFERROR(T6*(1-AD_volume_reduct),"N/A")</f>
        <v>0</v>
      </c>
    </row>
    <row r="15" spans="1:21" s="130" customFormat="1" x14ac:dyDescent="0.2">
      <c r="A15" s="245" t="s">
        <v>285</v>
      </c>
      <c r="B15" s="945">
        <f>+AD_VSR</f>
        <v>0.8</v>
      </c>
      <c r="C15" s="473"/>
      <c r="D15" s="945">
        <f>+AD_VSR</f>
        <v>0.8</v>
      </c>
      <c r="E15" s="473"/>
      <c r="F15" s="945">
        <f>+AD_VSR</f>
        <v>0.8</v>
      </c>
      <c r="G15" s="473"/>
      <c r="H15" s="945">
        <f>+AD_VSR</f>
        <v>0.8</v>
      </c>
      <c r="I15" s="473"/>
      <c r="J15" s="945">
        <f>+AD_VSR</f>
        <v>0.8</v>
      </c>
      <c r="K15" s="473"/>
      <c r="L15" s="945">
        <f>+AD_VSR</f>
        <v>0.8</v>
      </c>
      <c r="M15" s="473"/>
      <c r="N15" s="945">
        <f>+AD_VSR</f>
        <v>0.8</v>
      </c>
      <c r="O15" s="473"/>
      <c r="P15" s="945">
        <f>+AD_VSR</f>
        <v>0.8</v>
      </c>
      <c r="Q15" s="473"/>
      <c r="R15" s="945">
        <f>+AD_VSR</f>
        <v>0.8</v>
      </c>
      <c r="S15" s="473"/>
      <c r="T15" s="945">
        <f>+AD_VSR</f>
        <v>0.8</v>
      </c>
      <c r="U15" s="473"/>
    </row>
    <row r="16" spans="1:21" s="130" customFormat="1" x14ac:dyDescent="0.2">
      <c r="A16" s="245" t="s">
        <v>287</v>
      </c>
      <c r="B16" s="946">
        <f>IFERROR(B10*B15*Mg_kg,"N/A")</f>
        <v>0</v>
      </c>
      <c r="C16" s="473"/>
      <c r="D16" s="946">
        <f>IFERROR(D10*D15*Mg_kg,"N/A")</f>
        <v>0</v>
      </c>
      <c r="E16" s="473"/>
      <c r="F16" s="946">
        <f>IFERROR(F10*F15*Mg_kg,"N/A")</f>
        <v>0</v>
      </c>
      <c r="G16" s="473"/>
      <c r="H16" s="946">
        <f>IFERROR(H10*H15*Mg_kg,"N/A")</f>
        <v>0</v>
      </c>
      <c r="I16" s="473"/>
      <c r="J16" s="946">
        <f>IFERROR(J10*J15*Mg_kg,"N/A")</f>
        <v>0</v>
      </c>
      <c r="K16" s="473"/>
      <c r="L16" s="946">
        <f>IFERROR(L10*L15*Mg_kg,"N/A")</f>
        <v>0</v>
      </c>
      <c r="M16" s="473"/>
      <c r="N16" s="946">
        <f>IFERROR(N10*N15*Mg_kg,"N/A")</f>
        <v>0</v>
      </c>
      <c r="O16" s="473"/>
      <c r="P16" s="946">
        <f>IFERROR(P10*P15*Mg_kg,"N/A")</f>
        <v>0</v>
      </c>
      <c r="Q16" s="473"/>
      <c r="R16" s="946">
        <f>IFERROR(R10*R15*Mg_kg,"N/A")</f>
        <v>0</v>
      </c>
      <c r="S16" s="473"/>
      <c r="T16" s="946">
        <f>IFERROR(T10*T15*Mg_kg,"N/A")</f>
        <v>0</v>
      </c>
      <c r="U16" s="473"/>
    </row>
    <row r="17" spans="1:21" s="130" customFormat="1" x14ac:dyDescent="0.2">
      <c r="A17" s="245" t="s">
        <v>725</v>
      </c>
      <c r="B17" s="947">
        <f>IFERROR(B8-(B16/Mg_kg),"N/A")</f>
        <v>0</v>
      </c>
      <c r="C17" s="948"/>
      <c r="D17" s="947">
        <f>IFERROR(D8-(D16/Mg_kg),"N/A")</f>
        <v>0</v>
      </c>
      <c r="E17" s="948"/>
      <c r="F17" s="947">
        <f>IFERROR(F8-(F16/Mg_kg),"N/A")</f>
        <v>0</v>
      </c>
      <c r="G17" s="948"/>
      <c r="H17" s="947">
        <f>IFERROR(H8-(H16/Mg_kg),"N/A")</f>
        <v>0</v>
      </c>
      <c r="I17" s="948"/>
      <c r="J17" s="947">
        <f>IFERROR(J8-(J16/Mg_kg),"N/A")</f>
        <v>0</v>
      </c>
      <c r="K17" s="948"/>
      <c r="L17" s="947">
        <f>IFERROR(L8-(L16/Mg_kg),"N/A")</f>
        <v>0</v>
      </c>
      <c r="M17" s="948"/>
      <c r="N17" s="947">
        <f>IFERROR(N8-(N16/Mg_kg),"N/A")</f>
        <v>0</v>
      </c>
      <c r="O17" s="948"/>
      <c r="P17" s="947">
        <f>IFERROR(P8-(P16/Mg_kg),"N/A")</f>
        <v>0</v>
      </c>
      <c r="Q17" s="948"/>
      <c r="R17" s="947">
        <f>IFERROR(R8-(R16/Mg_kg),"N/A")</f>
        <v>0</v>
      </c>
      <c r="S17" s="948"/>
      <c r="T17" s="947">
        <f>IFERROR(T8-(T16/Mg_kg),"N/A")</f>
        <v>0</v>
      </c>
      <c r="U17" s="948"/>
    </row>
    <row r="18" spans="1:21" s="130" customFormat="1" x14ac:dyDescent="0.2">
      <c r="A18" s="1081" t="s">
        <v>726</v>
      </c>
      <c r="B18" s="482" t="str">
        <f>IFERROR((B10-(B16/Mg_kg))/(B8-(B16/Mg_kg)),"N/A")</f>
        <v>N/A</v>
      </c>
      <c r="C18" s="948"/>
      <c r="D18" s="482" t="str">
        <f>IFERROR((D10-(D16/Mg_kg))/(D8-(D16/Mg_kg)),"N/A")</f>
        <v>N/A</v>
      </c>
      <c r="E18" s="948"/>
      <c r="F18" s="482" t="str">
        <f>IFERROR((F10-(F16/Mg_kg))/(F8-(F16/Mg_kg)),"N/A")</f>
        <v>N/A</v>
      </c>
      <c r="G18" s="948"/>
      <c r="H18" s="482" t="str">
        <f>IFERROR((H10-(H16/Mg_kg))/(H8-(H16/Mg_kg)),"N/A")</f>
        <v>N/A</v>
      </c>
      <c r="I18" s="948"/>
      <c r="J18" s="482" t="str">
        <f>IFERROR((J10-(J16/Mg_kg))/(J8-(J16/Mg_kg)),"N/A")</f>
        <v>N/A</v>
      </c>
      <c r="K18" s="948"/>
      <c r="L18" s="482" t="str">
        <f>IFERROR((L10-(L16/Mg_kg))/(L8-(L16/Mg_kg)),"N/A")</f>
        <v>N/A</v>
      </c>
      <c r="M18" s="948"/>
      <c r="N18" s="482" t="str">
        <f>IFERROR((N10-(N16/Mg_kg))/(N8-(N16/Mg_kg)),"N/A")</f>
        <v>N/A</v>
      </c>
      <c r="O18" s="948"/>
      <c r="P18" s="482" t="str">
        <f>IFERROR((P10-(P16/Mg_kg))/(P8-(P16/Mg_kg)),"N/A")</f>
        <v>N/A</v>
      </c>
      <c r="Q18" s="948"/>
      <c r="R18" s="482" t="str">
        <f>IFERROR((R10-(R16/Mg_kg))/(R8-(R16/Mg_kg)),"N/A")</f>
        <v>N/A</v>
      </c>
      <c r="S18" s="948"/>
      <c r="T18" s="482" t="str">
        <f>IFERROR((T10-(T16/Mg_kg))/(T8-(T16/Mg_kg)),"N/A")</f>
        <v>N/A</v>
      </c>
      <c r="U18" s="948"/>
    </row>
    <row r="19" spans="1:21" s="130" customFormat="1" ht="15" thickBot="1" x14ac:dyDescent="0.25">
      <c r="A19" s="333"/>
      <c r="B19" s="878"/>
      <c r="C19" s="235"/>
      <c r="D19" s="234"/>
      <c r="E19" s="235"/>
      <c r="F19" s="234"/>
      <c r="G19" s="235"/>
      <c r="H19" s="234"/>
      <c r="I19" s="235"/>
      <c r="J19" s="234"/>
      <c r="K19" s="235"/>
      <c r="L19" s="234"/>
      <c r="M19" s="235"/>
      <c r="N19" s="234"/>
      <c r="O19" s="235"/>
      <c r="P19" s="234"/>
      <c r="Q19" s="235"/>
      <c r="R19" s="234"/>
      <c r="S19" s="235"/>
      <c r="T19" s="234"/>
      <c r="U19" s="235"/>
    </row>
    <row r="20" spans="1:21" s="183" customFormat="1" ht="15.75" thickBot="1" x14ac:dyDescent="0.3">
      <c r="A20" s="1300" t="s">
        <v>153</v>
      </c>
      <c r="B20" s="1301"/>
      <c r="C20" s="1301"/>
      <c r="D20" s="1301"/>
      <c r="E20" s="1301"/>
      <c r="F20" s="1301"/>
      <c r="G20" s="1301"/>
      <c r="H20" s="1301"/>
      <c r="I20" s="1301"/>
      <c r="J20" s="1301"/>
      <c r="K20" s="1301"/>
      <c r="L20" s="1301"/>
      <c r="M20" s="1301"/>
      <c r="N20" s="1301"/>
      <c r="O20" s="1301"/>
      <c r="P20" s="1301"/>
      <c r="Q20" s="1301"/>
      <c r="R20" s="1301"/>
      <c r="S20" s="1301"/>
      <c r="T20" s="1301"/>
      <c r="U20" s="1302"/>
    </row>
    <row r="21" spans="1:21" s="183" customFormat="1" ht="15.6" customHeight="1" x14ac:dyDescent="0.2">
      <c r="A21" s="451" t="s">
        <v>68</v>
      </c>
      <c r="B21" s="14"/>
      <c r="C21" s="248">
        <f>IFERROR(B16*Biogas_yield_from_VS_destroyed,"N/A")</f>
        <v>0</v>
      </c>
      <c r="D21" s="14"/>
      <c r="E21" s="248">
        <f>IFERROR(D16*Biogas_yield_from_VS_destroyed,"N/A")</f>
        <v>0</v>
      </c>
      <c r="F21" s="14"/>
      <c r="G21" s="248">
        <f>IFERROR(F16*Biogas_yield_from_VS_destroyed,"N/A")</f>
        <v>0</v>
      </c>
      <c r="H21" s="14"/>
      <c r="I21" s="248">
        <f>IFERROR(H16*Biogas_yield_from_VS_destroyed,"N/A")</f>
        <v>0</v>
      </c>
      <c r="J21" s="14"/>
      <c r="K21" s="248">
        <f>IFERROR(J16*Biogas_yield_from_VS_destroyed,"N/A")</f>
        <v>0</v>
      </c>
      <c r="L21" s="14"/>
      <c r="M21" s="248">
        <f>IFERROR(L16*Biogas_yield_from_VS_destroyed,"N/A")</f>
        <v>0</v>
      </c>
      <c r="N21" s="14"/>
      <c r="O21" s="248">
        <f>IFERROR(N16*Biogas_yield_from_VS_destroyed,"N/A")</f>
        <v>0</v>
      </c>
      <c r="P21" s="14"/>
      <c r="Q21" s="248">
        <f>IFERROR(P16*Biogas_yield_from_VS_destroyed,"N/A")</f>
        <v>0</v>
      </c>
      <c r="R21" s="14"/>
      <c r="S21" s="248">
        <f>IFERROR(R16*Biogas_yield_from_VS_destroyed,"N/A")</f>
        <v>0</v>
      </c>
      <c r="T21" s="14"/>
      <c r="U21" s="248">
        <f>IFERROR(T16*Biogas_yield_from_VS_destroyed,"N/A")</f>
        <v>0</v>
      </c>
    </row>
    <row r="22" spans="1:21" s="183" customFormat="1" ht="16.5" x14ac:dyDescent="0.2">
      <c r="A22" s="245" t="s">
        <v>69</v>
      </c>
      <c r="B22" s="14"/>
      <c r="C22" s="198">
        <f>IFERROR(B21*Methane_in_anaerobic_digester_gas_Monteith,"N/A")</f>
        <v>0</v>
      </c>
      <c r="D22" s="14"/>
      <c r="E22" s="198">
        <f>IFERROR(D21*Methane_in_anaerobic_digester_gas_Monteith,"N/A")</f>
        <v>0</v>
      </c>
      <c r="F22" s="14"/>
      <c r="G22" s="198">
        <f>IFERROR(F21*Methane_in_anaerobic_digester_gas_Monteith,"N/A")</f>
        <v>0</v>
      </c>
      <c r="H22" s="14"/>
      <c r="I22" s="198">
        <f>IFERROR(H21*Methane_in_anaerobic_digester_gas_Monteith,"N/A")</f>
        <v>0</v>
      </c>
      <c r="J22" s="14"/>
      <c r="K22" s="198">
        <f>IFERROR(J21*Methane_in_anaerobic_digester_gas_Monteith,"N/A")</f>
        <v>0</v>
      </c>
      <c r="L22" s="14"/>
      <c r="M22" s="198">
        <f>IFERROR(L21*Methane_in_anaerobic_digester_gas_Monteith,"N/A")</f>
        <v>0</v>
      </c>
      <c r="N22" s="14"/>
      <c r="O22" s="198">
        <f>IFERROR(N21*Methane_in_anaerobic_digester_gas_Monteith,"N/A")</f>
        <v>0</v>
      </c>
      <c r="P22" s="14"/>
      <c r="Q22" s="198">
        <f>IFERROR(P21*Methane_in_anaerobic_digester_gas_Monteith,"N/A")</f>
        <v>0</v>
      </c>
      <c r="R22" s="14"/>
      <c r="S22" s="198">
        <f>IFERROR(R21*Methane_in_anaerobic_digester_gas_Monteith,"N/A")</f>
        <v>0</v>
      </c>
      <c r="T22" s="14"/>
      <c r="U22" s="198">
        <f>IFERROR(T21*Methane_in_anaerobic_digester_gas_Monteith,"N/A")</f>
        <v>0</v>
      </c>
    </row>
    <row r="23" spans="1:21" s="183" customFormat="1" x14ac:dyDescent="0.2">
      <c r="A23" s="245" t="s">
        <v>761</v>
      </c>
      <c r="B23" s="11"/>
      <c r="C23" s="251"/>
      <c r="D23" s="11"/>
      <c r="E23" s="251"/>
      <c r="F23" s="11"/>
      <c r="G23" s="251"/>
      <c r="H23" s="11"/>
      <c r="I23" s="251"/>
      <c r="J23" s="11"/>
      <c r="K23" s="251"/>
      <c r="L23" s="11"/>
      <c r="M23" s="251"/>
      <c r="N23" s="11"/>
      <c r="O23" s="251"/>
      <c r="P23" s="11"/>
      <c r="Q23" s="251"/>
      <c r="R23" s="11"/>
      <c r="S23" s="251"/>
      <c r="T23" s="11"/>
      <c r="U23" s="251"/>
    </row>
    <row r="24" spans="1:21" s="183" customFormat="1" ht="27.75" customHeight="1" x14ac:dyDescent="0.2">
      <c r="A24" s="189" t="s">
        <v>932</v>
      </c>
      <c r="B24" s="12"/>
      <c r="C24" s="251"/>
      <c r="D24" s="12"/>
      <c r="E24" s="251"/>
      <c r="F24" s="12"/>
      <c r="G24" s="251"/>
      <c r="H24" s="12"/>
      <c r="I24" s="251"/>
      <c r="J24" s="12"/>
      <c r="K24" s="251"/>
      <c r="L24" s="12"/>
      <c r="M24" s="251"/>
      <c r="N24" s="12"/>
      <c r="O24" s="251"/>
      <c r="P24" s="12"/>
      <c r="Q24" s="251"/>
      <c r="R24" s="12"/>
      <c r="S24" s="251"/>
      <c r="T24" s="12"/>
      <c r="U24" s="251"/>
    </row>
    <row r="25" spans="1:21" s="183" customFormat="1" x14ac:dyDescent="0.2">
      <c r="A25" s="245" t="s">
        <v>756</v>
      </c>
      <c r="B25" s="12"/>
      <c r="C25" s="248" t="str">
        <f>+'References Assumptions'!$A$93</f>
        <v>Normal</v>
      </c>
      <c r="D25" s="12"/>
      <c r="E25" s="248" t="str">
        <f>+'References Assumptions'!$A$93</f>
        <v>Normal</v>
      </c>
      <c r="F25" s="12"/>
      <c r="G25" s="248" t="str">
        <f>+'References Assumptions'!$A$93</f>
        <v>Normal</v>
      </c>
      <c r="H25" s="12"/>
      <c r="I25" s="248" t="str">
        <f>+'References Assumptions'!$A$93</f>
        <v>Normal</v>
      </c>
      <c r="J25" s="12"/>
      <c r="K25" s="248" t="str">
        <f>+'References Assumptions'!$A$93</f>
        <v>Normal</v>
      </c>
      <c r="L25" s="12"/>
      <c r="M25" s="248" t="str">
        <f>+'References Assumptions'!$A$93</f>
        <v>Normal</v>
      </c>
      <c r="N25" s="12"/>
      <c r="O25" s="248" t="str">
        <f>+'References Assumptions'!$A$93</f>
        <v>Normal</v>
      </c>
      <c r="P25" s="12"/>
      <c r="Q25" s="248" t="str">
        <f>+'References Assumptions'!$A$93</f>
        <v>Normal</v>
      </c>
      <c r="R25" s="12"/>
      <c r="S25" s="248" t="str">
        <f>+'References Assumptions'!$A$93</f>
        <v>Normal</v>
      </c>
      <c r="T25" s="12"/>
      <c r="U25" s="248" t="str">
        <f>+'References Assumptions'!$A$93</f>
        <v>Normal</v>
      </c>
    </row>
    <row r="26" spans="1:21" s="183" customFormat="1" ht="18.75" x14ac:dyDescent="0.35">
      <c r="A26" s="245" t="s">
        <v>755</v>
      </c>
      <c r="B26" s="963" t="str">
        <f>+IFERROR(VLOOKUP(B25,'References Assumptions'!$A$93:$B$95,2,FALSE)*B24*B22*density_of_CH4_at_STP*CO2E_of_CH4_ClimateReg/Mg_kg,"N/A")</f>
        <v>N/A</v>
      </c>
      <c r="C26" s="251"/>
      <c r="D26" s="963" t="str">
        <f>+IFERROR(VLOOKUP(D25,'References Assumptions'!$A$93:$B$95,2,FALSE)*D24*D22*density_of_CH4_at_STP*CO2E_of_CH4_ClimateReg/Mg_kg,"N/A")</f>
        <v>N/A</v>
      </c>
      <c r="E26" s="251"/>
      <c r="F26" s="963" t="str">
        <f>+IFERROR(VLOOKUP(F25,'References Assumptions'!$A$93:$B$95,2,FALSE)*F24*F22*density_of_CH4_at_STP*CO2E_of_CH4_ClimateReg/Mg_kg,"N/A")</f>
        <v>N/A</v>
      </c>
      <c r="G26" s="251"/>
      <c r="H26" s="963" t="str">
        <f>+IFERROR(VLOOKUP(H25,'References Assumptions'!$A$93:$B$95,2,FALSE)*H24*H22*density_of_CH4_at_STP*CO2E_of_CH4_ClimateReg/Mg_kg,"N/A")</f>
        <v>N/A</v>
      </c>
      <c r="I26" s="251"/>
      <c r="J26" s="963" t="str">
        <f>+IFERROR(VLOOKUP(J25,'References Assumptions'!$A$93:$B$95,2,FALSE)*J24*J22*density_of_CH4_at_STP*CO2E_of_CH4_ClimateReg/Mg_kg,"N/A")</f>
        <v>N/A</v>
      </c>
      <c r="K26" s="251"/>
      <c r="L26" s="963" t="str">
        <f>+IFERROR(VLOOKUP(L25,'References Assumptions'!$A$93:$B$95,2,FALSE)*L24*L22*density_of_CH4_at_STP*CO2E_of_CH4_ClimateReg/Mg_kg,"N/A")</f>
        <v>N/A</v>
      </c>
      <c r="M26" s="251"/>
      <c r="N26" s="963" t="str">
        <f>+IFERROR(VLOOKUP(N25,'References Assumptions'!$A$93:$B$95,2,FALSE)*N24*N22*density_of_CH4_at_STP*CO2E_of_CH4_ClimateReg/Mg_kg,"N/A")</f>
        <v>N/A</v>
      </c>
      <c r="O26" s="251"/>
      <c r="P26" s="963" t="str">
        <f>+IFERROR(VLOOKUP(P25,'References Assumptions'!$A$93:$B$95,2,FALSE)*P24*P22*density_of_CH4_at_STP*CO2E_of_CH4_ClimateReg/Mg_kg,"N/A")</f>
        <v>N/A</v>
      </c>
      <c r="Q26" s="251"/>
      <c r="R26" s="963" t="str">
        <f>+IFERROR(VLOOKUP(R25,'References Assumptions'!$A$93:$B$95,2,FALSE)*R24*R22*density_of_CH4_at_STP*CO2E_of_CH4_ClimateReg/Mg_kg,"N/A")</f>
        <v>N/A</v>
      </c>
      <c r="S26" s="251"/>
      <c r="T26" s="963" t="str">
        <f>+IFERROR(VLOOKUP(T25,'References Assumptions'!$A$93:$B$95,2,FALSE)*T24*T22*density_of_CH4_at_STP*CO2E_of_CH4_ClimateReg/Mg_kg,"N/A")</f>
        <v>N/A</v>
      </c>
      <c r="U26" s="251"/>
    </row>
    <row r="27" spans="1:21" s="183" customFormat="1" x14ac:dyDescent="0.2">
      <c r="A27" s="245" t="s">
        <v>934</v>
      </c>
      <c r="B27" s="12"/>
      <c r="C27" s="412">
        <f>+IF(B$23="yes",B24*CHP_conv_heat,IF(B29="yes",0,1))</f>
        <v>1</v>
      </c>
      <c r="D27" s="12"/>
      <c r="E27" s="412">
        <f>+IF(D$23="yes",D24*CHP_conv_heat,IF(D29="yes",0,1))</f>
        <v>1</v>
      </c>
      <c r="F27" s="12"/>
      <c r="G27" s="412">
        <f>+IF(F$23="yes",F24*CHP_conv_heat,IF(F29="yes",0,1))</f>
        <v>1</v>
      </c>
      <c r="H27" s="12"/>
      <c r="I27" s="412">
        <f>+IF(H$23="yes",H24*CHP_conv_heat,IF(H29="yes",0,1))</f>
        <v>1</v>
      </c>
      <c r="J27" s="12"/>
      <c r="K27" s="412">
        <f>+IF(J$23="yes",J24*CHP_conv_heat,IF(J29="yes",0,1))</f>
        <v>1</v>
      </c>
      <c r="L27" s="12"/>
      <c r="M27" s="412">
        <f>+IF(L$23="yes",L24*CHP_conv_heat,IF(L29="yes",0,1))</f>
        <v>1</v>
      </c>
      <c r="N27" s="12"/>
      <c r="O27" s="412">
        <f>+IF(N$23="yes",N24*CHP_conv_heat,IF(N29="yes",0,1))</f>
        <v>1</v>
      </c>
      <c r="P27" s="12"/>
      <c r="Q27" s="412">
        <f>+IF(P$23="yes",P24*CHP_conv_heat,IF(P29="yes",0,1))</f>
        <v>1</v>
      </c>
      <c r="R27" s="12"/>
      <c r="S27" s="412">
        <f>+IF(R$23="yes",R24*CHP_conv_heat,IF(R29="yes",0,1))</f>
        <v>1</v>
      </c>
      <c r="T27" s="12"/>
      <c r="U27" s="412">
        <f>+IF(T$23="yes",T24*CHP_conv_heat,IF(T29="yes",0,1))</f>
        <v>1</v>
      </c>
    </row>
    <row r="28" spans="1:21" s="130" customFormat="1" x14ac:dyDescent="0.2">
      <c r="A28" s="245" t="s">
        <v>935</v>
      </c>
      <c r="B28" s="12"/>
      <c r="C28" s="412" t="str">
        <f>+IF(B$23="yes",B24*CHP_conv_elect,"N/A")</f>
        <v>N/A</v>
      </c>
      <c r="D28" s="12"/>
      <c r="E28" s="412" t="str">
        <f>+IF(D$23="yes",D24*CHP_conv_elect,"N/A")</f>
        <v>N/A</v>
      </c>
      <c r="F28" s="12"/>
      <c r="G28" s="412" t="str">
        <f>+IF(F$23="yes",F24*CHP_conv_elect,"N/A")</f>
        <v>N/A</v>
      </c>
      <c r="H28" s="12"/>
      <c r="I28" s="412" t="str">
        <f>+IF(H$23="yes",H24*CHP_conv_elect,"N/A")</f>
        <v>N/A</v>
      </c>
      <c r="J28" s="12"/>
      <c r="K28" s="412" t="str">
        <f>+IF(J$23="yes",J24*CHP_conv_elect,"N/A")</f>
        <v>N/A</v>
      </c>
      <c r="L28" s="12"/>
      <c r="M28" s="412" t="str">
        <f>+IF(L$23="yes",L24*CHP_conv_elect,"N/A")</f>
        <v>N/A</v>
      </c>
      <c r="N28" s="12"/>
      <c r="O28" s="412" t="str">
        <f>+IF(N$23="yes",N24*CHP_conv_elect,"N/A")</f>
        <v>N/A</v>
      </c>
      <c r="P28" s="12"/>
      <c r="Q28" s="412" t="str">
        <f>+IF(P$23="yes",P24*CHP_conv_elect,"N/A")</f>
        <v>N/A</v>
      </c>
      <c r="R28" s="12"/>
      <c r="S28" s="412" t="str">
        <f>+IF(R$23="yes",R24*CHP_conv_elect,"N/A")</f>
        <v>N/A</v>
      </c>
      <c r="T28" s="12"/>
      <c r="U28" s="412" t="str">
        <f>+IF(T$23="yes",T24*CHP_conv_elect,"N/A")</f>
        <v>N/A</v>
      </c>
    </row>
    <row r="29" spans="1:21" s="183" customFormat="1" x14ac:dyDescent="0.2">
      <c r="A29" s="245" t="s">
        <v>744</v>
      </c>
      <c r="B29" s="11"/>
      <c r="C29" s="251"/>
      <c r="D29" s="11"/>
      <c r="E29" s="251"/>
      <c r="F29" s="11"/>
      <c r="G29" s="251"/>
      <c r="H29" s="11"/>
      <c r="I29" s="251"/>
      <c r="J29" s="11"/>
      <c r="K29" s="251"/>
      <c r="L29" s="11"/>
      <c r="M29" s="251"/>
      <c r="N29" s="11"/>
      <c r="O29" s="251"/>
      <c r="P29" s="11"/>
      <c r="Q29" s="251"/>
      <c r="R29" s="11"/>
      <c r="S29" s="251"/>
      <c r="T29" s="11"/>
      <c r="U29" s="251"/>
    </row>
    <row r="30" spans="1:21" s="183" customFormat="1" x14ac:dyDescent="0.2">
      <c r="A30" s="245" t="s">
        <v>760</v>
      </c>
      <c r="B30" s="12"/>
      <c r="C30" s="412">
        <f>+IF(B29="yes",1,0)</f>
        <v>0</v>
      </c>
      <c r="D30" s="12"/>
      <c r="E30" s="412">
        <f>+IF(D29="yes",1,0)</f>
        <v>0</v>
      </c>
      <c r="F30" s="12"/>
      <c r="G30" s="412">
        <f>+IF(F29="yes",1,0)</f>
        <v>0</v>
      </c>
      <c r="H30" s="12"/>
      <c r="I30" s="412">
        <f>+IF(H29="yes",1,0)</f>
        <v>0</v>
      </c>
      <c r="J30" s="12"/>
      <c r="K30" s="412">
        <f>+IF(J29="yes",1,0)</f>
        <v>0</v>
      </c>
      <c r="L30" s="12"/>
      <c r="M30" s="412">
        <f>+IF(L29="yes",1,0)</f>
        <v>0</v>
      </c>
      <c r="N30" s="12"/>
      <c r="O30" s="412">
        <f>+IF(N29="yes",1,0)</f>
        <v>0</v>
      </c>
      <c r="P30" s="12"/>
      <c r="Q30" s="412">
        <f>+IF(P29="yes",1,0)</f>
        <v>0</v>
      </c>
      <c r="R30" s="12"/>
      <c r="S30" s="412">
        <f>+IF(R29="yes",1,0)</f>
        <v>0</v>
      </c>
      <c r="T30" s="12"/>
      <c r="U30" s="412">
        <f>+IF(T29="yes",1,0)</f>
        <v>0</v>
      </c>
    </row>
    <row r="31" spans="1:21" s="130" customFormat="1" x14ac:dyDescent="0.2">
      <c r="A31" s="245" t="s">
        <v>739</v>
      </c>
      <c r="B31" s="12"/>
      <c r="C31" s="248" t="str">
        <f>+'References Assumptions'!$A$87</f>
        <v>Default</v>
      </c>
      <c r="D31" s="12"/>
      <c r="E31" s="248" t="str">
        <f>+'References Assumptions'!$A$87</f>
        <v>Default</v>
      </c>
      <c r="F31" s="12"/>
      <c r="G31" s="248" t="str">
        <f>+'References Assumptions'!$A$87</f>
        <v>Default</v>
      </c>
      <c r="H31" s="12"/>
      <c r="I31" s="248" t="str">
        <f>+'References Assumptions'!$A$87</f>
        <v>Default</v>
      </c>
      <c r="J31" s="12"/>
      <c r="K31" s="248" t="str">
        <f>+'References Assumptions'!$A$87</f>
        <v>Default</v>
      </c>
      <c r="L31" s="12"/>
      <c r="M31" s="248" t="str">
        <f>+'References Assumptions'!$A$87</f>
        <v>Default</v>
      </c>
      <c r="N31" s="12"/>
      <c r="O31" s="248" t="str">
        <f>+'References Assumptions'!$A$87</f>
        <v>Default</v>
      </c>
      <c r="P31" s="12"/>
      <c r="Q31" s="248" t="str">
        <f>+'References Assumptions'!$A$87</f>
        <v>Default</v>
      </c>
      <c r="R31" s="12"/>
      <c r="S31" s="248" t="str">
        <f>+'References Assumptions'!$A$87</f>
        <v>Default</v>
      </c>
      <c r="T31" s="12"/>
      <c r="U31" s="248" t="str">
        <f>+'References Assumptions'!$A$87</f>
        <v>Default</v>
      </c>
    </row>
    <row r="32" spans="1:21" s="130" customFormat="1" x14ac:dyDescent="0.2">
      <c r="A32" s="245" t="s">
        <v>194</v>
      </c>
      <c r="B32" s="12"/>
      <c r="C32" s="251"/>
      <c r="D32" s="12"/>
      <c r="E32" s="251"/>
      <c r="F32" s="12"/>
      <c r="G32" s="251"/>
      <c r="H32" s="12"/>
      <c r="I32" s="251"/>
      <c r="J32" s="12"/>
      <c r="K32" s="251"/>
      <c r="L32" s="12"/>
      <c r="M32" s="251"/>
      <c r="N32" s="12"/>
      <c r="O32" s="251"/>
      <c r="P32" s="12"/>
      <c r="Q32" s="251"/>
      <c r="R32" s="12"/>
      <c r="S32" s="251"/>
      <c r="T32" s="12"/>
      <c r="U32" s="251"/>
    </row>
    <row r="33" spans="1:21" s="130" customFormat="1" ht="18.75" x14ac:dyDescent="0.35">
      <c r="A33" s="245" t="s">
        <v>754</v>
      </c>
      <c r="B33" s="963" t="str">
        <f>IFERROR(VLOOKUP(B31,'References Assumptions'!$A$87:$B$90,2,FALSE)*B32*B22*density_of_CH4_at_STP*CO2E_of_CH4_ClimateReg/Mg_kg,"N/A")</f>
        <v>N/A</v>
      </c>
      <c r="C33" s="251"/>
      <c r="D33" s="963" t="str">
        <f>IFERROR(VLOOKUP(D31,'References Assumptions'!$A$87:$B$90,2,FALSE)*D32*D22*density_of_CH4_at_STP*CO2E_of_CH4_ClimateReg/Mg_kg,"N/A")</f>
        <v>N/A</v>
      </c>
      <c r="E33" s="251"/>
      <c r="F33" s="963" t="str">
        <f>IFERROR(VLOOKUP(F31,'References Assumptions'!$A$87:$B$90,2,FALSE)*F32*F22*density_of_CH4_at_STP*CO2E_of_CH4_ClimateReg/Mg_kg,"N/A")</f>
        <v>N/A</v>
      </c>
      <c r="G33" s="416"/>
      <c r="H33" s="963" t="str">
        <f>IFERROR(VLOOKUP(H31,'References Assumptions'!$A$87:$B$90,2,FALSE)*H32*H22*density_of_CH4_at_STP*CO2E_of_CH4_ClimateReg/Mg_kg,"N/A")</f>
        <v>N/A</v>
      </c>
      <c r="I33" s="251"/>
      <c r="J33" s="963" t="str">
        <f>IFERROR(VLOOKUP(J31,'References Assumptions'!$A$87:$B$90,2,FALSE)*J32*J22*density_of_CH4_at_STP*CO2E_of_CH4_ClimateReg/Mg_kg,"N/A")</f>
        <v>N/A</v>
      </c>
      <c r="K33" s="251"/>
      <c r="L33" s="963" t="str">
        <f>IFERROR(VLOOKUP(L31,'References Assumptions'!$A$87:$B$90,2,FALSE)*L32*L22*density_of_CH4_at_STP*CO2E_of_CH4_ClimateReg/Mg_kg,"N/A")</f>
        <v>N/A</v>
      </c>
      <c r="M33" s="251"/>
      <c r="N33" s="963" t="str">
        <f>IFERROR(VLOOKUP(N31,'References Assumptions'!$A$87:$B$90,2,FALSE)*N32*N22*density_of_CH4_at_STP*CO2E_of_CH4_ClimateReg/Mg_kg,"N/A")</f>
        <v>N/A</v>
      </c>
      <c r="O33" s="251"/>
      <c r="P33" s="963" t="str">
        <f>IFERROR(VLOOKUP(P31,'References Assumptions'!$A$87:$B$90,2,FALSE)*P32*P22*density_of_CH4_at_STP*CO2E_of_CH4_ClimateReg/Mg_kg,"N/A")</f>
        <v>N/A</v>
      </c>
      <c r="Q33" s="251"/>
      <c r="R33" s="963" t="str">
        <f>IFERROR(VLOOKUP(R31,'References Assumptions'!$A$87:$B$90,2,FALSE)*R32*R22*density_of_CH4_at_STP*CO2E_of_CH4_ClimateReg/Mg_kg,"N/A")</f>
        <v>N/A</v>
      </c>
      <c r="S33" s="251"/>
      <c r="T33" s="963" t="str">
        <f>IFERROR(VLOOKUP(T31,'References Assumptions'!$A$87:$B$90,2,FALSE)*T32*T22*density_of_CH4_at_STP*CO2E_of_CH4_ClimateReg/Mg_kg,"N/A")</f>
        <v>N/A</v>
      </c>
      <c r="U33" s="251"/>
    </row>
    <row r="34" spans="1:21" s="130" customFormat="1" x14ac:dyDescent="0.2">
      <c r="A34" s="245" t="s">
        <v>492</v>
      </c>
      <c r="B34" s="12"/>
      <c r="C34" s="412">
        <f>+IF(B29="yes",0,B24+B32)</f>
        <v>0</v>
      </c>
      <c r="D34" s="12"/>
      <c r="E34" s="412">
        <f>+IF(D29="yes",0,D24+D32)</f>
        <v>0</v>
      </c>
      <c r="F34" s="12"/>
      <c r="G34" s="412">
        <f>+IF(F29="yes",0,F24+F32)</f>
        <v>0</v>
      </c>
      <c r="H34" s="12"/>
      <c r="I34" s="412">
        <f>+IF(H29="yes",0,H24+H32)</f>
        <v>0</v>
      </c>
      <c r="J34" s="12"/>
      <c r="K34" s="412">
        <f>+IF(J29="yes",0,J24+J32)</f>
        <v>0</v>
      </c>
      <c r="L34" s="12"/>
      <c r="M34" s="412">
        <f>+IF(L29="yes",0,L24+L32)</f>
        <v>0</v>
      </c>
      <c r="N34" s="12"/>
      <c r="O34" s="412">
        <f>+IF(N29="yes",0,N24+N32)</f>
        <v>0</v>
      </c>
      <c r="P34" s="12"/>
      <c r="Q34" s="412">
        <f>+IF(P29="yes",0,P24+P32)</f>
        <v>0</v>
      </c>
      <c r="R34" s="12"/>
      <c r="S34" s="412">
        <f>+IF(R29="yes",0,R24+R32)</f>
        <v>0</v>
      </c>
      <c r="T34" s="12"/>
      <c r="U34" s="412">
        <f>+IF(T29="yes",0,T24+T32)</f>
        <v>0</v>
      </c>
    </row>
    <row r="35" spans="1:21" s="130" customFormat="1" ht="15.6" customHeight="1" x14ac:dyDescent="0.2">
      <c r="A35" s="245" t="s">
        <v>745</v>
      </c>
      <c r="B35" s="12"/>
      <c r="C35" s="964">
        <f>+IF(B29="no",1-B34,0)</f>
        <v>0</v>
      </c>
      <c r="D35" s="12"/>
      <c r="E35" s="964">
        <f>+IF(D29="no",1-D34,0)</f>
        <v>0</v>
      </c>
      <c r="F35" s="12"/>
      <c r="G35" s="964">
        <f>+IF(F29="no",1-F34,0)</f>
        <v>0</v>
      </c>
      <c r="H35" s="12"/>
      <c r="I35" s="964">
        <f>+IF(H29="no",1-H34,0)</f>
        <v>0</v>
      </c>
      <c r="J35" s="12"/>
      <c r="K35" s="964">
        <f>+IF(J29="no",1-J34,0)</f>
        <v>0</v>
      </c>
      <c r="L35" s="12"/>
      <c r="M35" s="964">
        <f>+IF(L29="no",1-L34,0)</f>
        <v>0</v>
      </c>
      <c r="N35" s="12"/>
      <c r="O35" s="964">
        <f>+IF(N29="no",1-N34,0)</f>
        <v>0</v>
      </c>
      <c r="P35" s="12"/>
      <c r="Q35" s="964">
        <f>+IF(P29="no",1-P34,0)</f>
        <v>0</v>
      </c>
      <c r="R35" s="12"/>
      <c r="S35" s="964">
        <f>+IF(R29="no",1-R34,0)</f>
        <v>0</v>
      </c>
      <c r="T35" s="12"/>
      <c r="U35" s="964">
        <f>+IF(T29="no",1-T34,0)</f>
        <v>0</v>
      </c>
    </row>
    <row r="36" spans="1:21" s="130" customFormat="1" ht="16.5" x14ac:dyDescent="0.2">
      <c r="A36" s="245" t="s">
        <v>495</v>
      </c>
      <c r="B36" s="8"/>
      <c r="C36" s="198">
        <f>+IF(B29="no",B22*B24*B27*btu_value_methane_epa_2004/btu_value_natural_gas_climate_registry,B30*B22*btu_value_methane_epa_2004/btu_value_natural_gas_climate_registry*(1-RNG_parasitic))</f>
        <v>0</v>
      </c>
      <c r="D36" s="8"/>
      <c r="E36" s="198">
        <f>+IF(D29="no",D22*D24*D27*btu_value_methane_epa_2004/btu_value_natural_gas_climate_registry,D30*D22*btu_value_methane_epa_2004/btu_value_natural_gas_climate_registry*(1-RNG_parasitic))</f>
        <v>0</v>
      </c>
      <c r="F36" s="8"/>
      <c r="G36" s="198">
        <f>+IF(F29="no",F22*F24*F27*btu_value_methane_epa_2004/btu_value_natural_gas_climate_registry,F30*F22*btu_value_methane_epa_2004/btu_value_natural_gas_climate_registry*(1-RNG_parasitic))</f>
        <v>0</v>
      </c>
      <c r="H36" s="8"/>
      <c r="I36" s="198">
        <f>+IF(H29="no",H22*H24*H27*btu_value_methane_epa_2004/btu_value_natural_gas_climate_registry,H30*H22*btu_value_methane_epa_2004/btu_value_natural_gas_climate_registry*(1-RNG_parasitic))</f>
        <v>0</v>
      </c>
      <c r="J36" s="8"/>
      <c r="K36" s="198">
        <f>+IF(J29="no",J22*J24*J27*btu_value_methane_epa_2004/btu_value_natural_gas_climate_registry,J30*J22*btu_value_methane_epa_2004/btu_value_natural_gas_climate_registry*(1-RNG_parasitic))</f>
        <v>0</v>
      </c>
      <c r="L36" s="8"/>
      <c r="M36" s="198">
        <f>+IF(L29="no",L22*L24*L27*btu_value_methane_epa_2004/btu_value_natural_gas_climate_registry,L30*L22*btu_value_methane_epa_2004/btu_value_natural_gas_climate_registry*(1-RNG_parasitic))</f>
        <v>0</v>
      </c>
      <c r="N36" s="8"/>
      <c r="O36" s="198">
        <f>+IF(N29="no",N22*N24*N27*btu_value_methane_epa_2004/btu_value_natural_gas_climate_registry,N30*N22*btu_value_methane_epa_2004/btu_value_natural_gas_climate_registry*(1-RNG_parasitic))</f>
        <v>0</v>
      </c>
      <c r="P36" s="8"/>
      <c r="Q36" s="198">
        <f>+IF(P29="no",P22*P24*P27*btu_value_methane_epa_2004/btu_value_natural_gas_climate_registry,P30*P22*btu_value_methane_epa_2004/btu_value_natural_gas_climate_registry*(1-RNG_parasitic))</f>
        <v>0</v>
      </c>
      <c r="R36" s="8"/>
      <c r="S36" s="198">
        <f>+IF(R29="no",R22*R24*R27*btu_value_methane_epa_2004/btu_value_natural_gas_climate_registry,R30*R22*btu_value_methane_epa_2004/btu_value_natural_gas_climate_registry*(1-RNG_parasitic))</f>
        <v>0</v>
      </c>
      <c r="T36" s="8"/>
      <c r="U36" s="198">
        <f>+IF(T29="no",T22*T24*T27*btu_value_methane_epa_2004/btu_value_natural_gas_climate_registry,T30*T22*btu_value_methane_epa_2004/btu_value_natural_gas_climate_registry*(1-RNG_parasitic))</f>
        <v>0</v>
      </c>
    </row>
    <row r="37" spans="1:21" s="226" customFormat="1" x14ac:dyDescent="0.2">
      <c r="A37" s="245" t="s">
        <v>284</v>
      </c>
      <c r="B37" s="8"/>
      <c r="C37" s="198">
        <f>+B22*B24*B28*btu_value_methane_epa_2004*btu_kwh_100percent*Net_capacity_factor_EPA_2006</f>
        <v>0</v>
      </c>
      <c r="D37" s="8"/>
      <c r="E37" s="198">
        <f>+D22*D24*D28*btu_value_methane_epa_2004*btu_kwh_100percent*Net_capacity_factor_EPA_2006</f>
        <v>0</v>
      </c>
      <c r="F37" s="8"/>
      <c r="G37" s="198">
        <f>+F22*F24*F28*btu_value_methane_epa_2004*btu_kwh_100percent*Net_capacity_factor_EPA_2006</f>
        <v>0</v>
      </c>
      <c r="H37" s="8"/>
      <c r="I37" s="198">
        <f>+H22*H24*H28*btu_value_methane_epa_2004*btu_kwh_100percent*Net_capacity_factor_EPA_2006</f>
        <v>0</v>
      </c>
      <c r="J37" s="8"/>
      <c r="K37" s="198">
        <f>+J22*J24*J28*btu_value_methane_epa_2004*btu_kwh_100percent*Net_capacity_factor_EPA_2006</f>
        <v>0</v>
      </c>
      <c r="L37" s="8"/>
      <c r="M37" s="198">
        <f>+L22*L24*L28*btu_value_methane_epa_2004*btu_kwh_100percent*Net_capacity_factor_EPA_2006</f>
        <v>0</v>
      </c>
      <c r="N37" s="8"/>
      <c r="O37" s="198">
        <f>+N22*N24*N28*btu_value_methane_epa_2004*btu_kwh_100percent*Net_capacity_factor_EPA_2006</f>
        <v>0</v>
      </c>
      <c r="P37" s="8"/>
      <c r="Q37" s="198">
        <f>+P22*P24*P28*btu_value_methane_epa_2004*btu_kwh_100percent*Net_capacity_factor_EPA_2006</f>
        <v>0</v>
      </c>
      <c r="R37" s="8"/>
      <c r="S37" s="198">
        <f>+R22*R24*R28*btu_value_methane_epa_2004*btu_kwh_100percent*Net_capacity_factor_EPA_2006</f>
        <v>0</v>
      </c>
      <c r="T37" s="8"/>
      <c r="U37" s="198">
        <f>+T22*T24*T28*btu_value_methane_epa_2004*btu_kwh_100percent*Net_capacity_factor_EPA_2006</f>
        <v>0</v>
      </c>
    </row>
    <row r="38" spans="1:21" s="96" customFormat="1" ht="15.6" customHeight="1" x14ac:dyDescent="0.2">
      <c r="A38" s="245" t="s">
        <v>916</v>
      </c>
      <c r="B38" s="8"/>
      <c r="C38" s="198">
        <f>+IFERROR(B7*AD_heating_reqt_MandE,"N/A")</f>
        <v>0</v>
      </c>
      <c r="D38" s="8"/>
      <c r="E38" s="198">
        <f>+IFERROR(D7*AD_heating_reqt_MandE,"N/A")</f>
        <v>0</v>
      </c>
      <c r="F38" s="8"/>
      <c r="G38" s="198">
        <f>+IFERROR(F7*AD_heating_reqt_MandE,"N/A")</f>
        <v>0</v>
      </c>
      <c r="H38" s="8"/>
      <c r="I38" s="198">
        <f>+IFERROR(H7*AD_heating_reqt_MandE,"N/A")</f>
        <v>0</v>
      </c>
      <c r="J38" s="8"/>
      <c r="K38" s="198">
        <f>+IFERROR(J7*AD_heating_reqt_MandE,"N/A")</f>
        <v>0</v>
      </c>
      <c r="L38" s="8"/>
      <c r="M38" s="198">
        <f>+IFERROR(L7*AD_heating_reqt_MandE,"N/A")</f>
        <v>0</v>
      </c>
      <c r="N38" s="8"/>
      <c r="O38" s="198">
        <f>+IFERROR(N7*AD_heating_reqt_MandE,"N/A")</f>
        <v>0</v>
      </c>
      <c r="P38" s="8"/>
      <c r="Q38" s="198">
        <f>+IFERROR(P7*AD_heating_reqt_MandE,"N/A")</f>
        <v>0</v>
      </c>
      <c r="R38" s="8"/>
      <c r="S38" s="198">
        <f>+IFERROR(R7*AD_heating_reqt_MandE,"N/A")</f>
        <v>0</v>
      </c>
      <c r="T38" s="8"/>
      <c r="U38" s="198">
        <f>+IFERROR(T7*AD_heating_reqt_MandE,"N/A")</f>
        <v>0</v>
      </c>
    </row>
    <row r="39" spans="1:21" s="183" customFormat="1" ht="15.6" customHeight="1" x14ac:dyDescent="0.2">
      <c r="A39" s="245" t="s">
        <v>917</v>
      </c>
      <c r="B39" s="8"/>
      <c r="C39" s="198">
        <f>IFERROR(B6*AD_electricity_use_MandE*hrs_day*B11,"N/A")</f>
        <v>0</v>
      </c>
      <c r="D39" s="8"/>
      <c r="E39" s="198">
        <f>IFERROR(D6*AD_electricity_use_MandE*hrs_day*D11,"N/A")</f>
        <v>0</v>
      </c>
      <c r="F39" s="8"/>
      <c r="G39" s="198">
        <f>IFERROR(F6*AD_electricity_use_MandE*hrs_day*F11,"N/A")</f>
        <v>0</v>
      </c>
      <c r="H39" s="8"/>
      <c r="I39" s="198">
        <f>IFERROR(H6*AD_electricity_use_MandE*hrs_day*H11,"N/A")</f>
        <v>0</v>
      </c>
      <c r="J39" s="8"/>
      <c r="K39" s="198">
        <f>IFERROR(J6*AD_electricity_use_MandE*hrs_day*J11,"N/A")</f>
        <v>0</v>
      </c>
      <c r="L39" s="8"/>
      <c r="M39" s="198">
        <f>IFERROR(L6*AD_electricity_use_MandE*hrs_day*L11,"N/A")</f>
        <v>0</v>
      </c>
      <c r="N39" s="8"/>
      <c r="O39" s="198">
        <f>IFERROR(N6*AD_electricity_use_MandE*hrs_day*N11,"N/A")</f>
        <v>0</v>
      </c>
      <c r="P39" s="8"/>
      <c r="Q39" s="198">
        <f>IFERROR(P6*AD_electricity_use_MandE*hrs_day*P11,"N/A")</f>
        <v>0</v>
      </c>
      <c r="R39" s="8"/>
      <c r="S39" s="198">
        <f>IFERROR(R6*AD_electricity_use_MandE*hrs_day*R11,"N/A")</f>
        <v>0</v>
      </c>
      <c r="T39" s="8"/>
      <c r="U39" s="198">
        <f>IFERROR(T6*AD_electricity_use_MandE*hrs_day*T11,"N/A")</f>
        <v>0</v>
      </c>
    </row>
    <row r="40" spans="1:21" s="183" customFormat="1" ht="16.5" x14ac:dyDescent="0.2">
      <c r="A40" s="245" t="s">
        <v>73</v>
      </c>
      <c r="B40" s="8"/>
      <c r="C40" s="198">
        <f>+B38-B36</f>
        <v>0</v>
      </c>
      <c r="D40" s="8"/>
      <c r="E40" s="198">
        <f>+D38-D36</f>
        <v>0</v>
      </c>
      <c r="F40" s="8"/>
      <c r="G40" s="198">
        <f>+F38-F36</f>
        <v>0</v>
      </c>
      <c r="H40" s="8"/>
      <c r="I40" s="198">
        <f>+H38-H36</f>
        <v>0</v>
      </c>
      <c r="J40" s="8"/>
      <c r="K40" s="198">
        <f>+J38-J36</f>
        <v>0</v>
      </c>
      <c r="L40" s="8"/>
      <c r="M40" s="198">
        <f>+L38-L36</f>
        <v>0</v>
      </c>
      <c r="N40" s="8"/>
      <c r="O40" s="198">
        <f>+N38-N36</f>
        <v>0</v>
      </c>
      <c r="P40" s="8"/>
      <c r="Q40" s="198">
        <f>+P38-P36</f>
        <v>0</v>
      </c>
      <c r="R40" s="8"/>
      <c r="S40" s="198">
        <f>+R38-R36</f>
        <v>0</v>
      </c>
      <c r="T40" s="8"/>
      <c r="U40" s="198">
        <f>+T38-T36</f>
        <v>0</v>
      </c>
    </row>
    <row r="41" spans="1:21" s="130" customFormat="1" ht="15.6" customHeight="1" x14ac:dyDescent="0.2">
      <c r="A41" s="245" t="s">
        <v>74</v>
      </c>
      <c r="B41" s="8"/>
      <c r="C41" s="198">
        <f>+B39-B37</f>
        <v>0</v>
      </c>
      <c r="D41" s="8"/>
      <c r="E41" s="198">
        <f>+D39-D37</f>
        <v>0</v>
      </c>
      <c r="F41" s="8"/>
      <c r="G41" s="198">
        <f>+F39-F37</f>
        <v>0</v>
      </c>
      <c r="H41" s="8"/>
      <c r="I41" s="198">
        <f>+H39-H37</f>
        <v>0</v>
      </c>
      <c r="J41" s="8"/>
      <c r="K41" s="198">
        <f>+J39-J37</f>
        <v>0</v>
      </c>
      <c r="L41" s="8"/>
      <c r="M41" s="198">
        <f>+L39-L37</f>
        <v>0</v>
      </c>
      <c r="N41" s="8"/>
      <c r="O41" s="198">
        <f>+N39-N37</f>
        <v>0</v>
      </c>
      <c r="P41" s="8"/>
      <c r="Q41" s="198">
        <f>+P39-P37</f>
        <v>0</v>
      </c>
      <c r="R41" s="8"/>
      <c r="S41" s="198">
        <f>+R39-R37</f>
        <v>0</v>
      </c>
      <c r="T41" s="8"/>
      <c r="U41" s="198">
        <f>+T39-T37</f>
        <v>0</v>
      </c>
    </row>
    <row r="42" spans="1:21" ht="18" customHeight="1" x14ac:dyDescent="0.3">
      <c r="A42" s="168" t="s">
        <v>78</v>
      </c>
      <c r="B42" s="250">
        <f>+B40*CO2E_naturalgas_combustion/1000000</f>
        <v>0</v>
      </c>
      <c r="C42" s="251"/>
      <c r="D42" s="250">
        <f>+D40*CO2E_naturalgas_combustion/1000000</f>
        <v>0</v>
      </c>
      <c r="E42" s="251"/>
      <c r="F42" s="250">
        <f>+F40*CO2E_naturalgas_combustion/1000000</f>
        <v>0</v>
      </c>
      <c r="G42" s="251"/>
      <c r="H42" s="250">
        <f>+H40*CO2E_naturalgas_combustion/1000000</f>
        <v>0</v>
      </c>
      <c r="I42" s="251"/>
      <c r="J42" s="250">
        <f>+J40*CO2E_naturalgas_combustion/1000000</f>
        <v>0</v>
      </c>
      <c r="K42" s="251"/>
      <c r="L42" s="250">
        <f>+L40*CO2E_naturalgas_combustion/1000000</f>
        <v>0</v>
      </c>
      <c r="M42" s="251"/>
      <c r="N42" s="250">
        <f>+N40*CO2E_naturalgas_combustion/1000000</f>
        <v>0</v>
      </c>
      <c r="O42" s="251"/>
      <c r="P42" s="250">
        <f>+P40*CO2E_naturalgas_combustion/1000000</f>
        <v>0</v>
      </c>
      <c r="Q42" s="251"/>
      <c r="R42" s="250">
        <f>+R40*CO2E_naturalgas_combustion/1000000</f>
        <v>0</v>
      </c>
      <c r="S42" s="251"/>
      <c r="T42" s="250">
        <f>+T40*CO2E_naturalgas_combustion/1000000</f>
        <v>0</v>
      </c>
      <c r="U42" s="251"/>
    </row>
    <row r="43" spans="1:21" s="226" customFormat="1" ht="18" customHeight="1" x14ac:dyDescent="0.3">
      <c r="A43" s="168" t="s">
        <v>79</v>
      </c>
      <c r="B43" s="250">
        <f>+B41*GHG_emissions_factors_by_province/1000000</f>
        <v>0</v>
      </c>
      <c r="C43" s="237"/>
      <c r="D43" s="250">
        <f>+D41*GHG_emissions_factors_by_province/1000000</f>
        <v>0</v>
      </c>
      <c r="E43" s="237"/>
      <c r="F43" s="250">
        <f>+F41*GHG_emissions_factors_by_province/1000000</f>
        <v>0</v>
      </c>
      <c r="G43" s="237"/>
      <c r="H43" s="250">
        <f>+H41*GHG_emissions_factors_by_province/1000000</f>
        <v>0</v>
      </c>
      <c r="I43" s="237"/>
      <c r="J43" s="250">
        <f>+J41*GHG_emissions_factors_by_province/1000000</f>
        <v>0</v>
      </c>
      <c r="K43" s="237"/>
      <c r="L43" s="250">
        <f>+L41*GHG_emissions_factors_by_province/1000000</f>
        <v>0</v>
      </c>
      <c r="M43" s="237"/>
      <c r="N43" s="250">
        <f>+N41*GHG_emissions_factors_by_province/1000000</f>
        <v>0</v>
      </c>
      <c r="O43" s="237"/>
      <c r="P43" s="250">
        <f>+P41*GHG_emissions_factors_by_province/1000000</f>
        <v>0</v>
      </c>
      <c r="Q43" s="237"/>
      <c r="R43" s="250">
        <f>+R41*GHG_emissions_factors_by_province/1000000</f>
        <v>0</v>
      </c>
      <c r="S43" s="237"/>
      <c r="T43" s="250">
        <f>+T41*GHG_emissions_factors_by_province/1000000</f>
        <v>0</v>
      </c>
      <c r="U43" s="237"/>
    </row>
    <row r="44" spans="1:21" s="183" customFormat="1" ht="16.5" x14ac:dyDescent="0.3">
      <c r="A44" s="168" t="s">
        <v>80</v>
      </c>
      <c r="B44" s="250" t="e">
        <f>+(B22*B35*density_of_CH4_at_STP*CO2E_of_CH4_ClimateReg/Mg_kg)+B26+B33</f>
        <v>#VALUE!</v>
      </c>
      <c r="C44" s="253"/>
      <c r="D44" s="250" t="e">
        <f>+(D22*D35*density_of_CH4_at_STP*CO2E_of_CH4_ClimateReg/Mg_kg)+D26+D33</f>
        <v>#VALUE!</v>
      </c>
      <c r="E44" s="253"/>
      <c r="F44" s="250" t="e">
        <f>+(F22*F35*density_of_CH4_at_STP*CO2E_of_CH4_ClimateReg/Mg_kg)+F26+F33</f>
        <v>#VALUE!</v>
      </c>
      <c r="G44" s="253"/>
      <c r="H44" s="250" t="e">
        <f>+(H22*H35*density_of_CH4_at_STP*CO2E_of_CH4_ClimateReg/Mg_kg)+H26+H33</f>
        <v>#VALUE!</v>
      </c>
      <c r="I44" s="253"/>
      <c r="J44" s="250" t="e">
        <f>+(J22*J35*density_of_CH4_at_STP*CO2E_of_CH4_ClimateReg/Mg_kg)+J26+J33</f>
        <v>#VALUE!</v>
      </c>
      <c r="K44" s="253"/>
      <c r="L44" s="250" t="e">
        <f>+(L22*L35*density_of_CH4_at_STP*CO2E_of_CH4_ClimateReg/Mg_kg)+L26+L33</f>
        <v>#VALUE!</v>
      </c>
      <c r="M44" s="253"/>
      <c r="N44" s="250" t="e">
        <f>+(N22*N35*density_of_CH4_at_STP*CO2E_of_CH4_ClimateReg/Mg_kg)+N26+N33</f>
        <v>#VALUE!</v>
      </c>
      <c r="O44" s="253"/>
      <c r="P44" s="250" t="e">
        <f>+(P22*P35*density_of_CH4_at_STP*CO2E_of_CH4_ClimateReg/Mg_kg)+P26+P33</f>
        <v>#VALUE!</v>
      </c>
      <c r="Q44" s="253"/>
      <c r="R44" s="250" t="e">
        <f>+(R22*R35*density_of_CH4_at_STP*CO2E_of_CH4_ClimateReg/Mg_kg)+R26+R33</f>
        <v>#VALUE!</v>
      </c>
      <c r="S44" s="253"/>
      <c r="T44" s="250" t="e">
        <f>+(T22*T35*density_of_CH4_at_STP*CO2E_of_CH4_ClimateReg/Mg_kg)+T26+T33</f>
        <v>#VALUE!</v>
      </c>
      <c r="U44" s="253"/>
    </row>
    <row r="45" spans="1:21" ht="16.5" x14ac:dyDescent="0.3">
      <c r="A45" s="417" t="s">
        <v>757</v>
      </c>
      <c r="B45" s="1079">
        <f>+B22/Methane_in_anaerobic_digester_gas_Monteith*co2_biogas_combust/Mg_kg</f>
        <v>0</v>
      </c>
      <c r="C45" s="1080"/>
      <c r="D45" s="1079">
        <f>+D22/Methane_in_anaerobic_digester_gas_Monteith*co2_biogas_combust/Mg_kg</f>
        <v>0</v>
      </c>
      <c r="E45" s="1082"/>
      <c r="F45" s="1079">
        <f>+F22/Methane_in_anaerobic_digester_gas_Monteith*co2_biogas_combust/Mg_kg</f>
        <v>0</v>
      </c>
      <c r="G45" s="1082"/>
      <c r="H45" s="1079">
        <f>+H22/Methane_in_anaerobic_digester_gas_Monteith*co2_biogas_combust/Mg_kg</f>
        <v>0</v>
      </c>
      <c r="I45" s="1082"/>
      <c r="J45" s="1079">
        <f>+J22/Methane_in_anaerobic_digester_gas_Monteith*co2_biogas_combust/Mg_kg</f>
        <v>0</v>
      </c>
      <c r="K45" s="1082"/>
      <c r="L45" s="1079">
        <f>+L22/Methane_in_anaerobic_digester_gas_Monteith*co2_biogas_combust/Mg_kg</f>
        <v>0</v>
      </c>
      <c r="M45" s="1082"/>
      <c r="N45" s="1079">
        <f>+N22/Methane_in_anaerobic_digester_gas_Monteith*co2_biogas_combust/Mg_kg</f>
        <v>0</v>
      </c>
      <c r="O45" s="1082"/>
      <c r="P45" s="1079">
        <f>+P22/Methane_in_anaerobic_digester_gas_Monteith*co2_biogas_combust/Mg_kg</f>
        <v>0</v>
      </c>
      <c r="Q45" s="1082"/>
      <c r="R45" s="1079">
        <f>+R22/Methane_in_anaerobic_digester_gas_Monteith*co2_biogas_combust/Mg_kg</f>
        <v>0</v>
      </c>
      <c r="S45" s="1082"/>
      <c r="T45" s="1079">
        <f>+T22/Methane_in_anaerobic_digester_gas_Monteith*co2_biogas_combust/Mg_kg</f>
        <v>0</v>
      </c>
      <c r="U45" s="1080"/>
    </row>
    <row r="46" spans="1:21" ht="15" thickBot="1" x14ac:dyDescent="0.25">
      <c r="A46" s="333"/>
      <c r="B46" s="878"/>
      <c r="C46" s="235"/>
      <c r="D46" s="234"/>
      <c r="E46" s="235"/>
      <c r="F46" s="234"/>
      <c r="G46" s="235"/>
      <c r="H46" s="234"/>
      <c r="I46" s="235"/>
      <c r="J46" s="234"/>
      <c r="K46" s="235"/>
      <c r="L46" s="234"/>
      <c r="M46" s="235"/>
      <c r="N46" s="234"/>
      <c r="O46" s="235"/>
      <c r="P46" s="234"/>
      <c r="Q46" s="235"/>
      <c r="R46" s="234"/>
      <c r="S46" s="235"/>
      <c r="T46" s="234"/>
      <c r="U46" s="235"/>
    </row>
    <row r="47" spans="1:21" s="226" customFormat="1" ht="15.75" thickBot="1" x14ac:dyDescent="0.3">
      <c r="A47" s="1332"/>
      <c r="B47" s="1333"/>
      <c r="C47" s="1333"/>
      <c r="D47" s="1333"/>
      <c r="E47" s="1333"/>
      <c r="F47" s="1333"/>
      <c r="G47" s="1333"/>
      <c r="H47" s="1333"/>
      <c r="I47" s="1333"/>
      <c r="J47" s="1333"/>
      <c r="K47" s="1333"/>
      <c r="L47" s="1333"/>
      <c r="M47" s="1333"/>
      <c r="N47" s="1333"/>
      <c r="O47" s="1333"/>
      <c r="P47" s="1333"/>
      <c r="Q47" s="1333"/>
      <c r="R47" s="1333"/>
      <c r="S47" s="1333"/>
      <c r="T47" s="1333"/>
      <c r="U47" s="1334"/>
    </row>
    <row r="48" spans="1:21" s="130" customFormat="1" ht="18.75" customHeight="1" thickBot="1" x14ac:dyDescent="0.3">
      <c r="A48" s="254" t="s">
        <v>44</v>
      </c>
      <c r="B48" s="255" t="e">
        <f>SUM(B42:B44)*days_yr</f>
        <v>#VALUE!</v>
      </c>
      <c r="C48" s="256"/>
      <c r="D48" s="255" t="e">
        <f>SUM(D42:D44)*days_yr</f>
        <v>#VALUE!</v>
      </c>
      <c r="E48" s="256"/>
      <c r="F48" s="255" t="e">
        <f>SUM(F42:F44)*days_yr</f>
        <v>#VALUE!</v>
      </c>
      <c r="G48" s="256"/>
      <c r="H48" s="255" t="e">
        <f>SUM(H42:H44)*days_yr</f>
        <v>#VALUE!</v>
      </c>
      <c r="I48" s="256"/>
      <c r="J48" s="255" t="e">
        <f>SUM(J42:J44)*days_yr</f>
        <v>#VALUE!</v>
      </c>
      <c r="K48" s="256"/>
      <c r="L48" s="255" t="e">
        <f>SUM(L42:L44)*days_yr</f>
        <v>#VALUE!</v>
      </c>
      <c r="M48" s="256"/>
      <c r="N48" s="255" t="e">
        <f>SUM(N42:N44)*days_yr</f>
        <v>#VALUE!</v>
      </c>
      <c r="O48" s="256"/>
      <c r="P48" s="255" t="e">
        <f>SUM(P42:P44)*days_yr</f>
        <v>#VALUE!</v>
      </c>
      <c r="Q48" s="256"/>
      <c r="R48" s="255" t="e">
        <f>SUM(R42:R44)*days_yr</f>
        <v>#VALUE!</v>
      </c>
      <c r="S48" s="256"/>
      <c r="T48" s="255" t="e">
        <f>SUM(T42:T44)*days_yr</f>
        <v>#VALUE!</v>
      </c>
      <c r="U48" s="256"/>
    </row>
    <row r="49" spans="1:21" ht="15.75" customHeight="1" x14ac:dyDescent="0.25">
      <c r="A49" s="161" t="s">
        <v>228</v>
      </c>
      <c r="B49" s="89" t="e">
        <f>(B42+B44)*days_yr</f>
        <v>#VALUE!</v>
      </c>
      <c r="C49" s="257"/>
      <c r="D49" s="89" t="e">
        <f>(D42+D44)*days_yr</f>
        <v>#VALUE!</v>
      </c>
      <c r="E49" s="257"/>
      <c r="F49" s="89" t="e">
        <f>(F42+F44)*days_yr</f>
        <v>#VALUE!</v>
      </c>
      <c r="G49" s="257"/>
      <c r="H49" s="89" t="e">
        <f>(H42+H44)*days_yr</f>
        <v>#VALUE!</v>
      </c>
      <c r="I49" s="257"/>
      <c r="J49" s="89" t="e">
        <f>(J42+J44)*days_yr</f>
        <v>#VALUE!</v>
      </c>
      <c r="K49" s="257"/>
      <c r="L49" s="89" t="e">
        <f>(L42+L44)*days_yr</f>
        <v>#VALUE!</v>
      </c>
      <c r="M49" s="257"/>
      <c r="N49" s="89" t="e">
        <f>(N42+N44)*days_yr</f>
        <v>#VALUE!</v>
      </c>
      <c r="O49" s="257"/>
      <c r="P49" s="89" t="e">
        <f>(P42+P44)*days_yr</f>
        <v>#VALUE!</v>
      </c>
      <c r="Q49" s="257"/>
      <c r="R49" s="89" t="e">
        <f>(R42+R44)*days_yr</f>
        <v>#VALUE!</v>
      </c>
      <c r="S49" s="257"/>
      <c r="T49" s="89" t="e">
        <f>(T42+T44)*days_yr</f>
        <v>#VALUE!</v>
      </c>
      <c r="U49" s="257"/>
    </row>
    <row r="50" spans="1:21" s="130" customFormat="1" ht="15.75" customHeight="1" x14ac:dyDescent="0.25">
      <c r="A50" s="164" t="s">
        <v>229</v>
      </c>
      <c r="B50" s="258">
        <f>B43*days_yr</f>
        <v>0</v>
      </c>
      <c r="C50" s="259"/>
      <c r="D50" s="258">
        <f>D43*days_yr</f>
        <v>0</v>
      </c>
      <c r="E50" s="259"/>
      <c r="F50" s="258">
        <f>F43*days_yr</f>
        <v>0</v>
      </c>
      <c r="G50" s="259"/>
      <c r="H50" s="258">
        <f>H43*days_yr</f>
        <v>0</v>
      </c>
      <c r="I50" s="259"/>
      <c r="J50" s="258">
        <f>J43*days_yr</f>
        <v>0</v>
      </c>
      <c r="K50" s="259"/>
      <c r="L50" s="258">
        <f>L43*days_yr</f>
        <v>0</v>
      </c>
      <c r="M50" s="259"/>
      <c r="N50" s="258">
        <f>N43*days_yr</f>
        <v>0</v>
      </c>
      <c r="O50" s="259"/>
      <c r="P50" s="258">
        <f>P43*days_yr</f>
        <v>0</v>
      </c>
      <c r="Q50" s="259"/>
      <c r="R50" s="258">
        <f>R43*days_yr</f>
        <v>0</v>
      </c>
      <c r="S50" s="259"/>
      <c r="T50" s="258">
        <f>T43*days_yr</f>
        <v>0</v>
      </c>
      <c r="U50" s="259"/>
    </row>
    <row r="51" spans="1:21" ht="15.75" customHeight="1" x14ac:dyDescent="0.25">
      <c r="A51" s="168" t="s">
        <v>207</v>
      </c>
      <c r="B51" s="99" t="e">
        <f>B49+B50</f>
        <v>#VALUE!</v>
      </c>
      <c r="C51" s="257"/>
      <c r="D51" s="99" t="e">
        <f>D49+D50</f>
        <v>#VALUE!</v>
      </c>
      <c r="E51" s="257"/>
      <c r="F51" s="99" t="e">
        <f>F49+F50</f>
        <v>#VALUE!</v>
      </c>
      <c r="G51" s="257"/>
      <c r="H51" s="99" t="e">
        <f>H49+H50</f>
        <v>#VALUE!</v>
      </c>
      <c r="I51" s="257"/>
      <c r="J51" s="99" t="e">
        <f>J49+J50</f>
        <v>#VALUE!</v>
      </c>
      <c r="K51" s="257"/>
      <c r="L51" s="99" t="e">
        <f>L49+L50</f>
        <v>#VALUE!</v>
      </c>
      <c r="M51" s="257"/>
      <c r="N51" s="99" t="e">
        <f>N49+N50</f>
        <v>#VALUE!</v>
      </c>
      <c r="O51" s="257"/>
      <c r="P51" s="99" t="e">
        <f>P49+P50</f>
        <v>#VALUE!</v>
      </c>
      <c r="Q51" s="257"/>
      <c r="R51" s="99" t="e">
        <f>R49+R50</f>
        <v>#VALUE!</v>
      </c>
      <c r="S51" s="257"/>
      <c r="T51" s="99" t="e">
        <f>T49+T50</f>
        <v>#VALUE!</v>
      </c>
      <c r="U51" s="257"/>
    </row>
    <row r="52" spans="1:21" s="130" customFormat="1" ht="15.75" customHeight="1" x14ac:dyDescent="0.25">
      <c r="A52" s="164" t="s">
        <v>230</v>
      </c>
      <c r="B52" s="258">
        <v>0</v>
      </c>
      <c r="C52" s="259"/>
      <c r="D52" s="258">
        <v>0</v>
      </c>
      <c r="E52" s="259"/>
      <c r="F52" s="258">
        <v>0</v>
      </c>
      <c r="G52" s="259"/>
      <c r="H52" s="258">
        <v>0</v>
      </c>
      <c r="I52" s="259"/>
      <c r="J52" s="258">
        <v>0</v>
      </c>
      <c r="K52" s="259"/>
      <c r="L52" s="258">
        <v>0</v>
      </c>
      <c r="M52" s="259"/>
      <c r="N52" s="258">
        <v>0</v>
      </c>
      <c r="O52" s="259"/>
      <c r="P52" s="258">
        <v>0</v>
      </c>
      <c r="Q52" s="259"/>
      <c r="R52" s="258">
        <v>0</v>
      </c>
      <c r="S52" s="259"/>
      <c r="T52" s="258">
        <v>0</v>
      </c>
      <c r="U52" s="259"/>
    </row>
    <row r="53" spans="1:21" ht="15.75" customHeight="1" thickBot="1" x14ac:dyDescent="0.3">
      <c r="A53" s="169" t="s">
        <v>325</v>
      </c>
      <c r="B53" s="114">
        <f>B45*days_yr</f>
        <v>0</v>
      </c>
      <c r="C53" s="260"/>
      <c r="D53" s="114">
        <f>D45*days_yr</f>
        <v>0</v>
      </c>
      <c r="E53" s="260"/>
      <c r="F53" s="114">
        <f>F45*days_yr</f>
        <v>0</v>
      </c>
      <c r="G53" s="260"/>
      <c r="H53" s="114">
        <f>H45*days_yr</f>
        <v>0</v>
      </c>
      <c r="I53" s="260"/>
      <c r="J53" s="114">
        <f>J45*days_yr</f>
        <v>0</v>
      </c>
      <c r="K53" s="260"/>
      <c r="L53" s="114">
        <f>L45*days_yr</f>
        <v>0</v>
      </c>
      <c r="M53" s="260"/>
      <c r="N53" s="114">
        <f>N45*days_yr</f>
        <v>0</v>
      </c>
      <c r="O53" s="260"/>
      <c r="P53" s="114">
        <f>P45*days_yr</f>
        <v>0</v>
      </c>
      <c r="Q53" s="260"/>
      <c r="R53" s="114">
        <f>R45*days_yr</f>
        <v>0</v>
      </c>
      <c r="S53" s="260"/>
      <c r="T53" s="114">
        <f>T45*days_yr</f>
        <v>0</v>
      </c>
      <c r="U53" s="260"/>
    </row>
    <row r="55" spans="1:21" ht="18" x14ac:dyDescent="0.25">
      <c r="A55" s="176" t="s">
        <v>97</v>
      </c>
      <c r="B55" s="155"/>
    </row>
    <row r="56" spans="1:21" ht="54.75" customHeight="1" x14ac:dyDescent="0.2">
      <c r="A56" s="1297" t="s">
        <v>55</v>
      </c>
      <c r="B56" s="1320"/>
      <c r="C56" s="1320"/>
    </row>
    <row r="57" spans="1:21" ht="18.75" x14ac:dyDescent="0.35">
      <c r="A57" s="96" t="s">
        <v>107</v>
      </c>
      <c r="G57" s="96"/>
      <c r="H57" s="130"/>
      <c r="I57" s="130"/>
      <c r="J57" s="130"/>
    </row>
    <row r="58" spans="1:21" ht="15" x14ac:dyDescent="0.2">
      <c r="B58" s="1234" t="s">
        <v>110</v>
      </c>
      <c r="C58" s="1235"/>
      <c r="D58" s="1235"/>
      <c r="E58" s="1236"/>
      <c r="G58" s="261"/>
      <c r="H58" s="96"/>
      <c r="I58" s="96"/>
      <c r="J58" s="130"/>
    </row>
    <row r="59" spans="1:21" x14ac:dyDescent="0.2">
      <c r="B59" s="1231" t="s">
        <v>31</v>
      </c>
      <c r="C59" s="1232"/>
      <c r="D59" s="1233"/>
      <c r="E59" s="563">
        <v>0</v>
      </c>
      <c r="G59" s="130"/>
      <c r="H59" s="96"/>
      <c r="I59" s="130"/>
      <c r="J59" s="130"/>
    </row>
    <row r="60" spans="1:21" x14ac:dyDescent="0.2">
      <c r="B60" s="1231" t="s">
        <v>32</v>
      </c>
      <c r="C60" s="1232"/>
      <c r="D60" s="1233"/>
      <c r="E60" s="564">
        <v>0</v>
      </c>
      <c r="G60" s="261"/>
      <c r="H60" s="96"/>
      <c r="I60" s="130"/>
      <c r="J60" s="130"/>
    </row>
    <row r="61" spans="1:21" x14ac:dyDescent="0.2">
      <c r="B61" s="1231" t="s">
        <v>615</v>
      </c>
      <c r="C61" s="1232"/>
      <c r="D61" s="1233"/>
      <c r="E61" s="565">
        <v>0</v>
      </c>
      <c r="G61" s="261"/>
      <c r="H61" s="96"/>
      <c r="I61" s="130"/>
      <c r="J61" s="130"/>
    </row>
    <row r="62" spans="1:21" ht="15" x14ac:dyDescent="0.25">
      <c r="B62" s="1231" t="s">
        <v>70</v>
      </c>
      <c r="C62" s="1232"/>
      <c r="D62" s="1233"/>
      <c r="E62" s="566">
        <v>0</v>
      </c>
      <c r="G62" s="261"/>
      <c r="H62" s="96"/>
      <c r="I62" s="130"/>
      <c r="J62" s="130"/>
    </row>
    <row r="63" spans="1:21" x14ac:dyDescent="0.2">
      <c r="B63" s="1231" t="s">
        <v>550</v>
      </c>
      <c r="C63" s="1232"/>
      <c r="D63" s="1233"/>
      <c r="E63" s="567">
        <v>0</v>
      </c>
      <c r="G63" s="261"/>
      <c r="H63" s="96"/>
      <c r="I63" s="130"/>
      <c r="J63" s="130"/>
    </row>
    <row r="64" spans="1:21" x14ac:dyDescent="0.2">
      <c r="B64" s="1231" t="s">
        <v>610</v>
      </c>
      <c r="C64" s="1232"/>
      <c r="D64" s="1233"/>
      <c r="E64" s="227">
        <v>0</v>
      </c>
      <c r="G64" s="261"/>
      <c r="H64" s="96"/>
      <c r="I64" s="130"/>
      <c r="J64" s="130"/>
    </row>
    <row r="65" spans="3:10" x14ac:dyDescent="0.2">
      <c r="C65" s="96"/>
      <c r="G65" s="130"/>
      <c r="H65" s="96"/>
      <c r="I65" s="130"/>
      <c r="J65" s="96"/>
    </row>
    <row r="66" spans="3:10" x14ac:dyDescent="0.2">
      <c r="G66" s="261"/>
      <c r="H66" s="96"/>
      <c r="I66" s="130"/>
      <c r="J66" s="130"/>
    </row>
    <row r="67" spans="3:10" x14ac:dyDescent="0.2">
      <c r="G67" s="261"/>
      <c r="H67" s="96"/>
      <c r="I67" s="130"/>
      <c r="J67" s="130"/>
    </row>
  </sheetData>
  <sheetProtection algorithmName="SHA-512" hashValue="Qn8sBPAX6vYIuFM6/qZ+tXQGC1vh9Dwp8tbTbkSo5ajcfo0yFu+oFhQPVEx5BDqKt+wi84uL+d21/DKDKlJt+g==" saltValue="pwelOCCBsFG6nmxXPKZSyA==" spinCount="100000" sheet="1" objects="1" scenarios="1"/>
  <mergeCells count="33">
    <mergeCell ref="R2:S2"/>
    <mergeCell ref="H2:I2"/>
    <mergeCell ref="J2:K2"/>
    <mergeCell ref="L2:M2"/>
    <mergeCell ref="N2:O2"/>
    <mergeCell ref="P2:Q2"/>
    <mergeCell ref="T3:U3"/>
    <mergeCell ref="A5:U5"/>
    <mergeCell ref="A2:A3"/>
    <mergeCell ref="B2:C2"/>
    <mergeCell ref="D2:E2"/>
    <mergeCell ref="F2:G2"/>
    <mergeCell ref="T2:U2"/>
    <mergeCell ref="B3:C3"/>
    <mergeCell ref="D3:E3"/>
    <mergeCell ref="F3:G3"/>
    <mergeCell ref="H3:I3"/>
    <mergeCell ref="J3:K3"/>
    <mergeCell ref="L3:M3"/>
    <mergeCell ref="N3:O3"/>
    <mergeCell ref="P3:Q3"/>
    <mergeCell ref="R3:S3"/>
    <mergeCell ref="A13:U13"/>
    <mergeCell ref="A20:U20"/>
    <mergeCell ref="A47:U47"/>
    <mergeCell ref="B64:D64"/>
    <mergeCell ref="B59:D59"/>
    <mergeCell ref="B60:D60"/>
    <mergeCell ref="B61:D61"/>
    <mergeCell ref="B62:D62"/>
    <mergeCell ref="B63:D63"/>
    <mergeCell ref="A56:C56"/>
    <mergeCell ref="B58:E58"/>
  </mergeCells>
  <dataValidations count="3">
    <dataValidation type="list" allowBlank="1" showInputMessage="1" showErrorMessage="1" sqref="F23 P29 D23 H23 J23 L23 N23 P23 R23 T29 N29 T23 B29 R29 D29 F29 H29 J29 L29 B23" xr:uid="{00000000-0002-0000-0B00-000000000000}">
      <formula1>Yes_No</formula1>
    </dataValidation>
    <dataValidation type="list" allowBlank="1" showInputMessage="1" showErrorMessage="1" sqref="P31 N31 B31 R31 D31 F31 H31 J31 L31 T31" xr:uid="{00000000-0002-0000-0B00-000001000000}">
      <formula1>Flare_type</formula1>
    </dataValidation>
    <dataValidation type="list" allowBlank="1" showInputMessage="1" showErrorMessage="1" sqref="T25 D25 F25 H25 J25 L25 N25 P25 R25 B25" xr:uid="{00000000-0002-0000-0B00-000002000000}">
      <formula1>combust_efficiency</formula1>
    </dataValidation>
  </dataValidations>
  <pageMargins left="0.75" right="0.75" top="1" bottom="1" header="0.5" footer="0.5"/>
  <pageSetup scale="72" orientation="portrait" horizontalDpi="4294967292" verticalDpi="429496729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pageSetUpPr fitToPage="1"/>
  </sheetPr>
  <dimension ref="A1:W34"/>
  <sheetViews>
    <sheetView zoomScale="70" zoomScaleNormal="70" workbookViewId="0">
      <selection activeCell="H28" sqref="H28"/>
    </sheetView>
  </sheetViews>
  <sheetFormatPr defaultColWidth="11.42578125" defaultRowHeight="14.25" x14ac:dyDescent="0.2"/>
  <cols>
    <col min="1" max="1" width="67.42578125" style="184" customWidth="1"/>
    <col min="2" max="2" width="16.42578125" style="184" customWidth="1"/>
    <col min="3" max="3" width="15.140625" style="184" customWidth="1"/>
    <col min="4" max="4" width="16.42578125" style="184" customWidth="1"/>
    <col min="5" max="5" width="15.140625" style="184" customWidth="1"/>
    <col min="6" max="6" width="16.42578125" style="184" customWidth="1"/>
    <col min="7" max="7" width="15.140625" style="184" customWidth="1"/>
    <col min="8" max="8" width="16.42578125" style="184" customWidth="1"/>
    <col min="9" max="9" width="15.140625" style="184" customWidth="1"/>
    <col min="10" max="10" width="16.42578125" style="184" customWidth="1"/>
    <col min="11" max="11" width="15.140625" style="184" customWidth="1"/>
    <col min="12" max="12" width="16.42578125" style="184" customWidth="1"/>
    <col min="13" max="13" width="15.140625" style="184" customWidth="1"/>
    <col min="14" max="14" width="16.42578125" style="184" customWidth="1"/>
    <col min="15" max="15" width="15.140625" style="184" customWidth="1"/>
    <col min="16" max="16" width="16.42578125" style="184" customWidth="1"/>
    <col min="17" max="17" width="15.140625" style="184" customWidth="1"/>
    <col min="18" max="18" width="16.42578125" style="184" customWidth="1"/>
    <col min="19" max="19" width="15.140625" style="184" customWidth="1"/>
    <col min="20" max="20" width="16.42578125" style="184" customWidth="1"/>
    <col min="21" max="21" width="15.140625" style="184" customWidth="1"/>
    <col min="22" max="16384" width="11.42578125" style="184"/>
  </cols>
  <sheetData>
    <row r="1" spans="1:23" ht="24" thickBot="1" x14ac:dyDescent="0.4">
      <c r="B1" s="185"/>
    </row>
    <row r="2" spans="1:23" ht="15.6" customHeight="1" x14ac:dyDescent="0.2">
      <c r="A2" s="1318" t="s">
        <v>196</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3" ht="15.6"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3" s="187" customFormat="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c r="W4" s="188"/>
    </row>
    <row r="5" spans="1:23" s="187" customFormat="1" ht="15.75" customHeight="1" thickBot="1" x14ac:dyDescent="0.3">
      <c r="A5" s="1340"/>
      <c r="B5" s="1327"/>
      <c r="C5" s="1327"/>
      <c r="D5" s="1327"/>
      <c r="E5" s="1327"/>
      <c r="F5" s="1327"/>
      <c r="G5" s="1327"/>
      <c r="H5" s="1327"/>
      <c r="I5" s="1327"/>
      <c r="J5" s="1327"/>
      <c r="K5" s="1327"/>
      <c r="L5" s="1327"/>
      <c r="M5" s="1327"/>
      <c r="N5" s="1327"/>
      <c r="O5" s="1327"/>
      <c r="P5" s="1327"/>
      <c r="Q5" s="1327"/>
      <c r="R5" s="1327"/>
      <c r="S5" s="1327"/>
      <c r="T5" s="1327"/>
      <c r="U5" s="1341"/>
      <c r="W5" s="188"/>
    </row>
    <row r="6" spans="1:23" s="188" customFormat="1" ht="15.75" customHeight="1" x14ac:dyDescent="0.2">
      <c r="A6" s="570" t="s">
        <v>850</v>
      </c>
      <c r="B6" s="15"/>
      <c r="C6" s="569"/>
      <c r="D6" s="15">
        <f>'Anaerobic Digestion'!D14</f>
        <v>93.6</v>
      </c>
      <c r="E6" s="569"/>
      <c r="F6" s="15"/>
      <c r="G6" s="569"/>
      <c r="H6" s="15"/>
      <c r="I6" s="569"/>
      <c r="J6" s="15"/>
      <c r="K6" s="569"/>
      <c r="L6" s="15"/>
      <c r="M6" s="569"/>
      <c r="N6" s="15"/>
      <c r="O6" s="569"/>
      <c r="P6" s="15"/>
      <c r="Q6" s="569"/>
      <c r="R6" s="15"/>
      <c r="S6" s="569"/>
      <c r="T6" s="15"/>
      <c r="U6" s="569"/>
    </row>
    <row r="7" spans="1:23" s="187" customFormat="1" ht="15.75" customHeight="1" x14ac:dyDescent="0.2">
      <c r="A7" s="1095" t="s">
        <v>845</v>
      </c>
      <c r="B7" s="1096">
        <f>+solids_before_dewat</f>
        <v>0</v>
      </c>
      <c r="C7" s="1097">
        <f>+'References Assumptions'!$B$36</f>
        <v>0.04</v>
      </c>
      <c r="D7" s="1096">
        <v>0.04</v>
      </c>
      <c r="E7" s="1097">
        <f>+'References Assumptions'!$B$36</f>
        <v>0.04</v>
      </c>
      <c r="F7" s="1096">
        <f>+solids_before_dewat</f>
        <v>0</v>
      </c>
      <c r="G7" s="1097">
        <f>+'References Assumptions'!$B$36</f>
        <v>0.04</v>
      </c>
      <c r="H7" s="1096">
        <f>+solids_before_dewat</f>
        <v>0</v>
      </c>
      <c r="I7" s="1097">
        <f>+'References Assumptions'!$B$36</f>
        <v>0.04</v>
      </c>
      <c r="J7" s="1096">
        <f>+solids_before_dewat</f>
        <v>0</v>
      </c>
      <c r="K7" s="1097">
        <f>+'References Assumptions'!$B$36</f>
        <v>0.04</v>
      </c>
      <c r="L7" s="1096">
        <f>+solids_before_dewat</f>
        <v>0</v>
      </c>
      <c r="M7" s="1097">
        <f>+'References Assumptions'!$B$36</f>
        <v>0.04</v>
      </c>
      <c r="N7" s="1096">
        <f>+solids_before_dewat</f>
        <v>0</v>
      </c>
      <c r="O7" s="1097">
        <f>+'References Assumptions'!$B$36</f>
        <v>0.04</v>
      </c>
      <c r="P7" s="1096">
        <f>+solids_before_dewat</f>
        <v>0</v>
      </c>
      <c r="Q7" s="1097">
        <f>+'References Assumptions'!$B$36</f>
        <v>0.04</v>
      </c>
      <c r="R7" s="1096">
        <f>+solids_before_dewat</f>
        <v>0</v>
      </c>
      <c r="S7" s="1097">
        <f>+'References Assumptions'!$B$36</f>
        <v>0.04</v>
      </c>
      <c r="T7" s="1096">
        <f>+solids_before_dewat</f>
        <v>0</v>
      </c>
      <c r="U7" s="1097">
        <f>+'References Assumptions'!$B$36</f>
        <v>0.04</v>
      </c>
      <c r="W7" s="188"/>
    </row>
    <row r="8" spans="1:23" ht="15.6" customHeight="1" x14ac:dyDescent="0.2">
      <c r="A8" s="189" t="s">
        <v>913</v>
      </c>
      <c r="B8" s="40">
        <f>+Mean_solids</f>
        <v>7.1999999999999995E-2</v>
      </c>
      <c r="C8" s="291"/>
      <c r="D8" s="40">
        <f>+Mean_solids</f>
        <v>7.1999999999999995E-2</v>
      </c>
      <c r="E8" s="291"/>
      <c r="F8" s="40">
        <f>+Mean_solids</f>
        <v>7.1999999999999995E-2</v>
      </c>
      <c r="G8" s="291"/>
      <c r="H8" s="40">
        <f>+Mean_solids</f>
        <v>7.1999999999999995E-2</v>
      </c>
      <c r="I8" s="291"/>
      <c r="J8" s="40">
        <f>+Mean_solids</f>
        <v>7.1999999999999995E-2</v>
      </c>
      <c r="K8" s="292"/>
      <c r="L8" s="40">
        <f>+Mean_solids</f>
        <v>7.1999999999999995E-2</v>
      </c>
      <c r="M8" s="291"/>
      <c r="N8" s="40">
        <f>+Mean_solids</f>
        <v>7.1999999999999995E-2</v>
      </c>
      <c r="O8" s="291"/>
      <c r="P8" s="40">
        <f>+Mean_solids</f>
        <v>7.1999999999999995E-2</v>
      </c>
      <c r="Q8" s="291"/>
      <c r="R8" s="40">
        <f>+Mean_solids</f>
        <v>7.1999999999999995E-2</v>
      </c>
      <c r="S8" s="291"/>
      <c r="T8" s="40">
        <f>+Mean_solids</f>
        <v>7.1999999999999995E-2</v>
      </c>
      <c r="U8" s="291"/>
    </row>
    <row r="9" spans="1:23" s="188" customFormat="1" ht="15.75" customHeight="1" x14ac:dyDescent="0.2">
      <c r="A9" s="1098" t="s">
        <v>210</v>
      </c>
      <c r="B9" s="1099">
        <f>+B6*B7</f>
        <v>0</v>
      </c>
      <c r="C9" s="1100"/>
      <c r="D9" s="1099">
        <f>+D6*D7</f>
        <v>3.7439999999999998</v>
      </c>
      <c r="E9" s="1100"/>
      <c r="F9" s="1099">
        <f>+F6*F7</f>
        <v>0</v>
      </c>
      <c r="G9" s="1100"/>
      <c r="H9" s="1099">
        <f>+H6*H7</f>
        <v>0</v>
      </c>
      <c r="I9" s="1100"/>
      <c r="J9" s="1099">
        <f>+J6*J7</f>
        <v>0</v>
      </c>
      <c r="K9" s="1100"/>
      <c r="L9" s="1099">
        <f>+L6*L7</f>
        <v>0</v>
      </c>
      <c r="M9" s="1100"/>
      <c r="N9" s="1099">
        <f>+N6*N7</f>
        <v>0</v>
      </c>
      <c r="O9" s="1100"/>
      <c r="P9" s="1099">
        <f>+P6*P7</f>
        <v>0</v>
      </c>
      <c r="Q9" s="1100"/>
      <c r="R9" s="1099">
        <f>+R6*R7</f>
        <v>0</v>
      </c>
      <c r="S9" s="1100"/>
      <c r="T9" s="1099">
        <f>+T6*T7</f>
        <v>0</v>
      </c>
      <c r="U9" s="1100"/>
    </row>
    <row r="10" spans="1:23" s="188" customFormat="1" ht="15.75" customHeight="1" x14ac:dyDescent="0.2">
      <c r="A10" s="189" t="s">
        <v>330</v>
      </c>
      <c r="B10" s="13"/>
      <c r="C10" s="196" t="s">
        <v>328</v>
      </c>
      <c r="D10" s="13" t="s">
        <v>185</v>
      </c>
      <c r="E10" s="196" t="s">
        <v>328</v>
      </c>
      <c r="F10" s="13"/>
      <c r="G10" s="196" t="s">
        <v>328</v>
      </c>
      <c r="H10" s="13"/>
      <c r="I10" s="196" t="s">
        <v>328</v>
      </c>
      <c r="J10" s="13"/>
      <c r="K10" s="196" t="s">
        <v>328</v>
      </c>
      <c r="L10" s="13"/>
      <c r="M10" s="196" t="s">
        <v>328</v>
      </c>
      <c r="N10" s="13"/>
      <c r="O10" s="196" t="s">
        <v>328</v>
      </c>
      <c r="P10" s="13"/>
      <c r="Q10" s="196" t="s">
        <v>328</v>
      </c>
      <c r="R10" s="13"/>
      <c r="S10" s="196" t="s">
        <v>328</v>
      </c>
      <c r="T10" s="13"/>
      <c r="U10" s="196" t="s">
        <v>328</v>
      </c>
    </row>
    <row r="11" spans="1:23" s="96" customFormat="1" ht="15.75" customHeight="1" x14ac:dyDescent="0.2">
      <c r="A11" s="245" t="s">
        <v>142</v>
      </c>
      <c r="B11" s="8"/>
      <c r="C11" s="198">
        <f>+B9*Polymer_use_dewatering</f>
        <v>0</v>
      </c>
      <c r="D11" s="8">
        <v>9</v>
      </c>
      <c r="E11" s="198">
        <f>+D9*Polymer_use_dewatering</f>
        <v>18.72</v>
      </c>
      <c r="F11" s="8"/>
      <c r="G11" s="198">
        <f>+F9*Polymer_use_dewatering</f>
        <v>0</v>
      </c>
      <c r="H11" s="8"/>
      <c r="I11" s="198">
        <f>+H9*Polymer_use_dewatering</f>
        <v>0</v>
      </c>
      <c r="J11" s="8"/>
      <c r="K11" s="198">
        <f>+J9*Polymer_use_dewatering</f>
        <v>0</v>
      </c>
      <c r="L11" s="8"/>
      <c r="M11" s="198">
        <f>+L9*Polymer_use_dewatering</f>
        <v>0</v>
      </c>
      <c r="N11" s="8"/>
      <c r="O11" s="198">
        <f>+N9*Polymer_use_dewatering</f>
        <v>0</v>
      </c>
      <c r="P11" s="8"/>
      <c r="Q11" s="198">
        <f>+P9*Polymer_use_dewatering</f>
        <v>0</v>
      </c>
      <c r="R11" s="8"/>
      <c r="S11" s="198">
        <f>+R9*Polymer_use_dewatering</f>
        <v>0</v>
      </c>
      <c r="T11" s="8"/>
      <c r="U11" s="198">
        <f>+T9*Polymer_use_dewatering</f>
        <v>0</v>
      </c>
    </row>
    <row r="12" spans="1:23" s="183" customFormat="1" ht="15.75" customHeight="1" x14ac:dyDescent="0.3">
      <c r="A12" s="168" t="s">
        <v>22</v>
      </c>
      <c r="B12" s="199">
        <f>+B11*CO2E_for_Polymer_manufacture/1000</f>
        <v>0</v>
      </c>
      <c r="C12" s="200"/>
      <c r="D12" s="199">
        <f>+D11*CO2E_for_Polymer_manufacture/1000</f>
        <v>1.44E-2</v>
      </c>
      <c r="E12" s="200"/>
      <c r="F12" s="199">
        <f>+F11*CO2E_for_Polymer_manufacture/1000</f>
        <v>0</v>
      </c>
      <c r="G12" s="200"/>
      <c r="H12" s="199">
        <f>+H11*CO2E_for_Polymer_manufacture/1000</f>
        <v>0</v>
      </c>
      <c r="I12" s="200"/>
      <c r="J12" s="199">
        <f>+J11*CO2E_for_Polymer_manufacture/1000</f>
        <v>0</v>
      </c>
      <c r="K12" s="200"/>
      <c r="L12" s="199">
        <f>+L11*CO2E_for_Polymer_manufacture/1000</f>
        <v>0</v>
      </c>
      <c r="M12" s="200"/>
      <c r="N12" s="199">
        <f>+N11*CO2E_for_Polymer_manufacture/1000</f>
        <v>0</v>
      </c>
      <c r="O12" s="200"/>
      <c r="P12" s="199">
        <f>+P11*CO2E_for_Polymer_manufacture/1000</f>
        <v>0</v>
      </c>
      <c r="Q12" s="200"/>
      <c r="R12" s="199">
        <f>+R11*CO2E_for_Polymer_manufacture/1000</f>
        <v>0</v>
      </c>
      <c r="S12" s="200"/>
      <c r="T12" s="199">
        <f>+T11*CO2E_for_Polymer_manufacture/1000</f>
        <v>0</v>
      </c>
      <c r="U12" s="200"/>
    </row>
    <row r="13" spans="1:23" s="183" customFormat="1" ht="15.75" customHeight="1" thickBot="1" x14ac:dyDescent="0.3">
      <c r="A13" s="169"/>
      <c r="B13" s="274"/>
      <c r="C13" s="231"/>
      <c r="D13" s="230"/>
      <c r="E13" s="231"/>
      <c r="F13" s="230"/>
      <c r="G13" s="231"/>
      <c r="H13" s="230"/>
      <c r="I13" s="231"/>
      <c r="J13" s="230"/>
      <c r="K13" s="231"/>
      <c r="L13" s="230"/>
      <c r="M13" s="231"/>
      <c r="N13" s="230"/>
      <c r="O13" s="231"/>
      <c r="P13" s="230"/>
      <c r="Q13" s="231"/>
      <c r="R13" s="230"/>
      <c r="S13" s="231"/>
      <c r="T13" s="230"/>
      <c r="U13" s="231"/>
    </row>
    <row r="14" spans="1:23" s="183" customFormat="1" ht="15.75" customHeight="1" thickBot="1" x14ac:dyDescent="0.3">
      <c r="A14" s="1340" t="s">
        <v>193</v>
      </c>
      <c r="B14" s="1327"/>
      <c r="C14" s="1327"/>
      <c r="D14" s="1327"/>
      <c r="E14" s="1327"/>
      <c r="F14" s="1327"/>
      <c r="G14" s="1327"/>
      <c r="H14" s="1327"/>
      <c r="I14" s="1327"/>
      <c r="J14" s="1327"/>
      <c r="K14" s="1327"/>
      <c r="L14" s="1327"/>
      <c r="M14" s="1327"/>
      <c r="N14" s="1327"/>
      <c r="O14" s="1327"/>
      <c r="P14" s="1327"/>
      <c r="Q14" s="1327"/>
      <c r="R14" s="1327"/>
      <c r="S14" s="1327"/>
      <c r="T14" s="1327"/>
      <c r="U14" s="1341"/>
    </row>
    <row r="15" spans="1:23" s="187" customFormat="1" ht="15.75" customHeight="1" x14ac:dyDescent="0.2">
      <c r="A15" s="570" t="s">
        <v>82</v>
      </c>
      <c r="B15" s="15"/>
      <c r="C15" s="206">
        <f>+IF(B10='References Assumptions'!$C$364,B9*'References Assumptions'!$B$59, B9*'References Assumptions'!$B$58)</f>
        <v>0</v>
      </c>
      <c r="D15" s="15">
        <f>E15</f>
        <v>400.60799999999995</v>
      </c>
      <c r="E15" s="206">
        <f>+IF(D10='References Assumptions'!$C$364,D9*'References Assumptions'!$B$59, D9*'References Assumptions'!$B$58)</f>
        <v>400.60799999999995</v>
      </c>
      <c r="F15" s="15"/>
      <c r="G15" s="206">
        <f>+IF(F10='References Assumptions'!$C$364,F9*'References Assumptions'!$B$59, F9*'References Assumptions'!$B$58)</f>
        <v>0</v>
      </c>
      <c r="H15" s="15"/>
      <c r="I15" s="206">
        <f>+IF(H10='References Assumptions'!$C$364,H9*'References Assumptions'!$B$59, H9*'References Assumptions'!$B$58)</f>
        <v>0</v>
      </c>
      <c r="J15" s="15"/>
      <c r="K15" s="206">
        <f>+IF(J10='References Assumptions'!$C$364,J9*'References Assumptions'!$B$59, J9*'References Assumptions'!$B$58)</f>
        <v>0</v>
      </c>
      <c r="L15" s="15"/>
      <c r="M15" s="206">
        <f>+IF(L10='References Assumptions'!$C$364,L9*'References Assumptions'!$B$59, L9*'References Assumptions'!$B$58)</f>
        <v>0</v>
      </c>
      <c r="N15" s="15"/>
      <c r="O15" s="206">
        <f>+IF(N10='References Assumptions'!$C$364,N9*'References Assumptions'!$B$59, N9*'References Assumptions'!$B$58)</f>
        <v>0</v>
      </c>
      <c r="P15" s="15"/>
      <c r="Q15" s="206">
        <f>+IF(P10='References Assumptions'!$C$364,P9*'References Assumptions'!$B$59, P9*'References Assumptions'!$B$58)</f>
        <v>0</v>
      </c>
      <c r="R15" s="15"/>
      <c r="S15" s="206">
        <f>+IF(R10='References Assumptions'!$C$364,R9*'References Assumptions'!$B$59, R9*'References Assumptions'!$B$58)</f>
        <v>0</v>
      </c>
      <c r="T15" s="15"/>
      <c r="U15" s="206">
        <f>+IF(T10='References Assumptions'!$C$364,T9*'References Assumptions'!$B$59, T9*'References Assumptions'!$B$58)</f>
        <v>0</v>
      </c>
    </row>
    <row r="16" spans="1:23" s="191" customFormat="1" ht="15.75" customHeight="1" x14ac:dyDescent="0.3">
      <c r="A16" s="417" t="s">
        <v>75</v>
      </c>
      <c r="B16" s="453">
        <f>+B15*GHG_emissions_factors_by_province/1000000</f>
        <v>0</v>
      </c>
      <c r="C16" s="1173"/>
      <c r="D16" s="432">
        <f>+D15*GHG_emissions_factors_by_province/1000000</f>
        <v>0.10981420185715197</v>
      </c>
      <c r="E16" s="1173"/>
      <c r="F16" s="432">
        <f>+F15*GHG_emissions_factors_by_province/1000000</f>
        <v>0</v>
      </c>
      <c r="G16" s="1173"/>
      <c r="H16" s="432">
        <f>+H15*GHG_emissions_factors_by_province/1000000</f>
        <v>0</v>
      </c>
      <c r="I16" s="1173"/>
      <c r="J16" s="432">
        <f>+J15*GHG_emissions_factors_by_province/1000000</f>
        <v>0</v>
      </c>
      <c r="K16" s="1173"/>
      <c r="L16" s="432">
        <f>+L15*GHG_emissions_factors_by_province/1000000</f>
        <v>0</v>
      </c>
      <c r="M16" s="1173"/>
      <c r="N16" s="432">
        <f>+N15*GHG_emissions_factors_by_province/1000000</f>
        <v>0</v>
      </c>
      <c r="O16" s="1173"/>
      <c r="P16" s="432">
        <f>+P15*GHG_emissions_factors_by_province/1000000</f>
        <v>0</v>
      </c>
      <c r="Q16" s="1173"/>
      <c r="R16" s="432">
        <f>+R15*GHG_emissions_factors_by_province/1000000</f>
        <v>0</v>
      </c>
      <c r="S16" s="1173"/>
      <c r="T16" s="432">
        <f>+T15*GHG_emissions_factors_by_province/1000000</f>
        <v>0</v>
      </c>
      <c r="U16" s="1084"/>
    </row>
    <row r="17" spans="1:21" s="191" customFormat="1" ht="15.75" customHeight="1" thickBot="1" x14ac:dyDescent="0.3">
      <c r="A17" s="169"/>
      <c r="B17" s="274"/>
      <c r="C17" s="231"/>
      <c r="D17" s="230"/>
      <c r="E17" s="231"/>
      <c r="F17" s="230"/>
      <c r="G17" s="231"/>
      <c r="H17" s="230"/>
      <c r="I17" s="231"/>
      <c r="J17" s="230"/>
      <c r="K17" s="231"/>
      <c r="L17" s="230"/>
      <c r="M17" s="231"/>
      <c r="N17" s="230"/>
      <c r="O17" s="231"/>
      <c r="P17" s="230"/>
      <c r="Q17" s="231"/>
      <c r="R17" s="230"/>
      <c r="S17" s="231"/>
      <c r="T17" s="230"/>
      <c r="U17" s="231"/>
    </row>
    <row r="18" spans="1:21" s="187" customFormat="1" ht="18" customHeight="1" thickBot="1" x14ac:dyDescent="0.25">
      <c r="A18" s="1337"/>
      <c r="B18" s="1338"/>
      <c r="C18" s="1338"/>
      <c r="D18" s="1338"/>
      <c r="E18" s="1338"/>
      <c r="F18" s="1338"/>
      <c r="G18" s="1338"/>
      <c r="H18" s="1338"/>
      <c r="I18" s="1338"/>
      <c r="J18" s="1338"/>
      <c r="K18" s="1338"/>
      <c r="L18" s="1338"/>
      <c r="M18" s="1338"/>
      <c r="N18" s="1338"/>
      <c r="O18" s="1338"/>
      <c r="P18" s="1338"/>
      <c r="Q18" s="1338"/>
      <c r="R18" s="1338"/>
      <c r="S18" s="1338"/>
      <c r="T18" s="1338"/>
      <c r="U18" s="1339"/>
    </row>
    <row r="19" spans="1:21" ht="18.75" customHeight="1" thickBot="1" x14ac:dyDescent="0.25">
      <c r="A19" s="156" t="s">
        <v>329</v>
      </c>
      <c r="B19" s="571">
        <f>(+B12+B16)*days_yr</f>
        <v>0</v>
      </c>
      <c r="C19" s="211"/>
      <c r="D19" s="571">
        <f>(+D12+D16)*days_yr</f>
        <v>45.338183677860471</v>
      </c>
      <c r="E19" s="210"/>
      <c r="F19" s="571">
        <f>(+F12+F16)*days_yr</f>
        <v>0</v>
      </c>
      <c r="G19" s="211"/>
      <c r="H19" s="571">
        <f>(+H12+H16)*days_yr</f>
        <v>0</v>
      </c>
      <c r="I19" s="211"/>
      <c r="J19" s="571">
        <f>(+J12+J16)*days_yr</f>
        <v>0</v>
      </c>
      <c r="K19" s="211"/>
      <c r="L19" s="571">
        <f>(+L12+L16)*days_yr</f>
        <v>0</v>
      </c>
      <c r="M19" s="210"/>
      <c r="N19" s="571">
        <f>(+N12+N16)*days_yr</f>
        <v>0</v>
      </c>
      <c r="O19" s="211"/>
      <c r="P19" s="571">
        <f>(+P12+P16)*days_yr</f>
        <v>0</v>
      </c>
      <c r="Q19" s="211"/>
      <c r="R19" s="571">
        <f>(+R12+R16)*days_yr</f>
        <v>0</v>
      </c>
      <c r="S19" s="211"/>
      <c r="T19" s="571">
        <f>(+T12+T16)*days_yr</f>
        <v>0</v>
      </c>
      <c r="U19" s="211"/>
    </row>
    <row r="20" spans="1:21" s="187" customFormat="1" ht="15.75" customHeight="1" x14ac:dyDescent="0.25">
      <c r="A20" s="572" t="s">
        <v>228</v>
      </c>
      <c r="B20" s="573">
        <v>0</v>
      </c>
      <c r="C20" s="167"/>
      <c r="D20" s="573">
        <v>0</v>
      </c>
      <c r="F20" s="573">
        <v>0</v>
      </c>
      <c r="G20" s="214"/>
      <c r="H20" s="573">
        <v>0</v>
      </c>
      <c r="I20" s="214"/>
      <c r="J20" s="573">
        <v>0</v>
      </c>
      <c r="K20" s="214"/>
      <c r="L20" s="573">
        <v>0</v>
      </c>
      <c r="N20" s="573">
        <v>0</v>
      </c>
      <c r="O20" s="214"/>
      <c r="P20" s="573">
        <v>0</v>
      </c>
      <c r="Q20" s="214"/>
      <c r="R20" s="573">
        <v>0</v>
      </c>
      <c r="S20" s="214"/>
      <c r="T20" s="573">
        <v>0</v>
      </c>
      <c r="U20" s="214"/>
    </row>
    <row r="21" spans="1:21" ht="15.75" customHeight="1" x14ac:dyDescent="0.25">
      <c r="A21" s="168" t="s">
        <v>229</v>
      </c>
      <c r="B21" s="138">
        <f>B16*days_yr</f>
        <v>0</v>
      </c>
      <c r="C21" s="163"/>
      <c r="D21" s="138">
        <f>D16*days_yr</f>
        <v>40.082183677860471</v>
      </c>
      <c r="F21" s="138">
        <f>F16*days_yr</f>
        <v>0</v>
      </c>
      <c r="G21" s="217"/>
      <c r="H21" s="138">
        <f>H16*days_yr</f>
        <v>0</v>
      </c>
      <c r="I21" s="217"/>
      <c r="J21" s="138">
        <f>J16*days_yr</f>
        <v>0</v>
      </c>
      <c r="K21" s="217"/>
      <c r="L21" s="138">
        <f>L16*days_yr</f>
        <v>0</v>
      </c>
      <c r="N21" s="138">
        <f>N16*days_yr</f>
        <v>0</v>
      </c>
      <c r="O21" s="217"/>
      <c r="P21" s="138">
        <f>P16*days_yr</f>
        <v>0</v>
      </c>
      <c r="Q21" s="217"/>
      <c r="R21" s="138">
        <f>R16*days_yr</f>
        <v>0</v>
      </c>
      <c r="S21" s="217"/>
      <c r="T21" s="138">
        <f>T16*days_yr</f>
        <v>0</v>
      </c>
      <c r="U21" s="217"/>
    </row>
    <row r="22" spans="1:21" s="187" customFormat="1" ht="15.75" customHeight="1" x14ac:dyDescent="0.25">
      <c r="A22" s="164" t="s">
        <v>207</v>
      </c>
      <c r="B22" s="165">
        <f>B20+B21</f>
        <v>0</v>
      </c>
      <c r="C22" s="167"/>
      <c r="D22" s="165">
        <f>D20+D21</f>
        <v>40.082183677860471</v>
      </c>
      <c r="F22" s="165">
        <f>F20+F21</f>
        <v>0</v>
      </c>
      <c r="G22" s="214"/>
      <c r="H22" s="165">
        <f>H20+H21</f>
        <v>0</v>
      </c>
      <c r="I22" s="214"/>
      <c r="J22" s="165">
        <f>J20+J21</f>
        <v>0</v>
      </c>
      <c r="K22" s="214"/>
      <c r="L22" s="165">
        <f>L20+L21</f>
        <v>0</v>
      </c>
      <c r="N22" s="165">
        <f>N20+N21</f>
        <v>0</v>
      </c>
      <c r="O22" s="214"/>
      <c r="P22" s="165">
        <f>P20+P21</f>
        <v>0</v>
      </c>
      <c r="Q22" s="214"/>
      <c r="R22" s="165">
        <f>R20+R21</f>
        <v>0</v>
      </c>
      <c r="S22" s="214"/>
      <c r="T22" s="165">
        <f>T20+T21</f>
        <v>0</v>
      </c>
      <c r="U22" s="214"/>
    </row>
    <row r="23" spans="1:21" ht="15.75" customHeight="1" x14ac:dyDescent="0.25">
      <c r="A23" s="168" t="s">
        <v>230</v>
      </c>
      <c r="B23" s="138">
        <f>B12*days_yr</f>
        <v>0</v>
      </c>
      <c r="C23" s="163"/>
      <c r="D23" s="138">
        <f>D12*days_yr</f>
        <v>5.2560000000000002</v>
      </c>
      <c r="F23" s="138">
        <f>F12*days_yr</f>
        <v>0</v>
      </c>
      <c r="G23" s="217"/>
      <c r="H23" s="138">
        <f>H12*days_yr</f>
        <v>0</v>
      </c>
      <c r="I23" s="217"/>
      <c r="J23" s="138">
        <f>J12*days_yr</f>
        <v>0</v>
      </c>
      <c r="K23" s="217"/>
      <c r="L23" s="138">
        <f>L12*days_yr</f>
        <v>0</v>
      </c>
      <c r="N23" s="138">
        <f>N12*days_yr</f>
        <v>0</v>
      </c>
      <c r="O23" s="217"/>
      <c r="P23" s="138">
        <f>P12*days_yr</f>
        <v>0</v>
      </c>
      <c r="Q23" s="217"/>
      <c r="R23" s="138">
        <f>R12*days_yr</f>
        <v>0</v>
      </c>
      <c r="S23" s="217"/>
      <c r="T23" s="138">
        <f>T12*days_yr</f>
        <v>0</v>
      </c>
      <c r="U23" s="217"/>
    </row>
    <row r="24" spans="1:21" s="187" customFormat="1" ht="15.75" customHeight="1" thickBot="1" x14ac:dyDescent="0.3">
      <c r="A24" s="574" t="s">
        <v>232</v>
      </c>
      <c r="B24" s="285" t="s">
        <v>102</v>
      </c>
      <c r="C24" s="223"/>
      <c r="D24" s="285" t="s">
        <v>102</v>
      </c>
      <c r="E24" s="222"/>
      <c r="F24" s="285" t="s">
        <v>102</v>
      </c>
      <c r="G24" s="223"/>
      <c r="H24" s="285" t="s">
        <v>102</v>
      </c>
      <c r="I24" s="223"/>
      <c r="J24" s="285" t="s">
        <v>102</v>
      </c>
      <c r="K24" s="223"/>
      <c r="L24" s="285" t="s">
        <v>102</v>
      </c>
      <c r="M24" s="222"/>
      <c r="N24" s="285" t="s">
        <v>102</v>
      </c>
      <c r="O24" s="223"/>
      <c r="P24" s="285" t="s">
        <v>102</v>
      </c>
      <c r="Q24" s="223"/>
      <c r="R24" s="285" t="s">
        <v>102</v>
      </c>
      <c r="S24" s="223"/>
      <c r="T24" s="285" t="s">
        <v>102</v>
      </c>
      <c r="U24" s="223"/>
    </row>
    <row r="25" spans="1:21" ht="15.6" customHeight="1" x14ac:dyDescent="0.2">
      <c r="A25" s="191"/>
      <c r="B25" s="191"/>
      <c r="C25" s="191"/>
      <c r="D25" s="191"/>
      <c r="E25" s="191"/>
      <c r="F25" s="191"/>
      <c r="G25" s="191"/>
      <c r="H25" s="191"/>
      <c r="I25" s="191"/>
      <c r="J25" s="191"/>
      <c r="K25" s="191"/>
      <c r="L25" s="191"/>
      <c r="M25" s="191"/>
      <c r="N25" s="191"/>
      <c r="O25" s="191"/>
      <c r="P25" s="191"/>
      <c r="Q25" s="191"/>
      <c r="R25" s="191"/>
      <c r="S25" s="191"/>
      <c r="T25" s="191"/>
      <c r="U25" s="191"/>
    </row>
    <row r="26" spans="1:21" s="105" customFormat="1" ht="18" x14ac:dyDescent="0.25">
      <c r="A26" s="176" t="s">
        <v>97</v>
      </c>
      <c r="B26" s="155"/>
    </row>
    <row r="27" spans="1:21" s="105" customFormat="1" ht="54.75" customHeight="1" x14ac:dyDescent="0.2">
      <c r="A27" s="1335" t="s">
        <v>3</v>
      </c>
      <c r="B27" s="1336"/>
      <c r="C27" s="1336"/>
    </row>
    <row r="28" spans="1:21" ht="15" x14ac:dyDescent="0.2">
      <c r="B28" s="1234" t="s">
        <v>110</v>
      </c>
      <c r="C28" s="1235"/>
      <c r="D28" s="1235"/>
      <c r="E28" s="1236"/>
    </row>
    <row r="29" spans="1:21" x14ac:dyDescent="0.2">
      <c r="B29" s="1231" t="s">
        <v>31</v>
      </c>
      <c r="C29" s="1232"/>
      <c r="D29" s="1233"/>
      <c r="E29" s="563">
        <v>0</v>
      </c>
    </row>
    <row r="30" spans="1:21" x14ac:dyDescent="0.2">
      <c r="B30" s="1231" t="s">
        <v>32</v>
      </c>
      <c r="C30" s="1232"/>
      <c r="D30" s="1233"/>
      <c r="E30" s="564">
        <v>0</v>
      </c>
    </row>
    <row r="31" spans="1:21" x14ac:dyDescent="0.2">
      <c r="B31" s="1231" t="s">
        <v>615</v>
      </c>
      <c r="C31" s="1232"/>
      <c r="D31" s="1233"/>
      <c r="E31" s="565">
        <v>0</v>
      </c>
    </row>
    <row r="32" spans="1:21" ht="15" x14ac:dyDescent="0.25">
      <c r="B32" s="1231" t="s">
        <v>70</v>
      </c>
      <c r="C32" s="1232"/>
      <c r="D32" s="1233"/>
      <c r="E32" s="566">
        <v>0</v>
      </c>
    </row>
    <row r="33" spans="2:5" x14ac:dyDescent="0.2">
      <c r="B33" s="1231" t="s">
        <v>550</v>
      </c>
      <c r="C33" s="1232"/>
      <c r="D33" s="1233"/>
      <c r="E33" s="567">
        <v>0</v>
      </c>
    </row>
    <row r="34" spans="2:5" x14ac:dyDescent="0.2">
      <c r="B34" s="1231" t="s">
        <v>610</v>
      </c>
      <c r="C34" s="1232"/>
      <c r="D34" s="1233"/>
      <c r="E34" s="227">
        <v>0</v>
      </c>
    </row>
  </sheetData>
  <sheetProtection algorithmName="SHA-512" hashValue="KxrSeLf4hAev5lcLt5fIPq/jcXmgxGSpE14iPPWzs46We55ePFGPRxMou3041g/sBIG8VoS5TaBeNZbNXwu7Rg==" saltValue="0NsHifFv0ftM0CbZbf6ESA==" spinCount="100000" sheet="1" objects="1" scenarios="1"/>
  <mergeCells count="32">
    <mergeCell ref="L3:M3"/>
    <mergeCell ref="N3:O3"/>
    <mergeCell ref="P3:Q3"/>
    <mergeCell ref="R3:S3"/>
    <mergeCell ref="H2:I2"/>
    <mergeCell ref="J2:K2"/>
    <mergeCell ref="L2:M2"/>
    <mergeCell ref="N2:O2"/>
    <mergeCell ref="P2:Q2"/>
    <mergeCell ref="R2:S2"/>
    <mergeCell ref="A27:C27"/>
    <mergeCell ref="B2:C2"/>
    <mergeCell ref="D2:E2"/>
    <mergeCell ref="F2:G2"/>
    <mergeCell ref="B28:E28"/>
    <mergeCell ref="A18:U18"/>
    <mergeCell ref="T3:U3"/>
    <mergeCell ref="A5:U5"/>
    <mergeCell ref="A14:U14"/>
    <mergeCell ref="A2:A3"/>
    <mergeCell ref="T2:U2"/>
    <mergeCell ref="B3:C3"/>
    <mergeCell ref="D3:E3"/>
    <mergeCell ref="F3:G3"/>
    <mergeCell ref="H3:I3"/>
    <mergeCell ref="J3:K3"/>
    <mergeCell ref="B34:D34"/>
    <mergeCell ref="B29:D29"/>
    <mergeCell ref="B30:D30"/>
    <mergeCell ref="B31:D31"/>
    <mergeCell ref="B32:D32"/>
    <mergeCell ref="B33:D33"/>
  </mergeCells>
  <phoneticPr fontId="43" type="noConversion"/>
  <dataValidations count="1">
    <dataValidation type="list" allowBlank="1" showInputMessage="1" showErrorMessage="1" sqref="B10 N10 P10 R10 J10 D10 H10 F10 L10 T10" xr:uid="{00000000-0002-0000-0C00-000000000000}">
      <formula1>TypeDewater</formula1>
    </dataValidation>
  </dataValidations>
  <pageMargins left="0.75" right="0.75" top="1" bottom="1" header="0.5" footer="0.5"/>
  <pageSetup scale="18" orientation="portrait" horizontalDpi="4294967292" verticalDpi="429496729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U38"/>
  <sheetViews>
    <sheetView workbookViewId="0"/>
  </sheetViews>
  <sheetFormatPr defaultColWidth="11.42578125" defaultRowHeight="14.25" x14ac:dyDescent="0.2"/>
  <cols>
    <col min="1" max="1" width="62.42578125" style="105" customWidth="1"/>
    <col min="2" max="21" width="15.42578125" style="105" customWidth="1"/>
    <col min="22" max="16384" width="11.42578125" style="105"/>
  </cols>
  <sheetData>
    <row r="1" spans="1:21" ht="15" thickBot="1" x14ac:dyDescent="0.25"/>
    <row r="2" spans="1:21" ht="15.75" customHeight="1" x14ac:dyDescent="0.2">
      <c r="A2" s="1318" t="s">
        <v>133</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ht="15.6" customHeight="1" thickBot="1" x14ac:dyDescent="0.3">
      <c r="A5" s="1340" t="s">
        <v>26</v>
      </c>
      <c r="B5" s="1327"/>
      <c r="C5" s="1327"/>
      <c r="D5" s="1327"/>
      <c r="E5" s="1327"/>
      <c r="F5" s="1327"/>
      <c r="G5" s="1327"/>
      <c r="H5" s="1327"/>
      <c r="I5" s="1327"/>
      <c r="J5" s="1327"/>
      <c r="K5" s="1327"/>
      <c r="L5" s="1327"/>
      <c r="M5" s="1327"/>
      <c r="N5" s="1327"/>
      <c r="O5" s="1327"/>
      <c r="P5" s="1327"/>
      <c r="Q5" s="1327"/>
      <c r="R5" s="1327"/>
      <c r="S5" s="1327"/>
      <c r="T5" s="1327"/>
      <c r="U5" s="1341"/>
    </row>
    <row r="6" spans="1:21" s="130" customFormat="1" ht="15.75" customHeight="1" x14ac:dyDescent="0.2">
      <c r="A6" s="270" t="s">
        <v>936</v>
      </c>
      <c r="B6" s="287">
        <f>+'Amount and Destination'!AH11/days_yr</f>
        <v>0</v>
      </c>
      <c r="C6" s="262"/>
      <c r="D6" s="287">
        <f>+'Amount and Destination'!AH40/days_yr</f>
        <v>0</v>
      </c>
      <c r="E6" s="262"/>
      <c r="F6" s="287">
        <f>+'Amount and Destination'!AH69/days_yr</f>
        <v>0</v>
      </c>
      <c r="G6" s="262"/>
      <c r="H6" s="287">
        <f>+'Amount and Destination'!AH98/days_yr</f>
        <v>0</v>
      </c>
      <c r="I6" s="262"/>
      <c r="J6" s="287">
        <f>+'Amount and Destination'!AH127/days_yr</f>
        <v>0</v>
      </c>
      <c r="K6" s="262"/>
      <c r="L6" s="287">
        <f>+'Amount and Destination'!AH156/days_yr</f>
        <v>0</v>
      </c>
      <c r="M6" s="262"/>
      <c r="N6" s="287">
        <f>+'Amount and Destination'!AH185/days_yr</f>
        <v>0</v>
      </c>
      <c r="O6" s="262"/>
      <c r="P6" s="287">
        <f>+'Amount and Destination'!AH214/days_yr</f>
        <v>0</v>
      </c>
      <c r="Q6" s="262"/>
      <c r="R6" s="287">
        <f>+'Amount and Destination'!AH243/days_yr</f>
        <v>0</v>
      </c>
      <c r="S6" s="262"/>
      <c r="T6" s="287">
        <f>+'Amount and Destination'!AH272/days_yr</f>
        <v>0</v>
      </c>
      <c r="U6" s="262"/>
    </row>
    <row r="7" spans="1:21" s="130" customFormat="1" ht="15.75" customHeight="1" x14ac:dyDescent="0.2">
      <c r="A7" s="197" t="s">
        <v>134</v>
      </c>
      <c r="B7" s="889">
        <f>Mean_solids</f>
        <v>7.1999999999999995E-2</v>
      </c>
      <c r="C7" s="264"/>
      <c r="D7" s="889">
        <f>Mean_solids</f>
        <v>7.1999999999999995E-2</v>
      </c>
      <c r="E7" s="264"/>
      <c r="F7" s="889">
        <f>Mean_solids</f>
        <v>7.1999999999999995E-2</v>
      </c>
      <c r="G7" s="264"/>
      <c r="H7" s="889">
        <f>Mean_solids</f>
        <v>7.1999999999999995E-2</v>
      </c>
      <c r="I7" s="264"/>
      <c r="J7" s="889">
        <f>Mean_solids</f>
        <v>7.1999999999999995E-2</v>
      </c>
      <c r="K7" s="264"/>
      <c r="L7" s="889">
        <f>Mean_solids</f>
        <v>7.1999999999999995E-2</v>
      </c>
      <c r="M7" s="264"/>
      <c r="N7" s="889">
        <f>Mean_solids</f>
        <v>7.1999999999999995E-2</v>
      </c>
      <c r="O7" s="264"/>
      <c r="P7" s="889">
        <f>Mean_solids</f>
        <v>7.1999999999999995E-2</v>
      </c>
      <c r="Q7" s="264"/>
      <c r="R7" s="889">
        <f>Mean_solids</f>
        <v>7.1999999999999995E-2</v>
      </c>
      <c r="S7" s="264"/>
      <c r="T7" s="889">
        <f>Mean_solids</f>
        <v>7.1999999999999995E-2</v>
      </c>
      <c r="U7" s="264"/>
    </row>
    <row r="8" spans="1:21" s="130" customFormat="1" ht="15.75" customHeight="1" x14ac:dyDescent="0.2">
      <c r="A8" s="197" t="s">
        <v>135</v>
      </c>
      <c r="B8" s="889">
        <f>percent_solids_after_thermal_drying</f>
        <v>0</v>
      </c>
      <c r="C8" s="264"/>
      <c r="D8" s="889">
        <f>percent_solids_after_thermal_drying</f>
        <v>0</v>
      </c>
      <c r="E8" s="264"/>
      <c r="F8" s="889">
        <f>percent_solids_after_thermal_drying</f>
        <v>0</v>
      </c>
      <c r="G8" s="264"/>
      <c r="H8" s="889">
        <f>percent_solids_after_thermal_drying</f>
        <v>0</v>
      </c>
      <c r="I8" s="264"/>
      <c r="J8" s="889">
        <f>percent_solids_after_thermal_drying</f>
        <v>0</v>
      </c>
      <c r="K8" s="264"/>
      <c r="L8" s="889">
        <f>percent_solids_after_thermal_drying</f>
        <v>0</v>
      </c>
      <c r="M8" s="264"/>
      <c r="N8" s="889">
        <f>percent_solids_after_thermal_drying</f>
        <v>0</v>
      </c>
      <c r="O8" s="264"/>
      <c r="P8" s="889">
        <f>percent_solids_after_thermal_drying</f>
        <v>0</v>
      </c>
      <c r="Q8" s="264"/>
      <c r="R8" s="889">
        <f>percent_solids_after_thermal_drying</f>
        <v>0</v>
      </c>
      <c r="S8" s="264"/>
      <c r="T8" s="889">
        <f>percent_solids_after_thermal_drying</f>
        <v>0</v>
      </c>
      <c r="U8" s="264"/>
    </row>
    <row r="9" spans="1:21" s="183" customFormat="1" ht="15.75" customHeight="1" x14ac:dyDescent="0.2">
      <c r="A9" s="197" t="s">
        <v>210</v>
      </c>
      <c r="B9" s="265">
        <f>+B6*B7</f>
        <v>0</v>
      </c>
      <c r="C9" s="266"/>
      <c r="D9" s="265">
        <f>+D6*D7</f>
        <v>0</v>
      </c>
      <c r="E9" s="232"/>
      <c r="F9" s="265">
        <f>+F6*F7</f>
        <v>0</v>
      </c>
      <c r="G9" s="232"/>
      <c r="H9" s="265">
        <f>+H6*H7</f>
        <v>0</v>
      </c>
      <c r="I9" s="232"/>
      <c r="J9" s="265">
        <f>+J6*J7</f>
        <v>0</v>
      </c>
      <c r="K9" s="232"/>
      <c r="L9" s="265">
        <f>+L6*L7</f>
        <v>0</v>
      </c>
      <c r="M9" s="232"/>
      <c r="N9" s="265">
        <f>+N6*N7</f>
        <v>0</v>
      </c>
      <c r="O9" s="232"/>
      <c r="P9" s="265">
        <f>+P6*P7</f>
        <v>0</v>
      </c>
      <c r="Q9" s="232"/>
      <c r="R9" s="265">
        <f>+R6*R7</f>
        <v>0</v>
      </c>
      <c r="S9" s="232"/>
      <c r="T9" s="265">
        <f>+T6*T7</f>
        <v>0</v>
      </c>
      <c r="U9" s="232"/>
    </row>
    <row r="10" spans="1:21" s="130" customFormat="1" ht="15.75" customHeight="1" thickBot="1" x14ac:dyDescent="0.25">
      <c r="A10" s="267"/>
      <c r="B10" s="268"/>
      <c r="C10" s="269"/>
      <c r="D10" s="268"/>
      <c r="E10" s="269"/>
      <c r="F10" s="268"/>
      <c r="G10" s="269"/>
      <c r="H10" s="268"/>
      <c r="I10" s="269"/>
      <c r="J10" s="268"/>
      <c r="K10" s="269"/>
      <c r="L10" s="268"/>
      <c r="M10" s="269"/>
      <c r="N10" s="268"/>
      <c r="O10" s="269"/>
      <c r="P10" s="268"/>
      <c r="Q10" s="269"/>
      <c r="R10" s="268"/>
      <c r="S10" s="269"/>
      <c r="T10" s="268"/>
      <c r="U10" s="269"/>
    </row>
    <row r="11" spans="1:21" s="183" customFormat="1" ht="15.75" customHeight="1" thickBot="1" x14ac:dyDescent="0.3">
      <c r="A11" s="1324" t="s">
        <v>153</v>
      </c>
      <c r="B11" s="1325"/>
      <c r="C11" s="1325"/>
      <c r="D11" s="1325"/>
      <c r="E11" s="1325"/>
      <c r="F11" s="1325"/>
      <c r="G11" s="1325"/>
      <c r="H11" s="1325"/>
      <c r="I11" s="1325"/>
      <c r="J11" s="1325"/>
      <c r="K11" s="1325"/>
      <c r="L11" s="1325"/>
      <c r="M11" s="1325"/>
      <c r="N11" s="1325"/>
      <c r="O11" s="1325"/>
      <c r="P11" s="1325"/>
      <c r="Q11" s="1325"/>
      <c r="R11" s="1325"/>
      <c r="S11" s="1325"/>
      <c r="T11" s="1325"/>
      <c r="U11" s="1326"/>
    </row>
    <row r="12" spans="1:21" s="130" customFormat="1" ht="15.75" customHeight="1" x14ac:dyDescent="0.2">
      <c r="A12" s="270" t="s">
        <v>85</v>
      </c>
      <c r="B12" s="271"/>
      <c r="C12" s="272">
        <f>+(B6*(B8-B7)*energy_to_remove_h2o_from_sludge_MandE)*GJ_to_Btu_conversion</f>
        <v>0</v>
      </c>
      <c r="D12" s="271"/>
      <c r="E12" s="272">
        <f>+(D6*(D8-D7)*energy_to_remove_h2o_from_sludge_MandE)*GJ_to_Btu_conversion</f>
        <v>0</v>
      </c>
      <c r="F12" s="271"/>
      <c r="G12" s="272">
        <f>+(F6*(F8-F7)*energy_to_remove_h2o_from_sludge_MandE)*GJ_to_Btu_conversion</f>
        <v>0</v>
      </c>
      <c r="H12" s="271"/>
      <c r="I12" s="272">
        <f>+(H6*(H8-H7)*energy_to_remove_h2o_from_sludge_MandE)*GJ_to_Btu_conversion</f>
        <v>0</v>
      </c>
      <c r="J12" s="271"/>
      <c r="K12" s="272">
        <f>+(J6*(J8-J7)*energy_to_remove_h2o_from_sludge_MandE)*GJ_to_Btu_conversion</f>
        <v>0</v>
      </c>
      <c r="L12" s="271"/>
      <c r="M12" s="272">
        <f>+(L6*(L8-L7)*energy_to_remove_h2o_from_sludge_MandE)*GJ_to_Btu_conversion</f>
        <v>0</v>
      </c>
      <c r="N12" s="271"/>
      <c r="O12" s="272">
        <f>+(N6*(N8-N7)*energy_to_remove_h2o_from_sludge_MandE)*GJ_to_Btu_conversion</f>
        <v>0</v>
      </c>
      <c r="P12" s="271"/>
      <c r="Q12" s="272">
        <f>+(P6*(P8-P7)*energy_to_remove_h2o_from_sludge_MandE)*GJ_to_Btu_conversion</f>
        <v>0</v>
      </c>
      <c r="R12" s="271"/>
      <c r="S12" s="272">
        <f>+(R6*(R8-R7)*energy_to_remove_h2o_from_sludge_MandE)*GJ_to_Btu_conversion</f>
        <v>0</v>
      </c>
      <c r="T12" s="271"/>
      <c r="U12" s="272">
        <f>+(T6*(T8-T7)*energy_to_remove_h2o_from_sludge_MandE)*GJ_to_Btu_conversion</f>
        <v>0</v>
      </c>
    </row>
    <row r="13" spans="1:21" s="226" customFormat="1" ht="15.75" customHeight="1" thickBot="1" x14ac:dyDescent="0.25">
      <c r="A13" s="273"/>
      <c r="B13" s="274"/>
      <c r="C13" s="231"/>
      <c r="D13" s="274"/>
      <c r="E13" s="231"/>
      <c r="F13" s="274"/>
      <c r="G13" s="231"/>
      <c r="H13" s="274"/>
      <c r="I13" s="231"/>
      <c r="J13" s="274"/>
      <c r="K13" s="231"/>
      <c r="L13" s="274"/>
      <c r="M13" s="231"/>
      <c r="N13" s="274"/>
      <c r="O13" s="231"/>
      <c r="P13" s="274"/>
      <c r="Q13" s="231"/>
      <c r="R13" s="274"/>
      <c r="S13" s="231"/>
      <c r="T13" s="274"/>
      <c r="U13" s="231"/>
    </row>
    <row r="14" spans="1:21" s="183" customFormat="1" ht="15.75" customHeight="1" thickBot="1" x14ac:dyDescent="0.3">
      <c r="A14" s="1324" t="s">
        <v>273</v>
      </c>
      <c r="B14" s="1325"/>
      <c r="C14" s="1325"/>
      <c r="D14" s="1325"/>
      <c r="E14" s="1325"/>
      <c r="F14" s="1325"/>
      <c r="G14" s="1325"/>
      <c r="H14" s="1325"/>
      <c r="I14" s="1325"/>
      <c r="J14" s="1325"/>
      <c r="K14" s="1325"/>
      <c r="L14" s="1325"/>
      <c r="M14" s="1325"/>
      <c r="N14" s="1325"/>
      <c r="O14" s="1325"/>
      <c r="P14" s="1325"/>
      <c r="Q14" s="1325"/>
      <c r="R14" s="1325"/>
      <c r="S14" s="1325"/>
      <c r="T14" s="1325"/>
      <c r="U14" s="1326"/>
    </row>
    <row r="15" spans="1:21" s="130" customFormat="1" ht="15.75" customHeight="1" x14ac:dyDescent="0.2">
      <c r="A15" s="270" t="s">
        <v>83</v>
      </c>
      <c r="B15" s="15"/>
      <c r="C15" s="206">
        <f>+C12/Heat_content__Btu_m3</f>
        <v>0</v>
      </c>
      <c r="D15" s="15"/>
      <c r="E15" s="206">
        <f>+E12/Heat_content__Btu_m3</f>
        <v>0</v>
      </c>
      <c r="F15" s="15"/>
      <c r="G15" s="206">
        <f>+G12/Heat_content__Btu_m3</f>
        <v>0</v>
      </c>
      <c r="H15" s="15"/>
      <c r="I15" s="206">
        <f>+I12/Heat_content__Btu_m3</f>
        <v>0</v>
      </c>
      <c r="J15" s="15"/>
      <c r="K15" s="206">
        <f>+K12/Heat_content__Btu_m3</f>
        <v>0</v>
      </c>
      <c r="L15" s="15"/>
      <c r="M15" s="206">
        <f>+M12/Heat_content__Btu_m3</f>
        <v>0</v>
      </c>
      <c r="N15" s="15"/>
      <c r="O15" s="206">
        <f>+O12/Heat_content__Btu_m3</f>
        <v>0</v>
      </c>
      <c r="P15" s="15"/>
      <c r="Q15" s="206">
        <f>+Q12/Heat_content__Btu_m3</f>
        <v>0</v>
      </c>
      <c r="R15" s="15"/>
      <c r="S15" s="206">
        <f>+S12/Heat_content__Btu_m3</f>
        <v>0</v>
      </c>
      <c r="T15" s="15"/>
      <c r="U15" s="206">
        <f>+U12/Heat_content__Btu_m3</f>
        <v>0</v>
      </c>
    </row>
    <row r="16" spans="1:21" ht="15.75" customHeight="1" x14ac:dyDescent="0.3">
      <c r="A16" s="168" t="s">
        <v>77</v>
      </c>
      <c r="B16" s="275">
        <f>+B15*CO2E_naturalgas_combustion/1000000</f>
        <v>0</v>
      </c>
      <c r="C16" s="276"/>
      <c r="D16" s="275">
        <f>+D15*CO2E_naturalgas_combustion/1000000</f>
        <v>0</v>
      </c>
      <c r="E16" s="276"/>
      <c r="F16" s="275">
        <f>+F15*CO2E_naturalgas_combustion/1000000</f>
        <v>0</v>
      </c>
      <c r="G16" s="276"/>
      <c r="H16" s="275">
        <f>+H15*CO2E_naturalgas_combustion/1000000</f>
        <v>0</v>
      </c>
      <c r="I16" s="276"/>
      <c r="J16" s="275">
        <f>+J15*CO2E_naturalgas_combustion/1000000</f>
        <v>0</v>
      </c>
      <c r="K16" s="276"/>
      <c r="L16" s="275">
        <f>+L15*CO2E_naturalgas_combustion/1000000</f>
        <v>0</v>
      </c>
      <c r="M16" s="276"/>
      <c r="N16" s="275">
        <f>+N15*CO2E_naturalgas_combustion/1000000</f>
        <v>0</v>
      </c>
      <c r="O16" s="276"/>
      <c r="P16" s="275">
        <f>+P15*CO2E_naturalgas_combustion/1000000</f>
        <v>0</v>
      </c>
      <c r="Q16" s="276"/>
      <c r="R16" s="275">
        <f>+R15*CO2E_naturalgas_combustion/1000000</f>
        <v>0</v>
      </c>
      <c r="S16" s="276"/>
      <c r="T16" s="275">
        <f>+T15*CO2E_naturalgas_combustion/1000000</f>
        <v>0</v>
      </c>
      <c r="U16" s="276"/>
    </row>
    <row r="17" spans="1:21" s="183" customFormat="1" ht="15.75" customHeight="1" thickBot="1" x14ac:dyDescent="0.25">
      <c r="A17" s="277"/>
      <c r="B17" s="278"/>
      <c r="C17" s="279"/>
      <c r="D17" s="278"/>
      <c r="E17" s="279"/>
      <c r="F17" s="278"/>
      <c r="G17" s="279"/>
      <c r="H17" s="278"/>
      <c r="I17" s="279"/>
      <c r="J17" s="278"/>
      <c r="K17" s="279"/>
      <c r="L17" s="278"/>
      <c r="M17" s="279"/>
      <c r="N17" s="278"/>
      <c r="O17" s="279"/>
      <c r="P17" s="278"/>
      <c r="Q17" s="279"/>
      <c r="R17" s="278"/>
      <c r="S17" s="279"/>
      <c r="T17" s="278"/>
      <c r="U17" s="279"/>
    </row>
    <row r="18" spans="1:21" s="183" customFormat="1" ht="15.75" customHeight="1" thickBot="1" x14ac:dyDescent="0.3">
      <c r="A18" s="1324" t="s">
        <v>193</v>
      </c>
      <c r="B18" s="1325"/>
      <c r="C18" s="1325"/>
      <c r="D18" s="1325"/>
      <c r="E18" s="1325"/>
      <c r="F18" s="1325"/>
      <c r="G18" s="1325"/>
      <c r="H18" s="1325"/>
      <c r="I18" s="1325"/>
      <c r="J18" s="1325"/>
      <c r="K18" s="1325"/>
      <c r="L18" s="1325"/>
      <c r="M18" s="1325"/>
      <c r="N18" s="1325"/>
      <c r="O18" s="1325"/>
      <c r="P18" s="1325"/>
      <c r="Q18" s="1325"/>
      <c r="R18" s="1325"/>
      <c r="S18" s="1325"/>
      <c r="T18" s="1325"/>
      <c r="U18" s="1326"/>
    </row>
    <row r="19" spans="1:21" s="130" customFormat="1" ht="15.75" customHeight="1" x14ac:dyDescent="0.2">
      <c r="A19" s="280" t="s">
        <v>150</v>
      </c>
      <c r="B19" s="15"/>
      <c r="C19" s="206">
        <f>+B9*Electricity_Use_drying_Windsor_value</f>
        <v>0</v>
      </c>
      <c r="D19" s="15"/>
      <c r="E19" s="206">
        <f>+D9*Electricity_Use_drying_Windsor_value</f>
        <v>0</v>
      </c>
      <c r="F19" s="15"/>
      <c r="G19" s="206">
        <f>+F9*Electricity_Use_drying_Windsor_value</f>
        <v>0</v>
      </c>
      <c r="H19" s="15"/>
      <c r="I19" s="206">
        <f>+H9*Electricity_Use_drying_Windsor_value</f>
        <v>0</v>
      </c>
      <c r="J19" s="15"/>
      <c r="K19" s="206">
        <f>+J9*Electricity_Use_drying_Windsor_value</f>
        <v>0</v>
      </c>
      <c r="L19" s="15"/>
      <c r="M19" s="206">
        <f>+L9*Electricity_Use_drying_Windsor_value</f>
        <v>0</v>
      </c>
      <c r="N19" s="15"/>
      <c r="O19" s="206">
        <f>+N9*Electricity_Use_drying_Windsor_value</f>
        <v>0</v>
      </c>
      <c r="P19" s="15"/>
      <c r="Q19" s="206">
        <f>+P9*Electricity_Use_drying_Windsor_value</f>
        <v>0</v>
      </c>
      <c r="R19" s="15"/>
      <c r="S19" s="206">
        <f>+R9*Electricity_Use_drying_Windsor_value</f>
        <v>0</v>
      </c>
      <c r="T19" s="15"/>
      <c r="U19" s="206">
        <f>+T9*Electricity_Use_drying_Windsor_value</f>
        <v>0</v>
      </c>
    </row>
    <row r="20" spans="1:21" s="183" customFormat="1" ht="15.75" customHeight="1" x14ac:dyDescent="0.3">
      <c r="A20" s="417" t="s">
        <v>7</v>
      </c>
      <c r="B20" s="453">
        <f>+B19*GHG_emissions_factors_by_province/1000000</f>
        <v>0</v>
      </c>
      <c r="C20" s="433"/>
      <c r="D20" s="453">
        <f>+D19*GHG_emissions_factors_by_province/1000000</f>
        <v>0</v>
      </c>
      <c r="E20" s="433"/>
      <c r="F20" s="453">
        <f>+F19*GHG_emissions_factors_by_province/1000000</f>
        <v>0</v>
      </c>
      <c r="G20" s="433"/>
      <c r="H20" s="453">
        <f>+H19*GHG_emissions_factors_by_province/1000000</f>
        <v>0</v>
      </c>
      <c r="I20" s="433"/>
      <c r="J20" s="453">
        <f>+J19*GHG_emissions_factors_by_province/1000000</f>
        <v>0</v>
      </c>
      <c r="K20" s="433"/>
      <c r="L20" s="453">
        <f>+L19*GHG_emissions_factors_by_province/1000000</f>
        <v>0</v>
      </c>
      <c r="M20" s="433"/>
      <c r="N20" s="453">
        <f>+N19*GHG_emissions_factors_by_province/1000000</f>
        <v>0</v>
      </c>
      <c r="O20" s="433"/>
      <c r="P20" s="453">
        <f>+P19*GHG_emissions_factors_by_province/1000000</f>
        <v>0</v>
      </c>
      <c r="Q20" s="433"/>
      <c r="R20" s="453">
        <f>+R19*GHG_emissions_factors_by_province/1000000</f>
        <v>0</v>
      </c>
      <c r="S20" s="433"/>
      <c r="T20" s="453">
        <f>+T19*GHG_emissions_factors_by_province/1000000</f>
        <v>0</v>
      </c>
      <c r="U20" s="433"/>
    </row>
    <row r="21" spans="1:21" s="183" customFormat="1" ht="15.75" customHeight="1" thickBot="1" x14ac:dyDescent="0.25">
      <c r="A21" s="277"/>
      <c r="B21" s="278"/>
      <c r="C21" s="279"/>
      <c r="D21" s="278"/>
      <c r="E21" s="279"/>
      <c r="F21" s="278"/>
      <c r="G21" s="279"/>
      <c r="H21" s="278"/>
      <c r="I21" s="279"/>
      <c r="J21" s="278"/>
      <c r="K21" s="279"/>
      <c r="L21" s="278"/>
      <c r="M21" s="279"/>
      <c r="N21" s="278"/>
      <c r="O21" s="279"/>
      <c r="P21" s="278"/>
      <c r="Q21" s="279"/>
      <c r="R21" s="278"/>
      <c r="S21" s="279"/>
      <c r="T21" s="278"/>
      <c r="U21" s="279"/>
    </row>
    <row r="22" spans="1:21" s="130" customFormat="1" ht="15.75" customHeight="1" thickBot="1" x14ac:dyDescent="0.25">
      <c r="A22" s="1321"/>
      <c r="B22" s="1322"/>
      <c r="C22" s="1322"/>
      <c r="D22" s="1322"/>
      <c r="E22" s="1322"/>
      <c r="F22" s="1322"/>
      <c r="G22" s="1322"/>
      <c r="H22" s="1322"/>
      <c r="I22" s="1322"/>
      <c r="J22" s="1322"/>
      <c r="K22" s="1322"/>
      <c r="L22" s="1322"/>
      <c r="M22" s="1322"/>
      <c r="N22" s="1322"/>
      <c r="O22" s="1322"/>
      <c r="P22" s="1322"/>
      <c r="Q22" s="1322"/>
      <c r="R22" s="1322"/>
      <c r="S22" s="1322"/>
      <c r="T22" s="1322"/>
      <c r="U22" s="1323"/>
    </row>
    <row r="23" spans="1:21" s="130" customFormat="1" ht="18.75" customHeight="1" thickBot="1" x14ac:dyDescent="0.3">
      <c r="A23" s="238" t="s">
        <v>45</v>
      </c>
      <c r="B23" s="282">
        <f>(B16+B20)*days_yr</f>
        <v>0</v>
      </c>
      <c r="C23" s="283"/>
      <c r="D23" s="282">
        <f>(D16+D20)*days_yr</f>
        <v>0</v>
      </c>
      <c r="E23" s="283"/>
      <c r="F23" s="282">
        <f>(F16+F20)*days_yr</f>
        <v>0</v>
      </c>
      <c r="G23" s="283"/>
      <c r="H23" s="282">
        <f>(H16+H20)*days_yr</f>
        <v>0</v>
      </c>
      <c r="I23" s="283"/>
      <c r="J23" s="282">
        <f>(J16+J20)*days_yr</f>
        <v>0</v>
      </c>
      <c r="K23" s="283"/>
      <c r="L23" s="282">
        <f>(L16+L20)*days_yr</f>
        <v>0</v>
      </c>
      <c r="M23" s="283"/>
      <c r="N23" s="282">
        <f>(N16+N20)*days_yr</f>
        <v>0</v>
      </c>
      <c r="O23" s="283"/>
      <c r="P23" s="282">
        <f>(P16+P20)*days_yr</f>
        <v>0</v>
      </c>
      <c r="Q23" s="283"/>
      <c r="R23" s="282">
        <f>(R16+R20)*days_yr</f>
        <v>0</v>
      </c>
      <c r="S23" s="283"/>
      <c r="T23" s="282">
        <f>(T16+T20)*days_yr</f>
        <v>0</v>
      </c>
      <c r="U23" s="284"/>
    </row>
    <row r="24" spans="1:21" ht="15.75" customHeight="1" x14ac:dyDescent="0.25">
      <c r="A24" s="241" t="s">
        <v>228</v>
      </c>
      <c r="B24" s="137">
        <f>B16*days_yr</f>
        <v>0</v>
      </c>
      <c r="D24" s="137">
        <f>D16*days_yr</f>
        <v>0</v>
      </c>
      <c r="F24" s="137">
        <f>F16*days_yr</f>
        <v>0</v>
      </c>
      <c r="H24" s="137">
        <f>H16*days_yr</f>
        <v>0</v>
      </c>
      <c r="J24" s="137">
        <f>J16*days_yr</f>
        <v>0</v>
      </c>
      <c r="L24" s="137">
        <f>L16*days_yr</f>
        <v>0</v>
      </c>
      <c r="N24" s="137">
        <f>N16*days_yr</f>
        <v>0</v>
      </c>
      <c r="P24" s="137">
        <f>P16*days_yr</f>
        <v>0</v>
      </c>
      <c r="R24" s="137">
        <f>R16*days_yr</f>
        <v>0</v>
      </c>
      <c r="T24" s="137">
        <f>T16*days_yr</f>
        <v>0</v>
      </c>
      <c r="U24" s="163"/>
    </row>
    <row r="25" spans="1:21" s="130" customFormat="1" ht="15.75" customHeight="1" x14ac:dyDescent="0.25">
      <c r="A25" s="218" t="s">
        <v>229</v>
      </c>
      <c r="B25" s="165">
        <f>B20*days_yr</f>
        <v>0</v>
      </c>
      <c r="D25" s="165">
        <f>D20*days_yr</f>
        <v>0</v>
      </c>
      <c r="F25" s="165">
        <f>F20*days_yr</f>
        <v>0</v>
      </c>
      <c r="H25" s="165">
        <f>H20*days_yr</f>
        <v>0</v>
      </c>
      <c r="J25" s="165">
        <f>J20*days_yr</f>
        <v>0</v>
      </c>
      <c r="L25" s="165">
        <f>L20*days_yr</f>
        <v>0</v>
      </c>
      <c r="N25" s="165">
        <f>N20*days_yr</f>
        <v>0</v>
      </c>
      <c r="P25" s="165">
        <f>P20*days_yr</f>
        <v>0</v>
      </c>
      <c r="R25" s="165">
        <f>R20*days_yr</f>
        <v>0</v>
      </c>
      <c r="T25" s="165">
        <f>T20*days_yr</f>
        <v>0</v>
      </c>
      <c r="U25" s="167"/>
    </row>
    <row r="26" spans="1:21" ht="15.75" customHeight="1" x14ac:dyDescent="0.25">
      <c r="A26" s="215" t="s">
        <v>207</v>
      </c>
      <c r="B26" s="138">
        <f>B24+B25</f>
        <v>0</v>
      </c>
      <c r="D26" s="138">
        <f>D24+D25</f>
        <v>0</v>
      </c>
      <c r="F26" s="138">
        <f>F24+F25</f>
        <v>0</v>
      </c>
      <c r="H26" s="138">
        <f>H24+H25</f>
        <v>0</v>
      </c>
      <c r="J26" s="138">
        <f>J24+J25</f>
        <v>0</v>
      </c>
      <c r="L26" s="138">
        <f>L24+L25</f>
        <v>0</v>
      </c>
      <c r="N26" s="138">
        <f>N24+N25</f>
        <v>0</v>
      </c>
      <c r="P26" s="138">
        <f>P24+P25</f>
        <v>0</v>
      </c>
      <c r="R26" s="138">
        <f>R24+R25</f>
        <v>0</v>
      </c>
      <c r="T26" s="138">
        <f>T24+T25</f>
        <v>0</v>
      </c>
      <c r="U26" s="163"/>
    </row>
    <row r="27" spans="1:21" s="130" customFormat="1" ht="15.75" customHeight="1" x14ac:dyDescent="0.25">
      <c r="A27" s="218" t="s">
        <v>230</v>
      </c>
      <c r="B27" s="165">
        <v>0</v>
      </c>
      <c r="D27" s="165">
        <v>0</v>
      </c>
      <c r="F27" s="165">
        <v>0</v>
      </c>
      <c r="H27" s="165">
        <v>0</v>
      </c>
      <c r="J27" s="165">
        <v>0</v>
      </c>
      <c r="L27" s="165">
        <v>0</v>
      </c>
      <c r="N27" s="165">
        <v>0</v>
      </c>
      <c r="P27" s="165">
        <v>0</v>
      </c>
      <c r="R27" s="165">
        <v>0</v>
      </c>
      <c r="T27" s="165">
        <v>0</v>
      </c>
      <c r="U27" s="167"/>
    </row>
    <row r="28" spans="1:21" ht="15.75" customHeight="1" thickBot="1" x14ac:dyDescent="0.3">
      <c r="A28" s="153" t="s">
        <v>232</v>
      </c>
      <c r="B28" s="285" t="s">
        <v>102</v>
      </c>
      <c r="C28" s="171"/>
      <c r="D28" s="285" t="s">
        <v>102</v>
      </c>
      <c r="E28" s="171"/>
      <c r="F28" s="285" t="s">
        <v>102</v>
      </c>
      <c r="G28" s="171"/>
      <c r="H28" s="285" t="s">
        <v>102</v>
      </c>
      <c r="I28" s="171"/>
      <c r="J28" s="285" t="s">
        <v>102</v>
      </c>
      <c r="K28" s="171"/>
      <c r="L28" s="285" t="s">
        <v>102</v>
      </c>
      <c r="M28" s="171"/>
      <c r="N28" s="285" t="s">
        <v>102</v>
      </c>
      <c r="O28" s="171"/>
      <c r="P28" s="285" t="s">
        <v>102</v>
      </c>
      <c r="Q28" s="171"/>
      <c r="R28" s="285" t="s">
        <v>102</v>
      </c>
      <c r="S28" s="171"/>
      <c r="T28" s="285" t="s">
        <v>102</v>
      </c>
      <c r="U28" s="173"/>
    </row>
    <row r="30" spans="1:21" ht="18" x14ac:dyDescent="0.25">
      <c r="A30" s="176" t="s">
        <v>97</v>
      </c>
      <c r="B30" s="155"/>
      <c r="G30" s="96"/>
    </row>
    <row r="31" spans="1:21" ht="54.75" customHeight="1" x14ac:dyDescent="0.25">
      <c r="A31" s="1297" t="s">
        <v>108</v>
      </c>
      <c r="B31" s="1342"/>
      <c r="C31" s="1342"/>
    </row>
    <row r="32" spans="1:21" ht="15" x14ac:dyDescent="0.2">
      <c r="B32" s="1234" t="s">
        <v>110</v>
      </c>
      <c r="C32" s="1235"/>
      <c r="D32" s="1235"/>
      <c r="E32" s="1236"/>
    </row>
    <row r="33" spans="2:5" x14ac:dyDescent="0.2">
      <c r="B33" s="1231" t="s">
        <v>31</v>
      </c>
      <c r="C33" s="1232"/>
      <c r="D33" s="1233"/>
      <c r="E33" s="563">
        <v>0</v>
      </c>
    </row>
    <row r="34" spans="2:5" x14ac:dyDescent="0.2">
      <c r="B34" s="1231" t="s">
        <v>32</v>
      </c>
      <c r="C34" s="1232"/>
      <c r="D34" s="1233"/>
      <c r="E34" s="564">
        <v>0</v>
      </c>
    </row>
    <row r="35" spans="2:5" x14ac:dyDescent="0.2">
      <c r="B35" s="1231" t="s">
        <v>615</v>
      </c>
      <c r="C35" s="1232"/>
      <c r="D35" s="1233"/>
      <c r="E35" s="565">
        <v>0</v>
      </c>
    </row>
    <row r="36" spans="2:5" ht="15" x14ac:dyDescent="0.25">
      <c r="B36" s="1231" t="s">
        <v>70</v>
      </c>
      <c r="C36" s="1232"/>
      <c r="D36" s="1233"/>
      <c r="E36" s="566">
        <v>0</v>
      </c>
    </row>
    <row r="37" spans="2:5" x14ac:dyDescent="0.2">
      <c r="B37" s="1231" t="s">
        <v>550</v>
      </c>
      <c r="C37" s="1232"/>
      <c r="D37" s="1233"/>
      <c r="E37" s="567">
        <v>0</v>
      </c>
    </row>
    <row r="38" spans="2:5" x14ac:dyDescent="0.2">
      <c r="B38" s="1231" t="s">
        <v>610</v>
      </c>
      <c r="C38" s="1232"/>
      <c r="D38" s="1233"/>
      <c r="E38" s="227">
        <v>0</v>
      </c>
    </row>
  </sheetData>
  <sheetProtection algorithmName="SHA-512" hashValue="up2R+MmPkki5QnMu0GuOr01SrGqiEvWyc9vgKWX5BE2+qqvFD6dOBxkbMxtxMTUcge7KIiQL8EO4dLv+y8hFQg==" saltValue="Llx8RiYVLhEnUTnwQjQa2g==" spinCount="100000" sheet="1" objects="1" scenarios="1"/>
  <mergeCells count="34">
    <mergeCell ref="T3:U3"/>
    <mergeCell ref="J2:K2"/>
    <mergeCell ref="L2:M2"/>
    <mergeCell ref="N2:O2"/>
    <mergeCell ref="P2:Q2"/>
    <mergeCell ref="R2:S2"/>
    <mergeCell ref="T2:U2"/>
    <mergeCell ref="J3:K3"/>
    <mergeCell ref="L3:M3"/>
    <mergeCell ref="N3:O3"/>
    <mergeCell ref="P3:Q3"/>
    <mergeCell ref="A31:C31"/>
    <mergeCell ref="B2:C2"/>
    <mergeCell ref="D2:E2"/>
    <mergeCell ref="F2:G2"/>
    <mergeCell ref="A2:A3"/>
    <mergeCell ref="A22:U22"/>
    <mergeCell ref="A18:U18"/>
    <mergeCell ref="A11:U11"/>
    <mergeCell ref="A14:U14"/>
    <mergeCell ref="A5:U5"/>
    <mergeCell ref="H2:I2"/>
    <mergeCell ref="B3:C3"/>
    <mergeCell ref="D3:E3"/>
    <mergeCell ref="F3:G3"/>
    <mergeCell ref="H3:I3"/>
    <mergeCell ref="R3:S3"/>
    <mergeCell ref="B37:D37"/>
    <mergeCell ref="B38:D38"/>
    <mergeCell ref="B32:E32"/>
    <mergeCell ref="B33:D33"/>
    <mergeCell ref="B34:D34"/>
    <mergeCell ref="B35:D35"/>
    <mergeCell ref="B36:D36"/>
  </mergeCells>
  <phoneticPr fontId="43" type="noConversion"/>
  <pageMargins left="0.75" right="0.75" top="1" bottom="1" header="0.5" footer="0.5"/>
  <pageSetup scale="12" orientation="portrait" horizontalDpi="4294967292" verticalDpi="429496729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U37"/>
  <sheetViews>
    <sheetView workbookViewId="0"/>
  </sheetViews>
  <sheetFormatPr defaultColWidth="11.42578125" defaultRowHeight="14.25" x14ac:dyDescent="0.2"/>
  <cols>
    <col min="1" max="1" width="62.42578125" style="105" customWidth="1"/>
    <col min="2" max="21" width="15.42578125" style="105" customWidth="1"/>
    <col min="22" max="16384" width="11.42578125" style="105"/>
  </cols>
  <sheetData>
    <row r="1" spans="1:21" ht="15" thickBot="1" x14ac:dyDescent="0.25"/>
    <row r="2" spans="1:21" ht="15.75" customHeight="1" x14ac:dyDescent="0.2">
      <c r="A2" s="1318" t="s">
        <v>812</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ht="15.6" customHeight="1" thickBot="1" x14ac:dyDescent="0.3">
      <c r="A5" s="1300" t="s">
        <v>632</v>
      </c>
      <c r="B5" s="1301"/>
      <c r="C5" s="1301"/>
      <c r="D5" s="1301"/>
      <c r="E5" s="1301"/>
      <c r="F5" s="1301"/>
      <c r="G5" s="1301"/>
      <c r="H5" s="1301"/>
      <c r="I5" s="1301"/>
      <c r="J5" s="1301"/>
      <c r="K5" s="1301"/>
      <c r="L5" s="1301"/>
      <c r="M5" s="1301"/>
      <c r="N5" s="1301"/>
      <c r="O5" s="1301"/>
      <c r="P5" s="1301"/>
      <c r="Q5" s="1301"/>
      <c r="R5" s="1301"/>
      <c r="S5" s="1301"/>
      <c r="T5" s="1301"/>
      <c r="U5" s="1302"/>
    </row>
    <row r="6" spans="1:21" s="130" customFormat="1" ht="15.75" customHeight="1" x14ac:dyDescent="0.2">
      <c r="A6" s="1090" t="s">
        <v>181</v>
      </c>
      <c r="B6" s="526">
        <f>'Amount and Destination'!AH22/days_yr</f>
        <v>0</v>
      </c>
      <c r="C6" s="1089"/>
      <c r="D6" s="526">
        <f>+'Amount and Destination'!AH51/days_yr</f>
        <v>0</v>
      </c>
      <c r="E6" s="1091"/>
      <c r="F6" s="526">
        <f>+'Amount and Destination'!AH80/days_yr</f>
        <v>0</v>
      </c>
      <c r="G6" s="1091"/>
      <c r="H6" s="526">
        <f>+'Amount and Destination'!AH109/days_yr</f>
        <v>0</v>
      </c>
      <c r="I6" s="1091"/>
      <c r="J6" s="526">
        <f>+'Amount and Destination'!AH138/days_yr</f>
        <v>0</v>
      </c>
      <c r="K6" s="1091"/>
      <c r="L6" s="526">
        <f>+'Amount and Destination'!AH167/days_yr</f>
        <v>0</v>
      </c>
      <c r="M6" s="1091"/>
      <c r="N6" s="526">
        <f>+'Amount and Destination'!AH196/days_yr</f>
        <v>0</v>
      </c>
      <c r="O6" s="1091"/>
      <c r="P6" s="526">
        <f>+'Amount and Destination'!AH225/days_yr</f>
        <v>0</v>
      </c>
      <c r="Q6" s="1091"/>
      <c r="R6" s="526">
        <f>+'Amount and Destination'!AH254/days_yr</f>
        <v>0</v>
      </c>
      <c r="S6" s="1091"/>
      <c r="T6" s="526">
        <f>+'Amount and Destination'!AH283/days_yr</f>
        <v>0</v>
      </c>
      <c r="U6" s="1091"/>
    </row>
    <row r="7" spans="1:21" s="130" customFormat="1" ht="15.75" customHeight="1" x14ac:dyDescent="0.2">
      <c r="A7" s="197" t="s">
        <v>134</v>
      </c>
      <c r="B7" s="889">
        <f>Percent_Solids</f>
        <v>7.1999999999999995E-2</v>
      </c>
      <c r="C7" s="264"/>
      <c r="D7" s="889">
        <f>Percent_Solids</f>
        <v>7.1999999999999995E-2</v>
      </c>
      <c r="E7" s="264"/>
      <c r="F7" s="889">
        <f>Percent_Solids</f>
        <v>7.1999999999999995E-2</v>
      </c>
      <c r="G7" s="264"/>
      <c r="H7" s="889">
        <f>Percent_Solids</f>
        <v>7.1999999999999995E-2</v>
      </c>
      <c r="I7" s="264"/>
      <c r="J7" s="889">
        <f>Percent_Solids</f>
        <v>7.1999999999999995E-2</v>
      </c>
      <c r="K7" s="264"/>
      <c r="L7" s="889">
        <f>Percent_Solids</f>
        <v>7.1999999999999995E-2</v>
      </c>
      <c r="M7" s="264"/>
      <c r="N7" s="889">
        <f>Percent_Solids</f>
        <v>7.1999999999999995E-2</v>
      </c>
      <c r="O7" s="264"/>
      <c r="P7" s="889">
        <f>Percent_Solids</f>
        <v>7.1999999999999995E-2</v>
      </c>
      <c r="Q7" s="264"/>
      <c r="R7" s="889">
        <f>Percent_Solids</f>
        <v>7.1999999999999995E-2</v>
      </c>
      <c r="S7" s="264"/>
      <c r="T7" s="889">
        <f>Percent_Solids</f>
        <v>7.1999999999999995E-2</v>
      </c>
      <c r="U7" s="264"/>
    </row>
    <row r="8" spans="1:21" s="130" customFormat="1" ht="15.75" customHeight="1" x14ac:dyDescent="0.2">
      <c r="A8" s="197" t="s">
        <v>135</v>
      </c>
      <c r="B8" s="889">
        <f>percent_solids_after_biodrying</f>
        <v>0</v>
      </c>
      <c r="C8" s="264"/>
      <c r="D8" s="889">
        <f>percent_solids_after_biodrying</f>
        <v>0</v>
      </c>
      <c r="E8" s="264"/>
      <c r="F8" s="889">
        <f>percent_solids_after_biodrying</f>
        <v>0</v>
      </c>
      <c r="G8" s="264"/>
      <c r="H8" s="889">
        <f>percent_solids_after_biodrying</f>
        <v>0</v>
      </c>
      <c r="I8" s="264"/>
      <c r="J8" s="889">
        <f>percent_solids_after_biodrying</f>
        <v>0</v>
      </c>
      <c r="K8" s="264"/>
      <c r="L8" s="889">
        <f>percent_solids_after_biodrying</f>
        <v>0</v>
      </c>
      <c r="M8" s="264"/>
      <c r="N8" s="889">
        <f>percent_solids_after_biodrying</f>
        <v>0</v>
      </c>
      <c r="O8" s="264"/>
      <c r="P8" s="889">
        <f>percent_solids_after_biodrying</f>
        <v>0</v>
      </c>
      <c r="Q8" s="264"/>
      <c r="R8" s="889">
        <f>percent_solids_after_biodrying</f>
        <v>0</v>
      </c>
      <c r="S8" s="264"/>
      <c r="T8" s="889">
        <f>percent_solids_after_biodrying</f>
        <v>0</v>
      </c>
      <c r="U8" s="264"/>
    </row>
    <row r="9" spans="1:21" s="183" customFormat="1" ht="15.75" customHeight="1" x14ac:dyDescent="0.2">
      <c r="A9" s="197" t="s">
        <v>210</v>
      </c>
      <c r="B9" s="415">
        <f>+B6*B7</f>
        <v>0</v>
      </c>
      <c r="C9" s="266"/>
      <c r="D9" s="265">
        <f>+D6*D7</f>
        <v>0</v>
      </c>
      <c r="E9" s="232"/>
      <c r="F9" s="265">
        <f>+F6*F7</f>
        <v>0</v>
      </c>
      <c r="G9" s="232"/>
      <c r="H9" s="265">
        <f>+H6*H7</f>
        <v>0</v>
      </c>
      <c r="I9" s="232"/>
      <c r="J9" s="265">
        <f>+J6*J7</f>
        <v>0</v>
      </c>
      <c r="K9" s="232"/>
      <c r="L9" s="265">
        <f>+L6*L7</f>
        <v>0</v>
      </c>
      <c r="M9" s="232"/>
      <c r="N9" s="265">
        <f>+N6*N7</f>
        <v>0</v>
      </c>
      <c r="O9" s="232"/>
      <c r="P9" s="265">
        <f>+P6*P7</f>
        <v>0</v>
      </c>
      <c r="Q9" s="232"/>
      <c r="R9" s="265">
        <f>+R6*R7</f>
        <v>0</v>
      </c>
      <c r="S9" s="232"/>
      <c r="T9" s="265">
        <f>+T6*T7</f>
        <v>0</v>
      </c>
      <c r="U9" s="232"/>
    </row>
    <row r="10" spans="1:21" s="130" customFormat="1" ht="15.75" customHeight="1" x14ac:dyDescent="0.2">
      <c r="A10" s="1085" t="s">
        <v>813</v>
      </c>
      <c r="B10" s="1086"/>
      <c r="C10" s="948"/>
      <c r="D10" s="1086"/>
      <c r="E10" s="1087"/>
      <c r="F10" s="1086"/>
      <c r="G10" s="1087"/>
      <c r="H10" s="1086"/>
      <c r="I10" s="1087"/>
      <c r="J10" s="1086"/>
      <c r="K10" s="1087"/>
      <c r="L10" s="1086"/>
      <c r="M10" s="1087"/>
      <c r="N10" s="1086"/>
      <c r="O10" s="1087"/>
      <c r="P10" s="1086"/>
      <c r="Q10" s="1087"/>
      <c r="R10" s="1086"/>
      <c r="S10" s="1087"/>
      <c r="T10" s="1086"/>
      <c r="U10" s="1087"/>
    </row>
    <row r="11" spans="1:21" s="130" customFormat="1" ht="15.75" customHeight="1" thickBot="1" x14ac:dyDescent="0.25">
      <c r="A11" s="277"/>
      <c r="B11" s="278"/>
      <c r="C11" s="279"/>
      <c r="D11" s="278"/>
      <c r="E11" s="279"/>
      <c r="F11" s="1150"/>
      <c r="G11" s="279"/>
      <c r="H11" s="278"/>
      <c r="I11" s="279"/>
      <c r="J11" s="278"/>
      <c r="K11" s="279"/>
      <c r="L11" s="278"/>
      <c r="M11" s="279"/>
      <c r="N11" s="278"/>
      <c r="O11" s="279"/>
      <c r="P11" s="278"/>
      <c r="Q11" s="279"/>
      <c r="R11" s="278"/>
      <c r="S11" s="279"/>
      <c r="T11" s="278"/>
      <c r="U11" s="279"/>
    </row>
    <row r="12" spans="1:21" s="183" customFormat="1" ht="15.75" customHeight="1" thickBot="1" x14ac:dyDescent="0.3">
      <c r="A12" s="1300" t="s">
        <v>273</v>
      </c>
      <c r="B12" s="1301"/>
      <c r="C12" s="1301"/>
      <c r="D12" s="1301"/>
      <c r="E12" s="1301"/>
      <c r="F12" s="1301"/>
      <c r="G12" s="1301"/>
      <c r="H12" s="1301"/>
      <c r="I12" s="1301"/>
      <c r="J12" s="1301"/>
      <c r="K12" s="1301"/>
      <c r="L12" s="1301"/>
      <c r="M12" s="1301"/>
      <c r="N12" s="1301"/>
      <c r="O12" s="1301"/>
      <c r="P12" s="1301"/>
      <c r="Q12" s="1301"/>
      <c r="R12" s="1301"/>
      <c r="S12" s="1301"/>
      <c r="T12" s="1301"/>
      <c r="U12" s="1302"/>
    </row>
    <row r="13" spans="1:21" s="130" customFormat="1" ht="15.75" customHeight="1" x14ac:dyDescent="0.25">
      <c r="A13" s="451" t="s">
        <v>83</v>
      </c>
      <c r="B13" s="14"/>
      <c r="C13" s="436"/>
      <c r="D13" s="14"/>
      <c r="E13" s="436"/>
      <c r="F13" s="14"/>
      <c r="G13" s="436"/>
      <c r="H13" s="14"/>
      <c r="I13" s="436"/>
      <c r="J13" s="14"/>
      <c r="K13" s="436"/>
      <c r="L13" s="14"/>
      <c r="M13" s="436"/>
      <c r="N13" s="14"/>
      <c r="O13" s="436"/>
      <c r="P13" s="14"/>
      <c r="Q13" s="436"/>
      <c r="R13" s="14"/>
      <c r="S13" s="436"/>
      <c r="T13" s="14"/>
      <c r="U13" s="436"/>
    </row>
    <row r="14" spans="1:21" ht="15.75" customHeight="1" x14ac:dyDescent="0.3">
      <c r="A14" s="168" t="s">
        <v>77</v>
      </c>
      <c r="B14" s="275">
        <f>IF(B10='References Assumptions'!$C$340,B13*CO2E_naturalgas_combustion/Mg_g,0)</f>
        <v>0</v>
      </c>
      <c r="C14" s="276"/>
      <c r="D14" s="275">
        <f>IF(D10='References Assumptions'!$C$340,D13*CO2E_naturalgas_combustion/Mg_g,0)</f>
        <v>0</v>
      </c>
      <c r="E14" s="276"/>
      <c r="F14" s="275">
        <f>IF(F10='References Assumptions'!$C$340,F13*CO2E_naturalgas_combustion/Mg_g,0)</f>
        <v>0</v>
      </c>
      <c r="G14" s="276"/>
      <c r="H14" s="275">
        <f>IF(H10='References Assumptions'!$C$340,H13*CO2E_naturalgas_combustion/Mg_g,0)</f>
        <v>0</v>
      </c>
      <c r="I14" s="276"/>
      <c r="J14" s="275">
        <f>IF(J10='References Assumptions'!$C$340,J13*CO2E_naturalgas_combustion/Mg_g,0)</f>
        <v>0</v>
      </c>
      <c r="K14" s="276"/>
      <c r="L14" s="275">
        <f>IF(L10='References Assumptions'!$C$340,L13*CO2E_naturalgas_combustion/Mg_g,0)</f>
        <v>0</v>
      </c>
      <c r="M14" s="276"/>
      <c r="N14" s="275">
        <f>IF(N10='References Assumptions'!$C$340,N13*CO2E_naturalgas_combustion/Mg_g,0)</f>
        <v>0</v>
      </c>
      <c r="O14" s="276"/>
      <c r="P14" s="275">
        <f>IF(P10='References Assumptions'!$C$340,P13*CO2E_naturalgas_combustion/Mg_g,0)</f>
        <v>0</v>
      </c>
      <c r="Q14" s="276"/>
      <c r="R14" s="275">
        <f>IF(R10='References Assumptions'!$C$340,R13*CO2E_naturalgas_combustion/Mg_g,0)</f>
        <v>0</v>
      </c>
      <c r="S14" s="276"/>
      <c r="T14" s="275">
        <f>IF(T10='References Assumptions'!$C$340,T13*CO2E_naturalgas_combustion/Mg_g,0)</f>
        <v>0</v>
      </c>
      <c r="U14" s="276"/>
    </row>
    <row r="15" spans="1:21" s="183" customFormat="1" ht="15.75" customHeight="1" thickBot="1" x14ac:dyDescent="0.25">
      <c r="A15" s="277"/>
      <c r="B15" s="278"/>
      <c r="C15" s="279"/>
      <c r="D15" s="278"/>
      <c r="E15" s="279"/>
      <c r="F15" s="278"/>
      <c r="G15" s="279"/>
      <c r="H15" s="278"/>
      <c r="I15" s="279"/>
      <c r="J15" s="278"/>
      <c r="K15" s="279"/>
      <c r="L15" s="278"/>
      <c r="M15" s="279"/>
      <c r="N15" s="278"/>
      <c r="O15" s="279"/>
      <c r="P15" s="278"/>
      <c r="Q15" s="279"/>
      <c r="R15" s="278"/>
      <c r="S15" s="279"/>
      <c r="T15" s="278"/>
      <c r="U15" s="279"/>
    </row>
    <row r="16" spans="1:21" s="183" customFormat="1" ht="15.75" customHeight="1" thickBot="1" x14ac:dyDescent="0.3">
      <c r="A16" s="1300" t="s">
        <v>193</v>
      </c>
      <c r="B16" s="1301"/>
      <c r="C16" s="1301"/>
      <c r="D16" s="1301"/>
      <c r="E16" s="1301"/>
      <c r="F16" s="1301"/>
      <c r="G16" s="1301"/>
      <c r="H16" s="1301"/>
      <c r="I16" s="1301"/>
      <c r="J16" s="1301"/>
      <c r="K16" s="1301"/>
      <c r="L16" s="1301"/>
      <c r="M16" s="1301"/>
      <c r="N16" s="1301"/>
      <c r="O16" s="1301"/>
      <c r="P16" s="1301"/>
      <c r="Q16" s="1301"/>
      <c r="R16" s="1301"/>
      <c r="S16" s="1301"/>
      <c r="T16" s="1301"/>
      <c r="U16" s="1302"/>
    </row>
    <row r="17" spans="1:21" s="130" customFormat="1" ht="15.75" customHeight="1" x14ac:dyDescent="0.2">
      <c r="A17" s="882" t="s">
        <v>633</v>
      </c>
      <c r="B17" s="1088">
        <f>IF(B10='References Assumptions'!$C$340,B9*Biodrying_Electricity_Use_for_Heating,0)</f>
        <v>0</v>
      </c>
      <c r="C17" s="1089"/>
      <c r="D17" s="1088">
        <f>IF(D10='References Assumptions'!$C$340,D9*Biodrying_Electricity_Use_for_Heating,0)</f>
        <v>0</v>
      </c>
      <c r="E17" s="1089"/>
      <c r="F17" s="1088">
        <f>IF(F10='References Assumptions'!$C$340,F9*Biodrying_Electricity_Use_for_Heating,0)</f>
        <v>0</v>
      </c>
      <c r="G17" s="1089"/>
      <c r="H17" s="1088">
        <f>IF(H10='References Assumptions'!$C$340,H9*Biodrying_Electricity_Use_for_Heating,0)</f>
        <v>0</v>
      </c>
      <c r="I17" s="1089"/>
      <c r="J17" s="1088">
        <f>IF(J10='References Assumptions'!$C$340,J9*Biodrying_Electricity_Use_for_Heating,0)</f>
        <v>0</v>
      </c>
      <c r="K17" s="1089"/>
      <c r="L17" s="1088">
        <f>IF(L10='References Assumptions'!$C$340,L9*Biodrying_Electricity_Use_for_Heating,0)</f>
        <v>0</v>
      </c>
      <c r="M17" s="1089"/>
      <c r="N17" s="1088">
        <f>IF(N10='References Assumptions'!$C$340,N9*Biodrying_Electricity_Use_for_Heating,0)</f>
        <v>0</v>
      </c>
      <c r="O17" s="1089"/>
      <c r="P17" s="1088">
        <f>IF(P10='References Assumptions'!$C$340,P9*Biodrying_Electricity_Use_for_Heating,0)</f>
        <v>0</v>
      </c>
      <c r="Q17" s="1089"/>
      <c r="R17" s="1088">
        <f>IF(R10='References Assumptions'!$C$340,R9*Biodrying_Electricity_Use_for_Heating,0)</f>
        <v>0</v>
      </c>
      <c r="S17" s="1089"/>
      <c r="T17" s="1088">
        <f>IF(T10='References Assumptions'!$C$340,T9*Biodrying_Electricity_Use_for_Heating,0)</f>
        <v>0</v>
      </c>
      <c r="U17" s="1089"/>
    </row>
    <row r="18" spans="1:21" s="130" customFormat="1" ht="15.75" customHeight="1" x14ac:dyDescent="0.2">
      <c r="A18" s="1038" t="s">
        <v>634</v>
      </c>
      <c r="B18" s="354">
        <f>+B9*Biodrying_Electricity_Use_for_Ancillary_Equipment</f>
        <v>0</v>
      </c>
      <c r="C18" s="264"/>
      <c r="D18" s="354">
        <f>+D9*Biodrying_Electricity_Use_for_Ancillary_Equipment</f>
        <v>0</v>
      </c>
      <c r="E18" s="264"/>
      <c r="F18" s="354">
        <f>+F9*Biodrying_Electricity_Use_for_Ancillary_Equipment</f>
        <v>0</v>
      </c>
      <c r="G18" s="264"/>
      <c r="H18" s="354">
        <f>+H9*Biodrying_Electricity_Use_for_Ancillary_Equipment</f>
        <v>0</v>
      </c>
      <c r="I18" s="264"/>
      <c r="J18" s="354">
        <f>+J9*Biodrying_Electricity_Use_for_Ancillary_Equipment</f>
        <v>0</v>
      </c>
      <c r="K18" s="264"/>
      <c r="L18" s="354">
        <f>+L9*Biodrying_Electricity_Use_for_Ancillary_Equipment</f>
        <v>0</v>
      </c>
      <c r="M18" s="264"/>
      <c r="N18" s="354">
        <f>+N9*Biodrying_Electricity_Use_for_Ancillary_Equipment</f>
        <v>0</v>
      </c>
      <c r="O18" s="264"/>
      <c r="P18" s="354">
        <f>+P9*Biodrying_Electricity_Use_for_Ancillary_Equipment</f>
        <v>0</v>
      </c>
      <c r="Q18" s="264"/>
      <c r="R18" s="354">
        <f>+R9*Biodrying_Electricity_Use_for_Ancillary_Equipment</f>
        <v>0</v>
      </c>
      <c r="S18" s="264"/>
      <c r="T18" s="354">
        <f>+T9*Biodrying_Electricity_Use_for_Ancillary_Equipment</f>
        <v>0</v>
      </c>
      <c r="U18" s="264"/>
    </row>
    <row r="19" spans="1:21" s="183" customFormat="1" ht="15.75" customHeight="1" x14ac:dyDescent="0.3">
      <c r="A19" s="417" t="s">
        <v>75</v>
      </c>
      <c r="B19" s="453">
        <f>(B17+B18)*GHG_emissions_factors_by_province/Mg_g</f>
        <v>0</v>
      </c>
      <c r="C19" s="433"/>
      <c r="D19" s="453">
        <f>(D17+D18)*GHG_emissions_factors_by_province/Mg_g</f>
        <v>0</v>
      </c>
      <c r="E19" s="433"/>
      <c r="F19" s="453">
        <f>(F17+F18)*GHG_emissions_factors_by_province/Mg_g</f>
        <v>0</v>
      </c>
      <c r="G19" s="433"/>
      <c r="H19" s="453">
        <f>(H17+H18)*GHG_emissions_factors_by_province/Mg_g</f>
        <v>0</v>
      </c>
      <c r="I19" s="433"/>
      <c r="J19" s="453">
        <f>(J17+J18)*GHG_emissions_factors_by_province/Mg_g</f>
        <v>0</v>
      </c>
      <c r="K19" s="433"/>
      <c r="L19" s="453">
        <f>(L17+L18)*GHG_emissions_factors_by_province/Mg_g</f>
        <v>0</v>
      </c>
      <c r="M19" s="433"/>
      <c r="N19" s="453">
        <f>(N17+N18)*GHG_emissions_factors_by_province/Mg_g</f>
        <v>0</v>
      </c>
      <c r="O19" s="433"/>
      <c r="P19" s="453">
        <f>(P17+P18)*GHG_emissions_factors_by_province/Mg_g</f>
        <v>0</v>
      </c>
      <c r="Q19" s="433"/>
      <c r="R19" s="453">
        <f>(R17+R18)*GHG_emissions_factors_by_province/Mg_g</f>
        <v>0</v>
      </c>
      <c r="S19" s="433"/>
      <c r="T19" s="453">
        <f>(T17+T18)*GHG_emissions_factors_by_province/Mg_g</f>
        <v>0</v>
      </c>
      <c r="U19" s="433"/>
    </row>
    <row r="20" spans="1:21" s="183" customFormat="1" ht="15.75" customHeight="1" thickBot="1" x14ac:dyDescent="0.25">
      <c r="A20" s="277"/>
      <c r="B20" s="278"/>
      <c r="C20" s="279"/>
      <c r="D20" s="278"/>
      <c r="E20" s="279"/>
      <c r="F20" s="278"/>
      <c r="G20" s="279"/>
      <c r="H20" s="278"/>
      <c r="I20" s="279"/>
      <c r="J20" s="278"/>
      <c r="K20" s="279"/>
      <c r="L20" s="278"/>
      <c r="M20" s="279"/>
      <c r="N20" s="278"/>
      <c r="O20" s="279"/>
      <c r="P20" s="278"/>
      <c r="Q20" s="279"/>
      <c r="R20" s="278"/>
      <c r="S20" s="279"/>
      <c r="T20" s="278"/>
      <c r="U20" s="279"/>
    </row>
    <row r="21" spans="1:21" s="130" customFormat="1" ht="15.75" customHeight="1" thickBot="1" x14ac:dyDescent="0.25">
      <c r="A21" s="1321"/>
      <c r="B21" s="1322"/>
      <c r="C21" s="1322"/>
      <c r="D21" s="1322"/>
      <c r="E21" s="1322"/>
      <c r="F21" s="1322"/>
      <c r="G21" s="1322"/>
      <c r="H21" s="1322"/>
      <c r="I21" s="1322"/>
      <c r="J21" s="1322"/>
      <c r="K21" s="1322"/>
      <c r="L21" s="1322"/>
      <c r="M21" s="1322"/>
      <c r="N21" s="1322"/>
      <c r="O21" s="1322"/>
      <c r="P21" s="1322"/>
      <c r="Q21" s="1322"/>
      <c r="R21" s="1322"/>
      <c r="S21" s="1322"/>
      <c r="T21" s="1322"/>
      <c r="U21" s="1323"/>
    </row>
    <row r="22" spans="1:21" s="130" customFormat="1" ht="18.75" customHeight="1" thickBot="1" x14ac:dyDescent="0.3">
      <c r="A22" s="238" t="s">
        <v>45</v>
      </c>
      <c r="B22" s="282">
        <f>(B14+B19)*days_yr</f>
        <v>0</v>
      </c>
      <c r="C22" s="283"/>
      <c r="D22" s="282">
        <f>(D14+D19)*days_yr</f>
        <v>0</v>
      </c>
      <c r="E22" s="283"/>
      <c r="F22" s="282">
        <f>(F14+F19)*days_yr</f>
        <v>0</v>
      </c>
      <c r="G22" s="283"/>
      <c r="H22" s="282">
        <f>(H14+H19)*days_yr</f>
        <v>0</v>
      </c>
      <c r="I22" s="283"/>
      <c r="J22" s="282">
        <f>(J14+J19)*days_yr</f>
        <v>0</v>
      </c>
      <c r="K22" s="283"/>
      <c r="L22" s="282">
        <f>(L14+L19)*days_yr</f>
        <v>0</v>
      </c>
      <c r="M22" s="283"/>
      <c r="N22" s="282">
        <f>(N14+N19)*days_yr</f>
        <v>0</v>
      </c>
      <c r="O22" s="283"/>
      <c r="P22" s="282">
        <f>(P14+P19)*days_yr</f>
        <v>0</v>
      </c>
      <c r="Q22" s="283"/>
      <c r="R22" s="282">
        <f>(R14+R19)*days_yr</f>
        <v>0</v>
      </c>
      <c r="S22" s="283"/>
      <c r="T22" s="282">
        <f>(T14+T19)*days_yr</f>
        <v>0</v>
      </c>
      <c r="U22" s="284"/>
    </row>
    <row r="23" spans="1:21" ht="15.75" customHeight="1" x14ac:dyDescent="0.25">
      <c r="A23" s="241" t="s">
        <v>228</v>
      </c>
      <c r="B23" s="137">
        <f>B14*days_yr</f>
        <v>0</v>
      </c>
      <c r="D23" s="137">
        <f>D14*days_yr</f>
        <v>0</v>
      </c>
      <c r="F23" s="137">
        <f>F14*days_yr</f>
        <v>0</v>
      </c>
      <c r="H23" s="137">
        <f>H14*days_yr</f>
        <v>0</v>
      </c>
      <c r="J23" s="137">
        <f>J14*days_yr</f>
        <v>0</v>
      </c>
      <c r="L23" s="137">
        <f>L14*days_yr</f>
        <v>0</v>
      </c>
      <c r="N23" s="137">
        <f>N14*days_yr</f>
        <v>0</v>
      </c>
      <c r="P23" s="137">
        <f>P14*days_yr</f>
        <v>0</v>
      </c>
      <c r="R23" s="137">
        <f>R14*days_yr</f>
        <v>0</v>
      </c>
      <c r="T23" s="137">
        <f>T14*days_yr</f>
        <v>0</v>
      </c>
      <c r="U23" s="163"/>
    </row>
    <row r="24" spans="1:21" s="130" customFormat="1" ht="15.75" customHeight="1" x14ac:dyDescent="0.25">
      <c r="A24" s="218" t="s">
        <v>229</v>
      </c>
      <c r="B24" s="165">
        <f>B19*days_yr</f>
        <v>0</v>
      </c>
      <c r="D24" s="165">
        <f>D19*days_yr</f>
        <v>0</v>
      </c>
      <c r="F24" s="165">
        <f>F19*days_yr</f>
        <v>0</v>
      </c>
      <c r="H24" s="165">
        <f>H19*days_yr</f>
        <v>0</v>
      </c>
      <c r="J24" s="165">
        <f>J19*days_yr</f>
        <v>0</v>
      </c>
      <c r="L24" s="165">
        <f>L19*days_yr</f>
        <v>0</v>
      </c>
      <c r="N24" s="165">
        <f>N19*days_yr</f>
        <v>0</v>
      </c>
      <c r="P24" s="165">
        <f>P19*days_yr</f>
        <v>0</v>
      </c>
      <c r="R24" s="165">
        <f>R19*days_yr</f>
        <v>0</v>
      </c>
      <c r="T24" s="165">
        <f>T19*days_yr</f>
        <v>0</v>
      </c>
      <c r="U24" s="167"/>
    </row>
    <row r="25" spans="1:21" ht="15.75" customHeight="1" x14ac:dyDescent="0.25">
      <c r="A25" s="215" t="s">
        <v>207</v>
      </c>
      <c r="B25" s="138">
        <f>B23+B24</f>
        <v>0</v>
      </c>
      <c r="D25" s="138">
        <f>D23+D24</f>
        <v>0</v>
      </c>
      <c r="F25" s="138">
        <f>F23+F24</f>
        <v>0</v>
      </c>
      <c r="H25" s="138">
        <f>H23+H24</f>
        <v>0</v>
      </c>
      <c r="J25" s="138">
        <f>J23+J24</f>
        <v>0</v>
      </c>
      <c r="L25" s="138">
        <f>L23+L24</f>
        <v>0</v>
      </c>
      <c r="N25" s="138">
        <f>N23+N24</f>
        <v>0</v>
      </c>
      <c r="P25" s="138">
        <f>P23+P24</f>
        <v>0</v>
      </c>
      <c r="R25" s="138">
        <f>R23+R24</f>
        <v>0</v>
      </c>
      <c r="T25" s="138">
        <f>T23+T24</f>
        <v>0</v>
      </c>
      <c r="U25" s="163"/>
    </row>
    <row r="26" spans="1:21" s="130" customFormat="1" ht="15.75" customHeight="1" x14ac:dyDescent="0.25">
      <c r="A26" s="218" t="s">
        <v>230</v>
      </c>
      <c r="B26" s="165">
        <v>0</v>
      </c>
      <c r="D26" s="165">
        <v>0</v>
      </c>
      <c r="F26" s="165">
        <v>0</v>
      </c>
      <c r="H26" s="165">
        <v>0</v>
      </c>
      <c r="J26" s="165">
        <v>0</v>
      </c>
      <c r="L26" s="165">
        <v>0</v>
      </c>
      <c r="N26" s="165">
        <v>0</v>
      </c>
      <c r="P26" s="165">
        <v>0</v>
      </c>
      <c r="R26" s="165">
        <v>0</v>
      </c>
      <c r="T26" s="165">
        <v>0</v>
      </c>
      <c r="U26" s="167"/>
    </row>
    <row r="27" spans="1:21" ht="15.75" customHeight="1" thickBot="1" x14ac:dyDescent="0.3">
      <c r="A27" s="153" t="s">
        <v>232</v>
      </c>
      <c r="B27" s="285" t="s">
        <v>102</v>
      </c>
      <c r="C27" s="171"/>
      <c r="D27" s="285" t="s">
        <v>102</v>
      </c>
      <c r="E27" s="171"/>
      <c r="F27" s="285" t="s">
        <v>102</v>
      </c>
      <c r="G27" s="171"/>
      <c r="H27" s="285" t="s">
        <v>102</v>
      </c>
      <c r="I27" s="171"/>
      <c r="J27" s="285" t="s">
        <v>102</v>
      </c>
      <c r="K27" s="171"/>
      <c r="L27" s="285" t="s">
        <v>102</v>
      </c>
      <c r="M27" s="171"/>
      <c r="N27" s="285" t="s">
        <v>102</v>
      </c>
      <c r="O27" s="171"/>
      <c r="P27" s="285" t="s">
        <v>102</v>
      </c>
      <c r="Q27" s="171"/>
      <c r="R27" s="285" t="s">
        <v>102</v>
      </c>
      <c r="S27" s="171"/>
      <c r="T27" s="285" t="s">
        <v>102</v>
      </c>
      <c r="U27" s="173"/>
    </row>
    <row r="29" spans="1:21" ht="18" x14ac:dyDescent="0.25">
      <c r="A29" s="176" t="s">
        <v>97</v>
      </c>
      <c r="B29" s="155"/>
      <c r="H29" s="96"/>
    </row>
    <row r="30" spans="1:21" ht="54.75" customHeight="1" x14ac:dyDescent="0.2"/>
    <row r="31" spans="1:21" ht="15" x14ac:dyDescent="0.2">
      <c r="B31" s="1234" t="s">
        <v>110</v>
      </c>
      <c r="C31" s="1235"/>
      <c r="D31" s="1235"/>
      <c r="E31" s="1236"/>
      <c r="J31" s="96"/>
    </row>
    <row r="32" spans="1:21" x14ac:dyDescent="0.2">
      <c r="B32" s="1231" t="s">
        <v>31</v>
      </c>
      <c r="C32" s="1232"/>
      <c r="D32" s="1233"/>
      <c r="E32" s="563">
        <v>0</v>
      </c>
      <c r="I32" s="592"/>
      <c r="J32" s="592"/>
    </row>
    <row r="33" spans="2:9" x14ac:dyDescent="0.2">
      <c r="B33" s="1231" t="s">
        <v>32</v>
      </c>
      <c r="C33" s="1232"/>
      <c r="D33" s="1233"/>
      <c r="E33" s="564">
        <v>0</v>
      </c>
    </row>
    <row r="34" spans="2:9" x14ac:dyDescent="0.2">
      <c r="B34" s="1231" t="s">
        <v>615</v>
      </c>
      <c r="C34" s="1232"/>
      <c r="D34" s="1233"/>
      <c r="E34" s="565">
        <v>0</v>
      </c>
    </row>
    <row r="35" spans="2:9" ht="15" x14ac:dyDescent="0.25">
      <c r="B35" s="1231" t="s">
        <v>70</v>
      </c>
      <c r="C35" s="1232"/>
      <c r="D35" s="1233"/>
      <c r="E35" s="566">
        <v>0</v>
      </c>
    </row>
    <row r="36" spans="2:9" x14ac:dyDescent="0.2">
      <c r="B36" s="1231" t="s">
        <v>550</v>
      </c>
      <c r="C36" s="1232"/>
      <c r="D36" s="1233"/>
      <c r="E36" s="567">
        <v>0</v>
      </c>
    </row>
    <row r="37" spans="2:9" x14ac:dyDescent="0.2">
      <c r="B37" s="1231" t="s">
        <v>610</v>
      </c>
      <c r="C37" s="1232"/>
      <c r="D37" s="1233"/>
      <c r="E37" s="227">
        <v>0</v>
      </c>
      <c r="H37" s="592"/>
      <c r="I37" s="592"/>
    </row>
  </sheetData>
  <sheetProtection algorithmName="SHA-512" hashValue="zjPl+NyUtkNlZtdvYkV/vVfgfqSR2F9tQsaORWyXU5Gafxd+Er2e4/OELJPTlCYQLqvFG7CBt2zt+f/JItTi/A==" saltValue="8WKFW2fyD74vnEk51w4qEA==" spinCount="100000" sheet="1" objects="1" scenarios="1"/>
  <mergeCells count="32">
    <mergeCell ref="A2:A3"/>
    <mergeCell ref="N2:O2"/>
    <mergeCell ref="P2:Q2"/>
    <mergeCell ref="R2:S2"/>
    <mergeCell ref="T3:U3"/>
    <mergeCell ref="L2:M2"/>
    <mergeCell ref="B37:D37"/>
    <mergeCell ref="A12:U12"/>
    <mergeCell ref="A16:U16"/>
    <mergeCell ref="A21:U21"/>
    <mergeCell ref="B31:E31"/>
    <mergeCell ref="B32:D32"/>
    <mergeCell ref="B33:D33"/>
    <mergeCell ref="B34:D34"/>
    <mergeCell ref="B35:D35"/>
    <mergeCell ref="B36:D36"/>
    <mergeCell ref="A5:U5"/>
    <mergeCell ref="T2:U2"/>
    <mergeCell ref="B3:C3"/>
    <mergeCell ref="D3:E3"/>
    <mergeCell ref="F3:G3"/>
    <mergeCell ref="H3:I3"/>
    <mergeCell ref="J3:K3"/>
    <mergeCell ref="B2:C2"/>
    <mergeCell ref="D2:E2"/>
    <mergeCell ref="F2:G2"/>
    <mergeCell ref="H2:I2"/>
    <mergeCell ref="L3:M3"/>
    <mergeCell ref="N3:O3"/>
    <mergeCell ref="P3:Q3"/>
    <mergeCell ref="R3:S3"/>
    <mergeCell ref="J2:K2"/>
  </mergeCells>
  <dataValidations count="1">
    <dataValidation type="list" allowBlank="1" showInputMessage="1" showErrorMessage="1" sqref="R10 D10 F10 H10 J10 L10 N10 P10 T10 B10" xr:uid="{00000000-0002-0000-0E00-000000000000}">
      <formula1>Yes_No</formula1>
    </dataValidation>
  </dataValidations>
  <pageMargins left="0.75" right="0.75" top="1" bottom="1" header="0.5" footer="0.5"/>
  <pageSetup scale="12" orientation="portrait" horizontalDpi="4294967292" verticalDpi="4294967292"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pageSetUpPr fitToPage="1"/>
  </sheetPr>
  <dimension ref="A1:U38"/>
  <sheetViews>
    <sheetView workbookViewId="0"/>
  </sheetViews>
  <sheetFormatPr defaultColWidth="11.42578125" defaultRowHeight="15" x14ac:dyDescent="0.25"/>
  <cols>
    <col min="1" max="1" width="73.85546875" customWidth="1"/>
    <col min="2" max="2" width="15.42578125" customWidth="1"/>
    <col min="3" max="3" width="15.140625" customWidth="1"/>
    <col min="4" max="4" width="15.42578125" customWidth="1"/>
    <col min="5" max="5" width="15.140625" customWidth="1"/>
    <col min="6" max="6" width="15.42578125" customWidth="1"/>
    <col min="7" max="7" width="15.140625" customWidth="1"/>
    <col min="8" max="8" width="15.42578125" customWidth="1"/>
    <col min="9" max="9" width="15.140625" customWidth="1"/>
    <col min="10" max="10" width="15.42578125" customWidth="1"/>
    <col min="11" max="11" width="15.140625" customWidth="1"/>
    <col min="12" max="12" width="15.42578125" customWidth="1"/>
    <col min="13" max="13" width="15.140625" customWidth="1"/>
    <col min="14" max="14" width="15.42578125" customWidth="1"/>
    <col min="15" max="15" width="15.140625" customWidth="1"/>
    <col min="16" max="16" width="15.42578125" customWidth="1"/>
    <col min="17" max="17" width="15.140625" customWidth="1"/>
    <col min="18" max="18" width="15.42578125" customWidth="1"/>
    <col min="19" max="19" width="15.140625" customWidth="1"/>
    <col min="20" max="20" width="15.42578125" customWidth="1"/>
    <col min="21" max="21" width="15.140625" customWidth="1"/>
  </cols>
  <sheetData>
    <row r="1" spans="1:21" ht="24" thickBot="1" x14ac:dyDescent="0.4">
      <c r="B1" s="288"/>
    </row>
    <row r="2" spans="1:21" ht="15.6" customHeight="1" x14ac:dyDescent="0.25">
      <c r="A2" s="1318" t="s">
        <v>269</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6" customHeight="1" thickBot="1" x14ac:dyDescent="0.3">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7.25" customHeight="1" thickBot="1" x14ac:dyDescent="0.3">
      <c r="A4" s="145" t="s">
        <v>104</v>
      </c>
      <c r="B4" s="147"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ht="15.75" customHeight="1" thickBot="1" x14ac:dyDescent="0.3">
      <c r="A5" s="1340" t="s">
        <v>27</v>
      </c>
      <c r="B5" s="1327"/>
      <c r="C5" s="1327"/>
      <c r="D5" s="1327"/>
      <c r="E5" s="1327"/>
      <c r="F5" s="1327"/>
      <c r="G5" s="1327"/>
      <c r="H5" s="1327"/>
      <c r="I5" s="1327"/>
      <c r="J5" s="1327"/>
      <c r="K5" s="1327"/>
      <c r="L5" s="1327"/>
      <c r="M5" s="1327"/>
      <c r="N5" s="1327"/>
      <c r="O5" s="1327"/>
      <c r="P5" s="1327"/>
      <c r="Q5" s="1327"/>
      <c r="R5" s="1327"/>
      <c r="S5" s="1327"/>
      <c r="T5" s="1327"/>
      <c r="U5" s="1341"/>
    </row>
    <row r="6" spans="1:21" ht="15.75" customHeight="1" x14ac:dyDescent="0.25">
      <c r="A6" s="270" t="s">
        <v>851</v>
      </c>
      <c r="B6" s="287">
        <f>'Amount and Destination'!AH13/days_yr</f>
        <v>0</v>
      </c>
      <c r="C6" s="289"/>
      <c r="D6" s="287">
        <f>'Amount and Destination'!AH42/days_yr</f>
        <v>0</v>
      </c>
      <c r="E6" s="290"/>
      <c r="F6" s="287">
        <f>+'Amount and Destination'!AH71/days_yr</f>
        <v>0</v>
      </c>
      <c r="G6" s="289"/>
      <c r="H6" s="287">
        <f>+'Amount and Destination'!AH100/days_yr</f>
        <v>0</v>
      </c>
      <c r="I6" s="289"/>
      <c r="J6" s="287">
        <f>+'Amount and Destination'!AH129/days_yr</f>
        <v>0</v>
      </c>
      <c r="K6" s="289"/>
      <c r="L6" s="287">
        <f>+'Amount and Destination'!AH158/days_yr</f>
        <v>0</v>
      </c>
      <c r="M6" s="290"/>
      <c r="N6" s="287">
        <f>+'Amount and Destination'!AH187/days_yr</f>
        <v>0</v>
      </c>
      <c r="O6" s="289"/>
      <c r="P6" s="287">
        <f>+'Amount and Destination'!AH216/days_yr</f>
        <v>0</v>
      </c>
      <c r="Q6" s="289"/>
      <c r="R6" s="287">
        <f>+'Amount and Destination'!AH245/days_yr</f>
        <v>0</v>
      </c>
      <c r="S6" s="289"/>
      <c r="T6" s="287">
        <f>+'Amount and Destination'!AH274/days_yr</f>
        <v>0</v>
      </c>
      <c r="U6" s="289"/>
    </row>
    <row r="7" spans="1:21" ht="15.75" customHeight="1" x14ac:dyDescent="0.25">
      <c r="A7" s="245" t="s">
        <v>852</v>
      </c>
      <c r="B7" s="889">
        <f>Mean_solids</f>
        <v>7.1999999999999995E-2</v>
      </c>
      <c r="C7" s="291"/>
      <c r="D7" s="889">
        <f>Mean_solids</f>
        <v>7.1999999999999995E-2</v>
      </c>
      <c r="E7" s="292"/>
      <c r="F7" s="889">
        <f>Mean_solids</f>
        <v>7.1999999999999995E-2</v>
      </c>
      <c r="G7" s="291"/>
      <c r="H7" s="889">
        <f>Mean_solids</f>
        <v>7.1999999999999995E-2</v>
      </c>
      <c r="I7" s="291"/>
      <c r="J7" s="889">
        <f>Mean_solids</f>
        <v>7.1999999999999995E-2</v>
      </c>
      <c r="K7" s="291"/>
      <c r="L7" s="889">
        <f>Mean_solids</f>
        <v>7.1999999999999995E-2</v>
      </c>
      <c r="M7" s="292"/>
      <c r="N7" s="889">
        <f>Mean_solids</f>
        <v>7.1999999999999995E-2</v>
      </c>
      <c r="O7" s="291"/>
      <c r="P7" s="889">
        <f>Mean_solids</f>
        <v>7.1999999999999995E-2</v>
      </c>
      <c r="Q7" s="291"/>
      <c r="R7" s="889">
        <f>Mean_solids</f>
        <v>7.1999999999999995E-2</v>
      </c>
      <c r="S7" s="291"/>
      <c r="T7" s="889">
        <f>Mean_solids</f>
        <v>7.1999999999999995E-2</v>
      </c>
      <c r="U7" s="291"/>
    </row>
    <row r="8" spans="1:21" ht="15.75" customHeight="1" x14ac:dyDescent="0.25">
      <c r="A8" s="245" t="s">
        <v>853</v>
      </c>
      <c r="B8" s="293">
        <f>+B6*B7</f>
        <v>0</v>
      </c>
      <c r="C8" s="291"/>
      <c r="D8" s="293">
        <f>+D6*D7</f>
        <v>0</v>
      </c>
      <c r="E8" s="292"/>
      <c r="F8" s="293">
        <f>+F6*F7</f>
        <v>0</v>
      </c>
      <c r="G8" s="291"/>
      <c r="H8" s="293">
        <f>+H6*H7</f>
        <v>0</v>
      </c>
      <c r="I8" s="291"/>
      <c r="J8" s="293">
        <f>+J6*J7</f>
        <v>0</v>
      </c>
      <c r="K8" s="291"/>
      <c r="L8" s="293">
        <f>+L6*L7</f>
        <v>0</v>
      </c>
      <c r="M8" s="292"/>
      <c r="N8" s="293">
        <f>+N6*N7</f>
        <v>0</v>
      </c>
      <c r="O8" s="291"/>
      <c r="P8" s="293">
        <f>+P6*P7</f>
        <v>0</v>
      </c>
      <c r="Q8" s="291"/>
      <c r="R8" s="293">
        <f>+R6*R7</f>
        <v>0</v>
      </c>
      <c r="S8" s="291"/>
      <c r="T8" s="293">
        <f>+T6*T7</f>
        <v>0</v>
      </c>
      <c r="U8" s="291"/>
    </row>
    <row r="9" spans="1:21" ht="15.75" customHeight="1" x14ac:dyDescent="0.25">
      <c r="A9" s="245" t="s">
        <v>309</v>
      </c>
      <c r="B9" s="17"/>
      <c r="C9" s="291"/>
      <c r="D9" s="17"/>
      <c r="E9" s="292"/>
      <c r="F9" s="17"/>
      <c r="G9" s="291"/>
      <c r="H9" s="17"/>
      <c r="I9" s="291"/>
      <c r="J9" s="17"/>
      <c r="K9" s="291"/>
      <c r="L9" s="17"/>
      <c r="M9" s="292"/>
      <c r="N9" s="17"/>
      <c r="O9" s="291"/>
      <c r="P9" s="17"/>
      <c r="Q9" s="291"/>
      <c r="R9" s="17"/>
      <c r="S9" s="291"/>
      <c r="T9" s="17"/>
      <c r="U9" s="291"/>
    </row>
    <row r="10" spans="1:21" ht="15.75" customHeight="1" x14ac:dyDescent="0.25">
      <c r="A10" s="245" t="s">
        <v>118</v>
      </c>
      <c r="B10" s="9"/>
      <c r="C10" s="249" t="s">
        <v>304</v>
      </c>
      <c r="D10" s="9"/>
      <c r="E10" s="294" t="s">
        <v>304</v>
      </c>
      <c r="F10" s="9"/>
      <c r="G10" s="249" t="s">
        <v>304</v>
      </c>
      <c r="H10" s="9"/>
      <c r="I10" s="249" t="s">
        <v>304</v>
      </c>
      <c r="J10" s="9"/>
      <c r="K10" s="249" t="s">
        <v>304</v>
      </c>
      <c r="L10" s="9"/>
      <c r="M10" s="294" t="s">
        <v>304</v>
      </c>
      <c r="N10" s="9"/>
      <c r="O10" s="249" t="s">
        <v>304</v>
      </c>
      <c r="P10" s="9"/>
      <c r="Q10" s="249" t="s">
        <v>304</v>
      </c>
      <c r="R10" s="9"/>
      <c r="S10" s="249" t="s">
        <v>304</v>
      </c>
      <c r="T10" s="9"/>
      <c r="U10" s="249" t="s">
        <v>304</v>
      </c>
    </row>
    <row r="11" spans="1:21" ht="15.75" customHeight="1" x14ac:dyDescent="0.25">
      <c r="A11" s="245" t="s">
        <v>119</v>
      </c>
      <c r="B11" s="18"/>
      <c r="C11" s="295">
        <f>IF(B9='References Assumptions'!$C$366, B8*default_lime_dose_Class_A, B8*default_lime_dose_Class_B)</f>
        <v>0</v>
      </c>
      <c r="D11" s="18"/>
      <c r="E11" s="295">
        <f>IF(D9='References Assumptions'!$C$366, D8*default_lime_dose_Class_A, D8*default_lime_dose_Class_B)</f>
        <v>0</v>
      </c>
      <c r="F11" s="18"/>
      <c r="G11" s="295">
        <f>IF(F9='References Assumptions'!$C$366, F8*default_lime_dose_Class_A, F8*default_lime_dose_Class_B)</f>
        <v>0</v>
      </c>
      <c r="H11" s="18"/>
      <c r="I11" s="295">
        <f>IF(H9='References Assumptions'!$C$366, H8*default_lime_dose_Class_A, H8*default_lime_dose_Class_B)</f>
        <v>0</v>
      </c>
      <c r="J11" s="18"/>
      <c r="K11" s="295">
        <f>IF(J9='References Assumptions'!$C$366, J8*default_lime_dose_Class_A, J8*default_lime_dose_Class_B)</f>
        <v>0</v>
      </c>
      <c r="L11" s="18"/>
      <c r="M11" s="295">
        <f>IF(L9='References Assumptions'!$C$366, L8*default_lime_dose_Class_A, L8*default_lime_dose_Class_B)</f>
        <v>0</v>
      </c>
      <c r="N11" s="18"/>
      <c r="O11" s="295">
        <f>IF(N9='References Assumptions'!$C$366, N8*default_lime_dose_Class_A, N8*default_lime_dose_Class_B)</f>
        <v>0</v>
      </c>
      <c r="P11" s="18"/>
      <c r="Q11" s="295">
        <f>IF(P9='References Assumptions'!$C$366, P8*default_lime_dose_Class_A, P8*default_lime_dose_Class_B)</f>
        <v>0</v>
      </c>
      <c r="R11" s="18"/>
      <c r="S11" s="295">
        <f>IF(R9='References Assumptions'!$C$366, R8*default_lime_dose_Class_A, R8*default_lime_dose_Class_B)</f>
        <v>0</v>
      </c>
      <c r="T11" s="18"/>
      <c r="U11" s="295">
        <f>IF(T9='References Assumptions'!$C$366, T8*default_lime_dose_Class_A, T8*default_lime_dose_Class_B)</f>
        <v>0</v>
      </c>
    </row>
    <row r="12" spans="1:21" ht="15.75" customHeight="1" x14ac:dyDescent="0.3">
      <c r="A12" s="168" t="s">
        <v>86</v>
      </c>
      <c r="B12" s="199">
        <f>+IF(B10='References Assumptions'!$C$339,0,B11*emissions_from_lime_production)</f>
        <v>0</v>
      </c>
      <c r="C12" s="291"/>
      <c r="D12" s="199">
        <f>+IF(D10='References Assumptions'!$C$339,0,D11*emissions_from_lime_production)</f>
        <v>0</v>
      </c>
      <c r="E12" s="292"/>
      <c r="F12" s="199">
        <f>+IF(F10='References Assumptions'!$C$339,0,F11*emissions_from_lime_production)</f>
        <v>0</v>
      </c>
      <c r="G12" s="291"/>
      <c r="H12" s="199">
        <f>+IF(H10='References Assumptions'!$C$339,0,H11*emissions_from_lime_production)</f>
        <v>0</v>
      </c>
      <c r="I12" s="291"/>
      <c r="J12" s="199">
        <f>+IF(J10='References Assumptions'!$C$339,0,J11*emissions_from_lime_production)</f>
        <v>0</v>
      </c>
      <c r="K12" s="291"/>
      <c r="L12" s="199">
        <f>+IF(L10='References Assumptions'!$C$339,0,L11*emissions_from_lime_production)</f>
        <v>0</v>
      </c>
      <c r="M12" s="292"/>
      <c r="N12" s="199">
        <f>+IF(N10='References Assumptions'!$C$339,0,N11*emissions_from_lime_production)</f>
        <v>0</v>
      </c>
      <c r="O12" s="291"/>
      <c r="P12" s="199">
        <f>+IF(P10='References Assumptions'!$C$339,0,P11*emissions_from_lime_production)</f>
        <v>0</v>
      </c>
      <c r="Q12" s="291"/>
      <c r="R12" s="199">
        <f>+IF(R10='References Assumptions'!$C$339,0,R11*emissions_from_lime_production)</f>
        <v>0</v>
      </c>
      <c r="S12" s="291"/>
      <c r="T12" s="199">
        <f>+IF(T10='References Assumptions'!$C$339,0,T11*emissions_from_lime_production)</f>
        <v>0</v>
      </c>
      <c r="U12" s="291"/>
    </row>
    <row r="13" spans="1:21" ht="15.75" customHeight="1" thickBot="1" x14ac:dyDescent="0.3">
      <c r="A13" s="296"/>
      <c r="B13" s="297"/>
      <c r="C13" s="298"/>
      <c r="D13" s="297"/>
      <c r="E13" s="299"/>
      <c r="F13" s="297"/>
      <c r="G13" s="298"/>
      <c r="H13" s="297"/>
      <c r="I13" s="298"/>
      <c r="J13" s="297"/>
      <c r="K13" s="298"/>
      <c r="L13" s="297"/>
      <c r="M13" s="299"/>
      <c r="N13" s="297"/>
      <c r="O13" s="298"/>
      <c r="P13" s="297"/>
      <c r="Q13" s="298"/>
      <c r="R13" s="297"/>
      <c r="S13" s="298"/>
      <c r="T13" s="297"/>
      <c r="U13" s="298"/>
    </row>
    <row r="14" spans="1:21" ht="15.75" customHeight="1" thickBot="1" x14ac:dyDescent="0.3">
      <c r="A14" s="1300" t="s">
        <v>273</v>
      </c>
      <c r="B14" s="1301"/>
      <c r="C14" s="1301"/>
      <c r="D14" s="1301"/>
      <c r="E14" s="1301"/>
      <c r="F14" s="1301"/>
      <c r="G14" s="1301"/>
      <c r="H14" s="1301"/>
      <c r="I14" s="1301"/>
      <c r="J14" s="1301"/>
      <c r="K14" s="1301"/>
      <c r="L14" s="1301"/>
      <c r="M14" s="1301"/>
      <c r="N14" s="1301"/>
      <c r="O14" s="1301"/>
      <c r="P14" s="1301"/>
      <c r="Q14" s="1301"/>
      <c r="R14" s="1301"/>
      <c r="S14" s="1301"/>
      <c r="T14" s="1301"/>
      <c r="U14" s="1302"/>
    </row>
    <row r="15" spans="1:21" ht="15.75" customHeight="1" x14ac:dyDescent="0.25">
      <c r="A15" s="451" t="s">
        <v>909</v>
      </c>
      <c r="B15" s="14"/>
      <c r="C15" s="1094">
        <f>IF(B9='References Assumptions'!$C$366, B8*AlkStab_A_fuel_use, 0)</f>
        <v>0</v>
      </c>
      <c r="D15" s="14"/>
      <c r="E15" s="1094">
        <f>IF(D9='References Assumptions'!$C$366, D8*AlkStab_A_fuel_use, 0)</f>
        <v>0</v>
      </c>
      <c r="F15" s="14"/>
      <c r="G15" s="1094">
        <f>IF(F9='References Assumptions'!$C$366, F8*AlkStab_A_fuel_use, 0)</f>
        <v>0</v>
      </c>
      <c r="H15" s="14"/>
      <c r="I15" s="1094">
        <f>IF(H9='References Assumptions'!$C$366, H8*AlkStab_A_fuel_use, 0)</f>
        <v>0</v>
      </c>
      <c r="J15" s="14"/>
      <c r="K15" s="1094">
        <f>IF(J9='References Assumptions'!$C$366, J8*AlkStab_A_fuel_use, 0)</f>
        <v>0</v>
      </c>
      <c r="L15" s="14"/>
      <c r="M15" s="1094">
        <f>IF(L9='References Assumptions'!$C$366, L8*AlkStab_A_fuel_use, 0)</f>
        <v>0</v>
      </c>
      <c r="N15" s="14"/>
      <c r="O15" s="1094">
        <f>IF(N9='References Assumptions'!$C$366, N8*AlkStab_A_fuel_use, 0)</f>
        <v>0</v>
      </c>
      <c r="P15" s="14"/>
      <c r="Q15" s="1094">
        <f>IF(P9='References Assumptions'!$C$366, P8*AlkStab_A_fuel_use, 0)</f>
        <v>0</v>
      </c>
      <c r="R15" s="14"/>
      <c r="S15" s="1094">
        <f>IF(R9='References Assumptions'!$C$366, R8*AlkStab_A_fuel_use, 0)</f>
        <v>0</v>
      </c>
      <c r="T15" s="14"/>
      <c r="U15" s="1094">
        <f>IF(T9='References Assumptions'!$C$366, T8*AlkStab_A_fuel_use, 0)</f>
        <v>0</v>
      </c>
    </row>
    <row r="16" spans="1:21" ht="15.75" customHeight="1" x14ac:dyDescent="0.3">
      <c r="A16" s="168" t="s">
        <v>77</v>
      </c>
      <c r="B16" s="910">
        <f>+B15/Mg_kg</f>
        <v>0</v>
      </c>
      <c r="C16" s="276"/>
      <c r="D16" s="910">
        <f>+D15/Mg_kg</f>
        <v>0</v>
      </c>
      <c r="E16" s="276"/>
      <c r="F16" s="910">
        <f>+F15/Mg_kg</f>
        <v>0</v>
      </c>
      <c r="G16" s="276"/>
      <c r="H16" s="910">
        <f>+H15/Mg_kg</f>
        <v>0</v>
      </c>
      <c r="I16" s="276"/>
      <c r="J16" s="910">
        <f>+J15/Mg_kg</f>
        <v>0</v>
      </c>
      <c r="K16" s="276"/>
      <c r="L16" s="910">
        <f>+L15/Mg_kg</f>
        <v>0</v>
      </c>
      <c r="M16" s="276"/>
      <c r="N16" s="910">
        <f>+N15/Mg_kg</f>
        <v>0</v>
      </c>
      <c r="O16" s="276"/>
      <c r="P16" s="910">
        <f>+P15/Mg_kg</f>
        <v>0</v>
      </c>
      <c r="Q16" s="276"/>
      <c r="R16" s="910">
        <f>+R15/Mg_kg</f>
        <v>0</v>
      </c>
      <c r="S16" s="276"/>
      <c r="T16" s="910">
        <f>+T15/Mg_kg</f>
        <v>0</v>
      </c>
      <c r="U16" s="276"/>
    </row>
    <row r="17" spans="1:21" ht="15.75" customHeight="1" thickBot="1" x14ac:dyDescent="0.3">
      <c r="A17" s="267"/>
      <c r="B17" s="300"/>
      <c r="C17" s="301"/>
      <c r="D17" s="300"/>
      <c r="E17" s="301"/>
      <c r="F17" s="300"/>
      <c r="G17" s="301"/>
      <c r="H17" s="300"/>
      <c r="I17" s="301"/>
      <c r="J17" s="300"/>
      <c r="K17" s="301"/>
      <c r="L17" s="300"/>
      <c r="M17" s="301"/>
      <c r="N17" s="300"/>
      <c r="O17" s="301"/>
      <c r="P17" s="300"/>
      <c r="Q17" s="301"/>
      <c r="R17" s="300"/>
      <c r="S17" s="301"/>
      <c r="T17" s="300"/>
      <c r="U17" s="301"/>
    </row>
    <row r="18" spans="1:21" ht="15.75" customHeight="1" thickBot="1" x14ac:dyDescent="0.3">
      <c r="A18" s="1324" t="s">
        <v>193</v>
      </c>
      <c r="B18" s="1325"/>
      <c r="C18" s="1325"/>
      <c r="D18" s="1325"/>
      <c r="E18" s="1325"/>
      <c r="F18" s="1325"/>
      <c r="G18" s="1325"/>
      <c r="H18" s="1325"/>
      <c r="I18" s="1325"/>
      <c r="J18" s="1325"/>
      <c r="K18" s="1325"/>
      <c r="L18" s="1325"/>
      <c r="M18" s="1325"/>
      <c r="N18" s="1325"/>
      <c r="O18" s="1325"/>
      <c r="P18" s="1325"/>
      <c r="Q18" s="1325"/>
      <c r="R18" s="1325"/>
      <c r="S18" s="1325"/>
      <c r="T18" s="1325"/>
      <c r="U18" s="1326"/>
    </row>
    <row r="19" spans="1:21" ht="15.75" customHeight="1" x14ac:dyDescent="0.25">
      <c r="A19" s="270" t="s">
        <v>332</v>
      </c>
      <c r="B19" s="15"/>
      <c r="C19" s="206">
        <f>IF(B9='References Assumptions'!$C$366, B6*AlkStab_Electricity_Use_ClassA, B6*AlkStab_Electricity_Use_ClassB)</f>
        <v>0</v>
      </c>
      <c r="D19" s="15"/>
      <c r="E19" s="206">
        <f>IF(D9='References Assumptions'!$C$366, D6*AlkStab_Electricity_Use_ClassA, D6*AlkStab_Electricity_Use_ClassB)</f>
        <v>0</v>
      </c>
      <c r="F19" s="15"/>
      <c r="G19" s="206">
        <f>IF(F9='References Assumptions'!$C$366, F6*AlkStab_Electricity_Use_ClassA, F6*AlkStab_Electricity_Use_ClassB)</f>
        <v>0</v>
      </c>
      <c r="H19" s="15"/>
      <c r="I19" s="206">
        <f>IF(H9='References Assumptions'!$C$366, H6*AlkStab_Electricity_Use_ClassA, H6*AlkStab_Electricity_Use_ClassB)</f>
        <v>0</v>
      </c>
      <c r="J19" s="15"/>
      <c r="K19" s="206">
        <f>IF(J9='References Assumptions'!$C$366, J6*AlkStab_Electricity_Use_ClassA, J6*AlkStab_Electricity_Use_ClassB)</f>
        <v>0</v>
      </c>
      <c r="L19" s="15"/>
      <c r="M19" s="206">
        <f>IF(L9='References Assumptions'!$C$366, L6*AlkStab_Electricity_Use_ClassA, L6*AlkStab_Electricity_Use_ClassB)</f>
        <v>0</v>
      </c>
      <c r="N19" s="15"/>
      <c r="O19" s="206">
        <f>IF(N9='References Assumptions'!$C$366, N6*AlkStab_Electricity_Use_ClassA, N6*AlkStab_Electricity_Use_ClassB)</f>
        <v>0</v>
      </c>
      <c r="P19" s="15"/>
      <c r="Q19" s="206">
        <f>IF(P9='References Assumptions'!$C$366, P6*AlkStab_Electricity_Use_ClassA, P6*AlkStab_Electricity_Use_ClassB)</f>
        <v>0</v>
      </c>
      <c r="R19" s="15"/>
      <c r="S19" s="206">
        <f>IF(R9='References Assumptions'!$C$366, R6*AlkStab_Electricity_Use_ClassA, R6*AlkStab_Electricity_Use_ClassB)</f>
        <v>0</v>
      </c>
      <c r="T19" s="15"/>
      <c r="U19" s="206">
        <f>IF(T9='References Assumptions'!$C$366, T6*AlkStab_Electricity_Use_ClassA, T6*AlkStab_Electricity_Use_ClassB)</f>
        <v>0</v>
      </c>
    </row>
    <row r="20" spans="1:21" ht="15.75" customHeight="1" x14ac:dyDescent="0.3">
      <c r="A20" s="1092" t="s">
        <v>552</v>
      </c>
      <c r="B20" s="453">
        <f>+B19*GHG_emissions_factors_by_province/Mg_g</f>
        <v>0</v>
      </c>
      <c r="C20" s="1093"/>
      <c r="D20" s="453">
        <f>+D19*GHG_emissions_factors_by_province/Mg_g</f>
        <v>0</v>
      </c>
      <c r="E20" s="1093"/>
      <c r="F20" s="453">
        <f>+F19*GHG_emissions_factors_by_province/Mg_g</f>
        <v>0</v>
      </c>
      <c r="G20" s="1093"/>
      <c r="H20" s="453">
        <f>+H19*GHG_emissions_factors_by_province/Mg_g</f>
        <v>0</v>
      </c>
      <c r="I20" s="1093"/>
      <c r="J20" s="453">
        <f>+J19*GHG_emissions_factors_by_province/Mg_g</f>
        <v>0</v>
      </c>
      <c r="K20" s="1093"/>
      <c r="L20" s="453">
        <f>+L19*GHG_emissions_factors_by_province/Mg_g</f>
        <v>0</v>
      </c>
      <c r="M20" s="1093"/>
      <c r="N20" s="453">
        <f>+N19*GHG_emissions_factors_by_province/Mg_g</f>
        <v>0</v>
      </c>
      <c r="O20" s="1093"/>
      <c r="P20" s="453">
        <f>+P19*GHG_emissions_factors_by_province/Mg_g</f>
        <v>0</v>
      </c>
      <c r="Q20" s="1093"/>
      <c r="R20" s="453">
        <f>+R19*GHG_emissions_factors_by_province/Mg_g</f>
        <v>0</v>
      </c>
      <c r="S20" s="1093"/>
      <c r="T20" s="453">
        <f>+T19*GHG_emissions_factors_by_province/Mg_g</f>
        <v>0</v>
      </c>
      <c r="U20" s="1093"/>
    </row>
    <row r="21" spans="1:21" ht="15.75" customHeight="1" thickBot="1" x14ac:dyDescent="0.3">
      <c r="A21" s="267"/>
      <c r="B21" s="300"/>
      <c r="C21" s="301"/>
      <c r="D21" s="300"/>
      <c r="E21" s="301"/>
      <c r="F21" s="300"/>
      <c r="G21" s="301"/>
      <c r="H21" s="300"/>
      <c r="I21" s="301"/>
      <c r="J21" s="300"/>
      <c r="K21" s="301"/>
      <c r="L21" s="300"/>
      <c r="M21" s="301"/>
      <c r="N21" s="300"/>
      <c r="O21" s="301"/>
      <c r="P21" s="300"/>
      <c r="Q21" s="301"/>
      <c r="R21" s="300"/>
      <c r="S21" s="301"/>
      <c r="T21" s="300"/>
      <c r="U21" s="301"/>
    </row>
    <row r="22" spans="1:21" ht="15.75" customHeight="1" thickBot="1" x14ac:dyDescent="0.3">
      <c r="A22" s="1343"/>
      <c r="B22" s="1344"/>
      <c r="C22" s="1344"/>
      <c r="D22" s="1344"/>
      <c r="E22" s="1344"/>
      <c r="F22" s="1344"/>
      <c r="G22" s="1344"/>
      <c r="H22" s="1344"/>
      <c r="I22" s="1344"/>
      <c r="J22" s="1344"/>
      <c r="K22" s="1344"/>
      <c r="L22" s="1344"/>
      <c r="M22" s="1344"/>
      <c r="N22" s="1344"/>
      <c r="O22" s="1344"/>
      <c r="P22" s="1344"/>
      <c r="Q22" s="1344"/>
      <c r="R22" s="1344"/>
      <c r="S22" s="1344"/>
      <c r="T22" s="1344"/>
      <c r="U22" s="1345"/>
    </row>
    <row r="23" spans="1:21" ht="18.75" customHeight="1" thickBot="1" x14ac:dyDescent="0.3">
      <c r="A23" s="254" t="s">
        <v>46</v>
      </c>
      <c r="B23" s="303">
        <f>(B12+B16+B20)*days_yr</f>
        <v>0</v>
      </c>
      <c r="C23" s="304"/>
      <c r="D23" s="303">
        <f>(D12+D16+D20)*days_yr</f>
        <v>0</v>
      </c>
      <c r="E23" s="304"/>
      <c r="F23" s="303">
        <f>(F12+F16+F20)*days_yr</f>
        <v>0</v>
      </c>
      <c r="G23" s="304"/>
      <c r="H23" s="303">
        <f>(H12+H16+H20)*days_yr</f>
        <v>0</v>
      </c>
      <c r="I23" s="304"/>
      <c r="J23" s="303">
        <f>(J12+J16+J20)*days_yr</f>
        <v>0</v>
      </c>
      <c r="K23" s="304"/>
      <c r="L23" s="303">
        <f>(L12+L16+L20)*days_yr</f>
        <v>0</v>
      </c>
      <c r="M23" s="304"/>
      <c r="N23" s="303">
        <f>(N12+N16+N20)*days_yr</f>
        <v>0</v>
      </c>
      <c r="O23" s="304"/>
      <c r="P23" s="303">
        <f>(P12+P16+P20)*days_yr</f>
        <v>0</v>
      </c>
      <c r="Q23" s="304"/>
      <c r="R23" s="303">
        <f>(R12+R16+R20)*days_yr</f>
        <v>0</v>
      </c>
      <c r="S23" s="304"/>
      <c r="T23" s="303">
        <f>(T12+T16+T20)*days_yr</f>
        <v>0</v>
      </c>
      <c r="U23" s="304"/>
    </row>
    <row r="24" spans="1:21" ht="15.75" customHeight="1" x14ac:dyDescent="0.25">
      <c r="A24" s="161" t="s">
        <v>228</v>
      </c>
      <c r="B24" s="137">
        <f>+B16*days_yr</f>
        <v>0</v>
      </c>
      <c r="C24" s="305"/>
      <c r="D24" s="137">
        <f>+D16*days_yr</f>
        <v>0</v>
      </c>
      <c r="E24" s="305"/>
      <c r="F24" s="137">
        <f>+F16*days_yr</f>
        <v>0</v>
      </c>
      <c r="G24" s="305"/>
      <c r="H24" s="137">
        <f>+H16*days_yr</f>
        <v>0</v>
      </c>
      <c r="I24" s="305"/>
      <c r="J24" s="137">
        <f>+J16*days_yr</f>
        <v>0</v>
      </c>
      <c r="K24" s="305"/>
      <c r="L24" s="137">
        <f>+L16*days_yr</f>
        <v>0</v>
      </c>
      <c r="M24" s="305"/>
      <c r="N24" s="137">
        <f>+N16*days_yr</f>
        <v>0</v>
      </c>
      <c r="O24" s="305"/>
      <c r="P24" s="137">
        <f>+P16*days_yr</f>
        <v>0</v>
      </c>
      <c r="Q24" s="305"/>
      <c r="R24" s="137">
        <f>+R16*days_yr</f>
        <v>0</v>
      </c>
      <c r="S24" s="305"/>
      <c r="T24" s="137">
        <f>+T16*days_yr</f>
        <v>0</v>
      </c>
      <c r="U24" s="305"/>
    </row>
    <row r="25" spans="1:21" ht="15.75" customHeight="1" x14ac:dyDescent="0.25">
      <c r="A25" s="168" t="s">
        <v>229</v>
      </c>
      <c r="B25" s="138">
        <f>+B20*days_yr</f>
        <v>0</v>
      </c>
      <c r="C25" s="305"/>
      <c r="D25" s="138">
        <f>+D20*days_yr</f>
        <v>0</v>
      </c>
      <c r="E25" s="305"/>
      <c r="F25" s="138">
        <f>+F20*days_yr</f>
        <v>0</v>
      </c>
      <c r="G25" s="305"/>
      <c r="H25" s="138">
        <f>+H20*days_yr</f>
        <v>0</v>
      </c>
      <c r="I25" s="305"/>
      <c r="J25" s="138">
        <f>+J20*days_yr</f>
        <v>0</v>
      </c>
      <c r="K25" s="305"/>
      <c r="L25" s="138">
        <f>+L20*days_yr</f>
        <v>0</v>
      </c>
      <c r="M25" s="305"/>
      <c r="N25" s="138">
        <f>+N20*days_yr</f>
        <v>0</v>
      </c>
      <c r="O25" s="305"/>
      <c r="P25" s="138">
        <f>+P20*days_yr</f>
        <v>0</v>
      </c>
      <c r="Q25" s="305"/>
      <c r="R25" s="138">
        <f>+R20*days_yr</f>
        <v>0</v>
      </c>
      <c r="S25" s="305"/>
      <c r="T25" s="138">
        <f>+T20*days_yr</f>
        <v>0</v>
      </c>
      <c r="U25" s="305"/>
    </row>
    <row r="26" spans="1:21" ht="15.75" customHeight="1" x14ac:dyDescent="0.25">
      <c r="A26" s="168" t="s">
        <v>207</v>
      </c>
      <c r="B26" s="138">
        <f>SUM(B24:B25)</f>
        <v>0</v>
      </c>
      <c r="C26" s="305"/>
      <c r="D26" s="138">
        <f>SUM(D24:D25)</f>
        <v>0</v>
      </c>
      <c r="E26" s="305"/>
      <c r="F26" s="138">
        <f>SUM(F24:F25)</f>
        <v>0</v>
      </c>
      <c r="G26" s="305"/>
      <c r="H26" s="138">
        <f>SUM(H24:H25)</f>
        <v>0</v>
      </c>
      <c r="I26" s="305"/>
      <c r="J26" s="138">
        <f>SUM(J24:J25)</f>
        <v>0</v>
      </c>
      <c r="K26" s="305"/>
      <c r="L26" s="138">
        <f>SUM(L24:L25)</f>
        <v>0</v>
      </c>
      <c r="M26" s="305"/>
      <c r="N26" s="138">
        <f>SUM(N24:N25)</f>
        <v>0</v>
      </c>
      <c r="O26" s="305"/>
      <c r="P26" s="138">
        <f>SUM(P24:P25)</f>
        <v>0</v>
      </c>
      <c r="Q26" s="305"/>
      <c r="R26" s="138">
        <f>SUM(R24:R25)</f>
        <v>0</v>
      </c>
      <c r="S26" s="305"/>
      <c r="T26" s="138">
        <f>SUM(T24:T25)</f>
        <v>0</v>
      </c>
      <c r="U26" s="305"/>
    </row>
    <row r="27" spans="1:21" ht="15.75" customHeight="1" x14ac:dyDescent="0.25">
      <c r="A27" s="168" t="s">
        <v>230</v>
      </c>
      <c r="B27" s="138">
        <f>+B12*days_yr</f>
        <v>0</v>
      </c>
      <c r="C27" s="305"/>
      <c r="D27" s="138">
        <f>+D12*days_yr</f>
        <v>0</v>
      </c>
      <c r="E27" s="305"/>
      <c r="F27" s="138">
        <f>+F12*days_yr</f>
        <v>0</v>
      </c>
      <c r="G27" s="305"/>
      <c r="H27" s="138">
        <f>+H12*days_yr</f>
        <v>0</v>
      </c>
      <c r="I27" s="305"/>
      <c r="J27" s="138">
        <f>+J12*days_yr</f>
        <v>0</v>
      </c>
      <c r="K27" s="305"/>
      <c r="L27" s="138">
        <f>+L12*days_yr</f>
        <v>0</v>
      </c>
      <c r="M27" s="305"/>
      <c r="N27" s="138">
        <f>+N12*days_yr</f>
        <v>0</v>
      </c>
      <c r="O27" s="305"/>
      <c r="P27" s="138">
        <f>+P12*days_yr</f>
        <v>0</v>
      </c>
      <c r="Q27" s="305"/>
      <c r="R27" s="138">
        <f>+R12*days_yr</f>
        <v>0</v>
      </c>
      <c r="S27" s="305"/>
      <c r="T27" s="138">
        <f>+T12*days_yr</f>
        <v>0</v>
      </c>
      <c r="U27" s="305"/>
    </row>
    <row r="28" spans="1:21" ht="15.75" customHeight="1" thickBot="1" x14ac:dyDescent="0.3">
      <c r="A28" s="169" t="s">
        <v>232</v>
      </c>
      <c r="B28" s="170" t="s">
        <v>102</v>
      </c>
      <c r="C28" s="134"/>
      <c r="D28" s="170" t="s">
        <v>102</v>
      </c>
      <c r="E28" s="134"/>
      <c r="F28" s="170" t="s">
        <v>102</v>
      </c>
      <c r="G28" s="134"/>
      <c r="H28" s="170" t="s">
        <v>102</v>
      </c>
      <c r="I28" s="134"/>
      <c r="J28" s="170" t="s">
        <v>102</v>
      </c>
      <c r="K28" s="134"/>
      <c r="L28" s="170" t="s">
        <v>102</v>
      </c>
      <c r="M28" s="134"/>
      <c r="N28" s="170" t="s">
        <v>102</v>
      </c>
      <c r="O28" s="134"/>
      <c r="P28" s="170" t="s">
        <v>102</v>
      </c>
      <c r="Q28" s="134"/>
      <c r="R28" s="170" t="s">
        <v>102</v>
      </c>
      <c r="S28" s="134"/>
      <c r="T28" s="170" t="s">
        <v>102</v>
      </c>
      <c r="U28" s="134"/>
    </row>
    <row r="30" spans="1:21" s="105" customFormat="1" ht="18" x14ac:dyDescent="0.25">
      <c r="A30" s="176" t="s">
        <v>97</v>
      </c>
      <c r="B30" s="155"/>
    </row>
    <row r="31" spans="1:21" s="105" customFormat="1" ht="58.5" customHeight="1" x14ac:dyDescent="0.25">
      <c r="A31" s="1335" t="s">
        <v>4</v>
      </c>
      <c r="B31" s="1342"/>
      <c r="C31" s="1342"/>
    </row>
    <row r="32" spans="1:21" x14ac:dyDescent="0.25">
      <c r="B32" s="1234" t="s">
        <v>110</v>
      </c>
      <c r="C32" s="1235"/>
      <c r="D32" s="1235"/>
      <c r="E32" s="1236"/>
    </row>
    <row r="33" spans="2:5" x14ac:dyDescent="0.25">
      <c r="B33" s="1231" t="s">
        <v>31</v>
      </c>
      <c r="C33" s="1232"/>
      <c r="D33" s="1233"/>
      <c r="E33" s="563">
        <v>0</v>
      </c>
    </row>
    <row r="34" spans="2:5" x14ac:dyDescent="0.25">
      <c r="B34" s="1231" t="s">
        <v>32</v>
      </c>
      <c r="C34" s="1232"/>
      <c r="D34" s="1233"/>
      <c r="E34" s="564">
        <v>0</v>
      </c>
    </row>
    <row r="35" spans="2:5" x14ac:dyDescent="0.25">
      <c r="B35" s="1231" t="s">
        <v>615</v>
      </c>
      <c r="C35" s="1232"/>
      <c r="D35" s="1233"/>
      <c r="E35" s="565">
        <v>0</v>
      </c>
    </row>
    <row r="36" spans="2:5" x14ac:dyDescent="0.25">
      <c r="B36" s="1231" t="s">
        <v>70</v>
      </c>
      <c r="C36" s="1232"/>
      <c r="D36" s="1233"/>
      <c r="E36" s="566">
        <v>0</v>
      </c>
    </row>
    <row r="37" spans="2:5" x14ac:dyDescent="0.25">
      <c r="B37" s="1231" t="s">
        <v>550</v>
      </c>
      <c r="C37" s="1232"/>
      <c r="D37" s="1233"/>
      <c r="E37" s="567">
        <v>0</v>
      </c>
    </row>
    <row r="38" spans="2:5" x14ac:dyDescent="0.25">
      <c r="B38" s="1231" t="s">
        <v>610</v>
      </c>
      <c r="C38" s="1232"/>
      <c r="D38" s="1233"/>
      <c r="E38" s="227">
        <v>0</v>
      </c>
    </row>
  </sheetData>
  <mergeCells count="33">
    <mergeCell ref="A14:U14"/>
    <mergeCell ref="P2:Q2"/>
    <mergeCell ref="R2:S2"/>
    <mergeCell ref="T2:U2"/>
    <mergeCell ref="B3:C3"/>
    <mergeCell ref="N3:O3"/>
    <mergeCell ref="P3:Q3"/>
    <mergeCell ref="R3:S3"/>
    <mergeCell ref="T3:U3"/>
    <mergeCell ref="A2:A3"/>
    <mergeCell ref="A31:C31"/>
    <mergeCell ref="B2:C2"/>
    <mergeCell ref="A18:U18"/>
    <mergeCell ref="A22:U22"/>
    <mergeCell ref="D2:E2"/>
    <mergeCell ref="F2:G2"/>
    <mergeCell ref="H2:I2"/>
    <mergeCell ref="J2:K2"/>
    <mergeCell ref="L2:M2"/>
    <mergeCell ref="N2:O2"/>
    <mergeCell ref="D3:E3"/>
    <mergeCell ref="F3:G3"/>
    <mergeCell ref="H3:I3"/>
    <mergeCell ref="J3:K3"/>
    <mergeCell ref="L3:M3"/>
    <mergeCell ref="A5:U5"/>
    <mergeCell ref="B37:D37"/>
    <mergeCell ref="B38:D38"/>
    <mergeCell ref="B32:E32"/>
    <mergeCell ref="B33:D33"/>
    <mergeCell ref="B34:D34"/>
    <mergeCell ref="B35:D35"/>
    <mergeCell ref="B36:D36"/>
  </mergeCells>
  <phoneticPr fontId="44" type="noConversion"/>
  <dataValidations count="2">
    <dataValidation type="list" allowBlank="1" showInputMessage="1" showErrorMessage="1" sqref="B10 R10 D10 F10 H10 J10 L10 N10 P10 T10" xr:uid="{00000000-0002-0000-0F00-000000000000}">
      <formula1>Yes_No</formula1>
    </dataValidation>
    <dataValidation type="list" allowBlank="1" showInputMessage="1" showErrorMessage="1" sqref="B9 R9 D9 F9 H9 J9 L9 N9 P9 T9" xr:uid="{00000000-0002-0000-0F00-000001000000}">
      <formula1>Degree_of_Stabilization</formula1>
    </dataValidation>
  </dataValidations>
  <pageMargins left="0.75" right="0.75" top="1" bottom="1" header="0.5" footer="0.5"/>
  <pageSetup scale="18" orientation="portrait" horizontalDpi="4294967292" verticalDpi="4294967292"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pageSetUpPr fitToPage="1"/>
  </sheetPr>
  <dimension ref="A1:U89"/>
  <sheetViews>
    <sheetView workbookViewId="0"/>
  </sheetViews>
  <sheetFormatPr defaultColWidth="9.140625" defaultRowHeight="14.25" x14ac:dyDescent="0.2"/>
  <cols>
    <col min="1" max="1" width="87.85546875" style="96" customWidth="1"/>
    <col min="2" max="2" width="17.42578125" style="96" customWidth="1"/>
    <col min="3" max="3" width="14" style="96" customWidth="1"/>
    <col min="4" max="4" width="17.42578125" style="96" customWidth="1"/>
    <col min="5" max="5" width="14" style="96" customWidth="1"/>
    <col min="6" max="6" width="17.42578125" style="96" customWidth="1"/>
    <col min="7" max="7" width="14" style="96" customWidth="1"/>
    <col min="8" max="8" width="17.42578125" style="96" customWidth="1"/>
    <col min="9" max="9" width="14" style="96" customWidth="1"/>
    <col min="10" max="10" width="17.42578125" style="96" customWidth="1"/>
    <col min="11" max="11" width="14" style="96" customWidth="1"/>
    <col min="12" max="12" width="17.42578125" style="96" customWidth="1"/>
    <col min="13" max="13" width="14" style="96" customWidth="1"/>
    <col min="14" max="14" width="17.42578125" style="96" customWidth="1"/>
    <col min="15" max="15" width="14" style="96" customWidth="1"/>
    <col min="16" max="16" width="17.42578125" style="96" customWidth="1"/>
    <col min="17" max="17" width="14" style="96" customWidth="1"/>
    <col min="18" max="18" width="17.42578125" style="96" customWidth="1"/>
    <col min="19" max="19" width="14" style="96" customWidth="1"/>
    <col min="20" max="20" width="17.42578125" style="96" customWidth="1"/>
    <col min="21" max="21" width="14" style="96" customWidth="1"/>
    <col min="22" max="16384" width="9.140625" style="96"/>
  </cols>
  <sheetData>
    <row r="1" spans="1:21" s="105" customFormat="1" ht="24" thickBot="1" x14ac:dyDescent="0.4">
      <c r="A1" s="243"/>
      <c r="B1" s="96"/>
    </row>
    <row r="2" spans="1:21" s="105" customFormat="1" ht="23.25" customHeight="1" x14ac:dyDescent="0.2">
      <c r="A2" s="1346" t="s">
        <v>250</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15.75" customHeight="1" thickBot="1" x14ac:dyDescent="0.25">
      <c r="A3" s="1347"/>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30" customFormat="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s="183" customFormat="1" ht="15.75" customHeight="1" thickBot="1" x14ac:dyDescent="0.3">
      <c r="A5" s="1300" t="s">
        <v>29</v>
      </c>
      <c r="B5" s="1301"/>
      <c r="C5" s="1301"/>
      <c r="D5" s="1301"/>
      <c r="E5" s="1301"/>
      <c r="F5" s="1301"/>
      <c r="G5" s="1301"/>
      <c r="H5" s="1301"/>
      <c r="I5" s="1301"/>
      <c r="J5" s="1301"/>
      <c r="K5" s="1301"/>
      <c r="L5" s="1301"/>
      <c r="M5" s="1301"/>
      <c r="N5" s="1301"/>
      <c r="O5" s="1301"/>
      <c r="P5" s="1301"/>
      <c r="Q5" s="1301"/>
      <c r="R5" s="1301"/>
      <c r="S5" s="1301"/>
      <c r="T5" s="1301"/>
      <c r="U5" s="1302"/>
    </row>
    <row r="6" spans="1:21" s="183" customFormat="1" ht="15.75" customHeight="1" x14ac:dyDescent="0.2">
      <c r="A6" s="306" t="s">
        <v>128</v>
      </c>
      <c r="B6" s="13"/>
      <c r="C6" s="307"/>
      <c r="D6" s="13"/>
      <c r="E6" s="307"/>
      <c r="F6" s="13"/>
      <c r="G6" s="307"/>
      <c r="H6" s="13"/>
      <c r="I6" s="307"/>
      <c r="J6" s="13"/>
      <c r="K6" s="307"/>
      <c r="L6" s="13"/>
      <c r="M6" s="307"/>
      <c r="N6" s="13"/>
      <c r="O6" s="307"/>
      <c r="P6" s="13"/>
      <c r="Q6" s="307"/>
      <c r="R6" s="13"/>
      <c r="S6" s="307"/>
      <c r="T6" s="13"/>
      <c r="U6" s="307"/>
    </row>
    <row r="7" spans="1:21" s="130" customFormat="1" ht="15.75" customHeight="1" x14ac:dyDescent="0.2">
      <c r="A7" s="247" t="s">
        <v>937</v>
      </c>
      <c r="B7" s="354" t="e">
        <f>(VLOOKUP(B6,'Amount and Destination'!AF8:AH10,3,FALSE))/days_yr</f>
        <v>#N/A</v>
      </c>
      <c r="C7" s="309"/>
      <c r="D7" s="354" t="e">
        <f>(VLOOKUP(D6,'Amount and Destination'!AF37:AH39,3,FALSE))/days_yr</f>
        <v>#N/A</v>
      </c>
      <c r="E7" s="309"/>
      <c r="F7" s="354" t="e">
        <f>(VLOOKUP(F6,'Amount and Destination'!AF66:AH68,3,FALSE))/days_yr</f>
        <v>#N/A</v>
      </c>
      <c r="G7" s="309"/>
      <c r="H7" s="354" t="e">
        <f>(VLOOKUP(H6,'Amount and Destination'!AF95:AH97,3,FALSE))/days_yr</f>
        <v>#N/A</v>
      </c>
      <c r="I7" s="309"/>
      <c r="J7" s="354" t="e">
        <f>(VLOOKUP(J6,'Amount and Destination'!AF123:AH125,3,FALSE))/days_yr</f>
        <v>#N/A</v>
      </c>
      <c r="K7" s="309"/>
      <c r="L7" s="860" t="e">
        <f>(VLOOKUP(L6,'Amount and Destination'!AF153:AH155,3,FALSE))/days_yr</f>
        <v>#N/A</v>
      </c>
      <c r="M7" s="309"/>
      <c r="N7" s="354" t="e">
        <f>(VLOOKUP(N6,'Amount and Destination'!AF182:AH184,3,FALSE))/days_yr</f>
        <v>#N/A</v>
      </c>
      <c r="O7" s="309"/>
      <c r="P7" s="354" t="e">
        <f>(VLOOKUP(P6,'Amount and Destination'!AF211:AH213,3,FALSE))/days_yr</f>
        <v>#N/A</v>
      </c>
      <c r="Q7" s="309"/>
      <c r="R7" s="354" t="e">
        <f>(VLOOKUP(R6,'Amount and Destination'!AF240:AH242,3,FALSE))/days_yr</f>
        <v>#N/A</v>
      </c>
      <c r="S7" s="310"/>
      <c r="T7" s="354" t="e">
        <f>(VLOOKUP(T6,'Amount and Destination'!AF269:AH271,3,FALSE))/days_yr</f>
        <v>#N/A</v>
      </c>
      <c r="U7" s="309"/>
    </row>
    <row r="8" spans="1:21" s="183" customFormat="1" ht="15.75" customHeight="1" x14ac:dyDescent="0.2">
      <c r="A8" s="308" t="s">
        <v>170</v>
      </c>
      <c r="B8" s="889">
        <f>Mean_solids</f>
        <v>7.1999999999999995E-2</v>
      </c>
      <c r="C8" s="311"/>
      <c r="D8" s="889">
        <f>Mean_solids</f>
        <v>7.1999999999999995E-2</v>
      </c>
      <c r="E8" s="312"/>
      <c r="F8" s="889">
        <f>Mean_solids</f>
        <v>7.1999999999999995E-2</v>
      </c>
      <c r="G8" s="312"/>
      <c r="H8" s="889">
        <f>Mean_solids</f>
        <v>7.1999999999999995E-2</v>
      </c>
      <c r="I8" s="312"/>
      <c r="J8" s="889">
        <f>Mean_solids</f>
        <v>7.1999999999999995E-2</v>
      </c>
      <c r="K8" s="312"/>
      <c r="L8" s="889">
        <f>Mean_solids</f>
        <v>7.1999999999999995E-2</v>
      </c>
      <c r="M8" s="312"/>
      <c r="N8" s="889">
        <f>Mean_solids</f>
        <v>7.1999999999999995E-2</v>
      </c>
      <c r="O8" s="312"/>
      <c r="P8" s="889">
        <f>Mean_solids</f>
        <v>7.1999999999999995E-2</v>
      </c>
      <c r="Q8" s="313"/>
      <c r="R8" s="889">
        <f>Mean_solids</f>
        <v>7.1999999999999995E-2</v>
      </c>
      <c r="S8" s="314"/>
      <c r="T8" s="889">
        <f>Mean_solids</f>
        <v>7.1999999999999995E-2</v>
      </c>
      <c r="U8" s="312"/>
    </row>
    <row r="9" spans="1:21" s="130" customFormat="1" ht="15.75" customHeight="1" x14ac:dyDescent="0.2">
      <c r="A9" s="315" t="s">
        <v>854</v>
      </c>
      <c r="B9" s="316" t="str">
        <f>IFERROR(B7*B8,"N/A")</f>
        <v>N/A</v>
      </c>
      <c r="C9" s="309"/>
      <c r="D9" s="316" t="str">
        <f>IFERROR(D7*D8,"N/A")</f>
        <v>N/A</v>
      </c>
      <c r="E9" s="309"/>
      <c r="F9" s="316" t="str">
        <f>IFERROR(F7*F8,"N/A")</f>
        <v>N/A</v>
      </c>
      <c r="G9" s="309"/>
      <c r="H9" s="316" t="str">
        <f>IFERROR(H7*H8,"N/A")</f>
        <v>N/A</v>
      </c>
      <c r="I9" s="309"/>
      <c r="J9" s="316" t="str">
        <f>IFERROR(J7*J8,"N/A")</f>
        <v>N/A</v>
      </c>
      <c r="K9" s="309"/>
      <c r="L9" s="316" t="str">
        <f>IFERROR(L7*L8,"N/A")</f>
        <v>N/A</v>
      </c>
      <c r="M9" s="309"/>
      <c r="N9" s="316" t="str">
        <f>IFERROR(N7*N8,"N/A")</f>
        <v>N/A</v>
      </c>
      <c r="O9" s="309"/>
      <c r="P9" s="316" t="str">
        <f>IFERROR(P7*P8,"N/A")</f>
        <v>N/A</v>
      </c>
      <c r="Q9" s="309"/>
      <c r="R9" s="316" t="str">
        <f>IFERROR(R7*R8,"N/A")</f>
        <v>N/A</v>
      </c>
      <c r="S9" s="310"/>
      <c r="T9" s="316" t="str">
        <f>IFERROR(T7*T8,"N/A")</f>
        <v>N/A</v>
      </c>
      <c r="U9" s="309"/>
    </row>
    <row r="10" spans="1:21" s="183" customFormat="1" ht="15.75" customHeight="1" x14ac:dyDescent="0.2">
      <c r="A10" s="247" t="s">
        <v>911</v>
      </c>
      <c r="B10" s="10"/>
      <c r="C10" s="198">
        <f>+Density_of_de_watered_sludge</f>
        <v>950</v>
      </c>
      <c r="D10" s="10"/>
      <c r="E10" s="198">
        <f>+Density_of_de_watered_sludge</f>
        <v>950</v>
      </c>
      <c r="F10" s="10"/>
      <c r="G10" s="198">
        <f>+Density_of_de_watered_sludge</f>
        <v>950</v>
      </c>
      <c r="H10" s="10"/>
      <c r="I10" s="198">
        <f>+Density_of_de_watered_sludge</f>
        <v>950</v>
      </c>
      <c r="J10" s="10"/>
      <c r="K10" s="198">
        <f>+Density_of_de_watered_sludge</f>
        <v>950</v>
      </c>
      <c r="L10" s="10"/>
      <c r="M10" s="198">
        <f>+Density_of_de_watered_sludge</f>
        <v>950</v>
      </c>
      <c r="N10" s="10"/>
      <c r="O10" s="198">
        <f>+Density_of_de_watered_sludge</f>
        <v>950</v>
      </c>
      <c r="P10" s="10"/>
      <c r="Q10" s="198">
        <f>+Density_of_de_watered_sludge</f>
        <v>950</v>
      </c>
      <c r="R10" s="10"/>
      <c r="S10" s="198">
        <f>+Density_of_de_watered_sludge</f>
        <v>950</v>
      </c>
      <c r="T10" s="10"/>
      <c r="U10" s="198">
        <f>+Density_of_de_watered_sludge</f>
        <v>950</v>
      </c>
    </row>
    <row r="11" spans="1:21" s="130" customFormat="1" ht="15.75" customHeight="1" x14ac:dyDescent="0.2">
      <c r="A11" s="247" t="s">
        <v>910</v>
      </c>
      <c r="B11" s="246" t="str">
        <f>+IFERROR(B7*1000/B10,"N/A")</f>
        <v>N/A</v>
      </c>
      <c r="C11" s="309"/>
      <c r="D11" s="246" t="str">
        <f>+IFERROR(D7*1000/D10,"N/A")</f>
        <v>N/A</v>
      </c>
      <c r="E11" s="309"/>
      <c r="F11" s="246" t="str">
        <f>+IFERROR(F7*1000/F10,"N/A")</f>
        <v>N/A</v>
      </c>
      <c r="G11" s="309"/>
      <c r="H11" s="246" t="str">
        <f>+IFERROR(H7*1000/H10,"N/A")</f>
        <v>N/A</v>
      </c>
      <c r="I11" s="309"/>
      <c r="J11" s="246" t="str">
        <f>+IFERROR(J7*1000/J10,"N/A")</f>
        <v>N/A</v>
      </c>
      <c r="K11" s="309"/>
      <c r="L11" s="246" t="str">
        <f>+IFERROR(L7*1000/L10,"N/A")</f>
        <v>N/A</v>
      </c>
      <c r="M11" s="309"/>
      <c r="N11" s="246" t="str">
        <f>+IFERROR(N7*1000/N10,"N/A")</f>
        <v>N/A</v>
      </c>
      <c r="O11" s="309"/>
      <c r="P11" s="246" t="str">
        <f>+IFERROR(P7*1000/P10,"N/A")</f>
        <v>N/A</v>
      </c>
      <c r="Q11" s="309"/>
      <c r="R11" s="246" t="str">
        <f>+IFERROR(R7*1000/R10,"N/A")</f>
        <v>N/A</v>
      </c>
      <c r="S11" s="310"/>
      <c r="T11" s="246" t="str">
        <f>+IFERROR(T7*1000/T10,"N/A")</f>
        <v>N/A</v>
      </c>
      <c r="U11" s="309"/>
    </row>
    <row r="12" spans="1:21" s="130" customFormat="1" ht="15.75" customHeight="1" x14ac:dyDescent="0.2">
      <c r="A12" s="247" t="s">
        <v>855</v>
      </c>
      <c r="B12" s="11" t="s">
        <v>270</v>
      </c>
      <c r="C12" s="249" t="s">
        <v>270</v>
      </c>
      <c r="D12" s="11"/>
      <c r="E12" s="249" t="s">
        <v>270</v>
      </c>
      <c r="F12" s="11"/>
      <c r="G12" s="249" t="s">
        <v>270</v>
      </c>
      <c r="H12" s="11"/>
      <c r="I12" s="249" t="s">
        <v>270</v>
      </c>
      <c r="J12" s="11"/>
      <c r="K12" s="249" t="s">
        <v>270</v>
      </c>
      <c r="L12" s="11"/>
      <c r="M12" s="249" t="s">
        <v>270</v>
      </c>
      <c r="N12" s="11"/>
      <c r="O12" s="249" t="s">
        <v>270</v>
      </c>
      <c r="P12" s="11"/>
      <c r="Q12" s="249" t="s">
        <v>270</v>
      </c>
      <c r="R12" s="11"/>
      <c r="S12" s="249" t="s">
        <v>270</v>
      </c>
      <c r="T12" s="11"/>
      <c r="U12" s="249" t="s">
        <v>270</v>
      </c>
    </row>
    <row r="13" spans="1:21" s="105" customFormat="1" ht="15.75" customHeight="1" x14ac:dyDescent="0.2">
      <c r="A13" s="308" t="s">
        <v>264</v>
      </c>
      <c r="B13" s="872">
        <f>Analyses!$I$5</f>
        <v>2.5000000000000001E-2</v>
      </c>
      <c r="C13" s="190">
        <f>+IF(B12='References Assumptions'!$C$340, Total_N_untreated, total_N_digested)</f>
        <v>0.05</v>
      </c>
      <c r="D13" s="872">
        <f>Analyses!$I$5</f>
        <v>2.5000000000000001E-2</v>
      </c>
      <c r="E13" s="190">
        <f>+IF(D12='References Assumptions'!$C$340, Total_N_untreated, total_N_digested)</f>
        <v>0.05</v>
      </c>
      <c r="F13" s="872">
        <f>Analyses!$I$5</f>
        <v>2.5000000000000001E-2</v>
      </c>
      <c r="G13" s="190">
        <f>+IF(F12='References Assumptions'!$C$340, Total_N_untreated, total_N_digested)</f>
        <v>0.05</v>
      </c>
      <c r="H13" s="872">
        <f>Analyses!$I$5</f>
        <v>2.5000000000000001E-2</v>
      </c>
      <c r="I13" s="190">
        <f>+IF(H12='References Assumptions'!$C$340, Total_N_untreated, total_N_digested)</f>
        <v>0.05</v>
      </c>
      <c r="J13" s="872">
        <f>Analyses!$I$5</f>
        <v>2.5000000000000001E-2</v>
      </c>
      <c r="K13" s="190">
        <f>+IF(J12='References Assumptions'!$C$340, Total_N_untreated, total_N_digested)</f>
        <v>0.05</v>
      </c>
      <c r="L13" s="872">
        <f>Analyses!$I$5</f>
        <v>2.5000000000000001E-2</v>
      </c>
      <c r="M13" s="190">
        <f>+IF(L12='References Assumptions'!$C$340, Total_N_untreated, total_N_digested)</f>
        <v>0.05</v>
      </c>
      <c r="N13" s="872">
        <f>Analyses!$I$5</f>
        <v>2.5000000000000001E-2</v>
      </c>
      <c r="O13" s="190">
        <f>+IF(N12='References Assumptions'!$C$340, Total_N_untreated, total_N_digested)</f>
        <v>0.05</v>
      </c>
      <c r="P13" s="872">
        <f>Analyses!$I$5</f>
        <v>2.5000000000000001E-2</v>
      </c>
      <c r="Q13" s="190">
        <f>+IF(P12='References Assumptions'!$C$340, Total_N_untreated, total_N_digested)</f>
        <v>0.05</v>
      </c>
      <c r="R13" s="872">
        <f>Analyses!$I$5</f>
        <v>2.5000000000000001E-2</v>
      </c>
      <c r="S13" s="190">
        <f>+IF(R12='References Assumptions'!$C$340, Total_N_untreated, total_N_digested)</f>
        <v>0.05</v>
      </c>
      <c r="T13" s="872">
        <f>Analyses!$I$5</f>
        <v>2.5000000000000001E-2</v>
      </c>
      <c r="U13" s="190">
        <f>+IF(T12='References Assumptions'!$C$340, Total_N_untreated, total_N_digested)</f>
        <v>0.05</v>
      </c>
    </row>
    <row r="14" spans="1:21" s="183" customFormat="1" ht="15.75" customHeight="1" x14ac:dyDescent="0.2">
      <c r="A14" s="306" t="s">
        <v>245</v>
      </c>
      <c r="B14" s="872">
        <f>Analyses!$J$5</f>
        <v>1.2999999999999999E-2</v>
      </c>
      <c r="C14" s="190">
        <f>+IF(B12='References Assumptions'!$C$340, Total_P_untreated, Total_P_digested)</f>
        <v>1.9E-2</v>
      </c>
      <c r="D14" s="872">
        <f>Analyses!$J$5</f>
        <v>1.2999999999999999E-2</v>
      </c>
      <c r="E14" s="190">
        <f>+IF(D12='References Assumptions'!$C$340, Total_P_untreated, Total_P_digested)</f>
        <v>1.9E-2</v>
      </c>
      <c r="F14" s="872">
        <f>Analyses!$J$5</f>
        <v>1.2999999999999999E-2</v>
      </c>
      <c r="G14" s="190">
        <f>+IF(F12='References Assumptions'!$C$340, Total_P_untreated, Total_P_digested)</f>
        <v>1.9E-2</v>
      </c>
      <c r="H14" s="872">
        <f>Analyses!$J$5</f>
        <v>1.2999999999999999E-2</v>
      </c>
      <c r="I14" s="190">
        <f>+IF(H12='References Assumptions'!$C$340, Total_P_untreated, Total_P_digested)</f>
        <v>1.9E-2</v>
      </c>
      <c r="J14" s="872">
        <f>Analyses!$J$5</f>
        <v>1.2999999999999999E-2</v>
      </c>
      <c r="K14" s="190">
        <f>+IF(J12='References Assumptions'!$C$340, Total_P_untreated, Total_P_digested)</f>
        <v>1.9E-2</v>
      </c>
      <c r="L14" s="872">
        <f>Analyses!$J$5</f>
        <v>1.2999999999999999E-2</v>
      </c>
      <c r="M14" s="190">
        <f>+IF(L12='References Assumptions'!$C$340, Total_P_untreated, Total_P_digested)</f>
        <v>1.9E-2</v>
      </c>
      <c r="N14" s="872">
        <f>Analyses!$J$5</f>
        <v>1.2999999999999999E-2</v>
      </c>
      <c r="O14" s="190">
        <f>+IF(N12='References Assumptions'!$C$340, Total_P_untreated, Total_P_digested)</f>
        <v>1.9E-2</v>
      </c>
      <c r="P14" s="872">
        <f>Analyses!$J$5</f>
        <v>1.2999999999999999E-2</v>
      </c>
      <c r="Q14" s="190">
        <f>+IF(P12='References Assumptions'!$C$340, Total_P_untreated, Total_P_digested)</f>
        <v>1.9E-2</v>
      </c>
      <c r="R14" s="872">
        <f>Analyses!$J$5</f>
        <v>1.2999999999999999E-2</v>
      </c>
      <c r="S14" s="190">
        <f>+IF(R12='References Assumptions'!$C$340, Total_P_untreated, Total_P_digested)</f>
        <v>1.9E-2</v>
      </c>
      <c r="T14" s="872">
        <f>Analyses!$J$5</f>
        <v>1.2999999999999999E-2</v>
      </c>
      <c r="U14" s="190">
        <f>+IF(T12='References Assumptions'!$C$340, Total_P_untreated, Total_P_digested)</f>
        <v>1.9E-2</v>
      </c>
    </row>
    <row r="15" spans="1:21" ht="15.75" customHeight="1" x14ac:dyDescent="0.2">
      <c r="A15" s="315" t="s">
        <v>127</v>
      </c>
      <c r="B15" s="872">
        <f>Analyses!$G$5</f>
        <v>0.94386666666666685</v>
      </c>
      <c r="C15" s="190">
        <f>+IF(B12='References Assumptions'!$C$340, TVS_untreated, TVS_digested)</f>
        <v>0.65</v>
      </c>
      <c r="D15" s="872">
        <f>Analyses!$G$5</f>
        <v>0.94386666666666685</v>
      </c>
      <c r="E15" s="190">
        <f>+IF(D12='References Assumptions'!$C$340, TVS_untreated, TVS_digested)</f>
        <v>0.65</v>
      </c>
      <c r="F15" s="872">
        <f>Analyses!$G$5</f>
        <v>0.94386666666666685</v>
      </c>
      <c r="G15" s="190">
        <f>+IF(F12='References Assumptions'!$C$340, TVS_untreated, TVS_digested)</f>
        <v>0.65</v>
      </c>
      <c r="H15" s="872">
        <f>Analyses!$G$5</f>
        <v>0.94386666666666685</v>
      </c>
      <c r="I15" s="190">
        <f>+IF(H12='References Assumptions'!$C$340, TVS_untreated, TVS_digested)</f>
        <v>0.65</v>
      </c>
      <c r="J15" s="872">
        <f>Analyses!$G$5</f>
        <v>0.94386666666666685</v>
      </c>
      <c r="K15" s="190">
        <f>+IF(J12='References Assumptions'!$C$340, TVS_untreated, TVS_digested)</f>
        <v>0.65</v>
      </c>
      <c r="L15" s="872">
        <f>Analyses!$G$5</f>
        <v>0.94386666666666685</v>
      </c>
      <c r="M15" s="190">
        <f>+IF(L12='References Assumptions'!$C$340, TVS_untreated, TVS_digested)</f>
        <v>0.65</v>
      </c>
      <c r="N15" s="872">
        <f>Analyses!$G$5</f>
        <v>0.94386666666666685</v>
      </c>
      <c r="O15" s="190">
        <f>+IF(N12='References Assumptions'!$C$340, TVS_untreated, TVS_digested)</f>
        <v>0.65</v>
      </c>
      <c r="P15" s="872">
        <f>Analyses!$G$5</f>
        <v>0.94386666666666685</v>
      </c>
      <c r="Q15" s="190">
        <f>+IF(P12='References Assumptions'!$C$340, TVS_untreated, TVS_digested)</f>
        <v>0.65</v>
      </c>
      <c r="R15" s="872">
        <f>Analyses!$G$5</f>
        <v>0.94386666666666685</v>
      </c>
      <c r="S15" s="190">
        <f>+IF(R12='References Assumptions'!$C$340, TVS_untreated, TVS_digested)</f>
        <v>0.65</v>
      </c>
      <c r="T15" s="872">
        <f>Analyses!$G$5</f>
        <v>0.94386666666666685</v>
      </c>
      <c r="U15" s="190">
        <f>+IF(T12='References Assumptions'!$C$340, TVS_untreated, TVS_digested)</f>
        <v>0.65</v>
      </c>
    </row>
    <row r="16" spans="1:21" s="183" customFormat="1" ht="15.75" customHeight="1" x14ac:dyDescent="0.2">
      <c r="A16" s="247" t="s">
        <v>266</v>
      </c>
      <c r="B16" s="872">
        <f>Analyses!$H$5</f>
        <v>0.52856533333333344</v>
      </c>
      <c r="C16" s="249">
        <f>+B15*Carbon_as_a___of_TVS_compostinghandbook</f>
        <v>0.52856533333333344</v>
      </c>
      <c r="D16" s="872">
        <f>Analyses!$H$5</f>
        <v>0.52856533333333344</v>
      </c>
      <c r="E16" s="249">
        <f>+D15*Carbon_as_a___of_TVS_compostinghandbook</f>
        <v>0.52856533333333344</v>
      </c>
      <c r="F16" s="872">
        <f>Analyses!$H$5</f>
        <v>0.52856533333333344</v>
      </c>
      <c r="G16" s="249">
        <f>+F15*Carbon_as_a___of_TVS_compostinghandbook</f>
        <v>0.52856533333333344</v>
      </c>
      <c r="H16" s="872">
        <f>Analyses!$H$5</f>
        <v>0.52856533333333344</v>
      </c>
      <c r="I16" s="249">
        <f>+H15*Carbon_as_a___of_TVS_compostinghandbook</f>
        <v>0.52856533333333344</v>
      </c>
      <c r="J16" s="872">
        <f>Analyses!$H$5</f>
        <v>0.52856533333333344</v>
      </c>
      <c r="K16" s="249">
        <f>+J15*Carbon_as_a___of_TVS_compostinghandbook</f>
        <v>0.52856533333333344</v>
      </c>
      <c r="L16" s="872">
        <f>Analyses!$H$5</f>
        <v>0.52856533333333344</v>
      </c>
      <c r="M16" s="249">
        <f>+L15*Carbon_as_a___of_TVS_compostinghandbook</f>
        <v>0.52856533333333344</v>
      </c>
      <c r="N16" s="872">
        <f>Analyses!$H$5</f>
        <v>0.52856533333333344</v>
      </c>
      <c r="O16" s="249">
        <f>+N15*Carbon_as_a___of_TVS_compostinghandbook</f>
        <v>0.52856533333333344</v>
      </c>
      <c r="P16" s="872">
        <f>Analyses!$H$5</f>
        <v>0.52856533333333344</v>
      </c>
      <c r="Q16" s="249">
        <f>+P15*Carbon_as_a___of_TVS_compostinghandbook</f>
        <v>0.52856533333333344</v>
      </c>
      <c r="R16" s="872">
        <f>Analyses!$H$5</f>
        <v>0.52856533333333344</v>
      </c>
      <c r="S16" s="249">
        <f>+R15*Carbon_as_a___of_TVS_compostinghandbook</f>
        <v>0.52856533333333344</v>
      </c>
      <c r="T16" s="872">
        <f>Analyses!$H$5</f>
        <v>0.52856533333333344</v>
      </c>
      <c r="U16" s="249">
        <f>+T15*Carbon_as_a___of_TVS_compostinghandbook</f>
        <v>0.52856533333333344</v>
      </c>
    </row>
    <row r="17" spans="1:21" s="183" customFormat="1" ht="15.75" customHeight="1" x14ac:dyDescent="0.2">
      <c r="A17" s="247" t="s">
        <v>983</v>
      </c>
      <c r="B17" s="22"/>
      <c r="C17" s="196">
        <v>3</v>
      </c>
      <c r="D17" s="22"/>
      <c r="E17" s="196">
        <v>3</v>
      </c>
      <c r="F17" s="22"/>
      <c r="G17" s="196">
        <v>3</v>
      </c>
      <c r="H17" s="22"/>
      <c r="I17" s="196">
        <v>3</v>
      </c>
      <c r="J17" s="22"/>
      <c r="K17" s="196">
        <v>3</v>
      </c>
      <c r="L17" s="22"/>
      <c r="M17" s="196">
        <v>3</v>
      </c>
      <c r="N17" s="22"/>
      <c r="O17" s="196">
        <v>3</v>
      </c>
      <c r="P17" s="22"/>
      <c r="Q17" s="196">
        <v>3</v>
      </c>
      <c r="R17" s="22"/>
      <c r="S17" s="196">
        <v>3</v>
      </c>
      <c r="T17" s="22"/>
      <c r="U17" s="196">
        <v>3</v>
      </c>
    </row>
    <row r="18" spans="1:21" ht="15.75" customHeight="1" x14ac:dyDescent="0.2">
      <c r="A18" s="247" t="s">
        <v>8</v>
      </c>
      <c r="B18" s="11" t="s">
        <v>270</v>
      </c>
      <c r="C18" s="196" t="s">
        <v>270</v>
      </c>
      <c r="D18" s="11"/>
      <c r="E18" s="196" t="s">
        <v>270</v>
      </c>
      <c r="F18" s="11"/>
      <c r="G18" s="196" t="s">
        <v>270</v>
      </c>
      <c r="H18" s="11" t="s">
        <v>270</v>
      </c>
      <c r="I18" s="196" t="s">
        <v>270</v>
      </c>
      <c r="J18" s="11"/>
      <c r="K18" s="196" t="s">
        <v>270</v>
      </c>
      <c r="L18" s="11"/>
      <c r="M18" s="196" t="s">
        <v>270</v>
      </c>
      <c r="N18" s="11"/>
      <c r="O18" s="196" t="s">
        <v>270</v>
      </c>
      <c r="P18" s="11"/>
      <c r="Q18" s="196" t="s">
        <v>270</v>
      </c>
      <c r="R18" s="11"/>
      <c r="S18" s="196" t="s">
        <v>270</v>
      </c>
      <c r="T18" s="11"/>
      <c r="U18" s="196" t="s">
        <v>270</v>
      </c>
    </row>
    <row r="19" spans="1:21" s="183" customFormat="1" ht="15.75" customHeight="1" x14ac:dyDescent="0.2">
      <c r="A19" s="247" t="s">
        <v>856</v>
      </c>
      <c r="B19" s="317">
        <f>1/(1+B17)</f>
        <v>1</v>
      </c>
      <c r="C19" s="309"/>
      <c r="D19" s="317">
        <f>1/(1+D17)</f>
        <v>1</v>
      </c>
      <c r="E19" s="309"/>
      <c r="F19" s="317">
        <f>1/(1+F17)</f>
        <v>1</v>
      </c>
      <c r="G19" s="309"/>
      <c r="H19" s="317">
        <f>1/(1+H17)</f>
        <v>1</v>
      </c>
      <c r="I19" s="1151"/>
      <c r="J19" s="980">
        <f>1/(1+J17)</f>
        <v>1</v>
      </c>
      <c r="K19" s="309"/>
      <c r="L19" s="317">
        <f>1/(1+L17)</f>
        <v>1</v>
      </c>
      <c r="M19" s="309"/>
      <c r="N19" s="317">
        <f>1/(1+N17)</f>
        <v>1</v>
      </c>
      <c r="O19" s="309"/>
      <c r="P19" s="317">
        <f>1/(1+P17)</f>
        <v>1</v>
      </c>
      <c r="Q19" s="309"/>
      <c r="R19" s="317">
        <f>1/(1+R17)</f>
        <v>1</v>
      </c>
      <c r="S19" s="309"/>
      <c r="T19" s="317">
        <f>1/(1+T17)</f>
        <v>1</v>
      </c>
      <c r="U19" s="309"/>
    </row>
    <row r="20" spans="1:21" ht="15.75" customHeight="1" x14ac:dyDescent="0.2">
      <c r="A20" s="315" t="s">
        <v>141</v>
      </c>
      <c r="B20" s="318">
        <f>1-B19</f>
        <v>0</v>
      </c>
      <c r="C20" s="309"/>
      <c r="D20" s="318">
        <f>1-D19</f>
        <v>0</v>
      </c>
      <c r="E20" s="309"/>
      <c r="F20" s="318">
        <f>1-F19</f>
        <v>0</v>
      </c>
      <c r="G20" s="309"/>
      <c r="H20" s="318">
        <f>1-H19</f>
        <v>0</v>
      </c>
      <c r="I20" s="309"/>
      <c r="J20" s="981">
        <f>1-J19</f>
        <v>0</v>
      </c>
      <c r="K20" s="309"/>
      <c r="L20" s="318">
        <f>1-L19</f>
        <v>0</v>
      </c>
      <c r="M20" s="309"/>
      <c r="N20" s="318">
        <f>1-N19</f>
        <v>0</v>
      </c>
      <c r="O20" s="309"/>
      <c r="P20" s="318">
        <f>1-P19</f>
        <v>0</v>
      </c>
      <c r="Q20" s="309"/>
      <c r="R20" s="318">
        <f>1-R19</f>
        <v>0</v>
      </c>
      <c r="S20" s="309"/>
      <c r="T20" s="318">
        <f>1-T19</f>
        <v>0</v>
      </c>
      <c r="U20" s="309"/>
    </row>
    <row r="21" spans="1:21" s="183" customFormat="1" ht="15.75" customHeight="1" x14ac:dyDescent="0.2">
      <c r="A21" s="247" t="s">
        <v>984</v>
      </c>
      <c r="B21" s="22">
        <v>250</v>
      </c>
      <c r="C21" s="198">
        <f>+sawdust_density</f>
        <v>250</v>
      </c>
      <c r="D21" s="22"/>
      <c r="E21" s="198">
        <f>+sawdust_density</f>
        <v>250</v>
      </c>
      <c r="F21" s="22"/>
      <c r="G21" s="198">
        <f>+sawdust_density</f>
        <v>250</v>
      </c>
      <c r="H21" s="22">
        <v>250</v>
      </c>
      <c r="I21" s="198">
        <f>+sawdust_density</f>
        <v>250</v>
      </c>
      <c r="J21" s="22"/>
      <c r="K21" s="198">
        <f>+sawdust_density</f>
        <v>250</v>
      </c>
      <c r="L21" s="22"/>
      <c r="M21" s="198">
        <f>+sawdust_density</f>
        <v>250</v>
      </c>
      <c r="N21" s="22"/>
      <c r="O21" s="198">
        <f>+sawdust_density</f>
        <v>250</v>
      </c>
      <c r="P21" s="22"/>
      <c r="Q21" s="198">
        <f>+sawdust_density</f>
        <v>250</v>
      </c>
      <c r="R21" s="22"/>
      <c r="S21" s="198">
        <f>+sawdust_density</f>
        <v>250</v>
      </c>
      <c r="T21" s="22"/>
      <c r="U21" s="198">
        <f>+sawdust_density</f>
        <v>250</v>
      </c>
    </row>
    <row r="22" spans="1:21" s="130" customFormat="1" ht="15.75" customHeight="1" x14ac:dyDescent="0.2">
      <c r="A22" s="247" t="s">
        <v>9</v>
      </c>
      <c r="B22" s="246" t="str">
        <f>+IFERROR(((B11/B19)-B11)*B21/1000,"N/A")</f>
        <v>N/A</v>
      </c>
      <c r="C22" s="309"/>
      <c r="D22" s="246" t="str">
        <f>+IFERROR(((D11/D19)-D11)*D21/1000,"N/A")</f>
        <v>N/A</v>
      </c>
      <c r="E22" s="309"/>
      <c r="F22" s="246" t="str">
        <f>+IFERROR(((F11/F19)-F11)*F21/1000,"N/A")</f>
        <v>N/A</v>
      </c>
      <c r="G22" s="309"/>
      <c r="H22" s="246" t="str">
        <f>+IFERROR(((H11/H19)-H11)*H21/1000,"N/A")</f>
        <v>N/A</v>
      </c>
      <c r="I22" s="309"/>
      <c r="J22" s="246" t="str">
        <f>+IFERROR(((J11/J19)-J11)*J21/1000,"N/A")</f>
        <v>N/A</v>
      </c>
      <c r="K22" s="309"/>
      <c r="L22" s="246" t="str">
        <f>+IFERROR(((L11/L19)-L11)*L21/1000,"N/A")</f>
        <v>N/A</v>
      </c>
      <c r="M22" s="309"/>
      <c r="N22" s="246" t="str">
        <f>+IFERROR(((N11/N19)-N11)*N21/1000,"N/A")</f>
        <v>N/A</v>
      </c>
      <c r="O22" s="309"/>
      <c r="P22" s="246" t="str">
        <f>+IFERROR(((P11/P19)-P11)*P21/1000,"N/A")</f>
        <v>N/A</v>
      </c>
      <c r="Q22" s="309"/>
      <c r="R22" s="246" t="str">
        <f>+IFERROR(((R11/R19)-R11)*R21/1000,"N/A")</f>
        <v>N/A</v>
      </c>
      <c r="S22" s="309"/>
      <c r="T22" s="246" t="str">
        <f>+IFERROR(((T11/T19)-T11)*T21/1000,"N/A")</f>
        <v>N/A</v>
      </c>
      <c r="U22" s="309"/>
    </row>
    <row r="23" spans="1:21" ht="15.75" customHeight="1" thickBot="1" x14ac:dyDescent="0.25">
      <c r="A23" s="319"/>
      <c r="B23" s="320"/>
      <c r="C23" s="321"/>
      <c r="D23" s="320"/>
      <c r="E23" s="321"/>
      <c r="F23" s="320"/>
      <c r="G23" s="321"/>
      <c r="H23" s="320"/>
      <c r="I23" s="321"/>
      <c r="J23" s="320"/>
      <c r="K23" s="321"/>
      <c r="L23" s="320"/>
      <c r="M23" s="321"/>
      <c r="N23" s="320"/>
      <c r="O23" s="321"/>
      <c r="P23" s="320"/>
      <c r="Q23" s="321"/>
      <c r="R23" s="320"/>
      <c r="S23" s="321"/>
      <c r="T23" s="320"/>
      <c r="U23" s="321"/>
    </row>
    <row r="24" spans="1:21" s="130" customFormat="1" ht="15.75" customHeight="1" thickBot="1" x14ac:dyDescent="0.3">
      <c r="A24" s="1300" t="s">
        <v>28</v>
      </c>
      <c r="B24" s="1301"/>
      <c r="C24" s="1301"/>
      <c r="D24" s="1301"/>
      <c r="E24" s="1301"/>
      <c r="F24" s="1301"/>
      <c r="G24" s="1301"/>
      <c r="H24" s="1301"/>
      <c r="I24" s="1301"/>
      <c r="J24" s="1301"/>
      <c r="K24" s="1301"/>
      <c r="L24" s="1301"/>
      <c r="M24" s="1301"/>
      <c r="N24" s="1301"/>
      <c r="O24" s="1301"/>
      <c r="P24" s="1301"/>
      <c r="Q24" s="1301"/>
      <c r="R24" s="1301"/>
      <c r="S24" s="1301"/>
      <c r="T24" s="1301"/>
      <c r="U24" s="1302"/>
    </row>
    <row r="25" spans="1:21" s="183" customFormat="1" ht="15.75" customHeight="1" x14ac:dyDescent="0.2">
      <c r="A25" s="1023" t="s">
        <v>938</v>
      </c>
      <c r="B25" s="14"/>
      <c r="C25" s="248" t="str">
        <f>+IFERROR(((B9*B16)+(B22*sawdust_Solids_content*sawdust_organic_carbon))/((B9*B13)+(B22*sawdust_Solids_content*sawdust_nitrogen_content)),"N/A")</f>
        <v>N/A</v>
      </c>
      <c r="D25" s="14"/>
      <c r="E25" s="248" t="str">
        <f>+IFERROR(((D9*D16)+(D22*sawdust_Solids_content*sawdust_organic_carbon))/((D9*D13)+(D22*sawdust_Solids_content*sawdust_nitrogen_content)),"N/A")</f>
        <v>N/A</v>
      </c>
      <c r="F25" s="14"/>
      <c r="G25" s="248" t="str">
        <f>+IFERROR(((F9*F16)+(F22*sawdust_Solids_content*sawdust_organic_carbon))/((F9*F13)+(F22*sawdust_Solids_content*sawdust_nitrogen_content)),"N/A")</f>
        <v>N/A</v>
      </c>
      <c r="H25" s="14"/>
      <c r="I25" s="248" t="str">
        <f>+IFERROR(((H9*H16)+(H22*sawdust_Solids_content*sawdust_organic_carbon))/((H9*H13)+(H22*sawdust_Solids_content*sawdust_nitrogen_content)),"N/A")</f>
        <v>N/A</v>
      </c>
      <c r="J25" s="14"/>
      <c r="K25" s="248" t="str">
        <f>+IFERROR(((J9*J16)+(J22*sawdust_Solids_content*sawdust_organic_carbon))/((J9*J13)+(J22*sawdust_Solids_content*sawdust_nitrogen_content)),"N/A")</f>
        <v>N/A</v>
      </c>
      <c r="L25" s="14"/>
      <c r="M25" s="248" t="str">
        <f>+IFERROR(((L9*L16)+(L22*sawdust_Solids_content*sawdust_organic_carbon))/((L9*L13)+(L22*sawdust_Solids_content*sawdust_nitrogen_content)),"N/A")</f>
        <v>N/A</v>
      </c>
      <c r="N25" s="14"/>
      <c r="O25" s="248" t="str">
        <f>+IFERROR(((N9*N16)+(N22*sawdust_Solids_content*sawdust_organic_carbon))/((N9*N13)+(N22*sawdust_Solids_content*sawdust_nitrogen_content)),"N/A")</f>
        <v>N/A</v>
      </c>
      <c r="P25" s="14"/>
      <c r="Q25" s="248" t="str">
        <f>+IFERROR(((P9*P16)+(P22*sawdust_Solids_content*sawdust_organic_carbon))/((P9*P13)+(P22*sawdust_Solids_content*sawdust_nitrogen_content)),"N/A")</f>
        <v>N/A</v>
      </c>
      <c r="R25" s="14"/>
      <c r="S25" s="248" t="str">
        <f>+IFERROR(((R9*R16)+(R22*sawdust_Solids_content*sawdust_organic_carbon))/((R9*R13)+(R22*sawdust_Solids_content*sawdust_nitrogen_content)),"N/A")</f>
        <v>N/A</v>
      </c>
      <c r="T25" s="14"/>
      <c r="U25" s="248" t="str">
        <f>+IFERROR(((T9*T16)+(T22*sawdust_Solids_content*sawdust_organic_carbon))/((T9*T13)+(T22*sawdust_Solids_content*sawdust_nitrogen_content)),"N/A")</f>
        <v>N/A</v>
      </c>
    </row>
    <row r="26" spans="1:21" ht="15.75" customHeight="1" x14ac:dyDescent="0.2">
      <c r="A26" s="315" t="s">
        <v>170</v>
      </c>
      <c r="B26" s="23"/>
      <c r="C26" s="249" t="str">
        <f>+IFERROR((B9+B22*sawdust_Solids_content)/(B7+B22),"N/A")</f>
        <v>N/A</v>
      </c>
      <c r="D26" s="23"/>
      <c r="E26" s="249" t="str">
        <f>+IFERROR((D9+D22*sawdust_Solids_content)/(D7+D22),"N/A")</f>
        <v>N/A</v>
      </c>
      <c r="F26" s="23"/>
      <c r="G26" s="249" t="str">
        <f>+IFERROR((F9+F22*sawdust_Solids_content)/(F7+F22),"N/A")</f>
        <v>N/A</v>
      </c>
      <c r="H26" s="23"/>
      <c r="I26" s="249" t="str">
        <f>+IFERROR((H9+H22*sawdust_Solids_content)/(H7+H22),"N/A")</f>
        <v>N/A</v>
      </c>
      <c r="J26" s="23"/>
      <c r="K26" s="249" t="str">
        <f>+IFERROR((J9+J22*sawdust_Solids_content)/(J7+J22),"N/A")</f>
        <v>N/A</v>
      </c>
      <c r="L26" s="23"/>
      <c r="M26" s="249" t="str">
        <f>+IFERROR((L9+L22*sawdust_Solids_content)/(L7+L22),"N/A")</f>
        <v>N/A</v>
      </c>
      <c r="N26" s="23"/>
      <c r="O26" s="249" t="str">
        <f>+IFERROR((N9+N22*sawdust_Solids_content)/(N7+N22),"N/A")</f>
        <v>N/A</v>
      </c>
      <c r="P26" s="23"/>
      <c r="Q26" s="249" t="str">
        <f>+IFERROR((P9+P22*sawdust_Solids_content)/(P7+P22),"N/A")</f>
        <v>N/A</v>
      </c>
      <c r="R26" s="23"/>
      <c r="S26" s="249" t="str">
        <f>+IFERROR((R9+R22*sawdust_Solids_content)/(R7+R22),"N/A")</f>
        <v>N/A</v>
      </c>
      <c r="T26" s="23"/>
      <c r="U26" s="249" t="str">
        <f>+IFERROR((T9+T22*sawdust_Solids_content)/(T7+T22),"N/A")</f>
        <v>N/A</v>
      </c>
    </row>
    <row r="27" spans="1:21" x14ac:dyDescent="0.2">
      <c r="A27" s="247" t="s">
        <v>965</v>
      </c>
      <c r="B27" s="12"/>
      <c r="C27" s="196" t="s">
        <v>270</v>
      </c>
      <c r="D27" s="12"/>
      <c r="E27" s="196" t="s">
        <v>270</v>
      </c>
      <c r="F27" s="12"/>
      <c r="G27" s="196" t="s">
        <v>270</v>
      </c>
      <c r="H27" s="12"/>
      <c r="I27" s="196" t="s">
        <v>270</v>
      </c>
      <c r="J27" s="12"/>
      <c r="K27" s="196" t="s">
        <v>270</v>
      </c>
      <c r="L27" s="12"/>
      <c r="M27" s="196" t="s">
        <v>270</v>
      </c>
      <c r="N27" s="12"/>
      <c r="O27" s="196" t="s">
        <v>270</v>
      </c>
      <c r="P27" s="12"/>
      <c r="Q27" s="196" t="s">
        <v>270</v>
      </c>
      <c r="R27" s="12"/>
      <c r="S27" s="196" t="s">
        <v>270</v>
      </c>
      <c r="T27" s="12"/>
      <c r="U27" s="196" t="s">
        <v>270</v>
      </c>
    </row>
    <row r="28" spans="1:21" ht="15.75" customHeight="1" thickBot="1" x14ac:dyDescent="0.25">
      <c r="A28" s="323"/>
      <c r="B28" s="324"/>
      <c r="C28" s="325"/>
      <c r="D28" s="324"/>
      <c r="E28" s="325"/>
      <c r="F28" s="324"/>
      <c r="G28" s="325"/>
      <c r="H28" s="324"/>
      <c r="I28" s="325"/>
      <c r="J28" s="324"/>
      <c r="K28" s="325"/>
      <c r="L28" s="324"/>
      <c r="M28" s="325"/>
      <c r="N28" s="324"/>
      <c r="O28" s="325"/>
      <c r="P28" s="324"/>
      <c r="Q28" s="325"/>
      <c r="R28" s="324"/>
      <c r="S28" s="325"/>
      <c r="T28" s="324"/>
      <c r="U28" s="325"/>
    </row>
    <row r="29" spans="1:21" ht="15.75" customHeight="1" thickBot="1" x14ac:dyDescent="0.3">
      <c r="A29" s="1300" t="s">
        <v>273</v>
      </c>
      <c r="B29" s="1301"/>
      <c r="C29" s="1301"/>
      <c r="D29" s="1301"/>
      <c r="E29" s="1301"/>
      <c r="F29" s="1301"/>
      <c r="G29" s="1301"/>
      <c r="H29" s="1301"/>
      <c r="I29" s="1301"/>
      <c r="J29" s="1301"/>
      <c r="K29" s="1301"/>
      <c r="L29" s="1301"/>
      <c r="M29" s="1301"/>
      <c r="N29" s="1301"/>
      <c r="O29" s="1301"/>
      <c r="P29" s="1301"/>
      <c r="Q29" s="1301"/>
      <c r="R29" s="1301"/>
      <c r="S29" s="1301"/>
      <c r="T29" s="1301"/>
      <c r="U29" s="1302"/>
    </row>
    <row r="30" spans="1:21" s="183" customFormat="1" ht="15.75" customHeight="1" x14ac:dyDescent="0.2">
      <c r="A30" s="326" t="s">
        <v>274</v>
      </c>
      <c r="B30" s="327"/>
      <c r="C30" s="328" t="str">
        <f>+IFERROR(IF(B18='References Assumptions'!$C$339, B22*Fuel__for_grinding__brown_2008,0),"N/A")</f>
        <v>N/A</v>
      </c>
      <c r="D30" s="327"/>
      <c r="E30" s="328">
        <f>+IFERROR(IF(D18='References Assumptions'!$C$339, D22*Fuel__for_grinding__brown_2008,0),"N/A")</f>
        <v>0</v>
      </c>
      <c r="F30" s="327"/>
      <c r="G30" s="328">
        <f>+IFERROR(IF(F18='References Assumptions'!$C$339, F22*Fuel__for_grinding__brown_2008,0),"N/A")</f>
        <v>0</v>
      </c>
      <c r="H30" s="327"/>
      <c r="I30" s="328" t="str">
        <f>+IFERROR(IF(H18='References Assumptions'!$C$339, H22*Fuel__for_grinding__brown_2008,0),"N/A")</f>
        <v>N/A</v>
      </c>
      <c r="J30" s="327"/>
      <c r="K30" s="328">
        <f>+IFERROR(IF(J18='References Assumptions'!$C$339, J22*Fuel__for_grinding__brown_2008,0),"N/A")</f>
        <v>0</v>
      </c>
      <c r="L30" s="327"/>
      <c r="M30" s="328">
        <f>+IFERROR(IF(L18='References Assumptions'!$C$339, L22*Fuel__for_grinding__brown_2008,0),"N/A")</f>
        <v>0</v>
      </c>
      <c r="N30" s="327"/>
      <c r="O30" s="328">
        <f>+IFERROR(IF(N18='References Assumptions'!$C$339, N22*Fuel__for_grinding__brown_2008,0),"N/A")</f>
        <v>0</v>
      </c>
      <c r="P30" s="327"/>
      <c r="Q30" s="328">
        <f>+IFERROR(IF(P18='References Assumptions'!$C$339, P22*Fuel__for_grinding__brown_2008,0),"N/A")</f>
        <v>0</v>
      </c>
      <c r="R30" s="327"/>
      <c r="S30" s="328">
        <f>+IFERROR(IF(R18='References Assumptions'!$C$339, R22*Fuel__for_grinding__brown_2008,0),"N/A")</f>
        <v>0</v>
      </c>
      <c r="T30" s="327"/>
      <c r="U30" s="328">
        <f>+IFERROR(IF(T18='References Assumptions'!$C$339, T22*Fuel__for_grinding__brown_2008,0),"N/A")</f>
        <v>0</v>
      </c>
    </row>
    <row r="31" spans="1:21" s="130" customFormat="1" ht="15.75" customHeight="1" x14ac:dyDescent="0.2">
      <c r="A31" s="308" t="s">
        <v>275</v>
      </c>
      <c r="B31" s="329"/>
      <c r="C31" s="330" t="str">
        <f>+IFERROR(IF(B6='References Assumptions'!$C$349,(B7+B22)*Fuel__windrow__ROU_2006,(B7+B22)*Fuel__for_ASP_brown_2008),"N/A")</f>
        <v>N/A</v>
      </c>
      <c r="D31" s="329"/>
      <c r="E31" s="330" t="str">
        <f>+IFERROR(IF(D6='References Assumptions'!$C$349,(D7+D22)*Fuel__windrow__ROU_2006,(D7+D22)*Fuel__for_ASP_brown_2008),"N/A")</f>
        <v>N/A</v>
      </c>
      <c r="F31" s="329"/>
      <c r="G31" s="330" t="str">
        <f>+IFERROR(IF(F6='References Assumptions'!$C$349,(F7+F22)*Fuel__windrow__ROU_2006,(F7+F22)*Fuel__for_ASP_brown_2008),"N/A")</f>
        <v>N/A</v>
      </c>
      <c r="H31" s="329"/>
      <c r="I31" s="330" t="str">
        <f>+IFERROR(IF(H6='References Assumptions'!$C$349,(H7+H22)*Fuel__windrow__ROU_2006,(H7+H22)*Fuel__for_ASP_brown_2008),"N/A")</f>
        <v>N/A</v>
      </c>
      <c r="J31" s="329"/>
      <c r="K31" s="330" t="str">
        <f>+IFERROR(IF(J6='References Assumptions'!$C$349,(J7+J22)*Fuel__windrow__ROU_2006,(J7+J22)*Fuel__for_ASP_brown_2008),"N/A")</f>
        <v>N/A</v>
      </c>
      <c r="L31" s="329"/>
      <c r="M31" s="330" t="str">
        <f>+IFERROR(IF(L6='References Assumptions'!$C$349,(L7+L22)*Fuel__windrow__ROU_2006,(L7+L22)*Fuel__for_ASP_brown_2008),"N/A")</f>
        <v>N/A</v>
      </c>
      <c r="N31" s="329"/>
      <c r="O31" s="330" t="str">
        <f>+IFERROR(IF(N6='References Assumptions'!$C$349,(N7+N22)*Fuel__windrow__ROU_2006,(N7+N22)*Fuel__for_ASP_brown_2008),"N/A")</f>
        <v>N/A</v>
      </c>
      <c r="P31" s="329"/>
      <c r="Q31" s="330" t="str">
        <f>+IFERROR(IF(P6='References Assumptions'!$C$349,(P7+P22)*Fuel__windrow__ROU_2006,(P7+P22)*Fuel__for_ASP_brown_2008),"N/A")</f>
        <v>N/A</v>
      </c>
      <c r="R31" s="329"/>
      <c r="S31" s="330" t="str">
        <f>+IFERROR(IF(R6='References Assumptions'!$C$349,(R7+R22)*Fuel__windrow__ROU_2006,(R7+R22)*Fuel__for_ASP_brown_2008),"N/A")</f>
        <v>N/A</v>
      </c>
      <c r="T31" s="329"/>
      <c r="U31" s="330" t="str">
        <f>+IFERROR(IF(T6='References Assumptions'!$C$349,(T7+T22)*Fuel__windrow__ROU_2006,(T7+T22)*Fuel__for_ASP_brown_2008),"N/A")</f>
        <v>N/A</v>
      </c>
    </row>
    <row r="32" spans="1:21" s="183" customFormat="1" ht="15.75" customHeight="1" x14ac:dyDescent="0.2">
      <c r="A32" s="315" t="s">
        <v>140</v>
      </c>
      <c r="B32" s="8"/>
      <c r="C32" s="198">
        <f>SUM(C30:C31)</f>
        <v>0</v>
      </c>
      <c r="D32" s="8"/>
      <c r="E32" s="198">
        <f>SUM(E30:E31)</f>
        <v>0</v>
      </c>
      <c r="F32" s="8"/>
      <c r="G32" s="198">
        <f>SUM(G30:G31)</f>
        <v>0</v>
      </c>
      <c r="H32" s="8"/>
      <c r="I32" s="198">
        <f>SUM(I30:I31)</f>
        <v>0</v>
      </c>
      <c r="J32" s="8"/>
      <c r="K32" s="198">
        <f>SUM(K30:K31)</f>
        <v>0</v>
      </c>
      <c r="L32" s="8"/>
      <c r="M32" s="198">
        <f>SUM(M30:M31)</f>
        <v>0</v>
      </c>
      <c r="N32" s="8"/>
      <c r="O32" s="198">
        <f>SUM(O30:O31)</f>
        <v>0</v>
      </c>
      <c r="P32" s="8"/>
      <c r="Q32" s="198">
        <f>SUM(Q30:Q31)</f>
        <v>0</v>
      </c>
      <c r="R32" s="8"/>
      <c r="S32" s="198">
        <f>SUM(S30:S31)</f>
        <v>0</v>
      </c>
      <c r="T32" s="8"/>
      <c r="U32" s="198">
        <f>SUM(U30:U31)</f>
        <v>0</v>
      </c>
    </row>
    <row r="33" spans="1:21" ht="15.75" customHeight="1" x14ac:dyDescent="0.2">
      <c r="A33" s="247" t="s">
        <v>117</v>
      </c>
      <c r="B33" s="8"/>
      <c r="C33" s="198" t="str">
        <f>+IFERROR(B7*1000/B10/Size_of_loads__m3/Time_to_apply__loads_hr*Tractor_fuel_use__l_diesel_hr,"N/A")</f>
        <v>N/A</v>
      </c>
      <c r="D33" s="8"/>
      <c r="E33" s="198" t="str">
        <f>+IFERROR(D7*1000/D10/Size_of_loads__m3/Time_to_apply__loads_hr*Tractor_fuel_use__l_diesel_hr,"N/A")</f>
        <v>N/A</v>
      </c>
      <c r="F33" s="8"/>
      <c r="G33" s="198" t="str">
        <f>+IFERROR(F7*1000/F10/Size_of_loads__m3/Time_to_apply__loads_hr*Tractor_fuel_use__l_diesel_hr,"N/A")</f>
        <v>N/A</v>
      </c>
      <c r="H33" s="8"/>
      <c r="I33" s="198" t="str">
        <f>+IFERROR(H7*1000/H10/Size_of_loads__m3/Time_to_apply__loads_hr*Tractor_fuel_use__l_diesel_hr,"N/A")</f>
        <v>N/A</v>
      </c>
      <c r="J33" s="8"/>
      <c r="K33" s="198" t="str">
        <f>+IFERROR(J7*1000/J10/Size_of_loads__m3/Time_to_apply__loads_hr*Tractor_fuel_use__l_diesel_hr,"N/A")</f>
        <v>N/A</v>
      </c>
      <c r="L33" s="8"/>
      <c r="M33" s="198" t="str">
        <f>+IFERROR(L7*1000/L10/Size_of_loads__m3/Time_to_apply__loads_hr*Tractor_fuel_use__l_diesel_hr,"N/A")</f>
        <v>N/A</v>
      </c>
      <c r="N33" s="8"/>
      <c r="O33" s="198" t="str">
        <f>+IFERROR(N7*1000/N10/Size_of_loads__m3/Time_to_apply__loads_hr*Tractor_fuel_use__l_diesel_hr,"N/A")</f>
        <v>N/A</v>
      </c>
      <c r="P33" s="8"/>
      <c r="Q33" s="198" t="str">
        <f>+IFERROR(P7*1000/P10/Size_of_loads__m3/Time_to_apply__loads_hr*Tractor_fuel_use__l_diesel_hr,"N/A")</f>
        <v>N/A</v>
      </c>
      <c r="R33" s="8"/>
      <c r="S33" s="198" t="str">
        <f>+IFERROR(R7*1000/R10/Size_of_loads__m3/Time_to_apply__loads_hr*Tractor_fuel_use__l_diesel_hr,"N/A")</f>
        <v>N/A</v>
      </c>
      <c r="T33" s="8"/>
      <c r="U33" s="198" t="str">
        <f>+IFERROR(T7*1000/T10/Size_of_loads__m3/Time_to_apply__loads_hr*Tractor_fuel_use__l_diesel_hr,"N/A")</f>
        <v>N/A</v>
      </c>
    </row>
    <row r="34" spans="1:21" s="105" customFormat="1" ht="15.75" customHeight="1" x14ac:dyDescent="0.3">
      <c r="A34" s="331" t="s">
        <v>288</v>
      </c>
      <c r="B34" s="252">
        <f>(B32+B33)*CO2E_diesel__ClimateReg/1000000</f>
        <v>0</v>
      </c>
      <c r="C34" s="332"/>
      <c r="D34" s="252">
        <f>(D32+D33)*CO2E_diesel__ClimateReg/1000000</f>
        <v>0</v>
      </c>
      <c r="E34" s="332"/>
      <c r="F34" s="252">
        <f>(F32+F33)*CO2E_diesel__ClimateReg/1000000</f>
        <v>0</v>
      </c>
      <c r="G34" s="332"/>
      <c r="H34" s="252">
        <f>(H32+H33)*CO2E_diesel__ClimateReg/1000000</f>
        <v>0</v>
      </c>
      <c r="I34" s="332"/>
      <c r="J34" s="252">
        <f>(J32+J33)*CO2E_diesel__ClimateReg/1000000</f>
        <v>0</v>
      </c>
      <c r="K34" s="332"/>
      <c r="L34" s="252">
        <f>(L32+L33)*CO2E_diesel__ClimateReg/1000000</f>
        <v>0</v>
      </c>
      <c r="M34" s="332"/>
      <c r="N34" s="252">
        <f>(N32+N33)*CO2E_diesel__ClimateReg/1000000</f>
        <v>0</v>
      </c>
      <c r="O34" s="332"/>
      <c r="P34" s="252">
        <f>(P32+P33)*CO2E_diesel__ClimateReg/1000000</f>
        <v>0</v>
      </c>
      <c r="Q34" s="332"/>
      <c r="R34" s="252">
        <f>(R32+R33)*CO2E_diesel__ClimateReg/1000000</f>
        <v>0</v>
      </c>
      <c r="S34" s="332"/>
      <c r="T34" s="252">
        <f>(T32+T33)*CO2E_diesel__ClimateReg/1000000</f>
        <v>0</v>
      </c>
      <c r="U34" s="332"/>
    </row>
    <row r="35" spans="1:21" s="130" customFormat="1" ht="15.75" customHeight="1" thickBot="1" x14ac:dyDescent="0.25">
      <c r="A35" s="333"/>
      <c r="B35" s="334"/>
      <c r="C35" s="335"/>
      <c r="D35" s="334"/>
      <c r="E35" s="335"/>
      <c r="F35" s="334"/>
      <c r="G35" s="335"/>
      <c r="H35" s="334"/>
      <c r="I35" s="335"/>
      <c r="J35" s="334"/>
      <c r="K35" s="335"/>
      <c r="L35" s="334"/>
      <c r="M35" s="335"/>
      <c r="N35" s="334"/>
      <c r="O35" s="335"/>
      <c r="P35" s="334"/>
      <c r="Q35" s="335"/>
      <c r="R35" s="334"/>
      <c r="S35" s="335"/>
      <c r="T35" s="334"/>
      <c r="U35" s="335"/>
    </row>
    <row r="36" spans="1:21" ht="15.75" customHeight="1" thickBot="1" x14ac:dyDescent="0.3">
      <c r="A36" s="1300" t="s">
        <v>193</v>
      </c>
      <c r="B36" s="1301"/>
      <c r="C36" s="1301"/>
      <c r="D36" s="1301"/>
      <c r="E36" s="1301"/>
      <c r="F36" s="1301"/>
      <c r="G36" s="1301"/>
      <c r="H36" s="1301"/>
      <c r="I36" s="1301"/>
      <c r="J36" s="1301"/>
      <c r="K36" s="1301"/>
      <c r="L36" s="1301"/>
      <c r="M36" s="1301"/>
      <c r="N36" s="1301"/>
      <c r="O36" s="1301"/>
      <c r="P36" s="1301"/>
      <c r="Q36" s="1301"/>
      <c r="R36" s="1301"/>
      <c r="S36" s="1301"/>
      <c r="T36" s="1301"/>
      <c r="U36" s="1302"/>
    </row>
    <row r="37" spans="1:21" s="183" customFormat="1" ht="15.75" customHeight="1" x14ac:dyDescent="0.2">
      <c r="A37" s="326" t="s">
        <v>281</v>
      </c>
      <c r="B37" s="14"/>
      <c r="C37" s="248">
        <f>+IF(B6='References Assumptions'!$C$351,B9*in_vessel_electricity_use,IF(B6='References Assumptions'!$C$350,B9*ASP_electricity_use,0))</f>
        <v>0</v>
      </c>
      <c r="D37" s="14"/>
      <c r="E37" s="248">
        <f>+IF(D6='References Assumptions'!$C$351,D9*in_vessel_electricity_use,IF(D6='References Assumptions'!$C$350,D9*ASP_electricity_use,0))</f>
        <v>0</v>
      </c>
      <c r="F37" s="14"/>
      <c r="G37" s="248">
        <f>+IF(F6='References Assumptions'!$C$351,F9*in_vessel_electricity_use,IF(F6='References Assumptions'!$C$350,F9*ASP_electricity_use,0))</f>
        <v>0</v>
      </c>
      <c r="H37" s="14"/>
      <c r="I37" s="248">
        <f>+IF(H6='References Assumptions'!$C$351,H9*in_vessel_electricity_use,IF(H6='References Assumptions'!$C$350,H9*ASP_electricity_use,0))</f>
        <v>0</v>
      </c>
      <c r="J37" s="14"/>
      <c r="K37" s="248">
        <f>+IF(J6='References Assumptions'!$C$351,J9*in_vessel_electricity_use,IF(J6='References Assumptions'!$C$350,J9*ASP_electricity_use,0))</f>
        <v>0</v>
      </c>
      <c r="L37" s="14"/>
      <c r="M37" s="248">
        <f>+IF(L6='References Assumptions'!$C$351,L9*in_vessel_electricity_use,IF(L6='References Assumptions'!$C$350,L9*ASP_electricity_use,0))</f>
        <v>0</v>
      </c>
      <c r="N37" s="14"/>
      <c r="O37" s="248">
        <f>+IF(N6='References Assumptions'!$C$351,N9*in_vessel_electricity_use,IF(N6='References Assumptions'!$C$350,N9*ASP_electricity_use,0))</f>
        <v>0</v>
      </c>
      <c r="P37" s="14"/>
      <c r="Q37" s="248">
        <f>+IF(P6='References Assumptions'!$C$351,P9*in_vessel_electricity_use,IF(P6='References Assumptions'!$C$350,P9*ASP_electricity_use,0))</f>
        <v>0</v>
      </c>
      <c r="R37" s="14"/>
      <c r="S37" s="248">
        <f>+IF(R6='References Assumptions'!$C$351,R9*in_vessel_electricity_use,IF(R6='References Assumptions'!$C$350,R9*ASP_electricity_use,0))</f>
        <v>0</v>
      </c>
      <c r="T37" s="14"/>
      <c r="U37" s="248">
        <f>+IF(T6='References Assumptions'!$C$351,T9*in_vessel_electricity_use,IF(T6='References Assumptions'!$C$350,T9*ASP_electricity_use,0))</f>
        <v>0</v>
      </c>
    </row>
    <row r="38" spans="1:21" ht="15.75" customHeight="1" x14ac:dyDescent="0.3">
      <c r="A38" s="331" t="s">
        <v>209</v>
      </c>
      <c r="B38" s="250">
        <f>+B37*GHG_emissions_factors_by_province/1000000</f>
        <v>0</v>
      </c>
      <c r="C38" s="311"/>
      <c r="D38" s="250">
        <f>+D37*GHG_emissions_factors_by_province/1000000</f>
        <v>0</v>
      </c>
      <c r="E38" s="311"/>
      <c r="F38" s="250">
        <f>+F37*GHG_emissions_factors_by_province/1000000</f>
        <v>0</v>
      </c>
      <c r="G38" s="311"/>
      <c r="H38" s="250">
        <f>+H37*GHG_emissions_factors_by_province/1000000</f>
        <v>0</v>
      </c>
      <c r="I38" s="311"/>
      <c r="J38" s="250">
        <f>+J37*GHG_emissions_factors_by_province/1000000</f>
        <v>0</v>
      </c>
      <c r="K38" s="311"/>
      <c r="L38" s="250">
        <f>+L37*GHG_emissions_factors_by_province/1000000</f>
        <v>0</v>
      </c>
      <c r="M38" s="311"/>
      <c r="N38" s="250">
        <f>+N37*GHG_emissions_factors_by_province/1000000</f>
        <v>0</v>
      </c>
      <c r="O38" s="311"/>
      <c r="P38" s="250">
        <f>+P37*GHG_emissions_factors_by_province/1000000</f>
        <v>0</v>
      </c>
      <c r="Q38" s="311"/>
      <c r="R38" s="250">
        <f>+R37*GHG_emissions_factors_by_province/1000000</f>
        <v>0</v>
      </c>
      <c r="S38" s="311"/>
      <c r="T38" s="250">
        <f>+T37*GHG_emissions_factors_by_province/1000000</f>
        <v>0</v>
      </c>
      <c r="U38" s="311"/>
    </row>
    <row r="39" spans="1:21" s="183" customFormat="1" ht="15.75" customHeight="1" thickBot="1" x14ac:dyDescent="0.3">
      <c r="A39" s="336"/>
      <c r="B39" s="337"/>
      <c r="C39" s="335"/>
      <c r="D39" s="337"/>
      <c r="E39" s="335"/>
      <c r="F39" s="337"/>
      <c r="G39" s="335"/>
      <c r="H39" s="337"/>
      <c r="I39" s="335"/>
      <c r="J39" s="337"/>
      <c r="K39" s="335"/>
      <c r="L39" s="337"/>
      <c r="M39" s="335"/>
      <c r="N39" s="337"/>
      <c r="O39" s="335"/>
      <c r="P39" s="337"/>
      <c r="Q39" s="335"/>
      <c r="R39" s="337"/>
      <c r="S39" s="335"/>
      <c r="T39" s="337"/>
      <c r="U39" s="335"/>
    </row>
    <row r="40" spans="1:21" s="130" customFormat="1" ht="15.75" customHeight="1" thickBot="1" x14ac:dyDescent="0.3">
      <c r="A40" s="1300" t="s">
        <v>282</v>
      </c>
      <c r="B40" s="1301"/>
      <c r="C40" s="1301"/>
      <c r="D40" s="1301"/>
      <c r="E40" s="1301"/>
      <c r="F40" s="1301"/>
      <c r="G40" s="1301"/>
      <c r="H40" s="1301"/>
      <c r="I40" s="1301"/>
      <c r="J40" s="1301"/>
      <c r="K40" s="1301"/>
      <c r="L40" s="1301"/>
      <c r="M40" s="1301"/>
      <c r="N40" s="1301"/>
      <c r="O40" s="1301"/>
      <c r="P40" s="1301"/>
      <c r="Q40" s="1301"/>
      <c r="R40" s="1301"/>
      <c r="S40" s="1301"/>
      <c r="T40" s="1301"/>
      <c r="U40" s="1302"/>
    </row>
    <row r="41" spans="1:21" s="130" customFormat="1" ht="15.75" customHeight="1" x14ac:dyDescent="0.35">
      <c r="A41" s="322" t="s">
        <v>225</v>
      </c>
      <c r="B41" s="338" t="e">
        <f>IF(B27='References Assumptions'!$C$339,0,IF(B26&lt;min_solids_for_no_N2O_or_CH4,+B7*ch4_compost,0))</f>
        <v>#N/A</v>
      </c>
      <c r="C41" s="339"/>
      <c r="D41" s="338" t="e">
        <f>IF(D27='References Assumptions'!$C$339,0,IF(D26&lt;min_solids_for_no_N2O_or_CH4,+D7*ch4_compost,0))</f>
        <v>#N/A</v>
      </c>
      <c r="E41" s="339"/>
      <c r="F41" s="338" t="e">
        <f>IF(F27='References Assumptions'!$C$339,0,IF(F26&lt;min_solids_for_no_N2O_or_CH4,+F7*ch4_compost,0))</f>
        <v>#N/A</v>
      </c>
      <c r="G41" s="339"/>
      <c r="H41" s="338" t="e">
        <f>IF(H27='References Assumptions'!$C$339,0,IF(H26&lt;min_solids_for_no_N2O_or_CH4,+H7*ch4_compost,0))</f>
        <v>#N/A</v>
      </c>
      <c r="I41" s="339"/>
      <c r="J41" s="338" t="e">
        <f>IF(J27='References Assumptions'!$C$339,0,IF(J26&lt;min_solids_for_no_N2O_or_CH4,+J7*ch4_compost,0))</f>
        <v>#N/A</v>
      </c>
      <c r="K41" s="339"/>
      <c r="L41" s="338" t="e">
        <f>IF(L27='References Assumptions'!$C$339,0,IF(L26&lt;min_solids_for_no_N2O_or_CH4,+L7*ch4_compost,0))</f>
        <v>#N/A</v>
      </c>
      <c r="M41" s="339"/>
      <c r="N41" s="338" t="e">
        <f>IF(N27='References Assumptions'!$C$339,0,IF(N26&lt;min_solids_for_no_N2O_or_CH4,+N7*ch4_compost,0))</f>
        <v>#N/A</v>
      </c>
      <c r="O41" s="339"/>
      <c r="P41" s="338" t="e">
        <f>IF(P27='References Assumptions'!$C$339,0,IF(P26&lt;min_solids_for_no_N2O_or_CH4,+P7*ch4_compost,0))</f>
        <v>#N/A</v>
      </c>
      <c r="Q41" s="339"/>
      <c r="R41" s="338" t="e">
        <f>IF(R27='References Assumptions'!$C$339,0,IF(R26&lt;min_solids_for_no_N2O_or_CH4,+R7*ch4_compost,0))</f>
        <v>#N/A</v>
      </c>
      <c r="S41" s="339"/>
      <c r="T41" s="338" t="e">
        <f>IF(T27='References Assumptions'!$C$339,0,IF(T26&lt;min_solids_for_no_N2O_or_CH4,+T7*ch4_compost,0))</f>
        <v>#N/A</v>
      </c>
      <c r="U41" s="339"/>
    </row>
    <row r="42" spans="1:21" ht="15.75" customHeight="1" x14ac:dyDescent="0.3">
      <c r="A42" s="331" t="s">
        <v>337</v>
      </c>
      <c r="B42" s="250" t="e">
        <f>+B41*CO2E_of_CH4_ClimateReg</f>
        <v>#N/A</v>
      </c>
      <c r="C42" s="340"/>
      <c r="D42" s="250" t="e">
        <f>+D41*CO2E_of_CH4_ClimateReg</f>
        <v>#N/A</v>
      </c>
      <c r="E42" s="340"/>
      <c r="F42" s="250" t="e">
        <f>+F41*CO2E_of_CH4_ClimateReg</f>
        <v>#N/A</v>
      </c>
      <c r="G42" s="340"/>
      <c r="H42" s="250" t="e">
        <f>+H41*CO2E_of_CH4_ClimateReg</f>
        <v>#N/A</v>
      </c>
      <c r="I42" s="340"/>
      <c r="J42" s="250" t="e">
        <f>+J41*CO2E_of_CH4_ClimateReg</f>
        <v>#N/A</v>
      </c>
      <c r="K42" s="340"/>
      <c r="L42" s="250" t="e">
        <f>+L41*CO2E_of_CH4_ClimateReg</f>
        <v>#N/A</v>
      </c>
      <c r="M42" s="340"/>
      <c r="N42" s="250" t="e">
        <f>+N41*CO2E_of_CH4_ClimateReg</f>
        <v>#N/A</v>
      </c>
      <c r="O42" s="340"/>
      <c r="P42" s="250" t="e">
        <f>+P41*CO2E_of_CH4_ClimateReg</f>
        <v>#N/A</v>
      </c>
      <c r="Q42" s="340"/>
      <c r="R42" s="250" t="e">
        <f>+R41*CO2E_of_CH4_ClimateReg</f>
        <v>#N/A</v>
      </c>
      <c r="S42" s="340"/>
      <c r="T42" s="250" t="e">
        <f>+T41*CO2E_of_CH4_ClimateReg</f>
        <v>#N/A</v>
      </c>
      <c r="U42" s="340"/>
    </row>
    <row r="43" spans="1:21" s="105" customFormat="1" ht="15.75" customHeight="1" thickBot="1" x14ac:dyDescent="0.3">
      <c r="A43" s="341"/>
      <c r="B43" s="337"/>
      <c r="C43" s="335"/>
      <c r="D43" s="337"/>
      <c r="E43" s="335"/>
      <c r="F43" s="337"/>
      <c r="G43" s="335"/>
      <c r="H43" s="337"/>
      <c r="I43" s="335"/>
      <c r="J43" s="337"/>
      <c r="K43" s="335"/>
      <c r="L43" s="337"/>
      <c r="M43" s="335"/>
      <c r="N43" s="337"/>
      <c r="O43" s="335"/>
      <c r="P43" s="337"/>
      <c r="Q43" s="335"/>
      <c r="R43" s="337"/>
      <c r="S43" s="335"/>
      <c r="T43" s="337"/>
      <c r="U43" s="335"/>
    </row>
    <row r="44" spans="1:21" s="130" customFormat="1" ht="15.75" customHeight="1" thickBot="1" x14ac:dyDescent="0.3">
      <c r="A44" s="1032" t="s">
        <v>202</v>
      </c>
      <c r="B44" s="1033"/>
      <c r="C44" s="1033"/>
      <c r="D44" s="1033"/>
      <c r="E44" s="1033"/>
      <c r="F44" s="1033"/>
      <c r="G44" s="1033"/>
      <c r="H44" s="1033"/>
      <c r="I44" s="1033"/>
      <c r="J44" s="1033"/>
      <c r="K44" s="1033"/>
      <c r="L44" s="1033"/>
      <c r="M44" s="1033"/>
      <c r="N44" s="1033"/>
      <c r="O44" s="1033"/>
      <c r="P44" s="1033"/>
      <c r="Q44" s="1033"/>
      <c r="R44" s="1033"/>
      <c r="S44" s="1033"/>
      <c r="T44" s="1033"/>
      <c r="U44" s="1034"/>
    </row>
    <row r="45" spans="1:21" s="130" customFormat="1" ht="15.75" customHeight="1" x14ac:dyDescent="0.35">
      <c r="A45" s="322" t="s">
        <v>297</v>
      </c>
      <c r="B45" s="342" t="e">
        <f>+IF(B25&gt;=Cut_off_between_low_and_high_C_N,0,IF(Composting!B26&gt;=min_solids_for_no_N2O_or_CH4,0,B7*n2o_compost))</f>
        <v>#N/A</v>
      </c>
      <c r="C45" s="343"/>
      <c r="D45" s="342" t="e">
        <f>+IF(D25&gt;=Cut_off_between_low_and_high_C_N,0,IF(Composting!D26&gt;=min_solids_for_no_N2O_or_CH4,0,D7*n2o_compost))</f>
        <v>#N/A</v>
      </c>
      <c r="E45" s="343"/>
      <c r="F45" s="342" t="e">
        <f>+IF(F25&gt;=Cut_off_between_low_and_high_C_N,0,IF(Composting!F26&gt;=min_solids_for_no_N2O_or_CH4,0,F7*n2o_compost))</f>
        <v>#N/A</v>
      </c>
      <c r="G45" s="343"/>
      <c r="H45" s="342" t="e">
        <f>+IF(H25&gt;=Cut_off_between_low_and_high_C_N,0,IF(Composting!H26&gt;=min_solids_for_no_N2O_or_CH4,0,H7*n2o_compost))</f>
        <v>#N/A</v>
      </c>
      <c r="I45" s="343"/>
      <c r="J45" s="342" t="e">
        <f>+IF(J25&gt;=Cut_off_between_low_and_high_C_N,0,IF(Composting!J26&gt;=min_solids_for_no_N2O_or_CH4,0,J7*n2o_compost))</f>
        <v>#N/A</v>
      </c>
      <c r="K45" s="343"/>
      <c r="L45" s="342" t="e">
        <f>+IF(L25&gt;=Cut_off_between_low_and_high_C_N,0,IF(Composting!L26&gt;=min_solids_for_no_N2O_or_CH4,0,L7*n2o_compost))</f>
        <v>#N/A</v>
      </c>
      <c r="M45" s="343"/>
      <c r="N45" s="342" t="e">
        <f>+IF(N25&gt;=Cut_off_between_low_and_high_C_N,0,IF(Composting!N26&gt;=min_solids_for_no_N2O_or_CH4,0,N7*n2o_compost))</f>
        <v>#N/A</v>
      </c>
      <c r="O45" s="343"/>
      <c r="P45" s="342" t="e">
        <f>+IF(P25&gt;=Cut_off_between_low_and_high_C_N,0,IF(Composting!P26&gt;=min_solids_for_no_N2O_or_CH4,0,P7*n2o_compost))</f>
        <v>#N/A</v>
      </c>
      <c r="Q45" s="343"/>
      <c r="R45" s="342" t="e">
        <f>+IF(R25&gt;=Cut_off_between_low_and_high_C_N,0,IF(Composting!R26&gt;=min_solids_for_no_N2O_or_CH4,0,R7*n2o_compost))</f>
        <v>#N/A</v>
      </c>
      <c r="S45" s="343"/>
      <c r="T45" s="342" t="e">
        <f>+IF(T25&gt;=Cut_off_between_low_and_high_C_N,0,IF(Composting!T26&gt;=min_solids_for_no_N2O_or_CH4,0,T7*n2o_compost))</f>
        <v>#N/A</v>
      </c>
      <c r="U45" s="343"/>
    </row>
    <row r="46" spans="1:21" s="105" customFormat="1" ht="15.75" customHeight="1" x14ac:dyDescent="0.3">
      <c r="A46" s="331" t="s">
        <v>342</v>
      </c>
      <c r="B46" s="250" t="e">
        <f>+B45*CO2E_of_N2O_Climate_Reg</f>
        <v>#N/A</v>
      </c>
      <c r="C46" s="332"/>
      <c r="D46" s="250" t="e">
        <f>+D45*CO2E_of_N2O_Climate_Reg</f>
        <v>#N/A</v>
      </c>
      <c r="E46" s="332"/>
      <c r="F46" s="250" t="e">
        <f>+F45*CO2E_of_N2O_Climate_Reg</f>
        <v>#N/A</v>
      </c>
      <c r="G46" s="332"/>
      <c r="H46" s="250" t="e">
        <f>+H45*CO2E_of_N2O_Climate_Reg</f>
        <v>#N/A</v>
      </c>
      <c r="I46" s="332"/>
      <c r="J46" s="250" t="e">
        <f>+J45*CO2E_of_N2O_Climate_Reg</f>
        <v>#N/A</v>
      </c>
      <c r="K46" s="332"/>
      <c r="L46" s="250" t="e">
        <f>+L45*CO2E_of_N2O_Climate_Reg</f>
        <v>#N/A</v>
      </c>
      <c r="M46" s="332"/>
      <c r="N46" s="250" t="e">
        <f>+N45*CO2E_of_N2O_Climate_Reg</f>
        <v>#N/A</v>
      </c>
      <c r="O46" s="332"/>
      <c r="P46" s="250" t="e">
        <f>+P45*CO2E_of_N2O_Climate_Reg</f>
        <v>#N/A</v>
      </c>
      <c r="Q46" s="332"/>
      <c r="R46" s="250" t="e">
        <f>+R45*CO2E_of_N2O_Climate_Reg</f>
        <v>#N/A</v>
      </c>
      <c r="S46" s="332"/>
      <c r="T46" s="250" t="e">
        <f>+T45*CO2E_of_N2O_Climate_Reg</f>
        <v>#N/A</v>
      </c>
      <c r="U46" s="332"/>
    </row>
    <row r="47" spans="1:21" ht="15.75" customHeight="1" thickBot="1" x14ac:dyDescent="0.3">
      <c r="A47" s="323"/>
      <c r="B47" s="344"/>
      <c r="C47" s="345"/>
      <c r="D47" s="344"/>
      <c r="E47" s="345"/>
      <c r="F47" s="344"/>
      <c r="G47" s="345"/>
      <c r="H47" s="344"/>
      <c r="I47" s="345"/>
      <c r="J47" s="344"/>
      <c r="K47" s="345"/>
      <c r="L47" s="344"/>
      <c r="M47" s="345"/>
      <c r="N47" s="344"/>
      <c r="O47" s="345"/>
      <c r="P47" s="344"/>
      <c r="Q47" s="345"/>
      <c r="R47" s="344"/>
      <c r="S47" s="345"/>
      <c r="T47" s="344"/>
      <c r="U47" s="345"/>
    </row>
    <row r="48" spans="1:21" s="105" customFormat="1" ht="15.75" customHeight="1" thickBot="1" x14ac:dyDescent="0.3">
      <c r="A48" s="1300" t="s">
        <v>235</v>
      </c>
      <c r="B48" s="1301"/>
      <c r="C48" s="1301"/>
      <c r="D48" s="1301"/>
      <c r="E48" s="1301"/>
      <c r="F48" s="1301"/>
      <c r="G48" s="1301"/>
      <c r="H48" s="1301"/>
      <c r="I48" s="1301"/>
      <c r="J48" s="1301"/>
      <c r="K48" s="1301"/>
      <c r="L48" s="1301"/>
      <c r="M48" s="1301"/>
      <c r="N48" s="1301"/>
      <c r="O48" s="1301"/>
      <c r="P48" s="1301"/>
      <c r="Q48" s="1301"/>
      <c r="R48" s="1301"/>
      <c r="S48" s="1301"/>
      <c r="T48" s="1301"/>
      <c r="U48" s="1302"/>
    </row>
    <row r="49" spans="1:21" s="105" customFormat="1" ht="15.75" customHeight="1" x14ac:dyDescent="0.25">
      <c r="A49" s="1023" t="s">
        <v>940</v>
      </c>
      <c r="B49" s="14"/>
      <c r="C49" s="1030"/>
      <c r="D49" s="14"/>
      <c r="E49" s="1031"/>
      <c r="F49" s="14"/>
      <c r="G49" s="1031"/>
      <c r="H49" s="14"/>
      <c r="I49" s="1031"/>
      <c r="J49" s="14"/>
      <c r="K49" s="1030"/>
      <c r="L49" s="14"/>
      <c r="M49" s="1031"/>
      <c r="N49" s="14"/>
      <c r="O49" s="1031"/>
      <c r="P49" s="14"/>
      <c r="Q49" s="1031"/>
      <c r="R49" s="14"/>
      <c r="S49" s="1031"/>
      <c r="T49" s="14"/>
      <c r="U49" s="1031"/>
    </row>
    <row r="50" spans="1:21" s="130" customFormat="1" ht="15.75" customHeight="1" x14ac:dyDescent="0.3">
      <c r="A50" s="331" t="s">
        <v>41</v>
      </c>
      <c r="B50" s="347" t="e">
        <f>-B9*VLOOKUP(B49,'References Assumptions'!$A$147:$B$150,2,FALSE)</f>
        <v>#VALUE!</v>
      </c>
      <c r="C50" s="953"/>
      <c r="D50" s="347" t="e">
        <f>-D9*VLOOKUP(D49,'References Assumptions'!$A$147:$B$150,2,FALSE)</f>
        <v>#VALUE!</v>
      </c>
      <c r="E50" s="348"/>
      <c r="F50" s="347" t="e">
        <f>-F9*VLOOKUP(F49,'References Assumptions'!$A$147:$B$150,2,FALSE)</f>
        <v>#VALUE!</v>
      </c>
      <c r="G50" s="348"/>
      <c r="H50" s="347" t="e">
        <f>-H9*VLOOKUP(H49,'References Assumptions'!$A$147:$B$150,2,FALSE)</f>
        <v>#VALUE!</v>
      </c>
      <c r="I50" s="348"/>
      <c r="J50" s="347" t="e">
        <f>-J9*VLOOKUP(J49,'References Assumptions'!$A$147:$B$150,2,FALSE)</f>
        <v>#VALUE!</v>
      </c>
      <c r="K50" s="953"/>
      <c r="L50" s="347" t="e">
        <f>-L9*VLOOKUP(L49,'References Assumptions'!$A$147:$B$150,2,FALSE)</f>
        <v>#VALUE!</v>
      </c>
      <c r="M50" s="348"/>
      <c r="N50" s="347" t="e">
        <f>-N9*VLOOKUP(N49,'References Assumptions'!$A$147:$B$150,2,FALSE)</f>
        <v>#VALUE!</v>
      </c>
      <c r="O50" s="348"/>
      <c r="P50" s="347" t="e">
        <f>-P9*VLOOKUP(P49,'References Assumptions'!$A$147:$B$150,2,FALSE)</f>
        <v>#VALUE!</v>
      </c>
      <c r="Q50" s="348"/>
      <c r="R50" s="347" t="e">
        <f>-R9*VLOOKUP(R49,'References Assumptions'!$A$147:$B$150,2,FALSE)</f>
        <v>#VALUE!</v>
      </c>
      <c r="S50" s="348"/>
      <c r="T50" s="347" t="e">
        <f>-T9*VLOOKUP(T49,'References Assumptions'!$A$147:$B$150,2,FALSE)</f>
        <v>#VALUE!</v>
      </c>
      <c r="U50" s="348"/>
    </row>
    <row r="51" spans="1:21" s="105" customFormat="1" ht="15.75" customHeight="1" thickBot="1" x14ac:dyDescent="0.3">
      <c r="A51" s="341"/>
      <c r="B51" s="337"/>
      <c r="C51" s="954"/>
      <c r="D51" s="337"/>
      <c r="E51" s="335"/>
      <c r="F51" s="337"/>
      <c r="G51" s="335"/>
      <c r="H51" s="337"/>
      <c r="I51" s="335"/>
      <c r="J51" s="337"/>
      <c r="K51" s="954"/>
      <c r="L51" s="337"/>
      <c r="M51" s="335"/>
      <c r="N51" s="337"/>
      <c r="O51" s="335"/>
      <c r="P51" s="337"/>
      <c r="Q51" s="335"/>
      <c r="R51" s="337"/>
      <c r="S51" s="335"/>
      <c r="T51" s="337"/>
      <c r="U51" s="335"/>
    </row>
    <row r="52" spans="1:21" s="130" customFormat="1" ht="15.75" customHeight="1" thickBot="1" x14ac:dyDescent="0.3">
      <c r="A52" s="1300" t="s">
        <v>226</v>
      </c>
      <c r="B52" s="1301"/>
      <c r="C52" s="1301"/>
      <c r="D52" s="1301"/>
      <c r="E52" s="1301"/>
      <c r="F52" s="1301"/>
      <c r="G52" s="1301"/>
      <c r="H52" s="1301"/>
      <c r="I52" s="1301"/>
      <c r="J52" s="1301"/>
      <c r="K52" s="1301"/>
      <c r="L52" s="1301"/>
      <c r="M52" s="1301"/>
      <c r="N52" s="1301"/>
      <c r="O52" s="1301"/>
      <c r="P52" s="1301"/>
      <c r="Q52" s="1301"/>
      <c r="R52" s="1301"/>
      <c r="S52" s="1301"/>
      <c r="T52" s="1301"/>
      <c r="U52" s="1302"/>
    </row>
    <row r="53" spans="1:21" s="130" customFormat="1" ht="15.75" customHeight="1" x14ac:dyDescent="0.3">
      <c r="A53" s="346" t="s">
        <v>42</v>
      </c>
      <c r="B53" s="347" t="e">
        <f>-B9*B13*N_fertilizer_credit_ROU_2006</f>
        <v>#VALUE!</v>
      </c>
      <c r="C53" s="349"/>
      <c r="D53" s="347" t="e">
        <f>-D9*D13*N_fertilizer_credit_ROU_2006</f>
        <v>#VALUE!</v>
      </c>
      <c r="E53" s="349"/>
      <c r="F53" s="347" t="e">
        <f>-F9*F13*N_fertilizer_credit_ROU_2006</f>
        <v>#VALUE!</v>
      </c>
      <c r="G53" s="349"/>
      <c r="H53" s="347" t="e">
        <f>-H9*H13*N_fertilizer_credit_ROU_2006</f>
        <v>#VALUE!</v>
      </c>
      <c r="I53" s="349"/>
      <c r="J53" s="347" t="e">
        <f>-J9*J13*N_fertilizer_credit_ROU_2006</f>
        <v>#VALUE!</v>
      </c>
      <c r="K53" s="349"/>
      <c r="L53" s="347" t="e">
        <f>-L9*L13*N_fertilizer_credit_ROU_2006</f>
        <v>#VALUE!</v>
      </c>
      <c r="M53" s="349"/>
      <c r="N53" s="347" t="e">
        <f>-N9*N13*N_fertilizer_credit_ROU_2006</f>
        <v>#VALUE!</v>
      </c>
      <c r="O53" s="349"/>
      <c r="P53" s="347" t="e">
        <f>-P9*P13*N_fertilizer_credit_ROU_2006</f>
        <v>#VALUE!</v>
      </c>
      <c r="Q53" s="349"/>
      <c r="R53" s="347" t="e">
        <f>-R9*R13*N_fertilizer_credit_ROU_2006</f>
        <v>#VALUE!</v>
      </c>
      <c r="S53" s="349"/>
      <c r="T53" s="347" t="e">
        <f>-T9*T13*N_fertilizer_credit_ROU_2006</f>
        <v>#VALUE!</v>
      </c>
      <c r="U53" s="349"/>
    </row>
    <row r="54" spans="1:21" s="183" customFormat="1" ht="15.75" customHeight="1" x14ac:dyDescent="0.3">
      <c r="A54" s="1101" t="s">
        <v>43</v>
      </c>
      <c r="B54" s="418" t="e">
        <f>-B9*B14*P_fertilizer_credit_ROU_2006</f>
        <v>#VALUE!</v>
      </c>
      <c r="C54" s="1102"/>
      <c r="D54" s="418" t="e">
        <f>-D9*D14*P_fertilizer_credit_ROU_2006</f>
        <v>#VALUE!</v>
      </c>
      <c r="E54" s="1102"/>
      <c r="F54" s="418" t="e">
        <f>-F9*F14*P_fertilizer_credit_ROU_2006</f>
        <v>#VALUE!</v>
      </c>
      <c r="G54" s="1102"/>
      <c r="H54" s="418" t="e">
        <f>-H9*H14*P_fertilizer_credit_ROU_2006</f>
        <v>#VALUE!</v>
      </c>
      <c r="I54" s="1102"/>
      <c r="J54" s="418" t="e">
        <f>-J9*J14*P_fertilizer_credit_ROU_2006</f>
        <v>#VALUE!</v>
      </c>
      <c r="K54" s="1102"/>
      <c r="L54" s="418" t="e">
        <f>-L9*L14*P_fertilizer_credit_ROU_2006</f>
        <v>#VALUE!</v>
      </c>
      <c r="M54" s="1102"/>
      <c r="N54" s="418" t="e">
        <f>-N9*N14*P_fertilizer_credit_ROU_2006</f>
        <v>#VALUE!</v>
      </c>
      <c r="O54" s="1102"/>
      <c r="P54" s="418" t="e">
        <f>-P9*P14*P_fertilizer_credit_ROU_2006</f>
        <v>#VALUE!</v>
      </c>
      <c r="Q54" s="1102"/>
      <c r="R54" s="418" t="e">
        <f>-R9*R14*P_fertilizer_credit_ROU_2006</f>
        <v>#VALUE!</v>
      </c>
      <c r="S54" s="1102"/>
      <c r="T54" s="418" t="e">
        <f>-T9*T14*P_fertilizer_credit_ROU_2006</f>
        <v>#VALUE!</v>
      </c>
      <c r="U54" s="1102"/>
    </row>
    <row r="55" spans="1:21" s="183" customFormat="1" ht="15.75" customHeight="1" thickBot="1" x14ac:dyDescent="0.3">
      <c r="A55" s="323"/>
      <c r="B55" s="344"/>
      <c r="C55" s="345"/>
      <c r="D55" s="344"/>
      <c r="E55" s="345"/>
      <c r="F55" s="344"/>
      <c r="G55" s="345"/>
      <c r="H55" s="344"/>
      <c r="I55" s="345"/>
      <c r="J55" s="344"/>
      <c r="K55" s="345"/>
      <c r="L55" s="344"/>
      <c r="M55" s="345"/>
      <c r="N55" s="344"/>
      <c r="O55" s="345"/>
      <c r="P55" s="344"/>
      <c r="Q55" s="345"/>
      <c r="R55" s="344"/>
      <c r="S55" s="345"/>
      <c r="T55" s="344"/>
      <c r="U55" s="345"/>
    </row>
    <row r="56" spans="1:21" ht="15.75" customHeight="1" thickBot="1" x14ac:dyDescent="0.25">
      <c r="A56" s="1348"/>
      <c r="B56" s="1349"/>
      <c r="C56" s="1349"/>
      <c r="D56" s="1349"/>
      <c r="E56" s="1349"/>
      <c r="F56" s="1349"/>
      <c r="G56" s="1349"/>
      <c r="H56" s="1349"/>
      <c r="I56" s="1349"/>
      <c r="J56" s="1349"/>
      <c r="K56" s="1349"/>
      <c r="L56" s="1349"/>
      <c r="M56" s="1349"/>
      <c r="N56" s="1349"/>
      <c r="O56" s="1349"/>
      <c r="P56" s="1349"/>
      <c r="Q56" s="1349"/>
      <c r="R56" s="1349"/>
      <c r="S56" s="1349"/>
      <c r="T56" s="1349"/>
      <c r="U56" s="1350"/>
    </row>
    <row r="57" spans="1:21" s="105" customFormat="1" ht="15.75" customHeight="1" thickBot="1" x14ac:dyDescent="0.25">
      <c r="A57" s="254" t="s">
        <v>329</v>
      </c>
      <c r="B57" s="282" t="e">
        <f>(B34+B38+B42+B46+B50+B53+B54)*days_yr</f>
        <v>#N/A</v>
      </c>
      <c r="C57" s="304"/>
      <c r="D57" s="282" t="e">
        <f>(D34+D38+D42+D46+D50+D53+D54)*days_yr</f>
        <v>#N/A</v>
      </c>
      <c r="E57" s="304"/>
      <c r="F57" s="282" t="e">
        <f>(F34+F38+F42+F46+F50+F53+F54)*days_yr</f>
        <v>#N/A</v>
      </c>
      <c r="G57" s="304"/>
      <c r="H57" s="282" t="e">
        <f>(H34+H38+H42+H46+H50+H53+H54)*days_yr</f>
        <v>#N/A</v>
      </c>
      <c r="I57" s="304"/>
      <c r="J57" s="282" t="e">
        <f>(J34+J38+J42+J46+J50+J53+J54)*days_yr</f>
        <v>#N/A</v>
      </c>
      <c r="K57" s="304"/>
      <c r="L57" s="282" t="e">
        <f>(L34+L38+L42+L46+L50+L53+L54)*days_yr</f>
        <v>#N/A</v>
      </c>
      <c r="M57" s="304"/>
      <c r="N57" s="282" t="e">
        <f>(N34+N38+N42+N46+N50+N53+N54)*days_yr</f>
        <v>#N/A</v>
      </c>
      <c r="O57" s="304"/>
      <c r="P57" s="282" t="e">
        <f>(P34+P38+P42+P46+P50+P53+P54)*days_yr</f>
        <v>#N/A</v>
      </c>
      <c r="Q57" s="304"/>
      <c r="R57" s="282" t="e">
        <f>(R34+R38+R42+R46+R50+R53+R54)*days_yr</f>
        <v>#N/A</v>
      </c>
      <c r="S57" s="304"/>
      <c r="T57" s="282" t="e">
        <f>(T34+T38+T42+T46+T50+T53+T54)*days_yr</f>
        <v>#N/A</v>
      </c>
      <c r="U57" s="304"/>
    </row>
    <row r="58" spans="1:21" ht="18.75" customHeight="1" x14ac:dyDescent="0.25">
      <c r="A58" s="161" t="s">
        <v>228</v>
      </c>
      <c r="B58" s="137" t="e">
        <f>(B34+B42+B46+B50)*days_yr</f>
        <v>#N/A</v>
      </c>
      <c r="C58" s="305"/>
      <c r="D58" s="137" t="e">
        <f>(D34+D42+D46+D50)*days_yr</f>
        <v>#N/A</v>
      </c>
      <c r="E58" s="305"/>
      <c r="F58" s="137" t="e">
        <f>(F34+F42+F46+F50)*days_yr</f>
        <v>#N/A</v>
      </c>
      <c r="G58" s="305"/>
      <c r="H58" s="137" t="e">
        <f>(H34+H42+H46+H50)*days_yr</f>
        <v>#N/A</v>
      </c>
      <c r="I58" s="305"/>
      <c r="J58" s="137" t="e">
        <f>(J34+J42+J46+J50)*days_yr</f>
        <v>#N/A</v>
      </c>
      <c r="K58" s="305"/>
      <c r="L58" s="137" t="e">
        <f>(L34+L42+L46+L50)*days_yr</f>
        <v>#N/A</v>
      </c>
      <c r="M58" s="305"/>
      <c r="N58" s="137" t="e">
        <f>(N34+N42+N46+N50)*days_yr</f>
        <v>#N/A</v>
      </c>
      <c r="O58" s="305"/>
      <c r="P58" s="137" t="e">
        <f>(P34+P42+P46+P50)*days_yr</f>
        <v>#N/A</v>
      </c>
      <c r="Q58" s="305"/>
      <c r="R58" s="137" t="e">
        <f>(R34+R42+R46+R50)*days_yr</f>
        <v>#N/A</v>
      </c>
      <c r="S58" s="305"/>
      <c r="T58" s="137" t="e">
        <f>(T34+T42+T46+T50)*days_yr</f>
        <v>#N/A</v>
      </c>
      <c r="U58" s="305"/>
    </row>
    <row r="59" spans="1:21" ht="15.75" customHeight="1" x14ac:dyDescent="0.25">
      <c r="A59" s="168" t="s">
        <v>229</v>
      </c>
      <c r="B59" s="138">
        <f>B38*days_yr</f>
        <v>0</v>
      </c>
      <c r="C59" s="305"/>
      <c r="D59" s="138">
        <f>D38*days_yr</f>
        <v>0</v>
      </c>
      <c r="E59" s="305"/>
      <c r="F59" s="138">
        <f>F38*days_yr</f>
        <v>0</v>
      </c>
      <c r="G59" s="305"/>
      <c r="H59" s="138">
        <f>H38*days_yr</f>
        <v>0</v>
      </c>
      <c r="I59" s="305"/>
      <c r="J59" s="138">
        <f>J38*days_yr</f>
        <v>0</v>
      </c>
      <c r="K59" s="305"/>
      <c r="L59" s="138">
        <f>L38*days_yr</f>
        <v>0</v>
      </c>
      <c r="M59" s="305"/>
      <c r="N59" s="138">
        <f>N38*days_yr</f>
        <v>0</v>
      </c>
      <c r="O59" s="305"/>
      <c r="P59" s="138">
        <f>P38*days_yr</f>
        <v>0</v>
      </c>
      <c r="Q59" s="305"/>
      <c r="R59" s="138">
        <f>R38*days_yr</f>
        <v>0</v>
      </c>
      <c r="S59" s="305"/>
      <c r="T59" s="138">
        <f>T38*days_yr</f>
        <v>0</v>
      </c>
      <c r="U59" s="305"/>
    </row>
    <row r="60" spans="1:21" ht="15.75" customHeight="1" x14ac:dyDescent="0.25">
      <c r="A60" s="168" t="s">
        <v>207</v>
      </c>
      <c r="B60" s="138" t="e">
        <f>B58+B59</f>
        <v>#N/A</v>
      </c>
      <c r="C60" s="305"/>
      <c r="D60" s="138" t="e">
        <f>D58+D59</f>
        <v>#N/A</v>
      </c>
      <c r="E60" s="305"/>
      <c r="F60" s="138" t="e">
        <f>F58+F59</f>
        <v>#N/A</v>
      </c>
      <c r="G60" s="305"/>
      <c r="H60" s="138" t="e">
        <f>H58+H59</f>
        <v>#N/A</v>
      </c>
      <c r="I60" s="305"/>
      <c r="J60" s="138" t="e">
        <f>J58+J59</f>
        <v>#N/A</v>
      </c>
      <c r="K60" s="305"/>
      <c r="L60" s="138" t="e">
        <f>L58+L59</f>
        <v>#N/A</v>
      </c>
      <c r="M60" s="305"/>
      <c r="N60" s="138" t="e">
        <f>N58+N59</f>
        <v>#N/A</v>
      </c>
      <c r="O60" s="305"/>
      <c r="P60" s="138" t="e">
        <f>P58+P59</f>
        <v>#N/A</v>
      </c>
      <c r="Q60" s="305"/>
      <c r="R60" s="138" t="e">
        <f>R58+R59</f>
        <v>#N/A</v>
      </c>
      <c r="S60" s="305"/>
      <c r="T60" s="138" t="e">
        <f>T58+T59</f>
        <v>#N/A</v>
      </c>
      <c r="U60" s="305"/>
    </row>
    <row r="61" spans="1:21" ht="15.75" customHeight="1" x14ac:dyDescent="0.25">
      <c r="A61" s="168" t="s">
        <v>230</v>
      </c>
      <c r="B61" s="138" t="e">
        <f>(B53+B54)*days_yr</f>
        <v>#VALUE!</v>
      </c>
      <c r="C61" s="305"/>
      <c r="D61" s="138" t="e">
        <f>(D53+D54)*days_yr</f>
        <v>#VALUE!</v>
      </c>
      <c r="E61" s="305"/>
      <c r="F61" s="138" t="e">
        <f>(F53+F54)*days_yr</f>
        <v>#VALUE!</v>
      </c>
      <c r="G61" s="305"/>
      <c r="H61" s="138" t="e">
        <f>(H53+H54)*days_yr</f>
        <v>#VALUE!</v>
      </c>
      <c r="I61" s="305"/>
      <c r="J61" s="138" t="e">
        <f>(J53+J54)*days_yr</f>
        <v>#VALUE!</v>
      </c>
      <c r="K61" s="305"/>
      <c r="L61" s="138" t="e">
        <f>(L53+L54)*days_yr</f>
        <v>#VALUE!</v>
      </c>
      <c r="M61" s="305"/>
      <c r="N61" s="138" t="e">
        <f>(N53+N54)*days_yr</f>
        <v>#VALUE!</v>
      </c>
      <c r="O61" s="305"/>
      <c r="P61" s="138" t="e">
        <f>(P53+P54)*days_yr</f>
        <v>#VALUE!</v>
      </c>
      <c r="Q61" s="305"/>
      <c r="R61" s="138" t="e">
        <f>(R53+R54)*days_yr</f>
        <v>#VALUE!</v>
      </c>
      <c r="S61" s="305"/>
      <c r="T61" s="138" t="e">
        <f>(T53+T54)*days_yr</f>
        <v>#VALUE!</v>
      </c>
      <c r="U61" s="305"/>
    </row>
    <row r="62" spans="1:21" ht="15.75" customHeight="1" thickBot="1" x14ac:dyDescent="0.3">
      <c r="A62" s="169" t="s">
        <v>232</v>
      </c>
      <c r="B62" s="285" t="s">
        <v>102</v>
      </c>
      <c r="C62" s="351"/>
      <c r="D62" s="285" t="s">
        <v>102</v>
      </c>
      <c r="E62" s="351"/>
      <c r="F62" s="285" t="s">
        <v>102</v>
      </c>
      <c r="G62" s="351"/>
      <c r="H62" s="285" t="s">
        <v>102</v>
      </c>
      <c r="I62" s="351"/>
      <c r="J62" s="285" t="s">
        <v>102</v>
      </c>
      <c r="K62" s="351"/>
      <c r="L62" s="285" t="s">
        <v>102</v>
      </c>
      <c r="M62" s="351"/>
      <c r="N62" s="285" t="s">
        <v>102</v>
      </c>
      <c r="O62" s="351"/>
      <c r="P62" s="285" t="s">
        <v>102</v>
      </c>
      <c r="Q62" s="351"/>
      <c r="R62" s="285" t="s">
        <v>102</v>
      </c>
      <c r="S62" s="351"/>
      <c r="T62" s="285" t="s">
        <v>102</v>
      </c>
      <c r="U62" s="351"/>
    </row>
    <row r="63" spans="1:21" ht="15.75" customHeight="1" x14ac:dyDescent="0.2">
      <c r="D63" s="352"/>
      <c r="E63" s="352"/>
      <c r="F63" s="352"/>
    </row>
    <row r="64" spans="1:21" ht="15.75" customHeight="1" x14ac:dyDescent="0.25">
      <c r="A64" s="176" t="s">
        <v>97</v>
      </c>
      <c r="B64" s="155"/>
      <c r="C64" s="105"/>
      <c r="D64" s="352"/>
      <c r="E64" s="352"/>
      <c r="F64" s="352"/>
      <c r="G64" s="105"/>
      <c r="H64" s="105"/>
      <c r="I64" s="105"/>
      <c r="J64" s="105"/>
      <c r="K64" s="105"/>
      <c r="L64" s="105"/>
      <c r="M64" s="105"/>
      <c r="N64" s="105"/>
      <c r="O64" s="105"/>
      <c r="P64" s="105"/>
      <c r="Q64" s="105"/>
      <c r="R64" s="105"/>
      <c r="S64" s="105"/>
      <c r="T64" s="105"/>
      <c r="U64" s="105"/>
    </row>
    <row r="65" spans="1:21" s="105" customFormat="1" ht="29.25" x14ac:dyDescent="0.2">
      <c r="A65" s="1035" t="s">
        <v>5</v>
      </c>
      <c r="B65" s="1036"/>
      <c r="C65" s="1036"/>
      <c r="D65" s="352"/>
      <c r="E65" s="352"/>
      <c r="F65" s="352"/>
    </row>
    <row r="66" spans="1:21" s="105" customFormat="1" ht="15.75" customHeight="1" x14ac:dyDescent="0.2">
      <c r="A66" s="96" t="s">
        <v>985</v>
      </c>
      <c r="B66" s="1036"/>
      <c r="C66" s="1036"/>
    </row>
    <row r="67" spans="1:21" s="105" customFormat="1" ht="15.75" customHeight="1" x14ac:dyDescent="0.2">
      <c r="B67" s="96"/>
      <c r="C67" s="96"/>
      <c r="D67" s="96"/>
      <c r="E67" s="96"/>
      <c r="F67" s="96"/>
      <c r="G67" s="96"/>
      <c r="H67" s="96"/>
      <c r="I67" s="96"/>
      <c r="J67" s="96"/>
      <c r="K67" s="96"/>
      <c r="L67" s="96"/>
      <c r="M67" s="96"/>
      <c r="N67" s="96"/>
      <c r="O67" s="96"/>
      <c r="P67" s="96"/>
      <c r="Q67" s="96"/>
      <c r="R67" s="96"/>
      <c r="S67" s="96"/>
      <c r="T67" s="96"/>
      <c r="U67" s="96"/>
    </row>
    <row r="68" spans="1:21" ht="15" x14ac:dyDescent="0.2">
      <c r="A68" s="353"/>
      <c r="B68" s="1234" t="s">
        <v>110</v>
      </c>
      <c r="C68" s="1235"/>
      <c r="D68" s="1235"/>
      <c r="E68" s="1236"/>
    </row>
    <row r="69" spans="1:21" x14ac:dyDescent="0.2">
      <c r="B69" s="1231" t="s">
        <v>31</v>
      </c>
      <c r="C69" s="1232"/>
      <c r="D69" s="1233"/>
      <c r="E69" s="563">
        <v>0</v>
      </c>
    </row>
    <row r="70" spans="1:21" x14ac:dyDescent="0.2">
      <c r="B70" s="1231" t="s">
        <v>32</v>
      </c>
      <c r="C70" s="1232"/>
      <c r="D70" s="1233"/>
      <c r="E70" s="564">
        <v>0</v>
      </c>
    </row>
    <row r="71" spans="1:21" x14ac:dyDescent="0.2">
      <c r="B71" s="1231" t="s">
        <v>615</v>
      </c>
      <c r="C71" s="1232"/>
      <c r="D71" s="1233"/>
      <c r="E71" s="565">
        <v>0</v>
      </c>
    </row>
    <row r="72" spans="1:21" ht="15" x14ac:dyDescent="0.25">
      <c r="B72" s="1231" t="s">
        <v>70</v>
      </c>
      <c r="C72" s="1232"/>
      <c r="D72" s="1233"/>
      <c r="E72" s="566">
        <v>0</v>
      </c>
    </row>
    <row r="73" spans="1:21" x14ac:dyDescent="0.2">
      <c r="B73" s="1231" t="s">
        <v>550</v>
      </c>
      <c r="C73" s="1232"/>
      <c r="D73" s="1233"/>
      <c r="E73" s="567">
        <v>0</v>
      </c>
    </row>
    <row r="74" spans="1:21" x14ac:dyDescent="0.2">
      <c r="B74" s="1231" t="s">
        <v>610</v>
      </c>
      <c r="C74" s="1232"/>
      <c r="D74" s="1233"/>
      <c r="E74" s="227">
        <v>0</v>
      </c>
    </row>
    <row r="88" spans="2:3" x14ac:dyDescent="0.2">
      <c r="B88" s="183"/>
      <c r="C88" s="183"/>
    </row>
    <row r="89" spans="2:3" x14ac:dyDescent="0.2">
      <c r="B89" s="130"/>
      <c r="C89" s="130"/>
    </row>
  </sheetData>
  <sheetProtection algorithmName="SHA-512" hashValue="J6hdWAvGoX1K4VDob6MOEUqF+zaA33cQ/4Lkbl9PN3WtKzL3uVYVCN7KtsvPNnivXV4PiZ661iqHWWC5DQR0ww==" saltValue="JZuONeVbTbGbzNxnX/OqqQ==" spinCount="100000" sheet="1" objects="1" scenarios="1"/>
  <mergeCells count="36">
    <mergeCell ref="A56:U56"/>
    <mergeCell ref="A29:U29"/>
    <mergeCell ref="A36:U36"/>
    <mergeCell ref="A40:U40"/>
    <mergeCell ref="A48:U48"/>
    <mergeCell ref="A52:U52"/>
    <mergeCell ref="A24:U24"/>
    <mergeCell ref="P3:Q3"/>
    <mergeCell ref="R2:S2"/>
    <mergeCell ref="L2:M2"/>
    <mergeCell ref="R3:S3"/>
    <mergeCell ref="F3:G3"/>
    <mergeCell ref="J2:K2"/>
    <mergeCell ref="N3:O3"/>
    <mergeCell ref="H2:I2"/>
    <mergeCell ref="J3:K3"/>
    <mergeCell ref="P2:Q2"/>
    <mergeCell ref="H3:I3"/>
    <mergeCell ref="L3:M3"/>
    <mergeCell ref="T3:U3"/>
    <mergeCell ref="A5:U5"/>
    <mergeCell ref="F2:G2"/>
    <mergeCell ref="A2:A3"/>
    <mergeCell ref="T2:U2"/>
    <mergeCell ref="D3:E3"/>
    <mergeCell ref="N2:O2"/>
    <mergeCell ref="D2:E2"/>
    <mergeCell ref="B2:C2"/>
    <mergeCell ref="B3:C3"/>
    <mergeCell ref="B73:D73"/>
    <mergeCell ref="B74:D74"/>
    <mergeCell ref="B68:E68"/>
    <mergeCell ref="B69:D69"/>
    <mergeCell ref="B70:D70"/>
    <mergeCell ref="B71:D71"/>
    <mergeCell ref="B72:D72"/>
  </mergeCells>
  <phoneticPr fontId="44" type="noConversion"/>
  <dataValidations count="3">
    <dataValidation type="list" allowBlank="1" showInputMessage="1" showErrorMessage="1" sqref="R6 B6 D6 F6 T6 J6 L6 N6 P6 H6" xr:uid="{00000000-0002-0000-1000-000000000000}">
      <formula1>Composting</formula1>
    </dataValidation>
    <dataValidation type="list" allowBlank="1" showInputMessage="1" showErrorMessage="1" sqref="R27 B27 D12 F12 P27 J12 L12 N12 P12 R12 B12 T12 D18 F18 T18 J18 L18 N18 P18 R18 B18 T27 D27 F27 H27 J27 L27 N27 H12 H18" xr:uid="{00000000-0002-0000-1000-000001000000}">
      <formula1>Yes_No</formula1>
    </dataValidation>
    <dataValidation type="list" allowBlank="1" showInputMessage="1" showErrorMessage="1" sqref="R49 F49 H49 P49 J49 B49 L49 N49 D49 T49" xr:uid="{00000000-0002-0000-1000-000002000000}">
      <formula1>C_seq</formula1>
    </dataValidation>
  </dataValidations>
  <pageMargins left="0.7" right="0.7" top="0.75" bottom="0.75" header="0.3" footer="0.3"/>
  <pageSetup scale="12" orientation="portrait" horizontalDpi="300" r:id="rId1"/>
  <ignoredErrors>
    <ignoredError sqref="C16 E16 C13:C15"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5">
    <pageSetUpPr fitToPage="1"/>
  </sheetPr>
  <dimension ref="A1:U89"/>
  <sheetViews>
    <sheetView workbookViewId="0"/>
  </sheetViews>
  <sheetFormatPr defaultColWidth="9.140625" defaultRowHeight="14.25" x14ac:dyDescent="0.2"/>
  <cols>
    <col min="1" max="1" width="87.85546875" style="96" customWidth="1"/>
    <col min="2" max="2" width="17.42578125" style="96" customWidth="1"/>
    <col min="3" max="3" width="14" style="96" customWidth="1"/>
    <col min="4" max="4" width="17.42578125" style="96" customWidth="1"/>
    <col min="5" max="5" width="14" style="96" customWidth="1"/>
    <col min="6" max="6" width="17.42578125" style="96" customWidth="1"/>
    <col min="7" max="7" width="14" style="96" customWidth="1"/>
    <col min="8" max="8" width="17.42578125" style="96" customWidth="1"/>
    <col min="9" max="9" width="14" style="96" customWidth="1"/>
    <col min="10" max="10" width="17.42578125" style="96" customWidth="1"/>
    <col min="11" max="11" width="14" style="96" customWidth="1"/>
    <col min="12" max="12" width="17.42578125" style="96" customWidth="1"/>
    <col min="13" max="13" width="14" style="96" customWidth="1"/>
    <col min="14" max="14" width="17.42578125" style="96" customWidth="1"/>
    <col min="15" max="15" width="14" style="96" customWidth="1"/>
    <col min="16" max="16" width="17.42578125" style="96" customWidth="1"/>
    <col min="17" max="17" width="14" style="96" customWidth="1"/>
    <col min="18" max="18" width="17.42578125" style="96" customWidth="1"/>
    <col min="19" max="19" width="14" style="96" customWidth="1"/>
    <col min="20" max="20" width="17.42578125" style="96" customWidth="1"/>
    <col min="21" max="21" width="14" style="96" customWidth="1"/>
    <col min="22" max="16384" width="9.140625" style="96"/>
  </cols>
  <sheetData>
    <row r="1" spans="1:21" s="105" customFormat="1" ht="24" thickBot="1" x14ac:dyDescent="0.4">
      <c r="A1" s="243"/>
      <c r="B1" s="96"/>
    </row>
    <row r="2" spans="1:21" s="105" customFormat="1" ht="23.25" customHeight="1" x14ac:dyDescent="0.2">
      <c r="A2" s="1346" t="s">
        <v>517</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15.75" customHeight="1" thickBot="1" x14ac:dyDescent="0.25">
      <c r="A3" s="1347"/>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30" customFormat="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s="183" customFormat="1" ht="15.75" customHeight="1" thickBot="1" x14ac:dyDescent="0.3">
      <c r="A5" s="1300" t="s">
        <v>29</v>
      </c>
      <c r="B5" s="1301"/>
      <c r="C5" s="1301"/>
      <c r="D5" s="1301"/>
      <c r="E5" s="1301"/>
      <c r="F5" s="1301"/>
      <c r="G5" s="1301"/>
      <c r="H5" s="1301"/>
      <c r="I5" s="1301"/>
      <c r="J5" s="1301"/>
      <c r="K5" s="1301"/>
      <c r="L5" s="1301"/>
      <c r="M5" s="1301"/>
      <c r="N5" s="1301"/>
      <c r="O5" s="1301"/>
      <c r="P5" s="1301"/>
      <c r="Q5" s="1301"/>
      <c r="R5" s="1301"/>
      <c r="S5" s="1301"/>
      <c r="T5" s="1301"/>
      <c r="U5" s="1302"/>
    </row>
    <row r="6" spans="1:21" s="183" customFormat="1" ht="15.75" customHeight="1" x14ac:dyDescent="0.2">
      <c r="A6" s="306" t="s">
        <v>128</v>
      </c>
      <c r="B6" s="13"/>
      <c r="C6" s="307"/>
      <c r="D6" s="13"/>
      <c r="E6" s="307"/>
      <c r="F6" s="13"/>
      <c r="G6" s="307"/>
      <c r="H6" s="13"/>
      <c r="I6" s="307"/>
      <c r="J6" s="13"/>
      <c r="K6" s="307"/>
      <c r="L6" s="13"/>
      <c r="M6" s="307"/>
      <c r="N6" s="13"/>
      <c r="O6" s="307"/>
      <c r="P6" s="13"/>
      <c r="Q6" s="307"/>
      <c r="R6" s="13"/>
      <c r="S6" s="307"/>
      <c r="T6" s="13"/>
      <c r="U6" s="307"/>
    </row>
    <row r="7" spans="1:21" s="130" customFormat="1" ht="15.75" customHeight="1" x14ac:dyDescent="0.2">
      <c r="A7" s="247" t="s">
        <v>937</v>
      </c>
      <c r="B7" s="354" t="e">
        <f>(VLOOKUP(B6,'Amount and Destination'!AF8:AH10,3,FALSE))/days_yr</f>
        <v>#N/A</v>
      </c>
      <c r="C7" s="309"/>
      <c r="D7" s="354" t="e">
        <f>(VLOOKUP(D6,'Amount and Destination'!AF37:AH39,3,FALSE))/days_yr</f>
        <v>#N/A</v>
      </c>
      <c r="E7" s="309"/>
      <c r="F7" s="354" t="e">
        <f>(VLOOKUP(F6,'Amount and Destination'!AF66:AH68,3,FALSE))/days_yr</f>
        <v>#N/A</v>
      </c>
      <c r="G7" s="309"/>
      <c r="H7" s="354" t="e">
        <f>(VLOOKUP(H6,'Amount and Destination'!AF95:AH97,3,FALSE))/days_yr</f>
        <v>#N/A</v>
      </c>
      <c r="I7" s="309"/>
      <c r="J7" s="354" t="e">
        <f>(VLOOKUP(J6,'Amount and Destination'!AF124:AH126,3,FALSE))/days_yr</f>
        <v>#N/A</v>
      </c>
      <c r="K7" s="309"/>
      <c r="L7" s="354" t="e">
        <f>(VLOOKUP(L6,'Amount and Destination'!AF153:AH155,3,FALSE))/days_yr</f>
        <v>#N/A</v>
      </c>
      <c r="M7" s="309"/>
      <c r="N7" s="354" t="e">
        <f>(VLOOKUP(N6,'Amount and Destination'!AF182:AH184,3,FALSE))/days_yr</f>
        <v>#N/A</v>
      </c>
      <c r="O7" s="309"/>
      <c r="P7" s="354" t="e">
        <f>(VLOOKUP(P6,'Amount and Destination'!AF211:AH213,3,FALSE))/days_yr</f>
        <v>#N/A</v>
      </c>
      <c r="Q7" s="309"/>
      <c r="R7" s="354" t="e">
        <f>(VLOOKUP(R6,'Amount and Destination'!AF240:AH242,3,FALSE))/days_yr</f>
        <v>#N/A</v>
      </c>
      <c r="S7" s="310"/>
      <c r="T7" s="354" t="e">
        <f>(VLOOKUP(T6,'Amount and Destination'!AF269:AH271,3,FALSE))/days_yr</f>
        <v>#N/A</v>
      </c>
      <c r="U7" s="309"/>
    </row>
    <row r="8" spans="1:21" s="183" customFormat="1" ht="15.75" customHeight="1" x14ac:dyDescent="0.2">
      <c r="A8" s="308" t="s">
        <v>170</v>
      </c>
      <c r="B8" s="889">
        <f>Mean_solids</f>
        <v>7.1999999999999995E-2</v>
      </c>
      <c r="C8" s="311"/>
      <c r="D8" s="889">
        <f>Mean_solids</f>
        <v>7.1999999999999995E-2</v>
      </c>
      <c r="E8" s="312"/>
      <c r="F8" s="889">
        <f>Mean_solids</f>
        <v>7.1999999999999995E-2</v>
      </c>
      <c r="G8" s="312"/>
      <c r="H8" s="889">
        <f>Mean_solids</f>
        <v>7.1999999999999995E-2</v>
      </c>
      <c r="I8" s="312"/>
      <c r="J8" s="889">
        <f>Mean_solids</f>
        <v>7.1999999999999995E-2</v>
      </c>
      <c r="K8" s="312"/>
      <c r="L8" s="889">
        <f>Mean_solids</f>
        <v>7.1999999999999995E-2</v>
      </c>
      <c r="M8" s="312"/>
      <c r="N8" s="889">
        <f>Mean_solids</f>
        <v>7.1999999999999995E-2</v>
      </c>
      <c r="O8" s="312"/>
      <c r="P8" s="889">
        <f>Mean_solids</f>
        <v>7.1999999999999995E-2</v>
      </c>
      <c r="Q8" s="313"/>
      <c r="R8" s="889">
        <f>Mean_solids</f>
        <v>7.1999999999999995E-2</v>
      </c>
      <c r="S8" s="314"/>
      <c r="T8" s="889">
        <f>Mean_solids</f>
        <v>7.1999999999999995E-2</v>
      </c>
      <c r="U8" s="312"/>
    </row>
    <row r="9" spans="1:21" s="130" customFormat="1" ht="15.75" customHeight="1" x14ac:dyDescent="0.2">
      <c r="A9" s="315" t="s">
        <v>854</v>
      </c>
      <c r="B9" s="316" t="str">
        <f>IFERROR(B7*B8,"N/A")</f>
        <v>N/A</v>
      </c>
      <c r="C9" s="309"/>
      <c r="D9" s="316" t="str">
        <f>IFERROR(D7*D8,"N/A")</f>
        <v>N/A</v>
      </c>
      <c r="E9" s="309"/>
      <c r="F9" s="316" t="str">
        <f>IFERROR(F7*F8,"N/A")</f>
        <v>N/A</v>
      </c>
      <c r="G9" s="309"/>
      <c r="H9" s="316" t="str">
        <f>IFERROR(H7*H8,"N/A")</f>
        <v>N/A</v>
      </c>
      <c r="I9" s="309"/>
      <c r="J9" s="316" t="str">
        <f>IFERROR(J7*J8,"N/A")</f>
        <v>N/A</v>
      </c>
      <c r="K9" s="309"/>
      <c r="L9" s="316" t="str">
        <f>IFERROR(L7*L8,"N/A")</f>
        <v>N/A</v>
      </c>
      <c r="M9" s="309"/>
      <c r="N9" s="316" t="str">
        <f>IFERROR(N7*N8,"N/A")</f>
        <v>N/A</v>
      </c>
      <c r="O9" s="309"/>
      <c r="P9" s="316" t="str">
        <f>IFERROR(P7*P8,"N/A")</f>
        <v>N/A</v>
      </c>
      <c r="Q9" s="309"/>
      <c r="R9" s="316" t="str">
        <f>IFERROR(R7*R8,"N/A")</f>
        <v>N/A</v>
      </c>
      <c r="S9" s="310"/>
      <c r="T9" s="316" t="str">
        <f>IFERROR(T7*T8,"N/A")</f>
        <v>N/A</v>
      </c>
      <c r="U9" s="309"/>
    </row>
    <row r="10" spans="1:21" s="183" customFormat="1" ht="15.75" customHeight="1" x14ac:dyDescent="0.2">
      <c r="A10" s="247" t="s">
        <v>911</v>
      </c>
      <c r="B10" s="10"/>
      <c r="C10" s="198">
        <f>+Density_of_de_watered_sludge</f>
        <v>950</v>
      </c>
      <c r="D10" s="10"/>
      <c r="E10" s="198">
        <f>+Density_of_de_watered_sludge</f>
        <v>950</v>
      </c>
      <c r="F10" s="10"/>
      <c r="G10" s="198">
        <f>+Density_of_de_watered_sludge</f>
        <v>950</v>
      </c>
      <c r="H10" s="10"/>
      <c r="I10" s="198">
        <f>+Density_of_de_watered_sludge</f>
        <v>950</v>
      </c>
      <c r="J10" s="10"/>
      <c r="K10" s="198">
        <f>+Density_of_de_watered_sludge</f>
        <v>950</v>
      </c>
      <c r="L10" s="10"/>
      <c r="M10" s="198">
        <f>+Density_of_de_watered_sludge</f>
        <v>950</v>
      </c>
      <c r="N10" s="10"/>
      <c r="O10" s="198">
        <f>+Density_of_de_watered_sludge</f>
        <v>950</v>
      </c>
      <c r="P10" s="10"/>
      <c r="Q10" s="198">
        <f>+Density_of_de_watered_sludge</f>
        <v>950</v>
      </c>
      <c r="R10" s="10"/>
      <c r="S10" s="198">
        <f>+Density_of_de_watered_sludge</f>
        <v>950</v>
      </c>
      <c r="T10" s="10"/>
      <c r="U10" s="198">
        <f>+Density_of_de_watered_sludge</f>
        <v>950</v>
      </c>
    </row>
    <row r="11" spans="1:21" s="130" customFormat="1" ht="15.75" customHeight="1" x14ac:dyDescent="0.2">
      <c r="A11" s="247" t="s">
        <v>910</v>
      </c>
      <c r="B11" s="246" t="str">
        <f>+IFERROR(B7*1000/B10,"N/A")</f>
        <v>N/A</v>
      </c>
      <c r="C11" s="309"/>
      <c r="D11" s="246" t="str">
        <f>+IFERROR(D7*1000/D10,"N/A")</f>
        <v>N/A</v>
      </c>
      <c r="E11" s="309"/>
      <c r="F11" s="246" t="str">
        <f>+IFERROR(F7*1000/F10,"N/A")</f>
        <v>N/A</v>
      </c>
      <c r="G11" s="309"/>
      <c r="H11" s="246" t="str">
        <f>+IFERROR(H7*1000/H10,"N/A")</f>
        <v>N/A</v>
      </c>
      <c r="I11" s="309"/>
      <c r="J11" s="246" t="str">
        <f>+IFERROR(J7*1000/J10,"N/A")</f>
        <v>N/A</v>
      </c>
      <c r="K11" s="309"/>
      <c r="L11" s="246" t="str">
        <f>+IFERROR(L7*1000/L10,"N/A")</f>
        <v>N/A</v>
      </c>
      <c r="M11" s="309"/>
      <c r="N11" s="246" t="str">
        <f>+IFERROR(N7*1000/N10,"N/A")</f>
        <v>N/A</v>
      </c>
      <c r="O11" s="309"/>
      <c r="P11" s="246" t="str">
        <f>+IFERROR(P7*1000/P10,"N/A")</f>
        <v>N/A</v>
      </c>
      <c r="Q11" s="309"/>
      <c r="R11" s="246" t="str">
        <f>+IFERROR(R7*1000/R10,"N/A")</f>
        <v>N/A</v>
      </c>
      <c r="S11" s="310"/>
      <c r="T11" s="246" t="str">
        <f>+IFERROR(T7*1000/T10,"N/A")</f>
        <v>N/A</v>
      </c>
      <c r="U11" s="309"/>
    </row>
    <row r="12" spans="1:21" s="130" customFormat="1" ht="15.75" customHeight="1" x14ac:dyDescent="0.2">
      <c r="A12" s="247" t="s">
        <v>855</v>
      </c>
      <c r="B12" s="11"/>
      <c r="C12" s="249" t="s">
        <v>270</v>
      </c>
      <c r="D12" s="11"/>
      <c r="E12" s="249" t="s">
        <v>270</v>
      </c>
      <c r="F12" s="11"/>
      <c r="G12" s="249" t="s">
        <v>270</v>
      </c>
      <c r="H12" s="11"/>
      <c r="I12" s="249" t="s">
        <v>270</v>
      </c>
      <c r="J12" s="11"/>
      <c r="K12" s="249" t="s">
        <v>270</v>
      </c>
      <c r="L12" s="11"/>
      <c r="M12" s="249" t="s">
        <v>270</v>
      </c>
      <c r="N12" s="11"/>
      <c r="O12" s="249" t="s">
        <v>270</v>
      </c>
      <c r="P12" s="11"/>
      <c r="Q12" s="249" t="s">
        <v>270</v>
      </c>
      <c r="R12" s="11"/>
      <c r="S12" s="249" t="s">
        <v>270</v>
      </c>
      <c r="T12" s="11"/>
      <c r="U12" s="249" t="s">
        <v>270</v>
      </c>
    </row>
    <row r="13" spans="1:21" s="105" customFormat="1" ht="15.75" customHeight="1" x14ac:dyDescent="0.2">
      <c r="A13" s="308" t="s">
        <v>264</v>
      </c>
      <c r="B13" s="872">
        <f>Analyses!$I$5</f>
        <v>2.5000000000000001E-2</v>
      </c>
      <c r="C13" s="190">
        <f>+IF(B12='References Assumptions'!$C$340, Total_N_untreated, total_N_digested)</f>
        <v>0.05</v>
      </c>
      <c r="D13" s="872">
        <f>Analyses!$I$5</f>
        <v>2.5000000000000001E-2</v>
      </c>
      <c r="E13" s="190">
        <f>+IF(D12='References Assumptions'!$C$340, Total_N_untreated, total_N_digested)</f>
        <v>0.05</v>
      </c>
      <c r="F13" s="872">
        <f>Analyses!$I$5</f>
        <v>2.5000000000000001E-2</v>
      </c>
      <c r="G13" s="190">
        <f>+IF(F12='References Assumptions'!$C$340, Total_N_untreated, total_N_digested)</f>
        <v>0.05</v>
      </c>
      <c r="H13" s="872">
        <f>Analyses!$I$5</f>
        <v>2.5000000000000001E-2</v>
      </c>
      <c r="I13" s="190">
        <f>+IF(H12='References Assumptions'!$C$340, Total_N_untreated, total_N_digested)</f>
        <v>0.05</v>
      </c>
      <c r="J13" s="872">
        <f>Analyses!$I$5</f>
        <v>2.5000000000000001E-2</v>
      </c>
      <c r="K13" s="190">
        <f>+IF(J12='References Assumptions'!$C$340, Total_N_untreated, total_N_digested)</f>
        <v>0.05</v>
      </c>
      <c r="L13" s="872">
        <f>Analyses!$I$5</f>
        <v>2.5000000000000001E-2</v>
      </c>
      <c r="M13" s="190">
        <f>+IF(L12='References Assumptions'!$C$340, Total_N_untreated, total_N_digested)</f>
        <v>0.05</v>
      </c>
      <c r="N13" s="872">
        <f>Analyses!$I$5</f>
        <v>2.5000000000000001E-2</v>
      </c>
      <c r="O13" s="190">
        <f>+IF(N12='References Assumptions'!$C$340, Total_N_untreated, total_N_digested)</f>
        <v>0.05</v>
      </c>
      <c r="P13" s="872">
        <f>Analyses!$I$5</f>
        <v>2.5000000000000001E-2</v>
      </c>
      <c r="Q13" s="190">
        <f>+IF(P12='References Assumptions'!$C$340, Total_N_untreated, total_N_digested)</f>
        <v>0.05</v>
      </c>
      <c r="R13" s="872">
        <f>Analyses!$I$5</f>
        <v>2.5000000000000001E-2</v>
      </c>
      <c r="S13" s="190">
        <f>+IF(R12='References Assumptions'!$C$340, Total_N_untreated, total_N_digested)</f>
        <v>0.05</v>
      </c>
      <c r="T13" s="872">
        <f>Analyses!$I$5</f>
        <v>2.5000000000000001E-2</v>
      </c>
      <c r="U13" s="190">
        <f>+IF(T12='References Assumptions'!$C$340, Total_N_untreated, total_N_digested)</f>
        <v>0.05</v>
      </c>
    </row>
    <row r="14" spans="1:21" s="183" customFormat="1" ht="15.75" customHeight="1" x14ac:dyDescent="0.2">
      <c r="A14" s="306" t="s">
        <v>245</v>
      </c>
      <c r="B14" s="872">
        <f>Analyses!$J$5</f>
        <v>1.2999999999999999E-2</v>
      </c>
      <c r="C14" s="190">
        <f>+IF(B12='References Assumptions'!$C$340, Total_P_untreated, Total_P_digested)</f>
        <v>1.9E-2</v>
      </c>
      <c r="D14" s="872">
        <f>Analyses!$J$5</f>
        <v>1.2999999999999999E-2</v>
      </c>
      <c r="E14" s="190">
        <f>+IF(D12='References Assumptions'!$C$340, Total_P_untreated, Total_P_digested)</f>
        <v>1.9E-2</v>
      </c>
      <c r="F14" s="872">
        <f>Analyses!$J$5</f>
        <v>1.2999999999999999E-2</v>
      </c>
      <c r="G14" s="190">
        <f>+IF(F12='References Assumptions'!$C$340, Total_P_untreated, Total_P_digested)</f>
        <v>1.9E-2</v>
      </c>
      <c r="H14" s="872">
        <f>Analyses!$J$5</f>
        <v>1.2999999999999999E-2</v>
      </c>
      <c r="I14" s="190">
        <f>+IF(H12='References Assumptions'!$C$340, Total_P_untreated, Total_P_digested)</f>
        <v>1.9E-2</v>
      </c>
      <c r="J14" s="872">
        <f>Analyses!$J$5</f>
        <v>1.2999999999999999E-2</v>
      </c>
      <c r="K14" s="190">
        <f>+IF(J12='References Assumptions'!$C$340, Total_P_untreated, Total_P_digested)</f>
        <v>1.9E-2</v>
      </c>
      <c r="L14" s="872">
        <f>Analyses!$J$5</f>
        <v>1.2999999999999999E-2</v>
      </c>
      <c r="M14" s="190">
        <f>+IF(L12='References Assumptions'!$C$340, Total_P_untreated, Total_P_digested)</f>
        <v>1.9E-2</v>
      </c>
      <c r="N14" s="872">
        <f>Analyses!$J$5</f>
        <v>1.2999999999999999E-2</v>
      </c>
      <c r="O14" s="190">
        <f>+IF(N12='References Assumptions'!$C$340, Total_P_untreated, Total_P_digested)</f>
        <v>1.9E-2</v>
      </c>
      <c r="P14" s="872">
        <f>Analyses!$J$5</f>
        <v>1.2999999999999999E-2</v>
      </c>
      <c r="Q14" s="190">
        <f>+IF(P12='References Assumptions'!$C$340, Total_P_untreated, Total_P_digested)</f>
        <v>1.9E-2</v>
      </c>
      <c r="R14" s="872">
        <f>Analyses!$J$5</f>
        <v>1.2999999999999999E-2</v>
      </c>
      <c r="S14" s="190">
        <f>+IF(R12='References Assumptions'!$C$340, Total_P_untreated, Total_P_digested)</f>
        <v>1.9E-2</v>
      </c>
      <c r="T14" s="872">
        <f>Analyses!$J$5</f>
        <v>1.2999999999999999E-2</v>
      </c>
      <c r="U14" s="190">
        <f>+IF(T12='References Assumptions'!$C$340, Total_P_untreated, Total_P_digested)</f>
        <v>1.9E-2</v>
      </c>
    </row>
    <row r="15" spans="1:21" ht="15.75" customHeight="1" x14ac:dyDescent="0.2">
      <c r="A15" s="315" t="s">
        <v>127</v>
      </c>
      <c r="B15" s="872">
        <f>Analyses!$G$5</f>
        <v>0.94386666666666685</v>
      </c>
      <c r="C15" s="190">
        <f>+IF(B12='References Assumptions'!$C$340, TVS_untreated, TVS_digested)</f>
        <v>0.65</v>
      </c>
      <c r="D15" s="872">
        <f>Analyses!$G$5</f>
        <v>0.94386666666666685</v>
      </c>
      <c r="E15" s="190">
        <f>+IF(D12='References Assumptions'!$C$340, TVS_untreated, TVS_digested)</f>
        <v>0.65</v>
      </c>
      <c r="F15" s="872">
        <f>Analyses!$G$5</f>
        <v>0.94386666666666685</v>
      </c>
      <c r="G15" s="190">
        <f>+IF(F12='References Assumptions'!$C$340, TVS_untreated, TVS_digested)</f>
        <v>0.65</v>
      </c>
      <c r="H15" s="872">
        <f>Analyses!$G$5</f>
        <v>0.94386666666666685</v>
      </c>
      <c r="I15" s="190">
        <f>+IF(H12='References Assumptions'!$C$340, TVS_untreated, TVS_digested)</f>
        <v>0.65</v>
      </c>
      <c r="J15" s="872">
        <f>Analyses!$G$5</f>
        <v>0.94386666666666685</v>
      </c>
      <c r="K15" s="190">
        <f>+IF(J12='References Assumptions'!$C$340, TVS_untreated, TVS_digested)</f>
        <v>0.65</v>
      </c>
      <c r="L15" s="872">
        <f>Analyses!$G$5</f>
        <v>0.94386666666666685</v>
      </c>
      <c r="M15" s="190">
        <f>+IF(L12='References Assumptions'!$C$340, TVS_untreated, TVS_digested)</f>
        <v>0.65</v>
      </c>
      <c r="N15" s="872">
        <f>Analyses!$G$5</f>
        <v>0.94386666666666685</v>
      </c>
      <c r="O15" s="190">
        <f>+IF(N12='References Assumptions'!$C$340, TVS_untreated, TVS_digested)</f>
        <v>0.65</v>
      </c>
      <c r="P15" s="872">
        <f>Analyses!$G$5</f>
        <v>0.94386666666666685</v>
      </c>
      <c r="Q15" s="190">
        <f>+IF(P12='References Assumptions'!$C$340, TVS_untreated, TVS_digested)</f>
        <v>0.65</v>
      </c>
      <c r="R15" s="872">
        <f>Analyses!$G$5</f>
        <v>0.94386666666666685</v>
      </c>
      <c r="S15" s="190">
        <f>+IF(R12='References Assumptions'!$C$340, TVS_untreated, TVS_digested)</f>
        <v>0.65</v>
      </c>
      <c r="T15" s="872">
        <f>Analyses!$G$5</f>
        <v>0.94386666666666685</v>
      </c>
      <c r="U15" s="190">
        <f>+IF(T12='References Assumptions'!$C$340, TVS_untreated, TVS_digested)</f>
        <v>0.65</v>
      </c>
    </row>
    <row r="16" spans="1:21" s="183" customFormat="1" ht="15.75" customHeight="1" x14ac:dyDescent="0.2">
      <c r="A16" s="247" t="s">
        <v>266</v>
      </c>
      <c r="B16" s="872">
        <f>Analyses!$H$5</f>
        <v>0.52856533333333344</v>
      </c>
      <c r="C16" s="249">
        <f>+B15*Carbon_as_a___of_TVS_compostinghandbook</f>
        <v>0.52856533333333344</v>
      </c>
      <c r="D16" s="872">
        <f>Analyses!$H$5</f>
        <v>0.52856533333333344</v>
      </c>
      <c r="E16" s="249">
        <f>+D15*Carbon_as_a___of_TVS_compostinghandbook</f>
        <v>0.52856533333333344</v>
      </c>
      <c r="F16" s="872">
        <f>Analyses!$H$5</f>
        <v>0.52856533333333344</v>
      </c>
      <c r="G16" s="249">
        <f>+F15*Carbon_as_a___of_TVS_compostinghandbook</f>
        <v>0.52856533333333344</v>
      </c>
      <c r="H16" s="872">
        <f>Analyses!$H$5</f>
        <v>0.52856533333333344</v>
      </c>
      <c r="I16" s="249">
        <f>+H15*Carbon_as_a___of_TVS_compostinghandbook</f>
        <v>0.52856533333333344</v>
      </c>
      <c r="J16" s="872">
        <f>Analyses!$H$5</f>
        <v>0.52856533333333344</v>
      </c>
      <c r="K16" s="249">
        <f>+J15*Carbon_as_a___of_TVS_compostinghandbook</f>
        <v>0.52856533333333344</v>
      </c>
      <c r="L16" s="872">
        <f>Analyses!$H$5</f>
        <v>0.52856533333333344</v>
      </c>
      <c r="M16" s="249">
        <f>+L15*Carbon_as_a___of_TVS_compostinghandbook</f>
        <v>0.52856533333333344</v>
      </c>
      <c r="N16" s="872">
        <f>Analyses!$H$5</f>
        <v>0.52856533333333344</v>
      </c>
      <c r="O16" s="249">
        <f>+N15*Carbon_as_a___of_TVS_compostinghandbook</f>
        <v>0.52856533333333344</v>
      </c>
      <c r="P16" s="872">
        <f>Analyses!$H$5</f>
        <v>0.52856533333333344</v>
      </c>
      <c r="Q16" s="249">
        <f>+P15*Carbon_as_a___of_TVS_compostinghandbook</f>
        <v>0.52856533333333344</v>
      </c>
      <c r="R16" s="872">
        <f>Analyses!$H$5</f>
        <v>0.52856533333333344</v>
      </c>
      <c r="S16" s="249">
        <f>+R15*Carbon_as_a___of_TVS_compostinghandbook</f>
        <v>0.52856533333333344</v>
      </c>
      <c r="T16" s="872">
        <f>Analyses!$H$5</f>
        <v>0.52856533333333344</v>
      </c>
      <c r="U16" s="249">
        <f>+T15*Carbon_as_a___of_TVS_compostinghandbook</f>
        <v>0.52856533333333344</v>
      </c>
    </row>
    <row r="17" spans="1:21" s="183" customFormat="1" ht="15.75" customHeight="1" x14ac:dyDescent="0.2">
      <c r="A17" s="247" t="s">
        <v>983</v>
      </c>
      <c r="B17" s="22"/>
      <c r="C17" s="196">
        <v>3</v>
      </c>
      <c r="D17" s="22"/>
      <c r="E17" s="196">
        <v>3</v>
      </c>
      <c r="F17" s="22"/>
      <c r="G17" s="196">
        <v>3</v>
      </c>
      <c r="H17" s="22"/>
      <c r="I17" s="196">
        <v>3</v>
      </c>
      <c r="J17" s="22"/>
      <c r="K17" s="196">
        <v>3</v>
      </c>
      <c r="L17" s="22"/>
      <c r="M17" s="196">
        <v>3</v>
      </c>
      <c r="N17" s="22"/>
      <c r="O17" s="196">
        <v>3</v>
      </c>
      <c r="P17" s="22"/>
      <c r="Q17" s="196">
        <v>3</v>
      </c>
      <c r="R17" s="22"/>
      <c r="S17" s="196">
        <v>3</v>
      </c>
      <c r="T17" s="22"/>
      <c r="U17" s="196">
        <v>3</v>
      </c>
    </row>
    <row r="18" spans="1:21" ht="15.75" customHeight="1" x14ac:dyDescent="0.2">
      <c r="A18" s="247" t="s">
        <v>8</v>
      </c>
      <c r="B18" s="11"/>
      <c r="C18" s="249" t="s">
        <v>270</v>
      </c>
      <c r="D18" s="11"/>
      <c r="E18" s="249" t="s">
        <v>270</v>
      </c>
      <c r="F18" s="11"/>
      <c r="G18" s="249" t="s">
        <v>270</v>
      </c>
      <c r="H18" s="11"/>
      <c r="I18" s="249" t="s">
        <v>270</v>
      </c>
      <c r="J18" s="11"/>
      <c r="K18" s="249" t="s">
        <v>270</v>
      </c>
      <c r="L18" s="11"/>
      <c r="M18" s="249" t="s">
        <v>270</v>
      </c>
      <c r="N18" s="11"/>
      <c r="O18" s="249" t="s">
        <v>270</v>
      </c>
      <c r="P18" s="11"/>
      <c r="Q18" s="249" t="s">
        <v>270</v>
      </c>
      <c r="R18" s="11"/>
      <c r="S18" s="249" t="s">
        <v>270</v>
      </c>
      <c r="T18" s="11"/>
      <c r="U18" s="249" t="s">
        <v>270</v>
      </c>
    </row>
    <row r="19" spans="1:21" s="183" customFormat="1" ht="15.75" customHeight="1" x14ac:dyDescent="0.2">
      <c r="A19" s="247" t="s">
        <v>856</v>
      </c>
      <c r="B19" s="317">
        <f>1/(1+B17)</f>
        <v>1</v>
      </c>
      <c r="C19" s="309"/>
      <c r="D19" s="317">
        <f>1/(1+D17)</f>
        <v>1</v>
      </c>
      <c r="E19" s="309"/>
      <c r="F19" s="317">
        <f>1/(1+F17)</f>
        <v>1</v>
      </c>
      <c r="G19" s="309"/>
      <c r="H19" s="317">
        <f>1/(1+H17)</f>
        <v>1</v>
      </c>
      <c r="I19" s="309"/>
      <c r="J19" s="317">
        <f>1/(1+J17)</f>
        <v>1</v>
      </c>
      <c r="K19" s="309"/>
      <c r="L19" s="317">
        <f>1/(1+L17)</f>
        <v>1</v>
      </c>
      <c r="M19" s="309"/>
      <c r="N19" s="317">
        <f>1/(1+N17)</f>
        <v>1</v>
      </c>
      <c r="O19" s="309"/>
      <c r="P19" s="317">
        <f>1/(1+P17)</f>
        <v>1</v>
      </c>
      <c r="Q19" s="309"/>
      <c r="R19" s="317">
        <f>1/(1+R17)</f>
        <v>1</v>
      </c>
      <c r="S19" s="309"/>
      <c r="T19" s="317">
        <f>1/(1+T17)</f>
        <v>1</v>
      </c>
      <c r="U19" s="309"/>
    </row>
    <row r="20" spans="1:21" ht="15.75" customHeight="1" x14ac:dyDescent="0.2">
      <c r="A20" s="315" t="s">
        <v>141</v>
      </c>
      <c r="B20" s="318">
        <f>1-B19</f>
        <v>0</v>
      </c>
      <c r="C20" s="309"/>
      <c r="D20" s="318">
        <f>1-D19</f>
        <v>0</v>
      </c>
      <c r="E20" s="309"/>
      <c r="F20" s="318">
        <f>1-F19</f>
        <v>0</v>
      </c>
      <c r="G20" s="309"/>
      <c r="H20" s="318">
        <f>1-H19</f>
        <v>0</v>
      </c>
      <c r="I20" s="309"/>
      <c r="J20" s="318">
        <f>1-J19</f>
        <v>0</v>
      </c>
      <c r="K20" s="309"/>
      <c r="L20" s="318">
        <f>1-L19</f>
        <v>0</v>
      </c>
      <c r="M20" s="309"/>
      <c r="N20" s="318">
        <f>1-N19</f>
        <v>0</v>
      </c>
      <c r="O20" s="309"/>
      <c r="P20" s="318">
        <f>1-P19</f>
        <v>0</v>
      </c>
      <c r="Q20" s="309"/>
      <c r="R20" s="318">
        <f>1-R19</f>
        <v>0</v>
      </c>
      <c r="S20" s="309"/>
      <c r="T20" s="318">
        <f>1-T19</f>
        <v>0</v>
      </c>
      <c r="U20" s="309"/>
    </row>
    <row r="21" spans="1:21" s="183" customFormat="1" ht="15.75" customHeight="1" x14ac:dyDescent="0.2">
      <c r="A21" s="247" t="s">
        <v>984</v>
      </c>
      <c r="B21" s="22"/>
      <c r="C21" s="198">
        <f>+sawdust_density</f>
        <v>250</v>
      </c>
      <c r="D21" s="22"/>
      <c r="E21" s="198">
        <f>+sawdust_density</f>
        <v>250</v>
      </c>
      <c r="F21" s="22"/>
      <c r="G21" s="198">
        <f>+sawdust_density</f>
        <v>250</v>
      </c>
      <c r="H21" s="22"/>
      <c r="I21" s="198">
        <f>+sawdust_density</f>
        <v>250</v>
      </c>
      <c r="J21" s="22"/>
      <c r="K21" s="198">
        <f>+sawdust_density</f>
        <v>250</v>
      </c>
      <c r="L21" s="22"/>
      <c r="M21" s="198">
        <f>+sawdust_density</f>
        <v>250</v>
      </c>
      <c r="N21" s="22"/>
      <c r="O21" s="198">
        <f>+sawdust_density</f>
        <v>250</v>
      </c>
      <c r="P21" s="22"/>
      <c r="Q21" s="198">
        <f>+sawdust_density</f>
        <v>250</v>
      </c>
      <c r="R21" s="22"/>
      <c r="S21" s="198">
        <f>+sawdust_density</f>
        <v>250</v>
      </c>
      <c r="T21" s="22"/>
      <c r="U21" s="198">
        <f>+sawdust_density</f>
        <v>250</v>
      </c>
    </row>
    <row r="22" spans="1:21" s="130" customFormat="1" ht="15.75" customHeight="1" x14ac:dyDescent="0.2">
      <c r="A22" s="247" t="s">
        <v>9</v>
      </c>
      <c r="B22" s="246" t="str">
        <f>+IFERROR(((B11/B19)-B11)*B21/1000,"N/A")</f>
        <v>N/A</v>
      </c>
      <c r="C22" s="309"/>
      <c r="D22" s="246" t="str">
        <f>+IFERROR(((D11/D19)-D11)*D21/1000,"N/A")</f>
        <v>N/A</v>
      </c>
      <c r="E22" s="309"/>
      <c r="F22" s="246" t="str">
        <f>+IFERROR(((F11/F19)-F11)*F21/1000,"N/A")</f>
        <v>N/A</v>
      </c>
      <c r="G22" s="309"/>
      <c r="H22" s="246" t="str">
        <f>+IFERROR(((H11/H19)-H11)*H21/1000,"N/A")</f>
        <v>N/A</v>
      </c>
      <c r="I22" s="309"/>
      <c r="J22" s="246" t="str">
        <f>+IFERROR(((J11/J19)-J11)*J21/1000,"N/A")</f>
        <v>N/A</v>
      </c>
      <c r="K22" s="309"/>
      <c r="L22" s="246" t="str">
        <f>+IFERROR(((L11/L19)-L11)*L21/1000,"N/A")</f>
        <v>N/A</v>
      </c>
      <c r="M22" s="309"/>
      <c r="N22" s="246" t="str">
        <f>+IFERROR(((N11/N19)-N11)*N21/1000,"N/A")</f>
        <v>N/A</v>
      </c>
      <c r="O22" s="309"/>
      <c r="P22" s="246" t="str">
        <f>+IFERROR(((P11/P19)-P11)*P21/1000,"N/A")</f>
        <v>N/A</v>
      </c>
      <c r="Q22" s="309"/>
      <c r="R22" s="246" t="str">
        <f>+IFERROR(((R11/R19)-R11)*R21/1000,"N/A")</f>
        <v>N/A</v>
      </c>
      <c r="S22" s="309"/>
      <c r="T22" s="246" t="str">
        <f>+IFERROR(((T11/T19)-T11)*T21/1000,"N/A")</f>
        <v>N/A</v>
      </c>
      <c r="U22" s="309"/>
    </row>
    <row r="23" spans="1:21" ht="15.75" customHeight="1" thickBot="1" x14ac:dyDescent="0.25">
      <c r="A23" s="319"/>
      <c r="B23" s="320"/>
      <c r="C23" s="321"/>
      <c r="D23" s="320"/>
      <c r="E23" s="321"/>
      <c r="F23" s="320"/>
      <c r="G23" s="321"/>
      <c r="H23" s="320"/>
      <c r="I23" s="321"/>
      <c r="J23" s="320"/>
      <c r="K23" s="321"/>
      <c r="L23" s="320"/>
      <c r="M23" s="321"/>
      <c r="N23" s="320"/>
      <c r="O23" s="321"/>
      <c r="P23" s="320"/>
      <c r="Q23" s="321"/>
      <c r="R23" s="320"/>
      <c r="S23" s="321"/>
      <c r="T23" s="320"/>
      <c r="U23" s="321"/>
    </row>
    <row r="24" spans="1:21" s="130" customFormat="1" ht="15.75" customHeight="1" thickBot="1" x14ac:dyDescent="0.3">
      <c r="A24" s="1300" t="s">
        <v>28</v>
      </c>
      <c r="B24" s="1301"/>
      <c r="C24" s="1301"/>
      <c r="D24" s="1301"/>
      <c r="E24" s="1301"/>
      <c r="F24" s="1301"/>
      <c r="G24" s="1301"/>
      <c r="H24" s="1301"/>
      <c r="I24" s="1301"/>
      <c r="J24" s="1301"/>
      <c r="K24" s="1301"/>
      <c r="L24" s="1301"/>
      <c r="M24" s="1301"/>
      <c r="N24" s="1301"/>
      <c r="O24" s="1301"/>
      <c r="P24" s="1301"/>
      <c r="Q24" s="1301"/>
      <c r="R24" s="1301"/>
      <c r="S24" s="1301"/>
      <c r="T24" s="1301"/>
      <c r="U24" s="1302"/>
    </row>
    <row r="25" spans="1:21" s="183" customFormat="1" ht="15.75" customHeight="1" x14ac:dyDescent="0.2">
      <c r="A25" s="1023" t="s">
        <v>938</v>
      </c>
      <c r="B25" s="14"/>
      <c r="C25" s="248" t="str">
        <f>+IFERROR(((B9*B16)+(B22*sawdust_Solids_content*sawdust_organic_carbon))/((B9*B13)+(B22*sawdust_Solids_content*sawdust_nitrogen_content)),"N/A")</f>
        <v>N/A</v>
      </c>
      <c r="D25" s="14"/>
      <c r="E25" s="248" t="str">
        <f>+IFERROR(((D9*D16)+(D22*sawdust_Solids_content*sawdust_organic_carbon))/((D9*D13)+(D22*sawdust_Solids_content*sawdust_nitrogen_content)),"N/A")</f>
        <v>N/A</v>
      </c>
      <c r="F25" s="14"/>
      <c r="G25" s="248" t="str">
        <f>+IFERROR(((F9*F16)+(F22*sawdust_Solids_content*sawdust_organic_carbon))/((F9*F13)+(F22*sawdust_Solids_content*sawdust_nitrogen_content)),"N/A")</f>
        <v>N/A</v>
      </c>
      <c r="H25" s="14"/>
      <c r="I25" s="248" t="str">
        <f>+IFERROR(((H9*H16)+(H22*sawdust_Solids_content*sawdust_organic_carbon))/((H9*H13)+(H22*sawdust_Solids_content*sawdust_nitrogen_content)),"N/A")</f>
        <v>N/A</v>
      </c>
      <c r="J25" s="14"/>
      <c r="K25" s="248" t="str">
        <f>+IFERROR(((J9*J16)+(J22*sawdust_Solids_content*sawdust_organic_carbon))/((J9*J13)+(J22*sawdust_Solids_content*sawdust_nitrogen_content)),"N/A")</f>
        <v>N/A</v>
      </c>
      <c r="L25" s="14"/>
      <c r="M25" s="248" t="str">
        <f>+IFERROR(((L9*L16)+(L22*sawdust_Solids_content*sawdust_organic_carbon))/((L9*L13)+(L22*sawdust_Solids_content*sawdust_nitrogen_content)),"N/A")</f>
        <v>N/A</v>
      </c>
      <c r="N25" s="14"/>
      <c r="O25" s="248" t="str">
        <f>+IFERROR(((N9*N16)+(N22*sawdust_Solids_content*sawdust_organic_carbon))/((N9*N13)+(N22*sawdust_Solids_content*sawdust_nitrogen_content)),"N/A")</f>
        <v>N/A</v>
      </c>
      <c r="P25" s="14"/>
      <c r="Q25" s="248" t="str">
        <f>+IFERROR(((P9*P16)+(P22*sawdust_Solids_content*sawdust_organic_carbon))/((P9*P13)+(P22*sawdust_Solids_content*sawdust_nitrogen_content)),"N/A")</f>
        <v>N/A</v>
      </c>
      <c r="R25" s="14"/>
      <c r="S25" s="248" t="str">
        <f>+IFERROR(((R9*R16)+(R22*sawdust_Solids_content*sawdust_organic_carbon))/((R9*R13)+(R22*sawdust_Solids_content*sawdust_nitrogen_content)),"N/A")</f>
        <v>N/A</v>
      </c>
      <c r="T25" s="14"/>
      <c r="U25" s="248" t="str">
        <f>+IFERROR(((T9*T16)+(T22*sawdust_Solids_content*sawdust_organic_carbon))/((T9*T13)+(T22*sawdust_Solids_content*sawdust_nitrogen_content)),"N/A")</f>
        <v>N/A</v>
      </c>
    </row>
    <row r="26" spans="1:21" ht="15.75" customHeight="1" x14ac:dyDescent="0.2">
      <c r="A26" s="315" t="s">
        <v>170</v>
      </c>
      <c r="B26" s="23"/>
      <c r="C26" s="249" t="str">
        <f>+IFERROR((B9+B22*sawdust_Solids_content)/(B7+B22),"N/A")</f>
        <v>N/A</v>
      </c>
      <c r="D26" s="23"/>
      <c r="E26" s="249" t="str">
        <f>+IFERROR((D9+D22*sawdust_Solids_content)/(D7+D22),"N/A")</f>
        <v>N/A</v>
      </c>
      <c r="F26" s="23"/>
      <c r="G26" s="249" t="str">
        <f>+IFERROR((F9+F22*sawdust_Solids_content)/(F7+F22),"N/A")</f>
        <v>N/A</v>
      </c>
      <c r="H26" s="23"/>
      <c r="I26" s="249" t="str">
        <f>+IFERROR((H9+H22*sawdust_Solids_content)/(H7+H22),"N/A")</f>
        <v>N/A</v>
      </c>
      <c r="J26" s="23"/>
      <c r="K26" s="249" t="str">
        <f>+IFERROR((J9+J22*sawdust_Solids_content)/(J7+J22),"N/A")</f>
        <v>N/A</v>
      </c>
      <c r="L26" s="23"/>
      <c r="M26" s="249" t="str">
        <f>+IFERROR((L9+L22*sawdust_Solids_content)/(L7+L22),"N/A")</f>
        <v>N/A</v>
      </c>
      <c r="N26" s="23"/>
      <c r="O26" s="249" t="str">
        <f>+IFERROR((N9+N22*sawdust_Solids_content)/(N7+N22),"N/A")</f>
        <v>N/A</v>
      </c>
      <c r="P26" s="23"/>
      <c r="Q26" s="249" t="str">
        <f>+IFERROR((P9+P22*sawdust_Solids_content)/(P7+P22),"N/A")</f>
        <v>N/A</v>
      </c>
      <c r="R26" s="23"/>
      <c r="S26" s="249" t="str">
        <f>+IFERROR((R9+R22*sawdust_Solids_content)/(R7+R22),"N/A")</f>
        <v>N/A</v>
      </c>
      <c r="T26" s="23"/>
      <c r="U26" s="249" t="str">
        <f>+IFERROR((T9+T22*sawdust_Solids_content)/(T7+T22),"N/A")</f>
        <v>N/A</v>
      </c>
    </row>
    <row r="27" spans="1:21" x14ac:dyDescent="0.2">
      <c r="A27" s="247" t="s">
        <v>939</v>
      </c>
      <c r="B27" s="12"/>
      <c r="C27" s="249" t="s">
        <v>270</v>
      </c>
      <c r="D27" s="12"/>
      <c r="E27" s="249" t="s">
        <v>270</v>
      </c>
      <c r="F27" s="12"/>
      <c r="G27" s="249" t="s">
        <v>270</v>
      </c>
      <c r="H27" s="12"/>
      <c r="I27" s="249" t="s">
        <v>270</v>
      </c>
      <c r="J27" s="12"/>
      <c r="K27" s="249" t="s">
        <v>270</v>
      </c>
      <c r="L27" s="12"/>
      <c r="M27" s="249" t="s">
        <v>270</v>
      </c>
      <c r="N27" s="12"/>
      <c r="O27" s="249" t="s">
        <v>270</v>
      </c>
      <c r="P27" s="12"/>
      <c r="Q27" s="249" t="s">
        <v>270</v>
      </c>
      <c r="R27" s="12"/>
      <c r="S27" s="249" t="s">
        <v>270</v>
      </c>
      <c r="T27" s="12"/>
      <c r="U27" s="249" t="s">
        <v>270</v>
      </c>
    </row>
    <row r="28" spans="1:21" ht="15.75" customHeight="1" thickBot="1" x14ac:dyDescent="0.25">
      <c r="A28" s="323"/>
      <c r="B28" s="324"/>
      <c r="C28" s="325"/>
      <c r="D28" s="324"/>
      <c r="E28" s="325"/>
      <c r="F28" s="324"/>
      <c r="G28" s="325"/>
      <c r="H28" s="324"/>
      <c r="I28" s="325"/>
      <c r="J28" s="324"/>
      <c r="K28" s="325"/>
      <c r="L28" s="324"/>
      <c r="M28" s="325"/>
      <c r="N28" s="324"/>
      <c r="O28" s="325"/>
      <c r="P28" s="324"/>
      <c r="Q28" s="325"/>
      <c r="R28" s="324"/>
      <c r="S28" s="325"/>
      <c r="T28" s="324"/>
      <c r="U28" s="325"/>
    </row>
    <row r="29" spans="1:21" ht="15.75" customHeight="1" thickBot="1" x14ac:dyDescent="0.3">
      <c r="A29" s="1300" t="s">
        <v>273</v>
      </c>
      <c r="B29" s="1301"/>
      <c r="C29" s="1301"/>
      <c r="D29" s="1301"/>
      <c r="E29" s="1301"/>
      <c r="F29" s="1301"/>
      <c r="G29" s="1301"/>
      <c r="H29" s="1301"/>
      <c r="I29" s="1301"/>
      <c r="J29" s="1301"/>
      <c r="K29" s="1301"/>
      <c r="L29" s="1301"/>
      <c r="M29" s="1301"/>
      <c r="N29" s="1301"/>
      <c r="O29" s="1301"/>
      <c r="P29" s="1301"/>
      <c r="Q29" s="1301"/>
      <c r="R29" s="1301"/>
      <c r="S29" s="1301"/>
      <c r="T29" s="1301"/>
      <c r="U29" s="1302"/>
    </row>
    <row r="30" spans="1:21" s="183" customFormat="1" ht="15.75" customHeight="1" x14ac:dyDescent="0.2">
      <c r="A30" s="326" t="s">
        <v>274</v>
      </c>
      <c r="B30" s="327"/>
      <c r="C30" s="328">
        <f>+IFERROR(IF(B18='References Assumptions'!$C$339, B22*Fuel__for_grinding__brown_2008,0),"N/A")</f>
        <v>0</v>
      </c>
      <c r="D30" s="327"/>
      <c r="E30" s="328">
        <f>+IFERROR(IF(D18='References Assumptions'!$C$339, D22*Fuel__for_grinding__brown_2008,0),"N/A")</f>
        <v>0</v>
      </c>
      <c r="F30" s="327"/>
      <c r="G30" s="328">
        <f>+IFERROR(IF(F18='References Assumptions'!$C$339, F22*Fuel__for_grinding__brown_2008,0),"N/A")</f>
        <v>0</v>
      </c>
      <c r="H30" s="327"/>
      <c r="I30" s="328">
        <f>+IFERROR(IF(H18='References Assumptions'!$C$339, H22*Fuel__for_grinding__brown_2008,0),"N/A")</f>
        <v>0</v>
      </c>
      <c r="J30" s="327"/>
      <c r="K30" s="328">
        <f>+IFERROR(IF(J18='References Assumptions'!$C$339, J22*Fuel__for_grinding__brown_2008,0),"N/A")</f>
        <v>0</v>
      </c>
      <c r="L30" s="327"/>
      <c r="M30" s="328">
        <f>+IFERROR(IF(L18='References Assumptions'!$C$339, L22*Fuel__for_grinding__brown_2008,0),"N/A")</f>
        <v>0</v>
      </c>
      <c r="N30" s="327"/>
      <c r="O30" s="328">
        <f>+IFERROR(IF(N18='References Assumptions'!$C$339, N22*Fuel__for_grinding__brown_2008,0),"N/A")</f>
        <v>0</v>
      </c>
      <c r="P30" s="327"/>
      <c r="Q30" s="328">
        <f>+IFERROR(IF(P18='References Assumptions'!$C$339, P22*Fuel__for_grinding__brown_2008,0),"N/A")</f>
        <v>0</v>
      </c>
      <c r="R30" s="327"/>
      <c r="S30" s="328">
        <f>+IFERROR(IF(R18='References Assumptions'!$C$339, R22*Fuel__for_grinding__brown_2008,0),"N/A")</f>
        <v>0</v>
      </c>
      <c r="T30" s="327"/>
      <c r="U30" s="328">
        <f>+IFERROR(IF(T18='References Assumptions'!$C$339, T22*Fuel__for_grinding__brown_2008,0),"N/A")</f>
        <v>0</v>
      </c>
    </row>
    <row r="31" spans="1:21" s="130" customFormat="1" ht="15.75" customHeight="1" x14ac:dyDescent="0.2">
      <c r="A31" s="308" t="s">
        <v>275</v>
      </c>
      <c r="B31" s="329"/>
      <c r="C31" s="330" t="str">
        <f>+IFERROR(IF(B6='References Assumptions'!$C$349,(B7+B22)*Fuel__windrow__ROU_2006,(B7+B22)*Fuel__for_ASP_brown_2008),"N/A")</f>
        <v>N/A</v>
      </c>
      <c r="D31" s="329"/>
      <c r="E31" s="330" t="str">
        <f>+IFERROR(IF(D6='References Assumptions'!$C$349,(D7+D22)*Fuel__windrow__ROU_2006,(D7+D22)*Fuel__for_ASP_brown_2008),"N/A")</f>
        <v>N/A</v>
      </c>
      <c r="F31" s="329"/>
      <c r="G31" s="330" t="str">
        <f>+IFERROR(IF(F6='References Assumptions'!$C$349,(F7+F22)*Fuel__windrow__ROU_2006,(F7+F22)*Fuel__for_ASP_brown_2008),"N/A")</f>
        <v>N/A</v>
      </c>
      <c r="H31" s="329"/>
      <c r="I31" s="330" t="str">
        <f>+IFERROR(IF(H6='References Assumptions'!$C$349,(H7+H22)*Fuel__windrow__ROU_2006,(H7+H22)*Fuel__for_ASP_brown_2008),"N/A")</f>
        <v>N/A</v>
      </c>
      <c r="J31" s="329"/>
      <c r="K31" s="330" t="str">
        <f>+IFERROR(IF(J6='References Assumptions'!$C$349,(J7+J22)*Fuel__windrow__ROU_2006,(J7+J22)*Fuel__for_ASP_brown_2008),"N/A")</f>
        <v>N/A</v>
      </c>
      <c r="L31" s="329"/>
      <c r="M31" s="330" t="str">
        <f>+IFERROR(IF(L6='References Assumptions'!$C$349,(L7+L22)*Fuel__windrow__ROU_2006,(L7+L22)*Fuel__for_ASP_brown_2008),"N/A")</f>
        <v>N/A</v>
      </c>
      <c r="N31" s="329"/>
      <c r="O31" s="330" t="str">
        <f>+IFERROR(IF(N6='References Assumptions'!$C$349,(N7+N22)*Fuel__windrow__ROU_2006,(N7+N22)*Fuel__for_ASP_brown_2008),"N/A")</f>
        <v>N/A</v>
      </c>
      <c r="P31" s="329"/>
      <c r="Q31" s="330" t="str">
        <f>+IFERROR(IF(P6='References Assumptions'!$C$349,(P7+P22)*Fuel__windrow__ROU_2006,(P7+P22)*Fuel__for_ASP_brown_2008),"N/A")</f>
        <v>N/A</v>
      </c>
      <c r="R31" s="329"/>
      <c r="S31" s="330" t="str">
        <f>+IFERROR(IF(R6='References Assumptions'!$C$349,(R7+R22)*Fuel__windrow__ROU_2006,(R7+R22)*Fuel__for_ASP_brown_2008),"N/A")</f>
        <v>N/A</v>
      </c>
      <c r="T31" s="329"/>
      <c r="U31" s="330" t="str">
        <f>+IFERROR(IF(T6='References Assumptions'!$C$349,(T7+T22)*Fuel__windrow__ROU_2006,(T7+T22)*Fuel__for_ASP_brown_2008),"N/A")</f>
        <v>N/A</v>
      </c>
    </row>
    <row r="32" spans="1:21" s="183" customFormat="1" ht="15.75" customHeight="1" x14ac:dyDescent="0.2">
      <c r="A32" s="315" t="s">
        <v>140</v>
      </c>
      <c r="B32" s="8"/>
      <c r="C32" s="198">
        <f>SUM(C30:C31)</f>
        <v>0</v>
      </c>
      <c r="D32" s="8"/>
      <c r="E32" s="198">
        <f>SUM(E30:E31)</f>
        <v>0</v>
      </c>
      <c r="F32" s="8"/>
      <c r="G32" s="198">
        <f>SUM(G30:G31)</f>
        <v>0</v>
      </c>
      <c r="H32" s="8"/>
      <c r="I32" s="198">
        <f>SUM(I30:I31)</f>
        <v>0</v>
      </c>
      <c r="J32" s="8"/>
      <c r="K32" s="198">
        <f>SUM(K30:K31)</f>
        <v>0</v>
      </c>
      <c r="L32" s="8"/>
      <c r="M32" s="198">
        <f>SUM(M30:M31)</f>
        <v>0</v>
      </c>
      <c r="N32" s="8"/>
      <c r="O32" s="198">
        <f>SUM(O30:O31)</f>
        <v>0</v>
      </c>
      <c r="P32" s="8"/>
      <c r="Q32" s="198">
        <f>SUM(Q30:Q31)</f>
        <v>0</v>
      </c>
      <c r="R32" s="8"/>
      <c r="S32" s="198">
        <f>SUM(S30:S31)</f>
        <v>0</v>
      </c>
      <c r="T32" s="8"/>
      <c r="U32" s="198">
        <f>SUM(U30:U31)</f>
        <v>0</v>
      </c>
    </row>
    <row r="33" spans="1:21" ht="15.75" customHeight="1" x14ac:dyDescent="0.2">
      <c r="A33" s="247" t="s">
        <v>117</v>
      </c>
      <c r="B33" s="8"/>
      <c r="C33" s="198" t="str">
        <f>+IFERROR(B7*1000/B10/Size_of_loads__m3/Time_to_apply__loads_hr*Tractor_fuel_use__l_diesel_hr,"N/A")</f>
        <v>N/A</v>
      </c>
      <c r="D33" s="8"/>
      <c r="E33" s="198" t="str">
        <f>+IFERROR(D7*1000/D10/Size_of_loads__m3/Time_to_apply__loads_hr*Tractor_fuel_use__l_diesel_hr,"N/A")</f>
        <v>N/A</v>
      </c>
      <c r="F33" s="8"/>
      <c r="G33" s="198" t="str">
        <f>+IFERROR(F7*1000/F10/Size_of_loads__m3/Time_to_apply__loads_hr*Tractor_fuel_use__l_diesel_hr,"N/A")</f>
        <v>N/A</v>
      </c>
      <c r="H33" s="8"/>
      <c r="I33" s="198" t="str">
        <f>+IFERROR(H7*1000/H10/Size_of_loads__m3/Time_to_apply__loads_hr*Tractor_fuel_use__l_diesel_hr,"N/A")</f>
        <v>N/A</v>
      </c>
      <c r="J33" s="8"/>
      <c r="K33" s="198" t="str">
        <f>+IFERROR(J7*1000/J10/Size_of_loads__m3/Time_to_apply__loads_hr*Tractor_fuel_use__l_diesel_hr,"N/A")</f>
        <v>N/A</v>
      </c>
      <c r="L33" s="8"/>
      <c r="M33" s="198" t="str">
        <f>+IFERROR(L7*1000/L10/Size_of_loads__m3/Time_to_apply__loads_hr*Tractor_fuel_use__l_diesel_hr,"N/A")</f>
        <v>N/A</v>
      </c>
      <c r="N33" s="8"/>
      <c r="O33" s="198" t="str">
        <f>+IFERROR(N7*1000/N10/Size_of_loads__m3/Time_to_apply__loads_hr*Tractor_fuel_use__l_diesel_hr,"N/A")</f>
        <v>N/A</v>
      </c>
      <c r="P33" s="8"/>
      <c r="Q33" s="198" t="str">
        <f>+IFERROR(P7*1000/P10/Size_of_loads__m3/Time_to_apply__loads_hr*Tractor_fuel_use__l_diesel_hr,"N/A")</f>
        <v>N/A</v>
      </c>
      <c r="R33" s="8"/>
      <c r="S33" s="198" t="str">
        <f>+IFERROR(R7*1000/R10/Size_of_loads__m3/Time_to_apply__loads_hr*Tractor_fuel_use__l_diesel_hr,"N/A")</f>
        <v>N/A</v>
      </c>
      <c r="T33" s="8"/>
      <c r="U33" s="198" t="str">
        <f>+IFERROR(T7*1000/T10/Size_of_loads__m3/Time_to_apply__loads_hr*Tractor_fuel_use__l_diesel_hr,"N/A")</f>
        <v>N/A</v>
      </c>
    </row>
    <row r="34" spans="1:21" s="105" customFormat="1" ht="15.75" customHeight="1" x14ac:dyDescent="0.3">
      <c r="A34" s="331" t="s">
        <v>288</v>
      </c>
      <c r="B34" s="252">
        <f>(B32+B33)*CO2E_diesel__ClimateReg/1000000</f>
        <v>0</v>
      </c>
      <c r="C34" s="332"/>
      <c r="D34" s="252">
        <f>(D32+D33)*CO2E_diesel__ClimateReg/1000000</f>
        <v>0</v>
      </c>
      <c r="E34" s="332"/>
      <c r="F34" s="252">
        <f>(F32+F33)*CO2E_diesel__ClimateReg/1000000</f>
        <v>0</v>
      </c>
      <c r="G34" s="332"/>
      <c r="H34" s="252">
        <f>(H32+H33)*CO2E_diesel__ClimateReg/1000000</f>
        <v>0</v>
      </c>
      <c r="I34" s="332"/>
      <c r="J34" s="252">
        <f>(J32+J33)*CO2E_diesel__ClimateReg/1000000</f>
        <v>0</v>
      </c>
      <c r="K34" s="332"/>
      <c r="L34" s="252">
        <f>(L32+L33)*CO2E_diesel__ClimateReg/1000000</f>
        <v>0</v>
      </c>
      <c r="M34" s="332"/>
      <c r="N34" s="252">
        <f>(N32+N33)*CO2E_diesel__ClimateReg/1000000</f>
        <v>0</v>
      </c>
      <c r="O34" s="332"/>
      <c r="P34" s="252">
        <f>(P32+P33)*CO2E_diesel__ClimateReg/1000000</f>
        <v>0</v>
      </c>
      <c r="Q34" s="332"/>
      <c r="R34" s="252">
        <f>(R32+R33)*CO2E_diesel__ClimateReg/1000000</f>
        <v>0</v>
      </c>
      <c r="S34" s="332"/>
      <c r="T34" s="252">
        <f>(T32+T33)*CO2E_diesel__ClimateReg/1000000</f>
        <v>0</v>
      </c>
      <c r="U34" s="332"/>
    </row>
    <row r="35" spans="1:21" s="130" customFormat="1" ht="15.75" customHeight="1" thickBot="1" x14ac:dyDescent="0.25">
      <c r="A35" s="333"/>
      <c r="B35" s="334"/>
      <c r="C35" s="335"/>
      <c r="D35" s="334"/>
      <c r="E35" s="335"/>
      <c r="F35" s="334"/>
      <c r="G35" s="335"/>
      <c r="H35" s="334"/>
      <c r="I35" s="335"/>
      <c r="J35" s="334"/>
      <c r="K35" s="335"/>
      <c r="L35" s="334"/>
      <c r="M35" s="335"/>
      <c r="N35" s="334"/>
      <c r="O35" s="335"/>
      <c r="P35" s="334"/>
      <c r="Q35" s="335"/>
      <c r="R35" s="334"/>
      <c r="S35" s="335"/>
      <c r="T35" s="334"/>
      <c r="U35" s="335"/>
    </row>
    <row r="36" spans="1:21" ht="15.75" customHeight="1" thickBot="1" x14ac:dyDescent="0.3">
      <c r="A36" s="1300" t="s">
        <v>193</v>
      </c>
      <c r="B36" s="1301"/>
      <c r="C36" s="1301"/>
      <c r="D36" s="1301"/>
      <c r="E36" s="1301"/>
      <c r="F36" s="1301"/>
      <c r="G36" s="1301"/>
      <c r="H36" s="1301"/>
      <c r="I36" s="1301"/>
      <c r="J36" s="1301"/>
      <c r="K36" s="1301"/>
      <c r="L36" s="1301"/>
      <c r="M36" s="1301"/>
      <c r="N36" s="1301"/>
      <c r="O36" s="1301"/>
      <c r="P36" s="1301"/>
      <c r="Q36" s="1301"/>
      <c r="R36" s="1301"/>
      <c r="S36" s="1301"/>
      <c r="T36" s="1301"/>
      <c r="U36" s="1302"/>
    </row>
    <row r="37" spans="1:21" s="183" customFormat="1" ht="15.75" customHeight="1" x14ac:dyDescent="0.2">
      <c r="A37" s="326" t="s">
        <v>281</v>
      </c>
      <c r="B37" s="14"/>
      <c r="C37" s="248">
        <f>+IF(B6='References Assumptions'!$C$351,B9*in_vessel_electricity_use,IF(B6='References Assumptions'!$C$350,B9*ASP_electricity_use,0))</f>
        <v>0</v>
      </c>
      <c r="D37" s="14"/>
      <c r="E37" s="248">
        <f>+IF(D6='References Assumptions'!$C$351,D9*in_vessel_electricity_use,IF(D6='References Assumptions'!$C$350,D9*ASP_electricity_use,0))</f>
        <v>0</v>
      </c>
      <c r="F37" s="14"/>
      <c r="G37" s="248">
        <f>+IF(F6='References Assumptions'!$C$351,F9*in_vessel_electricity_use,IF(F6='References Assumptions'!$C$350,F9*ASP_electricity_use,0))</f>
        <v>0</v>
      </c>
      <c r="H37" s="14"/>
      <c r="I37" s="248">
        <f>+IF(H6='References Assumptions'!$C$351,H9*in_vessel_electricity_use,IF(H6='References Assumptions'!$C$350,H9*ASP_electricity_use,0))</f>
        <v>0</v>
      </c>
      <c r="J37" s="14"/>
      <c r="K37" s="248">
        <f>+IF(J6='References Assumptions'!$C$351,J9*in_vessel_electricity_use,IF(J6='References Assumptions'!$C$350,J9*ASP_electricity_use,0))</f>
        <v>0</v>
      </c>
      <c r="L37" s="14"/>
      <c r="M37" s="248">
        <f>+IF(L6='References Assumptions'!$C$351,L9*in_vessel_electricity_use,IF(L6='References Assumptions'!$C$350,L9*ASP_electricity_use,0))</f>
        <v>0</v>
      </c>
      <c r="N37" s="14"/>
      <c r="O37" s="248">
        <f>+IF(N6='References Assumptions'!$C$351,N9*in_vessel_electricity_use,IF(N6='References Assumptions'!$C$350,N9*ASP_electricity_use,0))</f>
        <v>0</v>
      </c>
      <c r="P37" s="14"/>
      <c r="Q37" s="248">
        <f>+IF(P6='References Assumptions'!$C$351,P9*in_vessel_electricity_use,IF(P6='References Assumptions'!$C$350,P9*ASP_electricity_use,0))</f>
        <v>0</v>
      </c>
      <c r="R37" s="14"/>
      <c r="S37" s="248">
        <f>+IF(R6='References Assumptions'!$C$351,R9*in_vessel_electricity_use,IF(R6='References Assumptions'!$C$350,R9*ASP_electricity_use,0))</f>
        <v>0</v>
      </c>
      <c r="T37" s="14"/>
      <c r="U37" s="248">
        <f>+IF(T6='References Assumptions'!$C$351,T9*in_vessel_electricity_use,IF(T6='References Assumptions'!$C$350,T9*ASP_electricity_use,0))</f>
        <v>0</v>
      </c>
    </row>
    <row r="38" spans="1:21" ht="15.75" customHeight="1" x14ac:dyDescent="0.3">
      <c r="A38" s="331" t="s">
        <v>209</v>
      </c>
      <c r="B38" s="250">
        <f>+B37*GHG_emissions_factors_by_province/1000000</f>
        <v>0</v>
      </c>
      <c r="C38" s="311"/>
      <c r="D38" s="250">
        <f>+D37*GHG_emissions_factors_by_province/1000000</f>
        <v>0</v>
      </c>
      <c r="E38" s="311"/>
      <c r="F38" s="250">
        <f>+F37*GHG_emissions_factors_by_province/1000000</f>
        <v>0</v>
      </c>
      <c r="G38" s="311"/>
      <c r="H38" s="250">
        <f>+H37*GHG_emissions_factors_by_province/1000000</f>
        <v>0</v>
      </c>
      <c r="I38" s="311"/>
      <c r="J38" s="250">
        <f>+J37*GHG_emissions_factors_by_province/1000000</f>
        <v>0</v>
      </c>
      <c r="K38" s="311"/>
      <c r="L38" s="250">
        <f>+L37*GHG_emissions_factors_by_province/1000000</f>
        <v>0</v>
      </c>
      <c r="M38" s="311"/>
      <c r="N38" s="250">
        <f>+N37*GHG_emissions_factors_by_province/1000000</f>
        <v>0</v>
      </c>
      <c r="O38" s="311"/>
      <c r="P38" s="250">
        <f>+P37*GHG_emissions_factors_by_province/1000000</f>
        <v>0</v>
      </c>
      <c r="Q38" s="311"/>
      <c r="R38" s="250">
        <f>+R37*GHG_emissions_factors_by_province/1000000</f>
        <v>0</v>
      </c>
      <c r="S38" s="311"/>
      <c r="T38" s="250">
        <f>+T37*GHG_emissions_factors_by_province/1000000</f>
        <v>0</v>
      </c>
      <c r="U38" s="311"/>
    </row>
    <row r="39" spans="1:21" s="183" customFormat="1" ht="15.75" customHeight="1" thickBot="1" x14ac:dyDescent="0.3">
      <c r="A39" s="336"/>
      <c r="B39" s="337"/>
      <c r="C39" s="335"/>
      <c r="D39" s="337"/>
      <c r="E39" s="335"/>
      <c r="F39" s="337"/>
      <c r="G39" s="335"/>
      <c r="H39" s="337"/>
      <c r="I39" s="335"/>
      <c r="J39" s="337"/>
      <c r="K39" s="335"/>
      <c r="L39" s="337"/>
      <c r="M39" s="335"/>
      <c r="N39" s="337"/>
      <c r="O39" s="335"/>
      <c r="P39" s="337"/>
      <c r="Q39" s="335"/>
      <c r="R39" s="337"/>
      <c r="S39" s="335"/>
      <c r="T39" s="337"/>
      <c r="U39" s="335"/>
    </row>
    <row r="40" spans="1:21" s="130" customFormat="1" ht="15.75" customHeight="1" thickBot="1" x14ac:dyDescent="0.3">
      <c r="A40" s="1300" t="s">
        <v>282</v>
      </c>
      <c r="B40" s="1301"/>
      <c r="C40" s="1301"/>
      <c r="D40" s="1301"/>
      <c r="E40" s="1301"/>
      <c r="F40" s="1301"/>
      <c r="G40" s="1301"/>
      <c r="H40" s="1301"/>
      <c r="I40" s="1301"/>
      <c r="J40" s="1301"/>
      <c r="K40" s="1301"/>
      <c r="L40" s="1301"/>
      <c r="M40" s="1301"/>
      <c r="N40" s="1301"/>
      <c r="O40" s="1301"/>
      <c r="P40" s="1301"/>
      <c r="Q40" s="1301"/>
      <c r="R40" s="1301"/>
      <c r="S40" s="1301"/>
      <c r="T40" s="1301"/>
      <c r="U40" s="1302"/>
    </row>
    <row r="41" spans="1:21" s="130" customFormat="1" ht="15.75" customHeight="1" x14ac:dyDescent="0.35">
      <c r="A41" s="322" t="s">
        <v>225</v>
      </c>
      <c r="B41" s="338" t="e">
        <f>IF(B27='References Assumptions'!$C$339,0,IF(B26&lt;min_solids_for_no_N2O_or_CH4,+B7*ch4_compost,0))</f>
        <v>#N/A</v>
      </c>
      <c r="C41" s="339"/>
      <c r="D41" s="338" t="e">
        <f>IF(D27='References Assumptions'!$C$339,0,IF(D26&lt;min_solids_for_no_N2O_or_CH4,+D7*ch4_compost,0))</f>
        <v>#N/A</v>
      </c>
      <c r="E41" s="339"/>
      <c r="F41" s="338" t="e">
        <f>IF(F27='References Assumptions'!$C$339,0,IF(F26&lt;min_solids_for_no_N2O_or_CH4,+F7*ch4_compost,0))</f>
        <v>#N/A</v>
      </c>
      <c r="G41" s="339"/>
      <c r="H41" s="338" t="e">
        <f>IF(H27='References Assumptions'!$C$339,0,IF(H26&lt;min_solids_for_no_N2O_or_CH4,+H7*ch4_compost,0))</f>
        <v>#N/A</v>
      </c>
      <c r="I41" s="339"/>
      <c r="J41" s="338" t="e">
        <f>IF(J27='References Assumptions'!$C$339,0,IF(J26&lt;min_solids_for_no_N2O_or_CH4,+J7*ch4_compost,0))</f>
        <v>#N/A</v>
      </c>
      <c r="K41" s="339"/>
      <c r="L41" s="338" t="e">
        <f>IF(L27='References Assumptions'!$C$339,0,IF(L26&lt;min_solids_for_no_N2O_or_CH4,+L7*ch4_compost,0))</f>
        <v>#N/A</v>
      </c>
      <c r="M41" s="339"/>
      <c r="N41" s="338" t="e">
        <f>IF(N27='References Assumptions'!$C$339,0,IF(N26&lt;min_solids_for_no_N2O_or_CH4,+N7*ch4_compost,0))</f>
        <v>#N/A</v>
      </c>
      <c r="O41" s="339"/>
      <c r="P41" s="338" t="e">
        <f>IF(P27='References Assumptions'!$C$339,0,IF(P26&lt;min_solids_for_no_N2O_or_CH4,+P7*ch4_compost,0))</f>
        <v>#N/A</v>
      </c>
      <c r="Q41" s="339"/>
      <c r="R41" s="338" t="e">
        <f>IF(R27='References Assumptions'!$C$339,0,IF(R26&lt;min_solids_for_no_N2O_or_CH4,+R7*ch4_compost,0))</f>
        <v>#N/A</v>
      </c>
      <c r="S41" s="339"/>
      <c r="T41" s="338" t="e">
        <f>IF(T27='References Assumptions'!$C$339,0,IF(T26&lt;min_solids_for_no_N2O_or_CH4,+T7*ch4_compost,0))</f>
        <v>#N/A</v>
      </c>
      <c r="U41" s="339"/>
    </row>
    <row r="42" spans="1:21" ht="15.75" customHeight="1" x14ac:dyDescent="0.3">
      <c r="A42" s="331" t="s">
        <v>337</v>
      </c>
      <c r="B42" s="250" t="e">
        <f>+B41*CO2E_of_CH4_ClimateReg</f>
        <v>#N/A</v>
      </c>
      <c r="C42" s="340"/>
      <c r="D42" s="250" t="e">
        <f>+D41*CO2E_of_CH4_ClimateReg</f>
        <v>#N/A</v>
      </c>
      <c r="E42" s="340"/>
      <c r="F42" s="250" t="e">
        <f>+F41*CO2E_of_CH4_ClimateReg</f>
        <v>#N/A</v>
      </c>
      <c r="G42" s="340"/>
      <c r="H42" s="250" t="e">
        <f>+H41*CO2E_of_CH4_ClimateReg</f>
        <v>#N/A</v>
      </c>
      <c r="I42" s="340"/>
      <c r="J42" s="250" t="e">
        <f>+J41*CO2E_of_CH4_ClimateReg</f>
        <v>#N/A</v>
      </c>
      <c r="K42" s="340"/>
      <c r="L42" s="250" t="e">
        <f>+L41*CO2E_of_CH4_ClimateReg</f>
        <v>#N/A</v>
      </c>
      <c r="M42" s="340"/>
      <c r="N42" s="250" t="e">
        <f>+N41*CO2E_of_CH4_ClimateReg</f>
        <v>#N/A</v>
      </c>
      <c r="O42" s="340"/>
      <c r="P42" s="250" t="e">
        <f>+P41*CO2E_of_CH4_ClimateReg</f>
        <v>#N/A</v>
      </c>
      <c r="Q42" s="340"/>
      <c r="R42" s="250" t="e">
        <f>+R41*CO2E_of_CH4_ClimateReg</f>
        <v>#N/A</v>
      </c>
      <c r="S42" s="340"/>
      <c r="T42" s="250" t="e">
        <f>+T41*CO2E_of_CH4_ClimateReg</f>
        <v>#N/A</v>
      </c>
      <c r="U42" s="340"/>
    </row>
    <row r="43" spans="1:21" s="105" customFormat="1" ht="15.75" customHeight="1" thickBot="1" x14ac:dyDescent="0.3">
      <c r="A43" s="341"/>
      <c r="B43" s="337"/>
      <c r="C43" s="335"/>
      <c r="D43" s="337"/>
      <c r="E43" s="335"/>
      <c r="F43" s="337"/>
      <c r="G43" s="335"/>
      <c r="H43" s="337"/>
      <c r="I43" s="335"/>
      <c r="J43" s="337"/>
      <c r="K43" s="335"/>
      <c r="L43" s="337"/>
      <c r="M43" s="335"/>
      <c r="N43" s="337"/>
      <c r="O43" s="335"/>
      <c r="P43" s="337"/>
      <c r="Q43" s="335"/>
      <c r="R43" s="337"/>
      <c r="S43" s="335"/>
      <c r="T43" s="337"/>
      <c r="U43" s="335"/>
    </row>
    <row r="44" spans="1:21" s="130" customFormat="1" ht="15.75" customHeight="1" thickBot="1" x14ac:dyDescent="0.3">
      <c r="A44" s="1300" t="s">
        <v>202</v>
      </c>
      <c r="B44" s="1301"/>
      <c r="C44" s="1301"/>
      <c r="D44" s="1301"/>
      <c r="E44" s="1301"/>
      <c r="F44" s="1301"/>
      <c r="G44" s="1301"/>
      <c r="H44" s="1301"/>
      <c r="I44" s="1301"/>
      <c r="J44" s="1301"/>
      <c r="K44" s="1301"/>
      <c r="L44" s="1301"/>
      <c r="M44" s="1301"/>
      <c r="N44" s="1301"/>
      <c r="O44" s="1301"/>
      <c r="P44" s="1301"/>
      <c r="Q44" s="1301"/>
      <c r="R44" s="1301"/>
      <c r="S44" s="1301"/>
      <c r="T44" s="1301"/>
      <c r="U44" s="1302"/>
    </row>
    <row r="45" spans="1:21" s="130" customFormat="1" ht="15.75" customHeight="1" x14ac:dyDescent="0.35">
      <c r="A45" s="322" t="s">
        <v>297</v>
      </c>
      <c r="B45" s="342" t="e">
        <f>+IF(B25&gt;=Cut_off_between_low_and_high_C_N,0,IF(B26&gt;=min_solids_for_no_N2O_or_CH4,0,B7*n2o_compost))</f>
        <v>#N/A</v>
      </c>
      <c r="C45" s="343"/>
      <c r="D45" s="342" t="e">
        <f>+IF(D25&gt;=Cut_off_between_low_and_high_C_N,0,IF(D26&gt;=min_solids_for_no_N2O_or_CH4,0,D7*n2o_compost))</f>
        <v>#N/A</v>
      </c>
      <c r="E45" s="343"/>
      <c r="F45" s="342" t="e">
        <f>+IF(F25&gt;=Cut_off_between_low_and_high_C_N,0,IF(F26&gt;=min_solids_for_no_N2O_or_CH4,0,F7*n2o_compost))</f>
        <v>#N/A</v>
      </c>
      <c r="G45" s="343"/>
      <c r="H45" s="342" t="e">
        <f>+IF(H25&gt;=Cut_off_between_low_and_high_C_N,0,IF(H26&gt;=min_solids_for_no_N2O_or_CH4,0,H7*n2o_compost))</f>
        <v>#N/A</v>
      </c>
      <c r="I45" s="343"/>
      <c r="J45" s="342" t="e">
        <f>+IF(J25&gt;=Cut_off_between_low_and_high_C_N,0,IF(J26&gt;=min_solids_for_no_N2O_or_CH4,0,J7*n2o_compost))</f>
        <v>#N/A</v>
      </c>
      <c r="K45" s="343"/>
      <c r="L45" s="342" t="e">
        <f>+IF(L25&gt;=Cut_off_between_low_and_high_C_N,0,IF(L26&gt;=min_solids_for_no_N2O_or_CH4,0,L7*n2o_compost))</f>
        <v>#N/A</v>
      </c>
      <c r="M45" s="343"/>
      <c r="N45" s="342" t="e">
        <f>+IF(N25&gt;=Cut_off_between_low_and_high_C_N,0,IF(N26&gt;=min_solids_for_no_N2O_or_CH4,0,N7*n2o_compost))</f>
        <v>#N/A</v>
      </c>
      <c r="O45" s="343"/>
      <c r="P45" s="342" t="e">
        <f>+IF(P25&gt;=Cut_off_between_low_and_high_C_N,0,IF(P26&gt;=min_solids_for_no_N2O_or_CH4,0,P7*n2o_compost))</f>
        <v>#N/A</v>
      </c>
      <c r="Q45" s="343"/>
      <c r="R45" s="342" t="e">
        <f>+IF(R25&gt;=Cut_off_between_low_and_high_C_N,0,IF(R26&gt;=min_solids_for_no_N2O_or_CH4,0,R7*n2o_compost))</f>
        <v>#N/A</v>
      </c>
      <c r="S45" s="343"/>
      <c r="T45" s="342" t="e">
        <f>+IF(T25&gt;=Cut_off_between_low_and_high_C_N,0,IF(T26&gt;=min_solids_for_no_N2O_or_CH4,0,T7*n2o_compost))</f>
        <v>#N/A</v>
      </c>
      <c r="U45" s="343"/>
    </row>
    <row r="46" spans="1:21" s="105" customFormat="1" ht="15.75" customHeight="1" x14ac:dyDescent="0.3">
      <c r="A46" s="331" t="s">
        <v>342</v>
      </c>
      <c r="B46" s="250" t="e">
        <f>+B45*CO2E_of_N2O_Climate_Reg</f>
        <v>#N/A</v>
      </c>
      <c r="C46" s="332"/>
      <c r="D46" s="250" t="e">
        <f>+D45*CO2E_of_N2O_Climate_Reg</f>
        <v>#N/A</v>
      </c>
      <c r="E46" s="332"/>
      <c r="F46" s="250" t="e">
        <f>+F45*CO2E_of_N2O_Climate_Reg</f>
        <v>#N/A</v>
      </c>
      <c r="G46" s="332"/>
      <c r="H46" s="250" t="e">
        <f>+H45*CO2E_of_N2O_Climate_Reg</f>
        <v>#N/A</v>
      </c>
      <c r="I46" s="332"/>
      <c r="J46" s="250" t="e">
        <f>+J45*CO2E_of_N2O_Climate_Reg</f>
        <v>#N/A</v>
      </c>
      <c r="K46" s="332"/>
      <c r="L46" s="250" t="e">
        <f>+L45*CO2E_of_N2O_Climate_Reg</f>
        <v>#N/A</v>
      </c>
      <c r="M46" s="332"/>
      <c r="N46" s="250" t="e">
        <f>+N45*CO2E_of_N2O_Climate_Reg</f>
        <v>#N/A</v>
      </c>
      <c r="O46" s="332"/>
      <c r="P46" s="250" t="e">
        <f>+P45*CO2E_of_N2O_Climate_Reg</f>
        <v>#N/A</v>
      </c>
      <c r="Q46" s="332"/>
      <c r="R46" s="250" t="e">
        <f>+R45*CO2E_of_N2O_Climate_Reg</f>
        <v>#N/A</v>
      </c>
      <c r="S46" s="332"/>
      <c r="T46" s="250" t="e">
        <f>+T45*CO2E_of_N2O_Climate_Reg</f>
        <v>#N/A</v>
      </c>
      <c r="U46" s="332"/>
    </row>
    <row r="47" spans="1:21" ht="15.75" customHeight="1" thickBot="1" x14ac:dyDescent="0.3">
      <c r="A47" s="323"/>
      <c r="B47" s="344"/>
      <c r="C47" s="345"/>
      <c r="D47" s="344"/>
      <c r="E47" s="345"/>
      <c r="F47" s="344"/>
      <c r="G47" s="345"/>
      <c r="H47" s="344"/>
      <c r="I47" s="345"/>
      <c r="J47" s="344"/>
      <c r="K47" s="345"/>
      <c r="L47" s="344"/>
      <c r="M47" s="345"/>
      <c r="N47" s="344"/>
      <c r="O47" s="345"/>
      <c r="P47" s="344"/>
      <c r="Q47" s="345"/>
      <c r="R47" s="344"/>
      <c r="S47" s="345"/>
      <c r="T47" s="344"/>
      <c r="U47" s="345"/>
    </row>
    <row r="48" spans="1:21" s="105" customFormat="1" ht="15.75" customHeight="1" thickBot="1" x14ac:dyDescent="0.3">
      <c r="A48" s="1300" t="s">
        <v>235</v>
      </c>
      <c r="B48" s="1301"/>
      <c r="C48" s="1301"/>
      <c r="D48" s="1301"/>
      <c r="E48" s="1301"/>
      <c r="F48" s="1301"/>
      <c r="G48" s="1301"/>
      <c r="H48" s="1301"/>
      <c r="I48" s="1301"/>
      <c r="J48" s="1301"/>
      <c r="K48" s="1301"/>
      <c r="L48" s="1301"/>
      <c r="M48" s="1301"/>
      <c r="N48" s="1301"/>
      <c r="O48" s="1301"/>
      <c r="P48" s="1301"/>
      <c r="Q48" s="1301"/>
      <c r="R48" s="1301"/>
      <c r="S48" s="1301"/>
      <c r="T48" s="1301"/>
      <c r="U48" s="1302"/>
    </row>
    <row r="49" spans="1:21" s="130" customFormat="1" ht="15.75" customHeight="1" x14ac:dyDescent="0.2">
      <c r="A49" s="322" t="s">
        <v>940</v>
      </c>
      <c r="B49" s="14"/>
      <c r="C49" s="348"/>
      <c r="D49" s="14"/>
      <c r="E49" s="348"/>
      <c r="F49" s="14"/>
      <c r="G49" s="348"/>
      <c r="H49" s="14"/>
      <c r="I49" s="348"/>
      <c r="J49" s="14"/>
      <c r="K49" s="348"/>
      <c r="L49" s="14"/>
      <c r="M49" s="348"/>
      <c r="N49" s="14"/>
      <c r="O49" s="348"/>
      <c r="P49" s="14"/>
      <c r="Q49" s="348"/>
      <c r="R49" s="14"/>
      <c r="S49" s="348"/>
      <c r="T49" s="14"/>
      <c r="U49" s="348"/>
    </row>
    <row r="50" spans="1:21" s="105" customFormat="1" ht="15.75" customHeight="1" x14ac:dyDescent="0.3">
      <c r="A50" s="331" t="s">
        <v>41</v>
      </c>
      <c r="B50" s="1040" t="e">
        <f>-B9*VLOOKUP(B49,'References Assumptions'!$A$147:$B$150,2,FALSE)</f>
        <v>#VALUE!</v>
      </c>
      <c r="C50" s="1041"/>
      <c r="D50" s="1040" t="e">
        <f>-D9*VLOOKUP(D49,'References Assumptions'!$A$147:$B$150,2,FALSE)</f>
        <v>#VALUE!</v>
      </c>
      <c r="E50" s="1041"/>
      <c r="F50" s="1040" t="e">
        <f>-F9*VLOOKUP(F49,'References Assumptions'!$A$147:$B$150,2,FALSE)</f>
        <v>#VALUE!</v>
      </c>
      <c r="G50" s="1041"/>
      <c r="H50" s="1040" t="e">
        <f>-H9*VLOOKUP(H49,'References Assumptions'!$A$147:$B$150,2,FALSE)</f>
        <v>#VALUE!</v>
      </c>
      <c r="I50" s="1041"/>
      <c r="J50" s="1040" t="e">
        <f>-J9*VLOOKUP(J49,'References Assumptions'!$A$147:$B$150,2,FALSE)</f>
        <v>#VALUE!</v>
      </c>
      <c r="K50" s="1041"/>
      <c r="L50" s="1040" t="e">
        <f>-L9*VLOOKUP(L49,'References Assumptions'!$A$147:$B$150,2,FALSE)</f>
        <v>#VALUE!</v>
      </c>
      <c r="M50" s="1041"/>
      <c r="N50" s="1040" t="e">
        <f>-N9*VLOOKUP(N49,'References Assumptions'!$A$147:$B$150,2,FALSE)</f>
        <v>#VALUE!</v>
      </c>
      <c r="O50" s="1041"/>
      <c r="P50" s="1040" t="e">
        <f>-P9*VLOOKUP(P49,'References Assumptions'!$A$147:$B$150,2,FALSE)</f>
        <v>#VALUE!</v>
      </c>
      <c r="Q50" s="1041"/>
      <c r="R50" s="1040" t="e">
        <f>-R9*VLOOKUP(R49,'References Assumptions'!$A$147:$B$150,2,FALSE)</f>
        <v>#VALUE!</v>
      </c>
      <c r="S50" s="1041"/>
      <c r="T50" s="1040" t="e">
        <f>-T9*VLOOKUP(T49,'References Assumptions'!$A$147:$B$150,2,FALSE)</f>
        <v>#VALUE!</v>
      </c>
      <c r="U50" s="1041"/>
    </row>
    <row r="51" spans="1:21" s="105" customFormat="1" ht="15.75" customHeight="1" thickBot="1" x14ac:dyDescent="0.3">
      <c r="A51" s="341"/>
      <c r="B51" s="337"/>
      <c r="C51" s="954"/>
      <c r="D51" s="337"/>
      <c r="E51" s="335"/>
      <c r="F51" s="337"/>
      <c r="G51" s="335"/>
      <c r="H51" s="337"/>
      <c r="I51" s="335"/>
      <c r="J51" s="337"/>
      <c r="K51" s="954"/>
      <c r="L51" s="337"/>
      <c r="M51" s="335"/>
      <c r="N51" s="337"/>
      <c r="O51" s="335"/>
      <c r="P51" s="337"/>
      <c r="Q51" s="335"/>
      <c r="R51" s="337"/>
      <c r="S51" s="335"/>
      <c r="T51" s="337"/>
      <c r="U51" s="335"/>
    </row>
    <row r="52" spans="1:21" s="130" customFormat="1" ht="15.75" customHeight="1" thickBot="1" x14ac:dyDescent="0.3">
      <c r="A52" s="1300" t="s">
        <v>226</v>
      </c>
      <c r="B52" s="1301"/>
      <c r="C52" s="1301"/>
      <c r="D52" s="1301"/>
      <c r="E52" s="1301"/>
      <c r="F52" s="1301"/>
      <c r="G52" s="1301"/>
      <c r="H52" s="1301"/>
      <c r="I52" s="1301"/>
      <c r="J52" s="1301"/>
      <c r="K52" s="1301"/>
      <c r="L52" s="1301"/>
      <c r="M52" s="1301"/>
      <c r="N52" s="1301"/>
      <c r="O52" s="1301"/>
      <c r="P52" s="1301"/>
      <c r="Q52" s="1301"/>
      <c r="R52" s="1301"/>
      <c r="S52" s="1301"/>
      <c r="T52" s="1301"/>
      <c r="U52" s="1302"/>
    </row>
    <row r="53" spans="1:21" s="130" customFormat="1" ht="15.75" customHeight="1" x14ac:dyDescent="0.3">
      <c r="A53" s="346" t="s">
        <v>42</v>
      </c>
      <c r="B53" s="347" t="e">
        <f>-B9*B13*N_fertilizer_credit_ROU_2006</f>
        <v>#VALUE!</v>
      </c>
      <c r="C53" s="349"/>
      <c r="D53" s="347" t="e">
        <f>-D9*D13*N_fertilizer_credit_ROU_2006</f>
        <v>#VALUE!</v>
      </c>
      <c r="E53" s="349"/>
      <c r="F53" s="347" t="e">
        <f>-F9*F13*N_fertilizer_credit_ROU_2006</f>
        <v>#VALUE!</v>
      </c>
      <c r="G53" s="349"/>
      <c r="H53" s="347" t="e">
        <f>-H9*H13*N_fertilizer_credit_ROU_2006</f>
        <v>#VALUE!</v>
      </c>
      <c r="I53" s="349"/>
      <c r="J53" s="347" t="e">
        <f>-J9*J13*N_fertilizer_credit_ROU_2006</f>
        <v>#VALUE!</v>
      </c>
      <c r="K53" s="349"/>
      <c r="L53" s="347" t="e">
        <f>-L9*L13*N_fertilizer_credit_ROU_2006</f>
        <v>#VALUE!</v>
      </c>
      <c r="M53" s="349"/>
      <c r="N53" s="347" t="e">
        <f>-N9*N13*N_fertilizer_credit_ROU_2006</f>
        <v>#VALUE!</v>
      </c>
      <c r="O53" s="349"/>
      <c r="P53" s="347" t="e">
        <f>-P9*P13*N_fertilizer_credit_ROU_2006</f>
        <v>#VALUE!</v>
      </c>
      <c r="Q53" s="349"/>
      <c r="R53" s="347" t="e">
        <f>-R9*R13*N_fertilizer_credit_ROU_2006</f>
        <v>#VALUE!</v>
      </c>
      <c r="S53" s="349"/>
      <c r="T53" s="347" t="e">
        <f>-T9*T13*N_fertilizer_credit_ROU_2006</f>
        <v>#VALUE!</v>
      </c>
      <c r="U53" s="349"/>
    </row>
    <row r="54" spans="1:21" s="183" customFormat="1" ht="15.75" customHeight="1" x14ac:dyDescent="0.3">
      <c r="A54" s="1101" t="s">
        <v>43</v>
      </c>
      <c r="B54" s="418" t="e">
        <f>-B9*B14*P_fertilizer_credit_ROU_2006</f>
        <v>#VALUE!</v>
      </c>
      <c r="C54" s="1102"/>
      <c r="D54" s="418" t="e">
        <f>-D9*D14*P_fertilizer_credit_ROU_2006</f>
        <v>#VALUE!</v>
      </c>
      <c r="E54" s="1102"/>
      <c r="F54" s="418" t="e">
        <f>-F9*F14*P_fertilizer_credit_ROU_2006</f>
        <v>#VALUE!</v>
      </c>
      <c r="G54" s="1102"/>
      <c r="H54" s="418" t="e">
        <f>-H9*H14*P_fertilizer_credit_ROU_2006</f>
        <v>#VALUE!</v>
      </c>
      <c r="I54" s="1102"/>
      <c r="J54" s="418" t="e">
        <f>-J9*J14*P_fertilizer_credit_ROU_2006</f>
        <v>#VALUE!</v>
      </c>
      <c r="K54" s="1102"/>
      <c r="L54" s="418" t="e">
        <f>-L9*L14*P_fertilizer_credit_ROU_2006</f>
        <v>#VALUE!</v>
      </c>
      <c r="M54" s="1102"/>
      <c r="N54" s="418" t="e">
        <f>-N9*N14*P_fertilizer_credit_ROU_2006</f>
        <v>#VALUE!</v>
      </c>
      <c r="O54" s="1102"/>
      <c r="P54" s="418" t="e">
        <f>-P9*P14*P_fertilizer_credit_ROU_2006</f>
        <v>#VALUE!</v>
      </c>
      <c r="Q54" s="1102"/>
      <c r="R54" s="418" t="e">
        <f>-R9*R14*P_fertilizer_credit_ROU_2006</f>
        <v>#VALUE!</v>
      </c>
      <c r="S54" s="1102"/>
      <c r="T54" s="418" t="e">
        <f>-T9*T14*P_fertilizer_credit_ROU_2006</f>
        <v>#VALUE!</v>
      </c>
      <c r="U54" s="1102"/>
    </row>
    <row r="55" spans="1:21" s="183" customFormat="1" ht="15.75" customHeight="1" thickBot="1" x14ac:dyDescent="0.3">
      <c r="A55" s="341"/>
      <c r="B55" s="337"/>
      <c r="C55" s="954"/>
      <c r="D55" s="337"/>
      <c r="E55" s="335"/>
      <c r="F55" s="337"/>
      <c r="G55" s="335"/>
      <c r="H55" s="337"/>
      <c r="I55" s="335"/>
      <c r="J55" s="337"/>
      <c r="K55" s="954"/>
      <c r="L55" s="337"/>
      <c r="M55" s="335"/>
      <c r="N55" s="337"/>
      <c r="O55" s="335"/>
      <c r="P55" s="337"/>
      <c r="Q55" s="335"/>
      <c r="R55" s="337"/>
      <c r="S55" s="335"/>
      <c r="T55" s="337"/>
      <c r="U55" s="335"/>
    </row>
    <row r="56" spans="1:21" ht="15.75" customHeight="1" thickBot="1" x14ac:dyDescent="0.25">
      <c r="A56" s="1348"/>
      <c r="B56" s="1349"/>
      <c r="C56" s="1349"/>
      <c r="D56" s="1349"/>
      <c r="E56" s="1349"/>
      <c r="F56" s="1349"/>
      <c r="G56" s="1349"/>
      <c r="H56" s="1349"/>
      <c r="I56" s="1349"/>
      <c r="J56" s="1349"/>
      <c r="K56" s="1349"/>
      <c r="L56" s="1349"/>
      <c r="M56" s="1349"/>
      <c r="N56" s="1349"/>
      <c r="O56" s="1349"/>
      <c r="P56" s="1349"/>
      <c r="Q56" s="1349"/>
      <c r="R56" s="1349"/>
      <c r="S56" s="1349"/>
      <c r="T56" s="1349"/>
      <c r="U56" s="1350"/>
    </row>
    <row r="57" spans="1:21" s="105" customFormat="1" ht="15.75" customHeight="1" thickBot="1" x14ac:dyDescent="0.25">
      <c r="A57" s="254" t="s">
        <v>44</v>
      </c>
      <c r="B57" s="282" t="e">
        <f>(B34+B38+B42+B46+B50+B53+B54)*days_yr</f>
        <v>#N/A</v>
      </c>
      <c r="C57" s="304"/>
      <c r="D57" s="282" t="e">
        <f>(D34+D38+D42+D46+D50+D53+D54)*days_yr</f>
        <v>#N/A</v>
      </c>
      <c r="E57" s="304"/>
      <c r="F57" s="282" t="e">
        <f>(F34+F38+F42+F46+F50+F53+F54)*days_yr</f>
        <v>#N/A</v>
      </c>
      <c r="G57" s="304"/>
      <c r="H57" s="282" t="e">
        <f>(H34+H38+H42+H46+H50+H53+H54)*days_yr</f>
        <v>#N/A</v>
      </c>
      <c r="I57" s="304"/>
      <c r="J57" s="282" t="e">
        <f>(J34+J38+J42+J46+J50+J53+J54)*days_yr</f>
        <v>#N/A</v>
      </c>
      <c r="K57" s="304"/>
      <c r="L57" s="282" t="e">
        <f>(L34+L38+L42+L46+L50+L53+L54)*days_yr</f>
        <v>#N/A</v>
      </c>
      <c r="M57" s="304"/>
      <c r="N57" s="282" t="e">
        <f>(N34+N38+N42+N46+N50+N53+N54)*days_yr</f>
        <v>#N/A</v>
      </c>
      <c r="O57" s="304"/>
      <c r="P57" s="282" t="e">
        <f>(P34+P38+P42+P46+P50+P53+P54)*days_yr</f>
        <v>#N/A</v>
      </c>
      <c r="Q57" s="304"/>
      <c r="R57" s="282" t="e">
        <f>(R34+R38+R42+R46+R50+R53+R54)*days_yr</f>
        <v>#N/A</v>
      </c>
      <c r="S57" s="304"/>
      <c r="T57" s="282" t="e">
        <f>(T34+T38+T42+T46+T50+T53+T54)*days_yr</f>
        <v>#N/A</v>
      </c>
      <c r="U57" s="304"/>
    </row>
    <row r="58" spans="1:21" ht="18.75" customHeight="1" x14ac:dyDescent="0.25">
      <c r="A58" s="161" t="s">
        <v>228</v>
      </c>
      <c r="B58" s="137" t="e">
        <f>(B34+B42+B46+B50)*days_yr</f>
        <v>#N/A</v>
      </c>
      <c r="C58" s="305"/>
      <c r="D58" s="137" t="e">
        <f>(D34+D42+D46+D50)*days_yr</f>
        <v>#N/A</v>
      </c>
      <c r="E58" s="305"/>
      <c r="F58" s="137" t="e">
        <f>(F34+F42+F46+F50)*days_yr</f>
        <v>#N/A</v>
      </c>
      <c r="G58" s="305"/>
      <c r="H58" s="137" t="e">
        <f>(H34+H42+H46+H50)*days_yr</f>
        <v>#N/A</v>
      </c>
      <c r="I58" s="305"/>
      <c r="J58" s="137" t="e">
        <f>(J34+J42+J46+J50)*days_yr</f>
        <v>#N/A</v>
      </c>
      <c r="K58" s="305"/>
      <c r="L58" s="137" t="e">
        <f>(L34+L42+L46+L50)*days_yr</f>
        <v>#N/A</v>
      </c>
      <c r="M58" s="305"/>
      <c r="N58" s="137" t="e">
        <f>(N34+N42+N46+N50)*days_yr</f>
        <v>#N/A</v>
      </c>
      <c r="O58" s="305"/>
      <c r="P58" s="137" t="e">
        <f>(P34+P42+P46+P50)*days_yr</f>
        <v>#N/A</v>
      </c>
      <c r="Q58" s="305"/>
      <c r="R58" s="137" t="e">
        <f>(R34+R42+R46+R50)*days_yr</f>
        <v>#N/A</v>
      </c>
      <c r="S58" s="305"/>
      <c r="T58" s="137" t="e">
        <f>(T34+T42+T46+T50)*days_yr</f>
        <v>#N/A</v>
      </c>
      <c r="U58" s="305"/>
    </row>
    <row r="59" spans="1:21" ht="15.75" customHeight="1" x14ac:dyDescent="0.25">
      <c r="A59" s="168" t="s">
        <v>229</v>
      </c>
      <c r="B59" s="138">
        <f>B38*days_yr</f>
        <v>0</v>
      </c>
      <c r="C59" s="305"/>
      <c r="D59" s="138">
        <f>D38*days_yr</f>
        <v>0</v>
      </c>
      <c r="E59" s="305"/>
      <c r="F59" s="138">
        <f>F38*days_yr</f>
        <v>0</v>
      </c>
      <c r="G59" s="305"/>
      <c r="H59" s="138">
        <f>H38*days_yr</f>
        <v>0</v>
      </c>
      <c r="I59" s="305"/>
      <c r="J59" s="138">
        <f>J38*days_yr</f>
        <v>0</v>
      </c>
      <c r="K59" s="305"/>
      <c r="L59" s="138">
        <f>L38*days_yr</f>
        <v>0</v>
      </c>
      <c r="M59" s="305"/>
      <c r="N59" s="138">
        <f>N38*days_yr</f>
        <v>0</v>
      </c>
      <c r="O59" s="305"/>
      <c r="P59" s="138">
        <f>P38*days_yr</f>
        <v>0</v>
      </c>
      <c r="Q59" s="305"/>
      <c r="R59" s="138">
        <f>R38*days_yr</f>
        <v>0</v>
      </c>
      <c r="S59" s="305"/>
      <c r="T59" s="138">
        <f>T38*days_yr</f>
        <v>0</v>
      </c>
      <c r="U59" s="305"/>
    </row>
    <row r="60" spans="1:21" ht="15.75" customHeight="1" x14ac:dyDescent="0.25">
      <c r="A60" s="168" t="s">
        <v>207</v>
      </c>
      <c r="B60" s="138" t="e">
        <f>B58+B59</f>
        <v>#N/A</v>
      </c>
      <c r="C60" s="305"/>
      <c r="D60" s="138" t="e">
        <f>D58+D59</f>
        <v>#N/A</v>
      </c>
      <c r="E60" s="305"/>
      <c r="F60" s="138" t="e">
        <f>F58+F59</f>
        <v>#N/A</v>
      </c>
      <c r="G60" s="305"/>
      <c r="H60" s="138" t="e">
        <f>H58+H59</f>
        <v>#N/A</v>
      </c>
      <c r="I60" s="305"/>
      <c r="J60" s="138" t="e">
        <f>J58+J59</f>
        <v>#N/A</v>
      </c>
      <c r="K60" s="305"/>
      <c r="L60" s="138" t="e">
        <f>L58+L59</f>
        <v>#N/A</v>
      </c>
      <c r="M60" s="305"/>
      <c r="N60" s="138" t="e">
        <f>N58+N59</f>
        <v>#N/A</v>
      </c>
      <c r="O60" s="305"/>
      <c r="P60" s="138" t="e">
        <f>P58+P59</f>
        <v>#N/A</v>
      </c>
      <c r="Q60" s="305"/>
      <c r="R60" s="138" t="e">
        <f>R58+R59</f>
        <v>#N/A</v>
      </c>
      <c r="S60" s="305"/>
      <c r="T60" s="138" t="e">
        <f>T58+T59</f>
        <v>#N/A</v>
      </c>
      <c r="U60" s="305"/>
    </row>
    <row r="61" spans="1:21" ht="15.75" customHeight="1" x14ac:dyDescent="0.25">
      <c r="A61" s="168" t="s">
        <v>230</v>
      </c>
      <c r="B61" s="138" t="e">
        <f>(B53+B54)*days_yr</f>
        <v>#VALUE!</v>
      </c>
      <c r="C61" s="305"/>
      <c r="D61" s="138" t="e">
        <f>(D53+D54)*days_yr</f>
        <v>#VALUE!</v>
      </c>
      <c r="E61" s="305"/>
      <c r="F61" s="138" t="e">
        <f>(F53+F54)*days_yr</f>
        <v>#VALUE!</v>
      </c>
      <c r="G61" s="305"/>
      <c r="H61" s="138" t="e">
        <f>(H53+H54)*days_yr</f>
        <v>#VALUE!</v>
      </c>
      <c r="I61" s="305"/>
      <c r="J61" s="138" t="e">
        <f>(J53+J54)*days_yr</f>
        <v>#VALUE!</v>
      </c>
      <c r="K61" s="305"/>
      <c r="L61" s="138" t="e">
        <f>(L53+L54)*days_yr</f>
        <v>#VALUE!</v>
      </c>
      <c r="M61" s="305"/>
      <c r="N61" s="138" t="e">
        <f>(N53+N54)*days_yr</f>
        <v>#VALUE!</v>
      </c>
      <c r="O61" s="305"/>
      <c r="P61" s="138" t="e">
        <f>(P53+P54)*days_yr</f>
        <v>#VALUE!</v>
      </c>
      <c r="Q61" s="305"/>
      <c r="R61" s="138" t="e">
        <f>(R53+R54)*days_yr</f>
        <v>#VALUE!</v>
      </c>
      <c r="S61" s="305"/>
      <c r="T61" s="138" t="e">
        <f>(T53+T54)*days_yr</f>
        <v>#VALUE!</v>
      </c>
      <c r="U61" s="305"/>
    </row>
    <row r="62" spans="1:21" ht="15.75" customHeight="1" thickBot="1" x14ac:dyDescent="0.3">
      <c r="A62" s="169" t="s">
        <v>232</v>
      </c>
      <c r="B62" s="285" t="s">
        <v>102</v>
      </c>
      <c r="C62" s="351"/>
      <c r="D62" s="285" t="s">
        <v>102</v>
      </c>
      <c r="E62" s="351"/>
      <c r="F62" s="285" t="s">
        <v>102</v>
      </c>
      <c r="G62" s="351"/>
      <c r="H62" s="285" t="s">
        <v>102</v>
      </c>
      <c r="I62" s="351"/>
      <c r="J62" s="285" t="s">
        <v>102</v>
      </c>
      <c r="K62" s="351"/>
      <c r="L62" s="285" t="s">
        <v>102</v>
      </c>
      <c r="M62" s="351"/>
      <c r="N62" s="285" t="s">
        <v>102</v>
      </c>
      <c r="O62" s="351"/>
      <c r="P62" s="285" t="s">
        <v>102</v>
      </c>
      <c r="Q62" s="351"/>
      <c r="R62" s="285" t="s">
        <v>102</v>
      </c>
      <c r="S62" s="351"/>
      <c r="T62" s="285" t="s">
        <v>102</v>
      </c>
      <c r="U62" s="351"/>
    </row>
    <row r="63" spans="1:21" ht="15.75" customHeight="1" x14ac:dyDescent="0.2">
      <c r="D63" s="352"/>
      <c r="E63" s="352"/>
      <c r="F63" s="352"/>
    </row>
    <row r="64" spans="1:21" ht="15.75" customHeight="1" x14ac:dyDescent="0.25">
      <c r="A64" s="176" t="s">
        <v>97</v>
      </c>
      <c r="B64" s="155"/>
      <c r="C64" s="105"/>
      <c r="D64" s="352"/>
      <c r="E64" s="352"/>
      <c r="F64" s="352"/>
      <c r="G64" s="105"/>
      <c r="H64" s="105"/>
      <c r="I64" s="105"/>
      <c r="J64" s="105"/>
      <c r="K64" s="105"/>
      <c r="L64" s="105"/>
      <c r="M64" s="105"/>
      <c r="N64" s="105"/>
      <c r="O64" s="105"/>
      <c r="P64" s="105"/>
      <c r="Q64" s="105"/>
      <c r="R64" s="105"/>
      <c r="S64" s="105"/>
      <c r="T64" s="105"/>
      <c r="U64" s="105"/>
    </row>
    <row r="65" spans="1:21" s="105" customFormat="1" ht="29.25" x14ac:dyDescent="0.2">
      <c r="A65" s="1035" t="s">
        <v>5</v>
      </c>
      <c r="B65" s="1036"/>
      <c r="C65" s="1036"/>
      <c r="D65" s="352"/>
      <c r="E65" s="352"/>
      <c r="F65" s="352"/>
    </row>
    <row r="66" spans="1:21" s="105" customFormat="1" ht="15" x14ac:dyDescent="0.2">
      <c r="A66" s="96" t="s">
        <v>985</v>
      </c>
      <c r="B66" s="1036"/>
      <c r="C66" s="1036"/>
    </row>
    <row r="67" spans="1:21" s="105" customFormat="1" ht="15.75" customHeight="1" x14ac:dyDescent="0.2">
      <c r="B67" s="96"/>
      <c r="C67" s="96"/>
      <c r="D67" s="96"/>
      <c r="E67" s="96"/>
      <c r="F67" s="96"/>
      <c r="G67" s="96"/>
      <c r="H67" s="96"/>
      <c r="I67" s="96"/>
      <c r="J67" s="96"/>
      <c r="K67" s="96"/>
      <c r="L67" s="96"/>
      <c r="M67" s="96"/>
      <c r="N67" s="96"/>
      <c r="O67" s="96"/>
      <c r="P67" s="96"/>
      <c r="Q67" s="96"/>
      <c r="R67" s="96"/>
      <c r="S67" s="96"/>
      <c r="T67" s="96"/>
      <c r="U67" s="96"/>
    </row>
    <row r="68" spans="1:21" ht="15" x14ac:dyDescent="0.2">
      <c r="A68" s="353"/>
      <c r="B68" s="1234" t="s">
        <v>110</v>
      </c>
      <c r="C68" s="1235"/>
      <c r="D68" s="1235"/>
      <c r="E68" s="1236"/>
    </row>
    <row r="69" spans="1:21" x14ac:dyDescent="0.2">
      <c r="B69" s="1231" t="s">
        <v>31</v>
      </c>
      <c r="C69" s="1232"/>
      <c r="D69" s="1233"/>
      <c r="E69" s="563">
        <v>0</v>
      </c>
    </row>
    <row r="70" spans="1:21" x14ac:dyDescent="0.2">
      <c r="B70" s="1231" t="s">
        <v>32</v>
      </c>
      <c r="C70" s="1232"/>
      <c r="D70" s="1233"/>
      <c r="E70" s="564">
        <v>0</v>
      </c>
    </row>
    <row r="71" spans="1:21" x14ac:dyDescent="0.2">
      <c r="B71" s="1231" t="s">
        <v>615</v>
      </c>
      <c r="C71" s="1232"/>
      <c r="D71" s="1233"/>
      <c r="E71" s="565">
        <v>0</v>
      </c>
    </row>
    <row r="72" spans="1:21" ht="15" x14ac:dyDescent="0.25">
      <c r="B72" s="1231" t="s">
        <v>70</v>
      </c>
      <c r="C72" s="1232"/>
      <c r="D72" s="1233"/>
      <c r="E72" s="566">
        <v>0</v>
      </c>
    </row>
    <row r="73" spans="1:21" x14ac:dyDescent="0.2">
      <c r="B73" s="1231" t="s">
        <v>550</v>
      </c>
      <c r="C73" s="1232"/>
      <c r="D73" s="1233"/>
      <c r="E73" s="567">
        <v>0</v>
      </c>
    </row>
    <row r="74" spans="1:21" x14ac:dyDescent="0.2">
      <c r="B74" s="1231" t="s">
        <v>610</v>
      </c>
      <c r="C74" s="1232"/>
      <c r="D74" s="1233"/>
      <c r="E74" s="227">
        <v>0</v>
      </c>
    </row>
    <row r="88" spans="2:3" x14ac:dyDescent="0.2">
      <c r="B88" s="183"/>
      <c r="C88" s="183"/>
    </row>
    <row r="89" spans="2:3" x14ac:dyDescent="0.2">
      <c r="B89" s="130"/>
      <c r="C89" s="130"/>
    </row>
  </sheetData>
  <sheetProtection algorithmName="SHA-512" hashValue="qIqss8GWTq9IPFJHSVzurbysBZGCwqDme+myDNzCaBV2l/+MKR+DK80UQI6AQ4Uggm83urhk6KrQZF+FXdzmGA==" saltValue="uvOmqwH3haJSx5QfSffkZw==" spinCount="100000" sheet="1" objects="1" scenarios="1"/>
  <mergeCells count="37">
    <mergeCell ref="R2:S2"/>
    <mergeCell ref="H2:I2"/>
    <mergeCell ref="J2:K2"/>
    <mergeCell ref="L2:M2"/>
    <mergeCell ref="N2:O2"/>
    <mergeCell ref="P2:Q2"/>
    <mergeCell ref="T3:U3"/>
    <mergeCell ref="A5:U5"/>
    <mergeCell ref="A2:A3"/>
    <mergeCell ref="B2:C2"/>
    <mergeCell ref="D2:E2"/>
    <mergeCell ref="F2:G2"/>
    <mergeCell ref="T2:U2"/>
    <mergeCell ref="B3:C3"/>
    <mergeCell ref="D3:E3"/>
    <mergeCell ref="F3:G3"/>
    <mergeCell ref="H3:I3"/>
    <mergeCell ref="J3:K3"/>
    <mergeCell ref="L3:M3"/>
    <mergeCell ref="N3:O3"/>
    <mergeCell ref="P3:Q3"/>
    <mergeCell ref="R3:S3"/>
    <mergeCell ref="A52:U52"/>
    <mergeCell ref="A56:U56"/>
    <mergeCell ref="A24:U24"/>
    <mergeCell ref="A29:U29"/>
    <mergeCell ref="A36:U36"/>
    <mergeCell ref="A40:U40"/>
    <mergeCell ref="A48:U48"/>
    <mergeCell ref="A44:U44"/>
    <mergeCell ref="B73:D73"/>
    <mergeCell ref="B74:D74"/>
    <mergeCell ref="B68:E68"/>
    <mergeCell ref="B69:D69"/>
    <mergeCell ref="B70:D70"/>
    <mergeCell ref="B71:D71"/>
    <mergeCell ref="B72:D72"/>
  </mergeCells>
  <dataValidations count="3">
    <dataValidation type="list" allowBlank="1" showInputMessage="1" showErrorMessage="1" sqref="P6 B6 D6 R6 F6 H6 J6 L6 N6 T6" xr:uid="{00000000-0002-0000-1100-000000000000}">
      <formula1>Composting</formula1>
    </dataValidation>
    <dataValidation type="list" allowBlank="1" showInputMessage="1" showErrorMessage="1" sqref="B18 T18 D27 F27 H27 J27 L27 N27 P27 R27 R18 B27 D12 F12 H12 J12 L12 N12 P12 R12 B12 T12 D18 F18 H18 J18 L18 N18 P18 T27" xr:uid="{00000000-0002-0000-1100-000001000000}">
      <formula1>Yes_No</formula1>
    </dataValidation>
    <dataValidation type="list" allowBlank="1" showInputMessage="1" showErrorMessage="1" sqref="B49 D49 F49 R49 H49 J49 L49 N49 P49 T49" xr:uid="{00000000-0002-0000-1100-000002000000}">
      <formula1>C_seq</formula1>
    </dataValidation>
  </dataValidations>
  <pageMargins left="0.7" right="0.7" top="0.75" bottom="0.75" header="0.3" footer="0.3"/>
  <pageSetup scale="12" orientation="portrait" horizontalDpi="300" r:id="rId1"/>
  <ignoredErrors>
    <ignoredError sqref="T13:T16 B13:E16 B7 D7 F7 H7 J7 L7 N7 P7 R7 T7" unlockedFormula="1"/>
    <ignoredError sqref="F13:S16"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pageSetUpPr fitToPage="1"/>
  </sheetPr>
  <dimension ref="A1:DO126"/>
  <sheetViews>
    <sheetView topLeftCell="A37" zoomScaleNormal="100" workbookViewId="0">
      <selection activeCell="B52" sqref="B52"/>
    </sheetView>
  </sheetViews>
  <sheetFormatPr defaultColWidth="9.140625" defaultRowHeight="15.75" x14ac:dyDescent="0.25"/>
  <cols>
    <col min="1" max="1" width="98.85546875" style="355" customWidth="1"/>
    <col min="2" max="2" width="19.42578125" style="355" customWidth="1"/>
    <col min="3" max="3" width="15.42578125" style="355" customWidth="1"/>
    <col min="4" max="4" width="19.42578125" style="355" customWidth="1"/>
    <col min="5" max="5" width="15.42578125" style="355" customWidth="1"/>
    <col min="6" max="6" width="19.42578125" style="355" customWidth="1"/>
    <col min="7" max="7" width="15.42578125" style="355" customWidth="1"/>
    <col min="8" max="8" width="19.42578125" style="355" customWidth="1"/>
    <col min="9" max="9" width="15.42578125" style="355" customWidth="1"/>
    <col min="10" max="10" width="19.42578125" style="355" customWidth="1"/>
    <col min="11" max="11" width="15.42578125" style="355" customWidth="1"/>
    <col min="12" max="12" width="19.42578125" style="355" customWidth="1"/>
    <col min="13" max="13" width="15.42578125" style="355" customWidth="1"/>
    <col min="14" max="14" width="19.42578125" style="355" customWidth="1"/>
    <col min="15" max="15" width="15.42578125" style="355" customWidth="1"/>
    <col min="16" max="16" width="19.42578125" style="355" customWidth="1"/>
    <col min="17" max="17" width="15.42578125" style="355" customWidth="1"/>
    <col min="18" max="18" width="19.42578125" style="355" customWidth="1"/>
    <col min="19" max="19" width="15.42578125" style="355" customWidth="1"/>
    <col min="20" max="20" width="19.42578125" style="355" customWidth="1"/>
    <col min="21" max="21" width="15.42578125" style="355" customWidth="1"/>
    <col min="22" max="39" width="9.140625" style="355" customWidth="1"/>
    <col min="40" max="44" width="9.140625" style="355"/>
    <col min="45" max="45" width="14" style="355" customWidth="1"/>
    <col min="46" max="46" width="14.42578125" style="355" customWidth="1"/>
    <col min="47" max="49" width="9.140625" style="355"/>
    <col min="50" max="50" width="21.85546875" style="355" customWidth="1"/>
    <col min="51" max="51" width="17.85546875" style="355" customWidth="1"/>
    <col min="52" max="52" width="11.85546875" style="355" customWidth="1"/>
    <col min="53" max="53" width="13" style="355" customWidth="1"/>
    <col min="54" max="54" width="10.140625" style="355" customWidth="1"/>
    <col min="55" max="55" width="12" style="355" customWidth="1"/>
    <col min="56" max="57" width="9.140625" style="355" customWidth="1"/>
    <col min="58" max="58" width="17.85546875" style="355" customWidth="1"/>
    <col min="59" max="65" width="9.140625" style="355" customWidth="1"/>
    <col min="66" max="66" width="10.85546875" style="355" customWidth="1"/>
    <col min="67" max="72" width="9.140625" style="355" customWidth="1"/>
    <col min="73" max="73" width="10.42578125" style="355" customWidth="1"/>
    <col min="74" max="105" width="9.140625" style="355" customWidth="1"/>
    <col min="106" max="16384" width="9.140625" style="355"/>
  </cols>
  <sheetData>
    <row r="1" spans="1:119" ht="29.25" customHeight="1" x14ac:dyDescent="0.25">
      <c r="E1" s="356"/>
      <c r="F1" s="356"/>
      <c r="AX1" s="357" t="s">
        <v>449</v>
      </c>
      <c r="AY1" s="358">
        <f>+'Amount and Destination'!$O$30-'Amount and Destination'!$O$9-'Scenarios Data'!$P$10</f>
        <v>37585.096819999999</v>
      </c>
      <c r="AZ1" s="359" t="s">
        <v>372</v>
      </c>
      <c r="BA1" s="360">
        <f>+AY1/Mg_ton</f>
        <v>34106.258457350268</v>
      </c>
      <c r="BB1" s="361" t="s">
        <v>394</v>
      </c>
      <c r="BC1" s="362"/>
      <c r="BD1" s="363"/>
      <c r="BE1" t="s">
        <v>451</v>
      </c>
      <c r="BF1" s="364"/>
      <c r="BG1" s="359" t="s">
        <v>372</v>
      </c>
      <c r="BH1" s="360">
        <f>+BF1/Mg_ton</f>
        <v>0</v>
      </c>
      <c r="BI1" s="361" t="s">
        <v>394</v>
      </c>
      <c r="BJ1" s="362"/>
      <c r="BK1" s="363"/>
      <c r="BL1" s="357" t="s">
        <v>452</v>
      </c>
      <c r="BM1" s="364"/>
      <c r="BN1" s="359" t="s">
        <v>372</v>
      </c>
      <c r="BO1" s="360">
        <f>+BM1/Mg_ton</f>
        <v>0</v>
      </c>
      <c r="BP1" s="361" t="s">
        <v>394</v>
      </c>
      <c r="BQ1" s="362"/>
      <c r="BR1" s="363"/>
      <c r="BS1" s="357" t="s">
        <v>453</v>
      </c>
      <c r="BT1" s="364"/>
      <c r="BU1" s="359" t="s">
        <v>372</v>
      </c>
      <c r="BV1" s="360">
        <f>+BT1/Mg_ton</f>
        <v>0</v>
      </c>
      <c r="BW1" s="361" t="s">
        <v>394</v>
      </c>
      <c r="BX1" s="362"/>
      <c r="BY1" s="363"/>
      <c r="BZ1" s="357" t="s">
        <v>454</v>
      </c>
      <c r="CA1" s="364"/>
      <c r="CB1" s="359" t="s">
        <v>372</v>
      </c>
      <c r="CC1" s="360">
        <f>+CA1/Mg_ton</f>
        <v>0</v>
      </c>
      <c r="CD1" s="361" t="s">
        <v>394</v>
      </c>
      <c r="CE1" s="362"/>
      <c r="CF1" s="363"/>
      <c r="CG1" s="357" t="s">
        <v>455</v>
      </c>
      <c r="CH1" s="364"/>
      <c r="CI1" s="359" t="s">
        <v>372</v>
      </c>
      <c r="CJ1" s="360">
        <f>+CH1/Mg_ton</f>
        <v>0</v>
      </c>
      <c r="CK1" s="361" t="s">
        <v>394</v>
      </c>
      <c r="CL1" s="362"/>
      <c r="CM1" s="363"/>
      <c r="CN1" s="357" t="s">
        <v>456</v>
      </c>
      <c r="CO1" s="364"/>
      <c r="CP1" s="359" t="s">
        <v>372</v>
      </c>
      <c r="CQ1" s="360">
        <f>+CO1/Mg_ton</f>
        <v>0</v>
      </c>
      <c r="CR1" s="361" t="s">
        <v>394</v>
      </c>
      <c r="CS1" s="362"/>
      <c r="CT1" s="363"/>
      <c r="CU1" s="357" t="s">
        <v>457</v>
      </c>
      <c r="CV1" s="364"/>
      <c r="CW1" s="359" t="s">
        <v>372</v>
      </c>
      <c r="CX1" s="360">
        <f>+CV1/Mg_ton</f>
        <v>0</v>
      </c>
      <c r="CY1" s="361" t="s">
        <v>394</v>
      </c>
      <c r="CZ1" s="362"/>
      <c r="DA1" s="363"/>
      <c r="DB1" s="357" t="s">
        <v>458</v>
      </c>
      <c r="DC1" s="364"/>
      <c r="DD1" s="359" t="s">
        <v>372</v>
      </c>
      <c r="DE1" s="360">
        <f>+DC1/Mg_ton</f>
        <v>0</v>
      </c>
      <c r="DF1" s="361" t="s">
        <v>394</v>
      </c>
      <c r="DG1" s="362"/>
      <c r="DH1" s="363"/>
      <c r="DI1" s="357" t="s">
        <v>459</v>
      </c>
      <c r="DJ1" s="364"/>
      <c r="DK1" s="359" t="s">
        <v>372</v>
      </c>
      <c r="DL1" s="360">
        <f>+DJ1/Mg_ton</f>
        <v>0</v>
      </c>
      <c r="DM1" s="361" t="s">
        <v>394</v>
      </c>
      <c r="DN1" s="362"/>
      <c r="DO1" s="363"/>
    </row>
    <row r="2" spans="1:119" x14ac:dyDescent="0.25">
      <c r="AS2" s="905" t="s">
        <v>503</v>
      </c>
      <c r="AX2" s="74"/>
      <c r="AY2" s="365"/>
      <c r="AZ2" s="183"/>
      <c r="BA2" s="366">
        <f>+B52/BA1</f>
        <v>0.19877706218847369</v>
      </c>
      <c r="BB2" s="96" t="s">
        <v>433</v>
      </c>
      <c r="BD2" s="367"/>
      <c r="BE2" s="74"/>
      <c r="BF2" s="365"/>
      <c r="BG2" s="183"/>
      <c r="BH2" s="366" t="e">
        <f>D52/BH1</f>
        <v>#VALUE!</v>
      </c>
      <c r="BI2" s="96" t="s">
        <v>433</v>
      </c>
      <c r="BK2" s="367"/>
      <c r="BL2" s="74"/>
      <c r="BM2" s="365"/>
      <c r="BN2" s="183"/>
      <c r="BO2" s="366" t="e">
        <f>+F52/BO1</f>
        <v>#VALUE!</v>
      </c>
      <c r="BP2" s="96" t="s">
        <v>433</v>
      </c>
      <c r="BR2" s="367"/>
      <c r="BS2" s="74"/>
      <c r="BT2" s="365"/>
      <c r="BU2" s="183"/>
      <c r="BV2" s="366" t="e">
        <f>+H52/BV1</f>
        <v>#VALUE!</v>
      </c>
      <c r="BW2" s="96" t="s">
        <v>433</v>
      </c>
      <c r="BY2" s="367"/>
      <c r="BZ2" s="74"/>
      <c r="CA2" s="365"/>
      <c r="CB2" s="183"/>
      <c r="CC2" s="366" t="e">
        <f>+J52/CC1</f>
        <v>#VALUE!</v>
      </c>
      <c r="CD2" s="96" t="s">
        <v>433</v>
      </c>
      <c r="CF2" s="367"/>
      <c r="CG2" s="74"/>
      <c r="CH2" s="365"/>
      <c r="CI2" s="183"/>
      <c r="CJ2" s="366" t="e">
        <f>+L52/CJ1</f>
        <v>#VALUE!</v>
      </c>
      <c r="CK2" s="96" t="s">
        <v>433</v>
      </c>
      <c r="CM2" s="367"/>
      <c r="CN2" s="74"/>
      <c r="CO2" s="365"/>
      <c r="CP2" s="183"/>
      <c r="CQ2" s="366" t="e">
        <f>+N52/CQ1</f>
        <v>#VALUE!</v>
      </c>
      <c r="CR2" s="96" t="s">
        <v>433</v>
      </c>
      <c r="CT2" s="367"/>
      <c r="CU2" s="74"/>
      <c r="CV2" s="365"/>
      <c r="CW2" s="183"/>
      <c r="CX2" s="366" t="e">
        <f>+P52/CX1</f>
        <v>#VALUE!</v>
      </c>
      <c r="CY2" s="96" t="s">
        <v>433</v>
      </c>
      <c r="DA2" s="367"/>
      <c r="DB2" s="74"/>
      <c r="DC2" s="365"/>
      <c r="DD2" s="183"/>
      <c r="DE2" s="366" t="e">
        <f>+R52/DE1</f>
        <v>#VALUE!</v>
      </c>
      <c r="DF2" s="96" t="s">
        <v>433</v>
      </c>
      <c r="DH2" s="367"/>
      <c r="DI2" s="74"/>
      <c r="DJ2" s="365"/>
      <c r="DK2" s="183"/>
      <c r="DL2" s="366" t="e">
        <f>T52/DL1</f>
        <v>#VALUE!</v>
      </c>
      <c r="DM2" s="96" t="s">
        <v>433</v>
      </c>
      <c r="DO2" s="367"/>
    </row>
    <row r="3" spans="1:119" x14ac:dyDescent="0.25">
      <c r="E3" s="356"/>
      <c r="F3" s="356"/>
      <c r="AS3" s="905" t="s">
        <v>504</v>
      </c>
      <c r="AU3" s="183"/>
      <c r="AV3" s="183"/>
      <c r="AW3" s="96"/>
      <c r="AX3" s="368"/>
      <c r="BB3"/>
      <c r="BD3" s="367"/>
      <c r="BE3" s="96"/>
      <c r="BF3"/>
      <c r="BG3"/>
      <c r="BH3"/>
      <c r="BI3"/>
      <c r="BK3" s="367"/>
      <c r="BL3" s="368"/>
      <c r="BM3"/>
      <c r="BN3"/>
      <c r="BO3"/>
      <c r="BP3"/>
      <c r="BR3" s="367"/>
      <c r="BS3" s="368"/>
      <c r="BT3"/>
      <c r="BU3"/>
      <c r="BV3"/>
      <c r="BW3"/>
      <c r="BY3" s="367"/>
      <c r="BZ3" s="368"/>
      <c r="CA3"/>
      <c r="CB3"/>
      <c r="CC3"/>
      <c r="CD3"/>
      <c r="CF3" s="367"/>
      <c r="CG3" s="368"/>
      <c r="CH3"/>
      <c r="CI3"/>
      <c r="CJ3"/>
      <c r="CK3"/>
      <c r="CM3" s="367"/>
      <c r="CN3" s="368"/>
      <c r="CO3"/>
      <c r="CP3"/>
      <c r="CQ3"/>
      <c r="CR3"/>
      <c r="CT3" s="367"/>
      <c r="CU3" s="368"/>
      <c r="CV3"/>
      <c r="CW3"/>
      <c r="CX3"/>
      <c r="CY3"/>
      <c r="DA3" s="367"/>
      <c r="DB3" s="368"/>
      <c r="DC3"/>
      <c r="DD3"/>
      <c r="DE3"/>
      <c r="DF3"/>
      <c r="DH3" s="367"/>
      <c r="DI3" s="368"/>
      <c r="DJ3"/>
      <c r="DK3"/>
      <c r="DL3"/>
      <c r="DM3"/>
      <c r="DO3" s="367"/>
    </row>
    <row r="4" spans="1:119" ht="23.25" x14ac:dyDescent="0.35">
      <c r="A4" s="369"/>
      <c r="E4" s="356"/>
      <c r="F4" s="356"/>
      <c r="H4" s="356"/>
      <c r="I4" s="356"/>
      <c r="K4" s="356"/>
      <c r="L4" s="356"/>
      <c r="N4" s="356"/>
      <c r="O4" s="356"/>
      <c r="AS4" s="905" t="s">
        <v>505</v>
      </c>
      <c r="AX4" s="74" t="s">
        <v>507</v>
      </c>
      <c r="AY4" s="370">
        <v>3</v>
      </c>
      <c r="AZ4" t="s">
        <v>419</v>
      </c>
      <c r="BA4" s="371">
        <f>AZ9*(1-AZ10)^AY4</f>
        <v>54.134337499999994</v>
      </c>
      <c r="BB4" s="372">
        <f>+BA5/AZ9</f>
        <v>0.45865662500000004</v>
      </c>
      <c r="BC4" s="372"/>
      <c r="BD4" s="373"/>
      <c r="BE4" t="s">
        <v>507</v>
      </c>
      <c r="BF4" s="370">
        <v>3</v>
      </c>
      <c r="BG4" t="s">
        <v>419</v>
      </c>
      <c r="BH4" s="371" t="e">
        <f>BG9*(1-BG10)^BF4</f>
        <v>#VALUE!</v>
      </c>
      <c r="BI4" s="372" t="e">
        <f>+BH5/BG9</f>
        <v>#VALUE!</v>
      </c>
      <c r="BJ4" s="372"/>
      <c r="BK4" s="373"/>
      <c r="BL4" s="74" t="s">
        <v>507</v>
      </c>
      <c r="BM4" s="370">
        <v>3</v>
      </c>
      <c r="BN4" t="s">
        <v>419</v>
      </c>
      <c r="BO4" s="371" t="e">
        <f>BN9*(1-BN10)^BM4</f>
        <v>#VALUE!</v>
      </c>
      <c r="BP4" s="372" t="e">
        <f>+BO5/BN9</f>
        <v>#VALUE!</v>
      </c>
      <c r="BQ4"/>
      <c r="BR4" s="75" t="s">
        <v>431</v>
      </c>
      <c r="BS4" s="74" t="s">
        <v>507</v>
      </c>
      <c r="BT4" s="370">
        <v>3</v>
      </c>
      <c r="BU4" t="s">
        <v>419</v>
      </c>
      <c r="BV4" s="371" t="e">
        <f>BU9*(1-BU10)^BT4</f>
        <v>#VALUE!</v>
      </c>
      <c r="BW4" s="372" t="e">
        <f>+BV5/BU9</f>
        <v>#VALUE!</v>
      </c>
      <c r="BX4" s="372"/>
      <c r="BY4" s="373"/>
      <c r="BZ4" s="74" t="s">
        <v>507</v>
      </c>
      <c r="CA4" s="370">
        <v>3</v>
      </c>
      <c r="CB4" t="s">
        <v>419</v>
      </c>
      <c r="CC4" s="371" t="e">
        <f>CB9*(1-CB10)^CA4</f>
        <v>#VALUE!</v>
      </c>
      <c r="CD4" s="372" t="e">
        <f>+CC5/CB9</f>
        <v>#VALUE!</v>
      </c>
      <c r="CE4" s="372"/>
      <c r="CF4" s="373"/>
      <c r="CG4" s="74" t="s">
        <v>507</v>
      </c>
      <c r="CH4" s="370">
        <v>3</v>
      </c>
      <c r="CI4" t="s">
        <v>419</v>
      </c>
      <c r="CJ4" s="371" t="e">
        <f>CI9*(1-CI10)^CH4</f>
        <v>#VALUE!</v>
      </c>
      <c r="CK4" s="372" t="e">
        <f>+CJ5/CI9</f>
        <v>#VALUE!</v>
      </c>
      <c r="CL4" s="372"/>
      <c r="CM4" s="373"/>
      <c r="CN4" s="74" t="s">
        <v>507</v>
      </c>
      <c r="CO4" s="370">
        <v>3</v>
      </c>
      <c r="CP4" t="s">
        <v>419</v>
      </c>
      <c r="CQ4" s="371" t="e">
        <f>CP9*(1-CP10)^CO4</f>
        <v>#VALUE!</v>
      </c>
      <c r="CR4" s="372" t="e">
        <f>+CQ5/CP9</f>
        <v>#VALUE!</v>
      </c>
      <c r="CS4" s="372"/>
      <c r="CT4" s="373"/>
      <c r="CU4" s="74" t="s">
        <v>507</v>
      </c>
      <c r="CV4" s="370">
        <v>3</v>
      </c>
      <c r="CW4" t="s">
        <v>419</v>
      </c>
      <c r="CX4" s="371" t="e">
        <f>CW9*(1-CW10)^CV4</f>
        <v>#VALUE!</v>
      </c>
      <c r="CY4" s="372" t="e">
        <f>+CX5/CW9</f>
        <v>#VALUE!</v>
      </c>
      <c r="CZ4" s="372"/>
      <c r="DA4" s="373"/>
      <c r="DB4" s="74" t="s">
        <v>507</v>
      </c>
      <c r="DC4" s="370">
        <v>3</v>
      </c>
      <c r="DD4" t="s">
        <v>419</v>
      </c>
      <c r="DE4" s="371" t="e">
        <f>DD9*(1-DD10)^DC4</f>
        <v>#VALUE!</v>
      </c>
      <c r="DF4" s="372" t="e">
        <f>+DE5/DD9</f>
        <v>#VALUE!</v>
      </c>
      <c r="DG4" s="372"/>
      <c r="DH4" s="373"/>
      <c r="DI4" s="74" t="s">
        <v>507</v>
      </c>
      <c r="DJ4" s="370">
        <v>3</v>
      </c>
      <c r="DK4" t="s">
        <v>419</v>
      </c>
      <c r="DL4" s="371" t="e">
        <f>DK9*(1-DK10)^DJ4</f>
        <v>#VALUE!</v>
      </c>
      <c r="DM4" s="372" t="e">
        <f>+DL5/DK9</f>
        <v>#VALUE!</v>
      </c>
      <c r="DN4" s="372"/>
      <c r="DO4" s="373"/>
    </row>
    <row r="5" spans="1:119" ht="23.25" x14ac:dyDescent="0.35">
      <c r="A5" s="369"/>
      <c r="E5" s="356"/>
      <c r="F5" s="356"/>
      <c r="AS5" s="905" t="s">
        <v>506</v>
      </c>
      <c r="AX5" s="74" t="s">
        <v>508</v>
      </c>
      <c r="AY5">
        <f>AY4</f>
        <v>3</v>
      </c>
      <c r="AZ5" t="s">
        <v>419</v>
      </c>
      <c r="BA5" s="374">
        <f>AZ9-BA4</f>
        <v>45.865662500000006</v>
      </c>
      <c r="BB5"/>
      <c r="BC5" s="372"/>
      <c r="BD5" s="373"/>
      <c r="BE5" t="s">
        <v>508</v>
      </c>
      <c r="BF5">
        <f>BF4</f>
        <v>3</v>
      </c>
      <c r="BG5" t="s">
        <v>419</v>
      </c>
      <c r="BH5" s="374" t="e">
        <f>BG9-BH4</f>
        <v>#VALUE!</v>
      </c>
      <c r="BI5"/>
      <c r="BJ5" s="372"/>
      <c r="BK5" s="373"/>
      <c r="BL5" s="74" t="s">
        <v>508</v>
      </c>
      <c r="BM5">
        <f>BM4</f>
        <v>3</v>
      </c>
      <c r="BN5" t="s">
        <v>419</v>
      </c>
      <c r="BO5" s="374" t="e">
        <f>BN9-BO4</f>
        <v>#VALUE!</v>
      </c>
      <c r="BP5"/>
      <c r="BQ5"/>
      <c r="BR5" s="373" t="e">
        <f>+BI11*SUM(BP12:BP13)</f>
        <v>#VALUE!</v>
      </c>
      <c r="BS5" s="74" t="s">
        <v>508</v>
      </c>
      <c r="BT5">
        <f>BT4</f>
        <v>3</v>
      </c>
      <c r="BU5" t="s">
        <v>419</v>
      </c>
      <c r="BV5" s="374" t="e">
        <f>BU9-BV4</f>
        <v>#VALUE!</v>
      </c>
      <c r="BW5"/>
      <c r="BX5" s="372"/>
      <c r="BY5" s="373"/>
      <c r="BZ5" s="74" t="s">
        <v>508</v>
      </c>
      <c r="CA5">
        <f>CA4</f>
        <v>3</v>
      </c>
      <c r="CB5" t="s">
        <v>419</v>
      </c>
      <c r="CC5" s="374" t="e">
        <f>CB9-CC4</f>
        <v>#VALUE!</v>
      </c>
      <c r="CD5"/>
      <c r="CE5" s="372"/>
      <c r="CF5" s="373"/>
      <c r="CG5" s="74" t="s">
        <v>508</v>
      </c>
      <c r="CH5">
        <f>CH4</f>
        <v>3</v>
      </c>
      <c r="CI5" t="s">
        <v>419</v>
      </c>
      <c r="CJ5" s="374" t="e">
        <f>CI9-CJ4</f>
        <v>#VALUE!</v>
      </c>
      <c r="CK5"/>
      <c r="CL5" s="372"/>
      <c r="CM5" s="373"/>
      <c r="CN5" s="74" t="s">
        <v>508</v>
      </c>
      <c r="CO5">
        <f>CO4</f>
        <v>3</v>
      </c>
      <c r="CP5" t="s">
        <v>419</v>
      </c>
      <c r="CQ5" s="374" t="e">
        <f>CP9-CQ4</f>
        <v>#VALUE!</v>
      </c>
      <c r="CR5"/>
      <c r="CS5" s="372"/>
      <c r="CT5" s="373"/>
      <c r="CU5" s="74" t="s">
        <v>508</v>
      </c>
      <c r="CV5">
        <f>CV4</f>
        <v>3</v>
      </c>
      <c r="CW5" t="s">
        <v>419</v>
      </c>
      <c r="CX5" s="374" t="e">
        <f>CW9-CX4</f>
        <v>#VALUE!</v>
      </c>
      <c r="CY5"/>
      <c r="CZ5" s="372"/>
      <c r="DA5" s="373"/>
      <c r="DB5" s="74" t="s">
        <v>508</v>
      </c>
      <c r="DC5">
        <f>DC4</f>
        <v>3</v>
      </c>
      <c r="DD5" t="s">
        <v>419</v>
      </c>
      <c r="DE5" s="374" t="e">
        <f>DD9-DE4</f>
        <v>#VALUE!</v>
      </c>
      <c r="DF5"/>
      <c r="DG5" s="372"/>
      <c r="DH5" s="373"/>
      <c r="DI5" s="74" t="s">
        <v>508</v>
      </c>
      <c r="DJ5">
        <f>DJ4</f>
        <v>3</v>
      </c>
      <c r="DK5" t="s">
        <v>419</v>
      </c>
      <c r="DL5" s="374" t="e">
        <f>DK9-DL4</f>
        <v>#VALUE!</v>
      </c>
      <c r="DM5"/>
      <c r="DN5" s="372"/>
      <c r="DO5" s="373"/>
    </row>
    <row r="6" spans="1:119" ht="23.25" x14ac:dyDescent="0.35">
      <c r="A6" s="369"/>
      <c r="E6" s="356"/>
      <c r="F6" s="356"/>
      <c r="AU6" s="130"/>
      <c r="AV6" s="130"/>
      <c r="AW6" s="96"/>
      <c r="AX6" s="74" t="str">
        <f>CONCATENATE("Tons decayed in year ",(AY4),":")</f>
        <v>Tons decayed in year 3:</v>
      </c>
      <c r="AY6"/>
      <c r="AZ6"/>
      <c r="BA6" s="371">
        <f>$AZ$10*(AZ9*(1-AZ10)^(AY4-AS38))</f>
        <v>12.2881625</v>
      </c>
      <c r="BB6"/>
      <c r="BC6" s="372"/>
      <c r="BD6" s="373"/>
      <c r="BE6" t="str">
        <f>CONCATENATE("Tons decayed in year ",(BF4),":")</f>
        <v>Tons decayed in year 3:</v>
      </c>
      <c r="BF6"/>
      <c r="BG6"/>
      <c r="BH6" s="371" t="e">
        <f>$AZ$10*(BG9*(1-BG10)^(BF4-AZ37))</f>
        <v>#VALUE!</v>
      </c>
      <c r="BI6"/>
      <c r="BJ6" s="372"/>
      <c r="BK6" s="373"/>
      <c r="BL6" s="74" t="str">
        <f>CONCATENATE("Tons decayed in year ",(BM4),":")</f>
        <v>Tons decayed in year 3:</v>
      </c>
      <c r="BM6"/>
      <c r="BN6"/>
      <c r="BO6" s="371" t="e">
        <f>$AZ$10*(BN9*(1-BN10)^(BM4-BG37))</f>
        <v>#VALUE!</v>
      </c>
      <c r="BP6"/>
      <c r="BQ6"/>
      <c r="BR6" s="373" t="e">
        <f>+BI12*SUM(BP14:BP15)</f>
        <v>#VALUE!</v>
      </c>
      <c r="BS6" s="74" t="str">
        <f>CONCATENATE("Tons decayed in year ",(BT4),":")</f>
        <v>Tons decayed in year 3:</v>
      </c>
      <c r="BT6"/>
      <c r="BU6"/>
      <c r="BV6" s="371" t="e">
        <f>$AZ$10*(BU9*(1-BU10)^(BT4-BN37))</f>
        <v>#VALUE!</v>
      </c>
      <c r="BW6"/>
      <c r="BX6" s="372"/>
      <c r="BY6" s="373"/>
      <c r="BZ6" s="74" t="str">
        <f>CONCATENATE("Tons decayed in year ",(CA4),":")</f>
        <v>Tons decayed in year 3:</v>
      </c>
      <c r="CA6"/>
      <c r="CB6"/>
      <c r="CC6" s="371" t="e">
        <f>$AZ$10*(CB9*(1-CB10)^(CA4-BU37))</f>
        <v>#VALUE!</v>
      </c>
      <c r="CD6"/>
      <c r="CE6" s="372"/>
      <c r="CF6" s="373"/>
      <c r="CG6" s="74" t="str">
        <f>CONCATENATE("Tons decayed in year ",(CH4),":")</f>
        <v>Tons decayed in year 3:</v>
      </c>
      <c r="CH6"/>
      <c r="CI6"/>
      <c r="CJ6" s="371" t="e">
        <f>$AZ$10*(CI9*(1-CI10)^(CH4-CB37))</f>
        <v>#VALUE!</v>
      </c>
      <c r="CK6"/>
      <c r="CL6" s="372"/>
      <c r="CM6" s="373"/>
      <c r="CN6" s="74" t="str">
        <f>CONCATENATE("Tons decayed in year ",(CO4),":")</f>
        <v>Tons decayed in year 3:</v>
      </c>
      <c r="CO6"/>
      <c r="CP6"/>
      <c r="CQ6" s="371" t="e">
        <f>$AZ$10*(CP9*(1-CP10)^(CO4-CI37))</f>
        <v>#VALUE!</v>
      </c>
      <c r="CR6"/>
      <c r="CS6" s="372"/>
      <c r="CT6" s="373"/>
      <c r="CU6" s="74" t="str">
        <f>CONCATENATE("Tons decayed in year ",(CV4),":")</f>
        <v>Tons decayed in year 3:</v>
      </c>
      <c r="CV6"/>
      <c r="CW6"/>
      <c r="CX6" s="371" t="e">
        <f>$AZ$10*(CW9*(1-CW10)^(CV4-CP37))</f>
        <v>#VALUE!</v>
      </c>
      <c r="CY6"/>
      <c r="CZ6" s="372"/>
      <c r="DA6" s="373"/>
      <c r="DB6" s="74" t="str">
        <f>CONCATENATE("Tons decayed in year ",(DC4),":")</f>
        <v>Tons decayed in year 3:</v>
      </c>
      <c r="DC6"/>
      <c r="DD6"/>
      <c r="DE6" s="371" t="e">
        <f>$AZ$10*(DD9*(1-DD10)^(DC4-CW37))</f>
        <v>#VALUE!</v>
      </c>
      <c r="DF6"/>
      <c r="DG6" s="372"/>
      <c r="DH6" s="373"/>
      <c r="DI6" s="74" t="str">
        <f>CONCATENATE("Tons decayed in year ",(DJ4),":")</f>
        <v>Tons decayed in year 3:</v>
      </c>
      <c r="DJ6"/>
      <c r="DK6"/>
      <c r="DL6" s="371" t="e">
        <f>$AZ$10*(DK9*(1-DK10)^(DJ4-DD37))</f>
        <v>#VALUE!</v>
      </c>
      <c r="DM6"/>
      <c r="DN6" s="372"/>
      <c r="DO6" s="373"/>
    </row>
    <row r="7" spans="1:119" ht="23.25" x14ac:dyDescent="0.35">
      <c r="A7" s="369"/>
      <c r="B7" s="375"/>
      <c r="C7" s="375"/>
      <c r="D7" s="375"/>
      <c r="E7" s="356"/>
      <c r="F7" s="356"/>
      <c r="AR7" t="s">
        <v>434</v>
      </c>
      <c r="AS7">
        <v>0.36</v>
      </c>
      <c r="AT7" t="s">
        <v>435</v>
      </c>
      <c r="AX7" s="376">
        <v>100</v>
      </c>
      <c r="AY7" t="s">
        <v>427</v>
      </c>
      <c r="AZ7"/>
      <c r="BC7" s="372"/>
      <c r="BD7" s="373"/>
      <c r="BE7" s="377">
        <v>100</v>
      </c>
      <c r="BF7" t="s">
        <v>427</v>
      </c>
      <c r="BG7"/>
      <c r="BJ7" s="372"/>
      <c r="BK7" s="373"/>
      <c r="BL7" s="376">
        <v>100</v>
      </c>
      <c r="BM7" t="s">
        <v>427</v>
      </c>
      <c r="BN7"/>
      <c r="BQ7"/>
      <c r="BR7" s="373" t="e">
        <f>+BI13*SUM(BP16:BP25)</f>
        <v>#VALUE!</v>
      </c>
      <c r="BS7" s="376">
        <v>100</v>
      </c>
      <c r="BT7" t="s">
        <v>427</v>
      </c>
      <c r="BU7"/>
      <c r="BX7" s="372"/>
      <c r="BY7" s="373"/>
      <c r="BZ7" s="376">
        <v>100</v>
      </c>
      <c r="CA7" t="s">
        <v>427</v>
      </c>
      <c r="CB7"/>
      <c r="CE7" s="372"/>
      <c r="CF7" s="373"/>
      <c r="CG7" s="376">
        <v>100</v>
      </c>
      <c r="CH7" t="s">
        <v>427</v>
      </c>
      <c r="CI7"/>
      <c r="CL7" s="372"/>
      <c r="CM7" s="373"/>
      <c r="CN7" s="376">
        <v>100</v>
      </c>
      <c r="CO7" t="s">
        <v>427</v>
      </c>
      <c r="CP7"/>
      <c r="CS7" s="372"/>
      <c r="CT7" s="373"/>
      <c r="CU7" s="376">
        <v>100</v>
      </c>
      <c r="CV7" t="s">
        <v>427</v>
      </c>
      <c r="CW7"/>
      <c r="CZ7" s="372"/>
      <c r="DA7" s="373"/>
      <c r="DB7" s="376">
        <v>100</v>
      </c>
      <c r="DC7" t="s">
        <v>427</v>
      </c>
      <c r="DD7"/>
      <c r="DG7" s="372"/>
      <c r="DH7" s="373"/>
      <c r="DI7" s="376">
        <v>100</v>
      </c>
      <c r="DJ7" t="s">
        <v>427</v>
      </c>
      <c r="DK7"/>
      <c r="DN7" s="372"/>
      <c r="DO7" s="373"/>
    </row>
    <row r="8" spans="1:119" ht="24" thickBot="1" x14ac:dyDescent="0.4">
      <c r="A8" s="369"/>
      <c r="B8" s="375"/>
      <c r="C8" s="375"/>
      <c r="D8" s="375"/>
      <c r="E8" s="356"/>
      <c r="F8" s="356"/>
      <c r="AX8" s="368"/>
      <c r="AY8"/>
      <c r="AZ8" s="886" t="s">
        <v>98</v>
      </c>
      <c r="BA8" t="s">
        <v>418</v>
      </c>
      <c r="BC8" s="372"/>
      <c r="BD8" s="373"/>
      <c r="BE8" s="96"/>
      <c r="BF8"/>
      <c r="BG8" s="886" t="s">
        <v>98</v>
      </c>
      <c r="BH8" t="s">
        <v>418</v>
      </c>
      <c r="BJ8" s="372"/>
      <c r="BK8" s="373"/>
      <c r="BL8" s="368"/>
      <c r="BM8"/>
      <c r="BN8" s="886" t="s">
        <v>98</v>
      </c>
      <c r="BO8" t="s">
        <v>418</v>
      </c>
      <c r="BQ8"/>
      <c r="BR8" s="373" t="e">
        <f>+BI14*SUM(BP26:BP41)</f>
        <v>#VALUE!</v>
      </c>
      <c r="BS8" s="368"/>
      <c r="BT8"/>
      <c r="BU8" s="886" t="s">
        <v>98</v>
      </c>
      <c r="BV8" t="s">
        <v>418</v>
      </c>
      <c r="BX8" s="372"/>
      <c r="BY8" s="373"/>
      <c r="BZ8" s="368"/>
      <c r="CA8"/>
      <c r="CB8" s="886" t="s">
        <v>98</v>
      </c>
      <c r="CC8" t="s">
        <v>418</v>
      </c>
      <c r="CE8" s="372"/>
      <c r="CF8" s="373"/>
      <c r="CG8" s="368"/>
      <c r="CH8"/>
      <c r="CI8" s="886" t="s">
        <v>98</v>
      </c>
      <c r="CJ8" t="s">
        <v>418</v>
      </c>
      <c r="CL8" s="372"/>
      <c r="CM8" s="373"/>
      <c r="CN8" s="368"/>
      <c r="CO8"/>
      <c r="CP8" s="886" t="s">
        <v>98</v>
      </c>
      <c r="CQ8" t="s">
        <v>418</v>
      </c>
      <c r="CS8" s="372"/>
      <c r="CT8" s="373"/>
      <c r="CU8" s="368"/>
      <c r="CV8"/>
      <c r="CW8" s="886" t="s">
        <v>98</v>
      </c>
      <c r="CX8" t="s">
        <v>418</v>
      </c>
      <c r="CZ8" s="372"/>
      <c r="DA8" s="373"/>
      <c r="DB8" s="368"/>
      <c r="DC8"/>
      <c r="DD8" s="886" t="s">
        <v>98</v>
      </c>
      <c r="DE8" t="s">
        <v>418</v>
      </c>
      <c r="DG8" s="372"/>
      <c r="DH8" s="373"/>
      <c r="DI8" s="368"/>
      <c r="DJ8"/>
      <c r="DK8" s="886" t="s">
        <v>98</v>
      </c>
      <c r="DL8" t="s">
        <v>418</v>
      </c>
      <c r="DN8" s="372"/>
      <c r="DO8" s="373"/>
    </row>
    <row r="9" spans="1:119" ht="15.75" customHeight="1" x14ac:dyDescent="0.25">
      <c r="A9" s="1318" t="s">
        <v>600</v>
      </c>
      <c r="B9" s="1293" t="s">
        <v>449</v>
      </c>
      <c r="C9" s="1294"/>
      <c r="D9" s="1293" t="s">
        <v>451</v>
      </c>
      <c r="E9" s="1294"/>
      <c r="F9" s="1293" t="s">
        <v>452</v>
      </c>
      <c r="G9" s="1294"/>
      <c r="H9" s="1293" t="s">
        <v>453</v>
      </c>
      <c r="I9" s="1294"/>
      <c r="J9" s="1293" t="s">
        <v>454</v>
      </c>
      <c r="K9" s="1294"/>
      <c r="L9" s="1293" t="s">
        <v>455</v>
      </c>
      <c r="M9" s="1294"/>
      <c r="N9" s="1293" t="s">
        <v>456</v>
      </c>
      <c r="O9" s="1294"/>
      <c r="P9" s="1293" t="s">
        <v>457</v>
      </c>
      <c r="Q9" s="1294"/>
      <c r="R9" s="1293" t="s">
        <v>458</v>
      </c>
      <c r="S9" s="1294"/>
      <c r="T9" s="1293" t="s">
        <v>459</v>
      </c>
      <c r="U9" s="1294"/>
      <c r="AS9" s="378" t="s">
        <v>441</v>
      </c>
      <c r="AT9" s="379"/>
      <c r="AU9" s="96"/>
      <c r="AX9" s="368"/>
      <c r="AY9" t="s">
        <v>417</v>
      </c>
      <c r="AZ9" s="380">
        <v>100</v>
      </c>
      <c r="BA9"/>
      <c r="BB9"/>
      <c r="BC9" s="372"/>
      <c r="BD9" s="373"/>
      <c r="BE9" s="96"/>
      <c r="BF9" t="s">
        <v>417</v>
      </c>
      <c r="BG9" s="380">
        <v>100</v>
      </c>
      <c r="BH9"/>
      <c r="BI9"/>
      <c r="BJ9" s="372"/>
      <c r="BK9" s="373"/>
      <c r="BL9" s="368"/>
      <c r="BM9" t="s">
        <v>417</v>
      </c>
      <c r="BN9" s="380">
        <v>100</v>
      </c>
      <c r="BO9"/>
      <c r="BP9"/>
      <c r="BQ9" s="381" t="s">
        <v>443</v>
      </c>
      <c r="BR9" s="382" t="e">
        <f>SUM(BR5:BR8)</f>
        <v>#VALUE!</v>
      </c>
      <c r="BS9" s="368"/>
      <c r="BT9" t="s">
        <v>417</v>
      </c>
      <c r="BU9" s="380">
        <v>100</v>
      </c>
      <c r="BV9"/>
      <c r="BW9"/>
      <c r="BX9" s="372"/>
      <c r="BY9" s="373"/>
      <c r="BZ9" s="368"/>
      <c r="CA9" t="s">
        <v>417</v>
      </c>
      <c r="CB9" s="380">
        <v>100</v>
      </c>
      <c r="CC9"/>
      <c r="CD9"/>
      <c r="CE9" s="372"/>
      <c r="CF9" s="373"/>
      <c r="CG9" s="368"/>
      <c r="CH9" t="s">
        <v>417</v>
      </c>
      <c r="CI9" s="380">
        <v>100</v>
      </c>
      <c r="CJ9"/>
      <c r="CK9"/>
      <c r="CL9" s="372"/>
      <c r="CM9" s="373"/>
      <c r="CN9" s="368"/>
      <c r="CO9" t="s">
        <v>417</v>
      </c>
      <c r="CP9" s="380">
        <v>100</v>
      </c>
      <c r="CQ9"/>
      <c r="CR9"/>
      <c r="CS9" s="372"/>
      <c r="CT9" s="373"/>
      <c r="CU9" s="368"/>
      <c r="CV9" t="s">
        <v>417</v>
      </c>
      <c r="CW9" s="380">
        <v>100</v>
      </c>
      <c r="CX9"/>
      <c r="CY9"/>
      <c r="CZ9" s="372"/>
      <c r="DA9" s="373"/>
      <c r="DB9" s="368"/>
      <c r="DC9" t="s">
        <v>417</v>
      </c>
      <c r="DD9" s="380">
        <v>100</v>
      </c>
      <c r="DE9"/>
      <c r="DF9"/>
      <c r="DG9" s="372"/>
      <c r="DH9" s="373"/>
      <c r="DI9" s="368"/>
      <c r="DJ9" t="s">
        <v>417</v>
      </c>
      <c r="DK9" s="380">
        <v>100</v>
      </c>
      <c r="DL9"/>
      <c r="DM9"/>
      <c r="DN9" s="372"/>
      <c r="DO9" s="373"/>
    </row>
    <row r="10" spans="1:119" ht="15.75" customHeight="1" thickBot="1" x14ac:dyDescent="0.3">
      <c r="A10" s="1319"/>
      <c r="B10" s="1330" t="str">
        <f>'Scenarios Data'!$B$1</f>
        <v>Landfill</v>
      </c>
      <c r="C10" s="1331"/>
      <c r="D10" s="1328" t="str">
        <f>'Scenarios Data'!$B$33</f>
        <v>Co-digestion</v>
      </c>
      <c r="E10" s="1329"/>
      <c r="F10" s="1328">
        <f>'Scenarios Data'!$B$65</f>
        <v>0</v>
      </c>
      <c r="G10" s="1329"/>
      <c r="H10" s="1328">
        <f>'Scenarios Data'!$B$97</f>
        <v>0</v>
      </c>
      <c r="I10" s="1329"/>
      <c r="J10" s="1328">
        <f>'Scenarios Data'!$B$129</f>
        <v>0</v>
      </c>
      <c r="K10" s="1329"/>
      <c r="L10" s="1328">
        <f>'Scenarios Data'!$B$161</f>
        <v>0</v>
      </c>
      <c r="M10" s="1329"/>
      <c r="N10" s="1328" t="str">
        <f>'Scenarios Data'!$B$193</f>
        <v xml:space="preserve"> </v>
      </c>
      <c r="O10" s="1329"/>
      <c r="P10" s="1328">
        <f>'Scenarios Data'!$B$225</f>
        <v>0</v>
      </c>
      <c r="Q10" s="1329"/>
      <c r="R10" s="1328">
        <f>'Scenarios Data'!$B$257</f>
        <v>0</v>
      </c>
      <c r="S10" s="1329"/>
      <c r="T10" s="1328">
        <f>'Scenarios Data'!$B$289</f>
        <v>0</v>
      </c>
      <c r="U10" s="1329"/>
      <c r="AS10" s="905" t="s">
        <v>432</v>
      </c>
      <c r="AT10" s="383" t="s">
        <v>426</v>
      </c>
      <c r="AU10" s="905" t="s">
        <v>431</v>
      </c>
      <c r="AV10"/>
      <c r="AX10" s="368"/>
      <c r="AY10" t="s">
        <v>421</v>
      </c>
      <c r="AZ10" s="384">
        <f>$B$29</f>
        <v>0.185</v>
      </c>
      <c r="BA10"/>
      <c r="BB10"/>
      <c r="BC10" s="372"/>
      <c r="BD10" s="373"/>
      <c r="BE10" s="96"/>
      <c r="BF10" t="s">
        <v>421</v>
      </c>
      <c r="BG10" s="384" t="str">
        <f>$D$29</f>
        <v>N/A</v>
      </c>
      <c r="BH10"/>
      <c r="BI10"/>
      <c r="BJ10" s="372"/>
      <c r="BK10" s="373"/>
      <c r="BL10" s="368"/>
      <c r="BM10" t="s">
        <v>421</v>
      </c>
      <c r="BN10" s="384" t="str">
        <f>$F$29</f>
        <v>N/A</v>
      </c>
      <c r="BO10"/>
      <c r="BP10"/>
      <c r="BQ10" s="381" t="s">
        <v>442</v>
      </c>
      <c r="BR10" s="385" t="e">
        <f>1-BR9</f>
        <v>#VALUE!</v>
      </c>
      <c r="BS10" s="368"/>
      <c r="BT10" t="s">
        <v>421</v>
      </c>
      <c r="BU10" s="384" t="str">
        <f>$H$29</f>
        <v>N/A</v>
      </c>
      <c r="BV10"/>
      <c r="BW10"/>
      <c r="BX10" s="372"/>
      <c r="BY10" s="373"/>
      <c r="BZ10" s="368"/>
      <c r="CA10" t="s">
        <v>421</v>
      </c>
      <c r="CB10" s="384" t="str">
        <f>$J$29</f>
        <v>N/A</v>
      </c>
      <c r="CC10"/>
      <c r="CD10"/>
      <c r="CE10" s="372"/>
      <c r="CF10" s="373"/>
      <c r="CG10" s="368"/>
      <c r="CH10" t="s">
        <v>421</v>
      </c>
      <c r="CI10" s="384" t="str">
        <f>$L$29</f>
        <v>N/A</v>
      </c>
      <c r="CJ10"/>
      <c r="CK10"/>
      <c r="CL10" s="372"/>
      <c r="CM10" s="373"/>
      <c r="CN10" s="368"/>
      <c r="CO10" t="s">
        <v>421</v>
      </c>
      <c r="CP10" s="384" t="str">
        <f>$N$29</f>
        <v>N/A</v>
      </c>
      <c r="CQ10"/>
      <c r="CR10"/>
      <c r="CS10" s="372"/>
      <c r="CT10" s="373"/>
      <c r="CU10" s="368"/>
      <c r="CV10" t="s">
        <v>421</v>
      </c>
      <c r="CW10" s="384" t="str">
        <f>$P$29</f>
        <v>N/A</v>
      </c>
      <c r="CX10"/>
      <c r="CY10"/>
      <c r="CZ10" s="372"/>
      <c r="DA10" s="373"/>
      <c r="DB10" s="368"/>
      <c r="DC10" t="s">
        <v>421</v>
      </c>
      <c r="DD10" s="384" t="str">
        <f>$R$29</f>
        <v>N/A</v>
      </c>
      <c r="DE10"/>
      <c r="DF10"/>
      <c r="DG10" s="372"/>
      <c r="DH10" s="373"/>
      <c r="DI10" s="368"/>
      <c r="DJ10" t="s">
        <v>421</v>
      </c>
      <c r="DK10" s="384" t="str">
        <f>$T$29</f>
        <v>N/A</v>
      </c>
      <c r="DL10"/>
      <c r="DM10"/>
      <c r="DN10" s="372"/>
      <c r="DO10" s="373"/>
    </row>
    <row r="11" spans="1:119" ht="48" customHeight="1" thickBot="1" x14ac:dyDescent="0.3">
      <c r="A11" s="145" t="s">
        <v>104</v>
      </c>
      <c r="B11" s="186" t="s">
        <v>105</v>
      </c>
      <c r="C11" s="147" t="s">
        <v>103</v>
      </c>
      <c r="D11" s="186" t="s">
        <v>105</v>
      </c>
      <c r="E11" s="147" t="s">
        <v>103</v>
      </c>
      <c r="F11" s="186" t="s">
        <v>105</v>
      </c>
      <c r="G11" s="147" t="s">
        <v>103</v>
      </c>
      <c r="H11" s="186" t="s">
        <v>105</v>
      </c>
      <c r="I11" s="147" t="s">
        <v>103</v>
      </c>
      <c r="J11" s="186" t="s">
        <v>105</v>
      </c>
      <c r="K11" s="147" t="s">
        <v>103</v>
      </c>
      <c r="L11" s="186" t="s">
        <v>105</v>
      </c>
      <c r="M11" s="147" t="s">
        <v>103</v>
      </c>
      <c r="N11" s="186" t="s">
        <v>105</v>
      </c>
      <c r="O11" s="147" t="s">
        <v>103</v>
      </c>
      <c r="P11" s="186" t="s">
        <v>105</v>
      </c>
      <c r="Q11" s="147" t="s">
        <v>103</v>
      </c>
      <c r="R11" s="186" t="s">
        <v>105</v>
      </c>
      <c r="S11" s="147" t="s">
        <v>103</v>
      </c>
      <c r="T11" s="186" t="s">
        <v>105</v>
      </c>
      <c r="U11" s="147" t="s">
        <v>103</v>
      </c>
      <c r="AP11" s="386" t="s">
        <v>503</v>
      </c>
      <c r="AS11" s="387">
        <v>0</v>
      </c>
      <c r="AT11" s="388" t="s">
        <v>502</v>
      </c>
      <c r="AU11" s="389">
        <f>1-AS11</f>
        <v>1</v>
      </c>
      <c r="AV11" s="390"/>
      <c r="AX11" s="368"/>
      <c r="AY11" s="391" t="s">
        <v>423</v>
      </c>
      <c r="AZ11" s="391" t="s">
        <v>424</v>
      </c>
      <c r="BA11" s="391" t="s">
        <v>425</v>
      </c>
      <c r="BB11"/>
      <c r="BC11" s="372"/>
      <c r="BD11" s="373"/>
      <c r="BE11" s="96"/>
      <c r="BF11" s="391" t="s">
        <v>423</v>
      </c>
      <c r="BG11" s="391" t="s">
        <v>424</v>
      </c>
      <c r="BH11" s="391" t="s">
        <v>425</v>
      </c>
      <c r="BI11"/>
      <c r="BJ11" s="372"/>
      <c r="BK11" s="373"/>
      <c r="BL11" s="368"/>
      <c r="BM11" s="391" t="s">
        <v>423</v>
      </c>
      <c r="BN11" s="391" t="s">
        <v>424</v>
      </c>
      <c r="BO11" s="391" t="s">
        <v>425</v>
      </c>
      <c r="BP11"/>
      <c r="BQ11"/>
      <c r="BR11" s="75"/>
      <c r="BS11" s="368"/>
      <c r="BT11" s="391" t="s">
        <v>423</v>
      </c>
      <c r="BU11" s="391" t="s">
        <v>424</v>
      </c>
      <c r="BV11" s="391" t="s">
        <v>425</v>
      </c>
      <c r="BW11"/>
      <c r="BX11"/>
      <c r="BY11" s="75"/>
      <c r="BZ11" s="368"/>
      <c r="CA11" s="391" t="s">
        <v>423</v>
      </c>
      <c r="CB11" s="391" t="s">
        <v>424</v>
      </c>
      <c r="CC11" s="391" t="s">
        <v>425</v>
      </c>
      <c r="CD11"/>
      <c r="CE11"/>
      <c r="CF11" s="75"/>
      <c r="CG11" s="368"/>
      <c r="CH11" s="391" t="s">
        <v>423</v>
      </c>
      <c r="CI11" s="391" t="s">
        <v>424</v>
      </c>
      <c r="CJ11" s="391" t="s">
        <v>425</v>
      </c>
      <c r="CK11"/>
      <c r="CL11"/>
      <c r="CM11" s="75"/>
      <c r="CN11" s="368"/>
      <c r="CO11" s="391" t="s">
        <v>423</v>
      </c>
      <c r="CP11" s="391" t="s">
        <v>424</v>
      </c>
      <c r="CQ11" s="391" t="s">
        <v>425</v>
      </c>
      <c r="CR11"/>
      <c r="CS11"/>
      <c r="CT11" s="75"/>
      <c r="CU11" s="368"/>
      <c r="CV11" s="391" t="s">
        <v>423</v>
      </c>
      <c r="CW11" s="391" t="s">
        <v>424</v>
      </c>
      <c r="CX11" s="391" t="s">
        <v>425</v>
      </c>
      <c r="CY11"/>
      <c r="CZ11"/>
      <c r="DA11" s="75"/>
      <c r="DB11" s="368"/>
      <c r="DC11" s="391" t="s">
        <v>423</v>
      </c>
      <c r="DD11" s="391" t="s">
        <v>424</v>
      </c>
      <c r="DE11" s="391" t="s">
        <v>425</v>
      </c>
      <c r="DF11"/>
      <c r="DG11"/>
      <c r="DH11" s="75"/>
      <c r="DI11" s="368"/>
      <c r="DJ11" s="391" t="s">
        <v>423</v>
      </c>
      <c r="DK11" s="391" t="s">
        <v>424</v>
      </c>
      <c r="DL11" s="391" t="s">
        <v>425</v>
      </c>
      <c r="DM11"/>
      <c r="DN11"/>
      <c r="DO11" s="75"/>
    </row>
    <row r="12" spans="1:119" ht="15.75" customHeight="1" thickBot="1" x14ac:dyDescent="0.3">
      <c r="A12" s="1300" t="s">
        <v>928</v>
      </c>
      <c r="B12" s="1301"/>
      <c r="C12" s="1301"/>
      <c r="D12" s="1301"/>
      <c r="E12" s="1301"/>
      <c r="F12" s="1301"/>
      <c r="G12" s="1301"/>
      <c r="H12" s="1301"/>
      <c r="I12" s="1301"/>
      <c r="J12" s="1301"/>
      <c r="K12" s="1301"/>
      <c r="L12" s="1301"/>
      <c r="M12" s="1301"/>
      <c r="N12" s="1301"/>
      <c r="O12" s="1301"/>
      <c r="P12" s="1301"/>
      <c r="Q12" s="1301"/>
      <c r="R12" s="1301"/>
      <c r="S12" s="1301"/>
      <c r="T12" s="1301"/>
      <c r="U12" s="1302"/>
      <c r="AO12"/>
      <c r="AP12" s="386" t="s">
        <v>431</v>
      </c>
      <c r="AS12" s="387">
        <v>0.5</v>
      </c>
      <c r="AT12" s="392" t="s">
        <v>437</v>
      </c>
      <c r="AU12" s="389">
        <f>1-AS12</f>
        <v>0.5</v>
      </c>
      <c r="AV12" s="390"/>
      <c r="AW12" s="96"/>
      <c r="AX12" s="368">
        <f>AY12-1</f>
        <v>0</v>
      </c>
      <c r="AY12" s="393">
        <v>1</v>
      </c>
      <c r="AZ12" s="394">
        <f>AZ9-(AZ9*$AZ$10)</f>
        <v>81.5</v>
      </c>
      <c r="BA12" s="394">
        <f>(AZ9*$AZ$10)</f>
        <v>18.5</v>
      </c>
      <c r="BB12" s="395">
        <f t="shared" ref="BB12:BB26" si="0">+BA12/$AZ$9</f>
        <v>0.185</v>
      </c>
      <c r="BC12" s="886"/>
      <c r="BD12" s="75"/>
      <c r="BE12" s="96"/>
      <c r="BF12" s="393">
        <v>1</v>
      </c>
      <c r="BG12" s="394" t="e">
        <f>BG9-(BG9*$BG$10)</f>
        <v>#VALUE!</v>
      </c>
      <c r="BH12" s="394" t="e">
        <f>BG9*$BG$10</f>
        <v>#VALUE!</v>
      </c>
      <c r="BI12" s="395" t="e">
        <f>+BH12/$BG$9</f>
        <v>#VALUE!</v>
      </c>
      <c r="BJ12" s="396"/>
      <c r="BK12" s="75"/>
      <c r="BL12" s="368"/>
      <c r="BM12" s="393">
        <v>1</v>
      </c>
      <c r="BN12" s="394" t="e">
        <f>BN9-(BN9*$BN$10)</f>
        <v>#VALUE!</v>
      </c>
      <c r="BO12" s="394" t="e">
        <f>BN9*BN10</f>
        <v>#VALUE!</v>
      </c>
      <c r="BP12" s="395" t="e">
        <f>BO12/$BN$9</f>
        <v>#VALUE!</v>
      </c>
      <c r="BQ12" s="396"/>
      <c r="BR12" s="75"/>
      <c r="BS12" s="368"/>
      <c r="BT12" s="393">
        <v>1</v>
      </c>
      <c r="BU12" s="394" t="e">
        <f>BU9-(BU9*$BU$10)</f>
        <v>#VALUE!</v>
      </c>
      <c r="BV12" s="394" t="e">
        <f>BU9*$BU$10</f>
        <v>#VALUE!</v>
      </c>
      <c r="BW12" s="395" t="e">
        <f>+BV12/$BU$9</f>
        <v>#VALUE!</v>
      </c>
      <c r="BX12" s="886"/>
      <c r="BY12" s="75"/>
      <c r="BZ12" s="368"/>
      <c r="CA12" s="393">
        <v>1</v>
      </c>
      <c r="CB12" s="394" t="e">
        <f>CB9-(CB9*$CB$10)</f>
        <v>#VALUE!</v>
      </c>
      <c r="CC12" s="394" t="e">
        <f>CB9*$CB$10</f>
        <v>#VALUE!</v>
      </c>
      <c r="CD12" s="395" t="e">
        <f t="shared" ref="CD12:CD26" si="1">+CC12/$CB$9</f>
        <v>#VALUE!</v>
      </c>
      <c r="CE12" s="886"/>
      <c r="CF12" s="75"/>
      <c r="CG12" s="368"/>
      <c r="CH12" s="393">
        <v>1</v>
      </c>
      <c r="CI12" s="394" t="e">
        <f>CI9-(CI9*$CI$10)</f>
        <v>#VALUE!</v>
      </c>
      <c r="CJ12" s="394" t="e">
        <f>CI9*$CI$10</f>
        <v>#VALUE!</v>
      </c>
      <c r="CK12" s="395" t="e">
        <f t="shared" ref="CK12:CK26" si="2">+CJ12/$CI$9</f>
        <v>#VALUE!</v>
      </c>
      <c r="CL12" s="886"/>
      <c r="CM12" s="75"/>
      <c r="CN12" s="368"/>
      <c r="CO12" s="393">
        <v>1</v>
      </c>
      <c r="CP12" s="394" t="e">
        <f>CP9-(CP9*$CP$10)</f>
        <v>#VALUE!</v>
      </c>
      <c r="CQ12" s="394" t="e">
        <f>CP9*$CP$10</f>
        <v>#VALUE!</v>
      </c>
      <c r="CR12" s="395" t="e">
        <f t="shared" ref="CR12:CR26" si="3">+CQ12/$CP$9</f>
        <v>#VALUE!</v>
      </c>
      <c r="CS12" s="886"/>
      <c r="CT12" s="75"/>
      <c r="CU12" s="368"/>
      <c r="CV12" s="393">
        <v>1</v>
      </c>
      <c r="CW12" s="394" t="e">
        <f>CW9-(CW9*$CW$10)</f>
        <v>#VALUE!</v>
      </c>
      <c r="CX12" s="394" t="e">
        <f>CW9*$CW$10</f>
        <v>#VALUE!</v>
      </c>
      <c r="CY12" s="395" t="e">
        <f t="shared" ref="CY12:CY26" si="4">+CX12/$CW$9</f>
        <v>#VALUE!</v>
      </c>
      <c r="CZ12" s="886"/>
      <c r="DA12" s="75"/>
      <c r="DB12" s="368"/>
      <c r="DC12" s="393">
        <v>1</v>
      </c>
      <c r="DD12" s="394" t="e">
        <f>DD9-(DD9*$DD$10)</f>
        <v>#VALUE!</v>
      </c>
      <c r="DE12" s="394" t="e">
        <f>DD9*$DD$10</f>
        <v>#VALUE!</v>
      </c>
      <c r="DF12" s="395" t="e">
        <f t="shared" ref="DF12:DF26" si="5">+DE12/$DD$9</f>
        <v>#VALUE!</v>
      </c>
      <c r="DG12" s="886"/>
      <c r="DH12" s="75"/>
      <c r="DI12" s="368"/>
      <c r="DJ12" s="393">
        <v>1</v>
      </c>
      <c r="DK12" s="394" t="e">
        <f>DK9-(DK9*$DK$10)</f>
        <v>#VALUE!</v>
      </c>
      <c r="DL12" s="394" t="e">
        <f>DK9*$DK$10</f>
        <v>#VALUE!</v>
      </c>
      <c r="DM12" s="395" t="e">
        <f t="shared" ref="DM12:DM26" si="6">+DL12/$DK$9</f>
        <v>#VALUE!</v>
      </c>
      <c r="DN12" s="886"/>
      <c r="DO12" s="75"/>
    </row>
    <row r="13" spans="1:119" ht="15.75" customHeight="1" x14ac:dyDescent="0.25">
      <c r="A13" s="397" t="s">
        <v>247</v>
      </c>
      <c r="B13" s="859">
        <f>+'Amount and Destination'!AH4/days_yr</f>
        <v>93.441803992740461</v>
      </c>
      <c r="C13" s="1174"/>
      <c r="D13" s="859">
        <f>'Amount and Destination'!AH33/days_yr</f>
        <v>0</v>
      </c>
      <c r="E13" s="1174"/>
      <c r="F13" s="859">
        <f>'Amount and Destination'!AH62/days_yr</f>
        <v>0</v>
      </c>
      <c r="G13" s="1174"/>
      <c r="H13" s="859">
        <f>'Amount and Destination'!AH91/days_yr</f>
        <v>0</v>
      </c>
      <c r="I13" s="1174"/>
      <c r="J13" s="859">
        <f>'Amount and Destination'!AH120/days_yr</f>
        <v>0</v>
      </c>
      <c r="K13" s="1174"/>
      <c r="L13" s="859">
        <f>'Amount and Destination'!AH149/days_yr</f>
        <v>0</v>
      </c>
      <c r="M13" s="1174"/>
      <c r="N13" s="859">
        <f>'Amount and Destination'!AH178/days_yr</f>
        <v>0</v>
      </c>
      <c r="O13" s="1174"/>
      <c r="P13" s="859">
        <f>'Amount and Destination'!AH207/days_yr</f>
        <v>0</v>
      </c>
      <c r="Q13" s="1174"/>
      <c r="R13" s="859">
        <f>'Amount and Destination'!AH236/days_yr</f>
        <v>0</v>
      </c>
      <c r="S13" s="1174"/>
      <c r="T13" s="859">
        <f>'Amount and Destination'!AH265/days_yr</f>
        <v>0</v>
      </c>
      <c r="U13" s="398"/>
      <c r="AO13"/>
      <c r="AP13" s="399">
        <f>+$AU$11*SUM(BB$12:BB$13)</f>
        <v>0.33577499999999999</v>
      </c>
      <c r="AS13" s="387">
        <v>0.75</v>
      </c>
      <c r="AT13" s="392" t="s">
        <v>438</v>
      </c>
      <c r="AU13" s="389">
        <f>1-AS13</f>
        <v>0.25</v>
      </c>
      <c r="AV13" s="390"/>
      <c r="AW13" s="96"/>
      <c r="AX13" s="368">
        <f t="shared" ref="AX13:AX26" si="7">AY13-1</f>
        <v>1</v>
      </c>
      <c r="AY13" s="393">
        <v>2</v>
      </c>
      <c r="AZ13" s="394">
        <f t="shared" ref="AZ13:AZ26" si="8">AZ12-(AZ12*$AZ$10)</f>
        <v>66.422499999999999</v>
      </c>
      <c r="BA13" s="394">
        <f t="shared" ref="BA13:BA26" si="9">(AZ12*$AZ$10)</f>
        <v>15.077500000000001</v>
      </c>
      <c r="BB13" s="395">
        <f t="shared" si="0"/>
        <v>0.15077499999999999</v>
      </c>
      <c r="BC13"/>
      <c r="BD13" s="75"/>
      <c r="BE13" s="96"/>
      <c r="BF13" s="393">
        <v>2</v>
      </c>
      <c r="BG13" s="394" t="e">
        <f>BG12-(BG12*$BG$10)</f>
        <v>#VALUE!</v>
      </c>
      <c r="BH13" s="400" t="e">
        <f>$BG12*$BG$10</f>
        <v>#VALUE!</v>
      </c>
      <c r="BI13" s="395" t="e">
        <f>+BH13/$BG$9</f>
        <v>#VALUE!</v>
      </c>
      <c r="BJ13"/>
      <c r="BK13" s="75"/>
      <c r="BL13" s="368"/>
      <c r="BM13" s="393">
        <v>2</v>
      </c>
      <c r="BN13" s="394" t="e">
        <f>BN12-(BN12*$BN$10)</f>
        <v>#VALUE!</v>
      </c>
      <c r="BO13" s="394" t="e">
        <f>BN12*$BN$10</f>
        <v>#VALUE!</v>
      </c>
      <c r="BP13" s="395" t="e">
        <f t="shared" ref="BP13:BP26" si="10">BO13/$BN$9</f>
        <v>#VALUE!</v>
      </c>
      <c r="BQ13"/>
      <c r="BR13" s="75"/>
      <c r="BS13" s="368"/>
      <c r="BT13" s="393">
        <v>2</v>
      </c>
      <c r="BU13" s="394" t="e">
        <f t="shared" ref="BU13:BU26" si="11">BU12-(BU12*$BU$10)</f>
        <v>#VALUE!</v>
      </c>
      <c r="BV13" s="394" t="e">
        <f t="shared" ref="BV13:BV26" si="12">(BU12*$BU$10)</f>
        <v>#VALUE!</v>
      </c>
      <c r="BW13" s="395" t="e">
        <f t="shared" ref="BW13:BW26" si="13">+BV13/$BU$9</f>
        <v>#VALUE!</v>
      </c>
      <c r="BX13"/>
      <c r="BY13" s="75"/>
      <c r="BZ13" s="368"/>
      <c r="CA13" s="393">
        <v>2</v>
      </c>
      <c r="CB13" s="394" t="e">
        <f t="shared" ref="CB13:CB26" si="14">CB12-(CB12*$CB$10)</f>
        <v>#VALUE!</v>
      </c>
      <c r="CC13" s="394" t="e">
        <f t="shared" ref="CC13:CC26" si="15">(CB12*$CB$10)</f>
        <v>#VALUE!</v>
      </c>
      <c r="CD13" s="395" t="e">
        <f t="shared" si="1"/>
        <v>#VALUE!</v>
      </c>
      <c r="CE13"/>
      <c r="CF13" s="75"/>
      <c r="CG13" s="368"/>
      <c r="CH13" s="393">
        <v>2</v>
      </c>
      <c r="CI13" s="394" t="e">
        <f t="shared" ref="CI13:CI26" si="16">CI12-(CI12*$CI$10)</f>
        <v>#VALUE!</v>
      </c>
      <c r="CJ13" s="394" t="e">
        <f t="shared" ref="CJ13:CJ26" si="17">(CI12*$CI$10)</f>
        <v>#VALUE!</v>
      </c>
      <c r="CK13" s="395" t="e">
        <f t="shared" si="2"/>
        <v>#VALUE!</v>
      </c>
      <c r="CL13"/>
      <c r="CM13" s="75"/>
      <c r="CN13" s="368"/>
      <c r="CO13" s="393">
        <v>2</v>
      </c>
      <c r="CP13" s="394" t="e">
        <f t="shared" ref="CP13:CP26" si="18">CP12-(CP12*$CP$10)</f>
        <v>#VALUE!</v>
      </c>
      <c r="CQ13" s="394" t="e">
        <f t="shared" ref="CQ13:CQ26" si="19">(CP12*$CP$10)</f>
        <v>#VALUE!</v>
      </c>
      <c r="CR13" s="395" t="e">
        <f t="shared" si="3"/>
        <v>#VALUE!</v>
      </c>
      <c r="CS13"/>
      <c r="CT13" s="75"/>
      <c r="CU13" s="368"/>
      <c r="CV13" s="393">
        <v>2</v>
      </c>
      <c r="CW13" s="394" t="e">
        <f t="shared" ref="CW13:CW26" si="20">CW12-(CW12*$CW$10)</f>
        <v>#VALUE!</v>
      </c>
      <c r="CX13" s="394" t="e">
        <f t="shared" ref="CX13:CX26" si="21">(CW12*$CW$10)</f>
        <v>#VALUE!</v>
      </c>
      <c r="CY13" s="395" t="e">
        <f t="shared" si="4"/>
        <v>#VALUE!</v>
      </c>
      <c r="CZ13"/>
      <c r="DA13" s="75"/>
      <c r="DB13" s="368"/>
      <c r="DC13" s="393">
        <v>2</v>
      </c>
      <c r="DD13" s="394" t="e">
        <f t="shared" ref="DD13:DD26" si="22">DD12-(DD12*$DD$10)</f>
        <v>#VALUE!</v>
      </c>
      <c r="DE13" s="394" t="e">
        <f t="shared" ref="DE13:DE26" si="23">(DD12*$DD$10)</f>
        <v>#VALUE!</v>
      </c>
      <c r="DF13" s="395" t="e">
        <f t="shared" si="5"/>
        <v>#VALUE!</v>
      </c>
      <c r="DG13"/>
      <c r="DH13" s="75"/>
      <c r="DI13" s="368"/>
      <c r="DJ13" s="393">
        <v>2</v>
      </c>
      <c r="DK13" s="394" t="e">
        <f t="shared" ref="DK13:DK26" si="24">DK12-(DK12*$DK$10)</f>
        <v>#VALUE!</v>
      </c>
      <c r="DL13" s="394" t="e">
        <f t="shared" ref="DL13:DL26" si="25">(DK12*$DK$10)</f>
        <v>#VALUE!</v>
      </c>
      <c r="DM13" s="395" t="e">
        <f t="shared" si="6"/>
        <v>#VALUE!</v>
      </c>
      <c r="DN13"/>
      <c r="DO13" s="75"/>
    </row>
    <row r="14" spans="1:119" ht="15.75" customHeight="1" x14ac:dyDescent="0.25">
      <c r="A14" s="315" t="s">
        <v>170</v>
      </c>
      <c r="B14" s="889">
        <v>7.1999999999999995E-2</v>
      </c>
      <c r="C14" s="401"/>
      <c r="D14" s="889">
        <f>Mean_solids</f>
        <v>7.1999999999999995E-2</v>
      </c>
      <c r="E14" s="401"/>
      <c r="F14" s="889">
        <f>Mean_solids</f>
        <v>7.1999999999999995E-2</v>
      </c>
      <c r="G14" s="401"/>
      <c r="H14" s="889">
        <f>Mean_solids</f>
        <v>7.1999999999999995E-2</v>
      </c>
      <c r="I14" s="401"/>
      <c r="J14" s="889">
        <f>Mean_solids</f>
        <v>7.1999999999999995E-2</v>
      </c>
      <c r="K14" s="401"/>
      <c r="L14" s="889">
        <f>Mean_solids</f>
        <v>7.1999999999999995E-2</v>
      </c>
      <c r="M14" s="401"/>
      <c r="N14" s="889">
        <f>Mean_solids</f>
        <v>7.1999999999999995E-2</v>
      </c>
      <c r="O14" s="401"/>
      <c r="P14" s="889">
        <f>Mean_solids</f>
        <v>7.1999999999999995E-2</v>
      </c>
      <c r="Q14" s="401"/>
      <c r="R14" s="889">
        <f>Mean_solids</f>
        <v>7.1999999999999995E-2</v>
      </c>
      <c r="S14" s="401"/>
      <c r="T14" s="889">
        <f>Mean_solids</f>
        <v>7.1999999999999995E-2</v>
      </c>
      <c r="U14" s="401"/>
      <c r="AO14"/>
      <c r="AP14" s="399">
        <f>+$AU$12*SUM(BB$14:BB$15)</f>
        <v>0.11151507468750001</v>
      </c>
      <c r="AS14" s="387">
        <v>0.9</v>
      </c>
      <c r="AT14" s="388" t="s">
        <v>429</v>
      </c>
      <c r="AU14" s="389">
        <f>1-AS14</f>
        <v>9.9999999999999978E-2</v>
      </c>
      <c r="AV14" s="390"/>
      <c r="AW14" s="96"/>
      <c r="AX14" s="368">
        <f t="shared" si="7"/>
        <v>2</v>
      </c>
      <c r="AY14" s="393">
        <v>3</v>
      </c>
      <c r="AZ14" s="394">
        <f t="shared" si="8"/>
        <v>54.134337500000001</v>
      </c>
      <c r="BA14" s="394">
        <f t="shared" si="9"/>
        <v>12.2881625</v>
      </c>
      <c r="BB14" s="395">
        <f t="shared" si="0"/>
        <v>0.12288162500000001</v>
      </c>
      <c r="BC14"/>
      <c r="BD14" s="75"/>
      <c r="BE14" s="96"/>
      <c r="BF14" s="393">
        <v>3</v>
      </c>
      <c r="BG14" s="394" t="e">
        <f>BG13-(BG13*$BG$10)</f>
        <v>#VALUE!</v>
      </c>
      <c r="BH14" s="400" t="e">
        <f t="shared" ref="BH14:BH26" si="26">$BG13*$BG$10</f>
        <v>#VALUE!</v>
      </c>
      <c r="BI14" s="395" t="e">
        <f>+BH14/$BG$9</f>
        <v>#VALUE!</v>
      </c>
      <c r="BJ14"/>
      <c r="BK14" s="75"/>
      <c r="BL14" s="368"/>
      <c r="BM14" s="393">
        <v>3</v>
      </c>
      <c r="BN14" s="394" t="e">
        <f t="shared" ref="BN14:BN26" si="27">BN13-(BN13*$BN$10)</f>
        <v>#VALUE!</v>
      </c>
      <c r="BO14" s="394" t="e">
        <f t="shared" ref="BO14:BO26" si="28">BN13*$BN$10</f>
        <v>#VALUE!</v>
      </c>
      <c r="BP14" s="395" t="e">
        <f t="shared" si="10"/>
        <v>#VALUE!</v>
      </c>
      <c r="BQ14"/>
      <c r="BR14" s="75"/>
      <c r="BS14" s="368"/>
      <c r="BT14" s="393">
        <v>3</v>
      </c>
      <c r="BU14" s="394" t="e">
        <f t="shared" si="11"/>
        <v>#VALUE!</v>
      </c>
      <c r="BV14" s="394" t="e">
        <f t="shared" si="12"/>
        <v>#VALUE!</v>
      </c>
      <c r="BW14" s="395" t="e">
        <f t="shared" si="13"/>
        <v>#VALUE!</v>
      </c>
      <c r="BX14"/>
      <c r="BY14" s="75"/>
      <c r="BZ14" s="368"/>
      <c r="CA14" s="393">
        <v>3</v>
      </c>
      <c r="CB14" s="394" t="e">
        <f t="shared" si="14"/>
        <v>#VALUE!</v>
      </c>
      <c r="CC14" s="394" t="e">
        <f t="shared" si="15"/>
        <v>#VALUE!</v>
      </c>
      <c r="CD14" s="395" t="e">
        <f t="shared" si="1"/>
        <v>#VALUE!</v>
      </c>
      <c r="CE14"/>
      <c r="CF14" s="75"/>
      <c r="CG14" s="368"/>
      <c r="CH14" s="393">
        <v>3</v>
      </c>
      <c r="CI14" s="394" t="e">
        <f t="shared" si="16"/>
        <v>#VALUE!</v>
      </c>
      <c r="CJ14" s="394" t="e">
        <f t="shared" si="17"/>
        <v>#VALUE!</v>
      </c>
      <c r="CK14" s="395" t="e">
        <f t="shared" si="2"/>
        <v>#VALUE!</v>
      </c>
      <c r="CL14"/>
      <c r="CM14" s="75"/>
      <c r="CN14" s="368"/>
      <c r="CO14" s="393">
        <v>3</v>
      </c>
      <c r="CP14" s="394" t="e">
        <f t="shared" si="18"/>
        <v>#VALUE!</v>
      </c>
      <c r="CQ14" s="394" t="e">
        <f t="shared" si="19"/>
        <v>#VALUE!</v>
      </c>
      <c r="CR14" s="395" t="e">
        <f t="shared" si="3"/>
        <v>#VALUE!</v>
      </c>
      <c r="CS14"/>
      <c r="CT14" s="75"/>
      <c r="CU14" s="368"/>
      <c r="CV14" s="393">
        <v>3</v>
      </c>
      <c r="CW14" s="394" t="e">
        <f t="shared" si="20"/>
        <v>#VALUE!</v>
      </c>
      <c r="CX14" s="394" t="e">
        <f t="shared" si="21"/>
        <v>#VALUE!</v>
      </c>
      <c r="CY14" s="395" t="e">
        <f t="shared" si="4"/>
        <v>#VALUE!</v>
      </c>
      <c r="CZ14"/>
      <c r="DA14" s="75"/>
      <c r="DB14" s="368"/>
      <c r="DC14" s="393">
        <v>3</v>
      </c>
      <c r="DD14" s="394" t="e">
        <f t="shared" si="22"/>
        <v>#VALUE!</v>
      </c>
      <c r="DE14" s="394" t="e">
        <f t="shared" si="23"/>
        <v>#VALUE!</v>
      </c>
      <c r="DF14" s="395" t="e">
        <f t="shared" si="5"/>
        <v>#VALUE!</v>
      </c>
      <c r="DG14"/>
      <c r="DH14" s="75"/>
      <c r="DI14" s="368"/>
      <c r="DJ14" s="393">
        <v>3</v>
      </c>
      <c r="DK14" s="394" t="e">
        <f t="shared" si="24"/>
        <v>#VALUE!</v>
      </c>
      <c r="DL14" s="394" t="e">
        <f t="shared" si="25"/>
        <v>#VALUE!</v>
      </c>
      <c r="DM14" s="395" t="e">
        <f t="shared" si="6"/>
        <v>#VALUE!</v>
      </c>
      <c r="DN14"/>
      <c r="DO14" s="75"/>
    </row>
    <row r="15" spans="1:119" ht="15.75" customHeight="1" x14ac:dyDescent="0.25">
      <c r="A15" s="308" t="s">
        <v>187</v>
      </c>
      <c r="B15" s="265">
        <f>+B13*B14</f>
        <v>6.7278098874773127</v>
      </c>
      <c r="C15" s="232"/>
      <c r="D15" s="265">
        <f>+D13*D14</f>
        <v>0</v>
      </c>
      <c r="E15" s="232"/>
      <c r="F15" s="265">
        <f>+F13*F14</f>
        <v>0</v>
      </c>
      <c r="G15" s="232"/>
      <c r="H15" s="415">
        <f>+H13*H14</f>
        <v>0</v>
      </c>
      <c r="I15" s="232"/>
      <c r="J15" s="265">
        <f>+J13*J14</f>
        <v>0</v>
      </c>
      <c r="K15" s="232"/>
      <c r="L15" s="265">
        <f>+L13*L14</f>
        <v>0</v>
      </c>
      <c r="M15" s="232"/>
      <c r="N15" s="415">
        <f>+N13*N14</f>
        <v>0</v>
      </c>
      <c r="O15" s="232"/>
      <c r="P15" s="265">
        <f>+P13*P14</f>
        <v>0</v>
      </c>
      <c r="Q15" s="232"/>
      <c r="R15" s="265">
        <f>+R13*R14</f>
        <v>0</v>
      </c>
      <c r="S15" s="232"/>
      <c r="T15" s="265">
        <f>+T13*T14</f>
        <v>0</v>
      </c>
      <c r="U15" s="232"/>
      <c r="AO15"/>
      <c r="AP15" s="399">
        <f>+$AU$13*SUM(BB$16:BB$25)</f>
        <v>9.6037825906255009E-2</v>
      </c>
      <c r="AS15" s="402"/>
      <c r="AT15" s="402"/>
      <c r="AU15" s="403"/>
      <c r="AV15"/>
      <c r="AW15" s="96"/>
      <c r="AX15" s="368">
        <f t="shared" si="7"/>
        <v>3</v>
      </c>
      <c r="AY15" s="393">
        <v>4</v>
      </c>
      <c r="AZ15" s="394">
        <f t="shared" si="8"/>
        <v>44.119485062500004</v>
      </c>
      <c r="BA15" s="394">
        <f t="shared" si="9"/>
        <v>10.0148524375</v>
      </c>
      <c r="BB15" s="395">
        <f t="shared" si="0"/>
        <v>0.10014852437500001</v>
      </c>
      <c r="BC15"/>
      <c r="BD15" s="75"/>
      <c r="BE15" s="96"/>
      <c r="BF15" s="393">
        <v>4</v>
      </c>
      <c r="BG15" s="394" t="e">
        <f t="shared" ref="BG15:BG26" si="29">BG14-(BG14*$BG$10)</f>
        <v>#VALUE!</v>
      </c>
      <c r="BH15" s="400" t="e">
        <f t="shared" si="26"/>
        <v>#VALUE!</v>
      </c>
      <c r="BI15" s="395" t="e">
        <f t="shared" ref="BI15:BI26" si="30">+BH15/$BG$9</f>
        <v>#VALUE!</v>
      </c>
      <c r="BJ15"/>
      <c r="BK15" s="75"/>
      <c r="BL15" s="368"/>
      <c r="BM15" s="393">
        <v>4</v>
      </c>
      <c r="BN15" s="394" t="e">
        <f t="shared" si="27"/>
        <v>#VALUE!</v>
      </c>
      <c r="BO15" s="394" t="e">
        <f t="shared" si="28"/>
        <v>#VALUE!</v>
      </c>
      <c r="BP15" s="395" t="e">
        <f t="shared" si="10"/>
        <v>#VALUE!</v>
      </c>
      <c r="BQ15"/>
      <c r="BR15" s="75"/>
      <c r="BS15" s="368"/>
      <c r="BT15" s="393">
        <v>4</v>
      </c>
      <c r="BU15" s="394" t="e">
        <f t="shared" si="11"/>
        <v>#VALUE!</v>
      </c>
      <c r="BV15" s="394" t="e">
        <f t="shared" si="12"/>
        <v>#VALUE!</v>
      </c>
      <c r="BW15" s="395" t="e">
        <f t="shared" si="13"/>
        <v>#VALUE!</v>
      </c>
      <c r="BX15"/>
      <c r="BY15" s="75"/>
      <c r="BZ15" s="368"/>
      <c r="CA15" s="393">
        <v>4</v>
      </c>
      <c r="CB15" s="394" t="e">
        <f t="shared" si="14"/>
        <v>#VALUE!</v>
      </c>
      <c r="CC15" s="394" t="e">
        <f t="shared" si="15"/>
        <v>#VALUE!</v>
      </c>
      <c r="CD15" s="395" t="e">
        <f t="shared" si="1"/>
        <v>#VALUE!</v>
      </c>
      <c r="CE15"/>
      <c r="CF15" s="75"/>
      <c r="CG15" s="368"/>
      <c r="CH15" s="393">
        <v>4</v>
      </c>
      <c r="CI15" s="394" t="e">
        <f t="shared" si="16"/>
        <v>#VALUE!</v>
      </c>
      <c r="CJ15" s="394" t="e">
        <f t="shared" si="17"/>
        <v>#VALUE!</v>
      </c>
      <c r="CK15" s="395" t="e">
        <f t="shared" si="2"/>
        <v>#VALUE!</v>
      </c>
      <c r="CL15"/>
      <c r="CM15" s="75"/>
      <c r="CN15" s="368"/>
      <c r="CO15" s="393">
        <v>4</v>
      </c>
      <c r="CP15" s="394" t="e">
        <f t="shared" si="18"/>
        <v>#VALUE!</v>
      </c>
      <c r="CQ15" s="394" t="e">
        <f t="shared" si="19"/>
        <v>#VALUE!</v>
      </c>
      <c r="CR15" s="395" t="e">
        <f t="shared" si="3"/>
        <v>#VALUE!</v>
      </c>
      <c r="CS15"/>
      <c r="CT15" s="75"/>
      <c r="CU15" s="368"/>
      <c r="CV15" s="393">
        <v>4</v>
      </c>
      <c r="CW15" s="394" t="e">
        <f t="shared" si="20"/>
        <v>#VALUE!</v>
      </c>
      <c r="CX15" s="394" t="e">
        <f t="shared" si="21"/>
        <v>#VALUE!</v>
      </c>
      <c r="CY15" s="395" t="e">
        <f t="shared" si="4"/>
        <v>#VALUE!</v>
      </c>
      <c r="CZ15"/>
      <c r="DA15" s="75"/>
      <c r="DB15" s="368"/>
      <c r="DC15" s="393">
        <v>4</v>
      </c>
      <c r="DD15" s="394" t="e">
        <f t="shared" si="22"/>
        <v>#VALUE!</v>
      </c>
      <c r="DE15" s="394" t="e">
        <f t="shared" si="23"/>
        <v>#VALUE!</v>
      </c>
      <c r="DF15" s="395" t="e">
        <f t="shared" si="5"/>
        <v>#VALUE!</v>
      </c>
      <c r="DG15"/>
      <c r="DH15" s="75"/>
      <c r="DI15" s="368"/>
      <c r="DJ15" s="393">
        <v>4</v>
      </c>
      <c r="DK15" s="394" t="e">
        <f t="shared" si="24"/>
        <v>#VALUE!</v>
      </c>
      <c r="DL15" s="394" t="e">
        <f t="shared" si="25"/>
        <v>#VALUE!</v>
      </c>
      <c r="DM15" s="395" t="e">
        <f t="shared" si="6"/>
        <v>#VALUE!</v>
      </c>
      <c r="DN15"/>
      <c r="DO15" s="75"/>
    </row>
    <row r="16" spans="1:119" ht="15.75" customHeight="1" x14ac:dyDescent="0.25">
      <c r="A16" s="247" t="s">
        <v>941</v>
      </c>
      <c r="B16" s="11" t="s">
        <v>304</v>
      </c>
      <c r="C16" s="232"/>
      <c r="D16" s="11"/>
      <c r="E16" s="232"/>
      <c r="F16" s="11"/>
      <c r="G16" s="232"/>
      <c r="H16" s="11"/>
      <c r="I16" s="232"/>
      <c r="J16" s="11"/>
      <c r="K16" s="232"/>
      <c r="L16" s="11"/>
      <c r="M16" s="232"/>
      <c r="N16" s="11"/>
      <c r="O16" s="232"/>
      <c r="P16" s="11"/>
      <c r="Q16" s="232"/>
      <c r="R16" s="11"/>
      <c r="S16" s="232"/>
      <c r="T16" s="11"/>
      <c r="U16" s="232"/>
      <c r="AO16"/>
      <c r="AP16" s="399">
        <f>+$AU$14*SUM(BB$26:BB$41)</f>
        <v>5.4882181264691741E-3</v>
      </c>
      <c r="AU16" s="96"/>
      <c r="AV16"/>
      <c r="AW16" s="96"/>
      <c r="AX16" s="368">
        <f t="shared" si="7"/>
        <v>4</v>
      </c>
      <c r="AY16" s="393">
        <v>5</v>
      </c>
      <c r="AZ16" s="394">
        <f t="shared" si="8"/>
        <v>35.957380325937507</v>
      </c>
      <c r="BA16" s="394">
        <f t="shared" si="9"/>
        <v>8.162104736562501</v>
      </c>
      <c r="BB16" s="395">
        <f t="shared" si="0"/>
        <v>8.1621047365625005E-2</v>
      </c>
      <c r="BC16"/>
      <c r="BD16" s="75"/>
      <c r="BE16" s="96"/>
      <c r="BF16" s="393">
        <v>5</v>
      </c>
      <c r="BG16" s="394" t="e">
        <f t="shared" si="29"/>
        <v>#VALUE!</v>
      </c>
      <c r="BH16" s="400" t="e">
        <f t="shared" si="26"/>
        <v>#VALUE!</v>
      </c>
      <c r="BI16" s="395" t="e">
        <f t="shared" si="30"/>
        <v>#VALUE!</v>
      </c>
      <c r="BJ16"/>
      <c r="BK16" s="75"/>
      <c r="BL16" s="368"/>
      <c r="BM16" s="393">
        <v>5</v>
      </c>
      <c r="BN16" s="394" t="e">
        <f t="shared" si="27"/>
        <v>#VALUE!</v>
      </c>
      <c r="BO16" s="394" t="e">
        <f t="shared" si="28"/>
        <v>#VALUE!</v>
      </c>
      <c r="BP16" s="395" t="e">
        <f t="shared" si="10"/>
        <v>#VALUE!</v>
      </c>
      <c r="BQ16"/>
      <c r="BR16" s="75"/>
      <c r="BS16" s="368"/>
      <c r="BT16" s="393">
        <v>5</v>
      </c>
      <c r="BU16" s="394" t="e">
        <f t="shared" si="11"/>
        <v>#VALUE!</v>
      </c>
      <c r="BV16" s="394" t="e">
        <f t="shared" si="12"/>
        <v>#VALUE!</v>
      </c>
      <c r="BW16" s="395" t="e">
        <f t="shared" si="13"/>
        <v>#VALUE!</v>
      </c>
      <c r="BX16"/>
      <c r="BY16" s="75"/>
      <c r="BZ16" s="368"/>
      <c r="CA16" s="393">
        <v>5</v>
      </c>
      <c r="CB16" s="394" t="e">
        <f t="shared" si="14"/>
        <v>#VALUE!</v>
      </c>
      <c r="CC16" s="394" t="e">
        <f t="shared" si="15"/>
        <v>#VALUE!</v>
      </c>
      <c r="CD16" s="395" t="e">
        <f t="shared" si="1"/>
        <v>#VALUE!</v>
      </c>
      <c r="CE16"/>
      <c r="CF16" s="75"/>
      <c r="CG16" s="368"/>
      <c r="CH16" s="393">
        <v>5</v>
      </c>
      <c r="CI16" s="394" t="e">
        <f t="shared" si="16"/>
        <v>#VALUE!</v>
      </c>
      <c r="CJ16" s="394" t="e">
        <f t="shared" si="17"/>
        <v>#VALUE!</v>
      </c>
      <c r="CK16" s="395" t="e">
        <f t="shared" si="2"/>
        <v>#VALUE!</v>
      </c>
      <c r="CL16"/>
      <c r="CM16" s="75"/>
      <c r="CN16" s="368"/>
      <c r="CO16" s="393">
        <v>5</v>
      </c>
      <c r="CP16" s="394" t="e">
        <f t="shared" si="18"/>
        <v>#VALUE!</v>
      </c>
      <c r="CQ16" s="394" t="e">
        <f t="shared" si="19"/>
        <v>#VALUE!</v>
      </c>
      <c r="CR16" s="395" t="e">
        <f t="shared" si="3"/>
        <v>#VALUE!</v>
      </c>
      <c r="CS16"/>
      <c r="CT16" s="75"/>
      <c r="CU16" s="368"/>
      <c r="CV16" s="393">
        <v>5</v>
      </c>
      <c r="CW16" s="394" t="e">
        <f t="shared" si="20"/>
        <v>#VALUE!</v>
      </c>
      <c r="CX16" s="394" t="e">
        <f t="shared" si="21"/>
        <v>#VALUE!</v>
      </c>
      <c r="CY16" s="395" t="e">
        <f t="shared" si="4"/>
        <v>#VALUE!</v>
      </c>
      <c r="CZ16"/>
      <c r="DA16" s="75"/>
      <c r="DB16" s="368"/>
      <c r="DC16" s="393">
        <v>5</v>
      </c>
      <c r="DD16" s="394" t="e">
        <f t="shared" si="22"/>
        <v>#VALUE!</v>
      </c>
      <c r="DE16" s="394" t="e">
        <f t="shared" si="23"/>
        <v>#VALUE!</v>
      </c>
      <c r="DF16" s="395" t="e">
        <f t="shared" si="5"/>
        <v>#VALUE!</v>
      </c>
      <c r="DG16"/>
      <c r="DH16" s="75"/>
      <c r="DI16" s="368"/>
      <c r="DJ16" s="393">
        <v>5</v>
      </c>
      <c r="DK16" s="394" t="e">
        <f t="shared" si="24"/>
        <v>#VALUE!</v>
      </c>
      <c r="DL16" s="394" t="e">
        <f t="shared" si="25"/>
        <v>#VALUE!</v>
      </c>
      <c r="DM16" s="395" t="e">
        <f t="shared" si="6"/>
        <v>#VALUE!</v>
      </c>
      <c r="DN16"/>
      <c r="DO16" s="75"/>
    </row>
    <row r="17" spans="1:119" ht="15.75" customHeight="1" x14ac:dyDescent="0.25">
      <c r="A17" s="315" t="s">
        <v>264</v>
      </c>
      <c r="B17" s="889">
        <f>Analyses!$I$5</f>
        <v>2.5000000000000001E-2</v>
      </c>
      <c r="C17" s="190">
        <f>+IF(B16='References Assumptions'!$C$340, Total_N_untreated, total_N_digested)</f>
        <v>0.04</v>
      </c>
      <c r="D17" s="889">
        <f>Analyses!$I$5</f>
        <v>2.5000000000000001E-2</v>
      </c>
      <c r="E17" s="190">
        <f>+IF(D16='References Assumptions'!$C$340, Total_N_untreated, total_N_digested)</f>
        <v>0.05</v>
      </c>
      <c r="F17" s="889">
        <f>Analyses!$I$5</f>
        <v>2.5000000000000001E-2</v>
      </c>
      <c r="G17" s="190">
        <f>+IF(F16='References Assumptions'!$C$340, Total_N_untreated, total_N_digested)</f>
        <v>0.05</v>
      </c>
      <c r="H17" s="889">
        <f>Analyses!$I$5</f>
        <v>2.5000000000000001E-2</v>
      </c>
      <c r="I17" s="190">
        <f>+IF(H16='References Assumptions'!$C$340, Total_N_untreated, total_N_digested)</f>
        <v>0.05</v>
      </c>
      <c r="J17" s="889">
        <f>Analyses!$I$5</f>
        <v>2.5000000000000001E-2</v>
      </c>
      <c r="K17" s="190">
        <f>+IF(J16='References Assumptions'!$C$340, Total_N_untreated, total_N_digested)</f>
        <v>0.05</v>
      </c>
      <c r="L17" s="889">
        <f>Analyses!$I$5</f>
        <v>2.5000000000000001E-2</v>
      </c>
      <c r="M17" s="190">
        <f>+IF(L16='References Assumptions'!$C$340, Total_N_untreated, total_N_digested)</f>
        <v>0.05</v>
      </c>
      <c r="N17" s="889">
        <f>Analyses!$I$5</f>
        <v>2.5000000000000001E-2</v>
      </c>
      <c r="O17" s="190">
        <f>+IF(N16='References Assumptions'!$C$340, Total_N_untreated, total_N_digested)</f>
        <v>0.05</v>
      </c>
      <c r="P17" s="889">
        <f>Analyses!$I$5</f>
        <v>2.5000000000000001E-2</v>
      </c>
      <c r="Q17" s="190">
        <f>+IF(P16='References Assumptions'!$C$340, Total_N_untreated, total_N_digested)</f>
        <v>0.05</v>
      </c>
      <c r="R17" s="889">
        <f>Analyses!$I$5</f>
        <v>2.5000000000000001E-2</v>
      </c>
      <c r="S17" s="190">
        <f>+IF(R16='References Assumptions'!$C$340, Total_N_untreated, total_N_digested)</f>
        <v>0.05</v>
      </c>
      <c r="T17" s="889">
        <f>Analyses!$I$5</f>
        <v>2.5000000000000001E-2</v>
      </c>
      <c r="U17" s="190">
        <f>+IF(T16='References Assumptions'!$C$340, Total_N_untreated, total_N_digested)</f>
        <v>0.05</v>
      </c>
      <c r="AO17" s="381" t="s">
        <v>443</v>
      </c>
      <c r="AP17" s="405">
        <f>SUM(AP$13:AP$16)</f>
        <v>0.54881611872022418</v>
      </c>
      <c r="AW17" s="96"/>
      <c r="AX17" s="368">
        <f t="shared" si="7"/>
        <v>5</v>
      </c>
      <c r="AY17" s="393">
        <v>6</v>
      </c>
      <c r="AZ17" s="394">
        <f t="shared" si="8"/>
        <v>29.305264965639068</v>
      </c>
      <c r="BA17" s="394">
        <f t="shared" si="9"/>
        <v>6.6521153602984384</v>
      </c>
      <c r="BB17" s="395">
        <f t="shared" si="0"/>
        <v>6.6521153602984384E-2</v>
      </c>
      <c r="BC17"/>
      <c r="BD17" s="75"/>
      <c r="BE17" s="96"/>
      <c r="BF17" s="393">
        <v>6</v>
      </c>
      <c r="BG17" s="394" t="e">
        <f t="shared" si="29"/>
        <v>#VALUE!</v>
      </c>
      <c r="BH17" s="400" t="e">
        <f t="shared" si="26"/>
        <v>#VALUE!</v>
      </c>
      <c r="BI17" s="395" t="e">
        <f t="shared" si="30"/>
        <v>#VALUE!</v>
      </c>
      <c r="BJ17"/>
      <c r="BK17" s="75"/>
      <c r="BL17" s="368"/>
      <c r="BM17" s="393">
        <v>6</v>
      </c>
      <c r="BN17" s="394" t="e">
        <f t="shared" si="27"/>
        <v>#VALUE!</v>
      </c>
      <c r="BO17" s="394" t="e">
        <f t="shared" si="28"/>
        <v>#VALUE!</v>
      </c>
      <c r="BP17" s="395" t="e">
        <f t="shared" si="10"/>
        <v>#VALUE!</v>
      </c>
      <c r="BQ17"/>
      <c r="BR17" s="75"/>
      <c r="BS17" s="368"/>
      <c r="BT17" s="393">
        <v>6</v>
      </c>
      <c r="BU17" s="394" t="e">
        <f t="shared" si="11"/>
        <v>#VALUE!</v>
      </c>
      <c r="BV17" s="394" t="e">
        <f t="shared" si="12"/>
        <v>#VALUE!</v>
      </c>
      <c r="BW17" s="395" t="e">
        <f t="shared" si="13"/>
        <v>#VALUE!</v>
      </c>
      <c r="BX17"/>
      <c r="BY17" s="75"/>
      <c r="BZ17" s="368"/>
      <c r="CA17" s="393">
        <v>6</v>
      </c>
      <c r="CB17" s="394" t="e">
        <f t="shared" si="14"/>
        <v>#VALUE!</v>
      </c>
      <c r="CC17" s="394" t="e">
        <f t="shared" si="15"/>
        <v>#VALUE!</v>
      </c>
      <c r="CD17" s="395" t="e">
        <f t="shared" si="1"/>
        <v>#VALUE!</v>
      </c>
      <c r="CE17"/>
      <c r="CF17" s="75"/>
      <c r="CG17" s="368"/>
      <c r="CH17" s="393">
        <v>6</v>
      </c>
      <c r="CI17" s="394" t="e">
        <f t="shared" si="16"/>
        <v>#VALUE!</v>
      </c>
      <c r="CJ17" s="394" t="e">
        <f t="shared" si="17"/>
        <v>#VALUE!</v>
      </c>
      <c r="CK17" s="395" t="e">
        <f t="shared" si="2"/>
        <v>#VALUE!</v>
      </c>
      <c r="CL17"/>
      <c r="CM17" s="75"/>
      <c r="CN17" s="368"/>
      <c r="CO17" s="393">
        <v>6</v>
      </c>
      <c r="CP17" s="394" t="e">
        <f t="shared" si="18"/>
        <v>#VALUE!</v>
      </c>
      <c r="CQ17" s="394" t="e">
        <f t="shared" si="19"/>
        <v>#VALUE!</v>
      </c>
      <c r="CR17" s="395" t="e">
        <f t="shared" si="3"/>
        <v>#VALUE!</v>
      </c>
      <c r="CS17"/>
      <c r="CT17" s="75"/>
      <c r="CU17" s="368"/>
      <c r="CV17" s="393">
        <v>6</v>
      </c>
      <c r="CW17" s="394" t="e">
        <f t="shared" si="20"/>
        <v>#VALUE!</v>
      </c>
      <c r="CX17" s="394" t="e">
        <f t="shared" si="21"/>
        <v>#VALUE!</v>
      </c>
      <c r="CY17" s="395" t="e">
        <f t="shared" si="4"/>
        <v>#VALUE!</v>
      </c>
      <c r="CZ17"/>
      <c r="DA17" s="75"/>
      <c r="DB17" s="368"/>
      <c r="DC17" s="393">
        <v>6</v>
      </c>
      <c r="DD17" s="394" t="e">
        <f t="shared" si="22"/>
        <v>#VALUE!</v>
      </c>
      <c r="DE17" s="394" t="e">
        <f t="shared" si="23"/>
        <v>#VALUE!</v>
      </c>
      <c r="DF17" s="395" t="e">
        <f t="shared" si="5"/>
        <v>#VALUE!</v>
      </c>
      <c r="DG17"/>
      <c r="DH17" s="75"/>
      <c r="DI17" s="368"/>
      <c r="DJ17" s="393">
        <v>6</v>
      </c>
      <c r="DK17" s="394" t="e">
        <f t="shared" si="24"/>
        <v>#VALUE!</v>
      </c>
      <c r="DL17" s="394" t="e">
        <f t="shared" si="25"/>
        <v>#VALUE!</v>
      </c>
      <c r="DM17" s="395" t="e">
        <f t="shared" si="6"/>
        <v>#VALUE!</v>
      </c>
      <c r="DN17"/>
      <c r="DO17" s="75"/>
    </row>
    <row r="18" spans="1:119" ht="15.75" customHeight="1" x14ac:dyDescent="0.25">
      <c r="A18" s="247" t="s">
        <v>942</v>
      </c>
      <c r="B18" s="889">
        <f>Analyses!$G$5</f>
        <v>0.94386666666666685</v>
      </c>
      <c r="C18" s="190">
        <f>+IF(B16='References Assumptions'!$C$340, TVS_untreated, TVS_digested)</f>
        <v>0.78</v>
      </c>
      <c r="D18" s="889">
        <f>Analyses!$G$5</f>
        <v>0.94386666666666685</v>
      </c>
      <c r="E18" s="190">
        <f>+IF(D16='References Assumptions'!$C$340, TVS_untreated, TVS_digested)</f>
        <v>0.65</v>
      </c>
      <c r="F18" s="889">
        <f>Analyses!$G$5</f>
        <v>0.94386666666666685</v>
      </c>
      <c r="G18" s="190">
        <f>+IF(F16='References Assumptions'!$C$340, TVS_untreated, TVS_digested)</f>
        <v>0.65</v>
      </c>
      <c r="H18" s="889">
        <f>Analyses!$G$5</f>
        <v>0.94386666666666685</v>
      </c>
      <c r="I18" s="190">
        <f>+IF(H16='References Assumptions'!$C$340, TVS_untreated, TVS_digested)</f>
        <v>0.65</v>
      </c>
      <c r="J18" s="889">
        <f>Analyses!$G$5</f>
        <v>0.94386666666666685</v>
      </c>
      <c r="K18" s="190">
        <f>+IF(J16='References Assumptions'!$C$340, TVS_untreated, TVS_digested)</f>
        <v>0.65</v>
      </c>
      <c r="L18" s="889">
        <f>Analyses!$G$5</f>
        <v>0.94386666666666685</v>
      </c>
      <c r="M18" s="190">
        <f>+IF(L16='References Assumptions'!$C$340, TVS_untreated, TVS_digested)</f>
        <v>0.65</v>
      </c>
      <c r="N18" s="889">
        <f>Analyses!$G$5</f>
        <v>0.94386666666666685</v>
      </c>
      <c r="O18" s="190">
        <f>+IF(N16='References Assumptions'!$C$340, TVS_untreated, TVS_digested)</f>
        <v>0.65</v>
      </c>
      <c r="P18" s="889">
        <f>Analyses!$G$5</f>
        <v>0.94386666666666685</v>
      </c>
      <c r="Q18" s="190">
        <f>+IF(P16='References Assumptions'!$C$340, TVS_untreated, TVS_digested)</f>
        <v>0.65</v>
      </c>
      <c r="R18" s="889">
        <f>Analyses!$G$5</f>
        <v>0.94386666666666685</v>
      </c>
      <c r="S18" s="190">
        <f>+IF(R16='References Assumptions'!$C$340, TVS_untreated, TVS_digested)</f>
        <v>0.65</v>
      </c>
      <c r="T18" s="889">
        <f>Analyses!$G$5</f>
        <v>0.94386666666666685</v>
      </c>
      <c r="U18" s="190">
        <f>+IF(T16='References Assumptions'!$C$340, TVS_untreated, TVS_digested)</f>
        <v>0.65</v>
      </c>
      <c r="AO18" s="381" t="s">
        <v>442</v>
      </c>
      <c r="AP18" s="406">
        <f>1-AP$17</f>
        <v>0.45118388127977582</v>
      </c>
      <c r="AW18" s="96"/>
      <c r="AX18" s="368">
        <f t="shared" si="7"/>
        <v>6</v>
      </c>
      <c r="AY18" s="393">
        <v>7</v>
      </c>
      <c r="AZ18" s="394">
        <f t="shared" si="8"/>
        <v>23.883790946995841</v>
      </c>
      <c r="BA18" s="394">
        <f t="shared" si="9"/>
        <v>5.4214740186432273</v>
      </c>
      <c r="BB18" s="395">
        <f t="shared" si="0"/>
        <v>5.421474018643227E-2</v>
      </c>
      <c r="BC18"/>
      <c r="BD18" s="75"/>
      <c r="BE18" s="96"/>
      <c r="BF18" s="393">
        <v>7</v>
      </c>
      <c r="BG18" s="394" t="e">
        <f t="shared" si="29"/>
        <v>#VALUE!</v>
      </c>
      <c r="BH18" s="400" t="e">
        <f t="shared" si="26"/>
        <v>#VALUE!</v>
      </c>
      <c r="BI18" s="395" t="e">
        <f t="shared" si="30"/>
        <v>#VALUE!</v>
      </c>
      <c r="BJ18"/>
      <c r="BK18" s="75"/>
      <c r="BL18" s="368"/>
      <c r="BM18" s="393">
        <v>7</v>
      </c>
      <c r="BN18" s="394" t="e">
        <f t="shared" si="27"/>
        <v>#VALUE!</v>
      </c>
      <c r="BO18" s="394" t="e">
        <f t="shared" si="28"/>
        <v>#VALUE!</v>
      </c>
      <c r="BP18" s="395" t="e">
        <f t="shared" si="10"/>
        <v>#VALUE!</v>
      </c>
      <c r="BQ18"/>
      <c r="BR18" s="75"/>
      <c r="BS18" s="368"/>
      <c r="BT18" s="393">
        <v>7</v>
      </c>
      <c r="BU18" s="394" t="e">
        <f t="shared" si="11"/>
        <v>#VALUE!</v>
      </c>
      <c r="BV18" s="394" t="e">
        <f t="shared" si="12"/>
        <v>#VALUE!</v>
      </c>
      <c r="BW18" s="395" t="e">
        <f t="shared" si="13"/>
        <v>#VALUE!</v>
      </c>
      <c r="BX18"/>
      <c r="BY18" s="75"/>
      <c r="BZ18" s="368"/>
      <c r="CA18" s="393">
        <v>7</v>
      </c>
      <c r="CB18" s="394" t="e">
        <f t="shared" si="14"/>
        <v>#VALUE!</v>
      </c>
      <c r="CC18" s="394" t="e">
        <f t="shared" si="15"/>
        <v>#VALUE!</v>
      </c>
      <c r="CD18" s="395" t="e">
        <f t="shared" si="1"/>
        <v>#VALUE!</v>
      </c>
      <c r="CE18"/>
      <c r="CF18" s="75"/>
      <c r="CG18" s="368"/>
      <c r="CH18" s="393">
        <v>7</v>
      </c>
      <c r="CI18" s="394" t="e">
        <f t="shared" si="16"/>
        <v>#VALUE!</v>
      </c>
      <c r="CJ18" s="394" t="e">
        <f t="shared" si="17"/>
        <v>#VALUE!</v>
      </c>
      <c r="CK18" s="395" t="e">
        <f t="shared" si="2"/>
        <v>#VALUE!</v>
      </c>
      <c r="CL18"/>
      <c r="CM18" s="75"/>
      <c r="CN18" s="368"/>
      <c r="CO18" s="393">
        <v>7</v>
      </c>
      <c r="CP18" s="394" t="e">
        <f t="shared" si="18"/>
        <v>#VALUE!</v>
      </c>
      <c r="CQ18" s="394" t="e">
        <f t="shared" si="19"/>
        <v>#VALUE!</v>
      </c>
      <c r="CR18" s="395" t="e">
        <f t="shared" si="3"/>
        <v>#VALUE!</v>
      </c>
      <c r="CS18"/>
      <c r="CT18" s="75"/>
      <c r="CU18" s="368"/>
      <c r="CV18" s="393">
        <v>7</v>
      </c>
      <c r="CW18" s="394" t="e">
        <f t="shared" si="20"/>
        <v>#VALUE!</v>
      </c>
      <c r="CX18" s="394" t="e">
        <f t="shared" si="21"/>
        <v>#VALUE!</v>
      </c>
      <c r="CY18" s="395" t="e">
        <f t="shared" si="4"/>
        <v>#VALUE!</v>
      </c>
      <c r="CZ18"/>
      <c r="DA18" s="75"/>
      <c r="DB18" s="368"/>
      <c r="DC18" s="393">
        <v>7</v>
      </c>
      <c r="DD18" s="394" t="e">
        <f t="shared" si="22"/>
        <v>#VALUE!</v>
      </c>
      <c r="DE18" s="394" t="e">
        <f t="shared" si="23"/>
        <v>#VALUE!</v>
      </c>
      <c r="DF18" s="395" t="e">
        <f t="shared" si="5"/>
        <v>#VALUE!</v>
      </c>
      <c r="DG18"/>
      <c r="DH18" s="75"/>
      <c r="DI18" s="368"/>
      <c r="DJ18" s="393">
        <v>7</v>
      </c>
      <c r="DK18" s="394" t="e">
        <f t="shared" si="24"/>
        <v>#VALUE!</v>
      </c>
      <c r="DL18" s="394" t="e">
        <f t="shared" si="25"/>
        <v>#VALUE!</v>
      </c>
      <c r="DM18" s="395" t="e">
        <f t="shared" si="6"/>
        <v>#VALUE!</v>
      </c>
      <c r="DN18"/>
      <c r="DO18" s="75"/>
    </row>
    <row r="19" spans="1:119" ht="15.75" customHeight="1" x14ac:dyDescent="0.25">
      <c r="A19" s="247" t="s">
        <v>943</v>
      </c>
      <c r="B19" s="889">
        <f>Analyses!$H$5</f>
        <v>0.52856533333333344</v>
      </c>
      <c r="C19" s="407">
        <f>+B18*Carbon_as_a___of_TVS_compostinghandbook</f>
        <v>0.52856533333333344</v>
      </c>
      <c r="D19" s="889">
        <f>Analyses!$H$5</f>
        <v>0.52856533333333344</v>
      </c>
      <c r="E19" s="407">
        <f>+D18*Carbon_as_a___of_TVS_compostinghandbook</f>
        <v>0.52856533333333344</v>
      </c>
      <c r="F19" s="889">
        <f>Analyses!$H$5</f>
        <v>0.52856533333333344</v>
      </c>
      <c r="G19" s="407">
        <f>+F18*Carbon_as_a___of_TVS_compostinghandbook</f>
        <v>0.52856533333333344</v>
      </c>
      <c r="H19" s="889">
        <f>Analyses!$H$5</f>
        <v>0.52856533333333344</v>
      </c>
      <c r="I19" s="407">
        <f>+H18*Carbon_as_a___of_TVS_compostinghandbook</f>
        <v>0.52856533333333344</v>
      </c>
      <c r="J19" s="889">
        <f>Analyses!$H$5</f>
        <v>0.52856533333333344</v>
      </c>
      <c r="K19" s="407">
        <f>+J18*Carbon_as_a___of_TVS_compostinghandbook</f>
        <v>0.52856533333333344</v>
      </c>
      <c r="L19" s="889">
        <f>Analyses!$H$5</f>
        <v>0.52856533333333344</v>
      </c>
      <c r="M19" s="407">
        <f>+L18*Carbon_as_a___of_TVS_compostinghandbook</f>
        <v>0.52856533333333344</v>
      </c>
      <c r="N19" s="889">
        <f>Analyses!$H$5</f>
        <v>0.52856533333333344</v>
      </c>
      <c r="O19" s="407">
        <f>+N18*Carbon_as_a___of_TVS_compostinghandbook</f>
        <v>0.52856533333333344</v>
      </c>
      <c r="P19" s="889">
        <f>Analyses!$H$5</f>
        <v>0.52856533333333344</v>
      </c>
      <c r="Q19" s="407">
        <f>+P18*Carbon_as_a___of_TVS_compostinghandbook</f>
        <v>0.52856533333333344</v>
      </c>
      <c r="R19" s="889">
        <f>Analyses!$H$5</f>
        <v>0.52856533333333344</v>
      </c>
      <c r="S19" s="407">
        <f>+R18*Carbon_as_a___of_TVS_compostinghandbook</f>
        <v>0.52856533333333344</v>
      </c>
      <c r="T19" s="889">
        <f>Analyses!$H$5</f>
        <v>0.52856533333333344</v>
      </c>
      <c r="U19" s="407">
        <f>+T18*Carbon_as_a___of_TVS_compostinghandbook</f>
        <v>0.52856533333333344</v>
      </c>
      <c r="AW19" s="96"/>
      <c r="AX19" s="368">
        <f t="shared" si="7"/>
        <v>7</v>
      </c>
      <c r="AY19" s="393">
        <v>8</v>
      </c>
      <c r="AZ19" s="394">
        <f t="shared" si="8"/>
        <v>19.46528962180161</v>
      </c>
      <c r="BA19" s="394">
        <f t="shared" si="9"/>
        <v>4.4185013251942307</v>
      </c>
      <c r="BB19" s="395">
        <f t="shared" si="0"/>
        <v>4.4185013251942309E-2</v>
      </c>
      <c r="BC19"/>
      <c r="BD19" s="75"/>
      <c r="BE19" s="96"/>
      <c r="BF19" s="393">
        <v>8</v>
      </c>
      <c r="BG19" s="394" t="e">
        <f t="shared" si="29"/>
        <v>#VALUE!</v>
      </c>
      <c r="BH19" s="400" t="e">
        <f t="shared" si="26"/>
        <v>#VALUE!</v>
      </c>
      <c r="BI19" s="395" t="e">
        <f t="shared" si="30"/>
        <v>#VALUE!</v>
      </c>
      <c r="BJ19"/>
      <c r="BK19" s="75"/>
      <c r="BL19" s="368"/>
      <c r="BM19" s="393">
        <v>8</v>
      </c>
      <c r="BN19" s="394" t="e">
        <f t="shared" si="27"/>
        <v>#VALUE!</v>
      </c>
      <c r="BO19" s="394" t="e">
        <f t="shared" si="28"/>
        <v>#VALUE!</v>
      </c>
      <c r="BP19" s="395" t="e">
        <f t="shared" si="10"/>
        <v>#VALUE!</v>
      </c>
      <c r="BQ19"/>
      <c r="BR19" s="75"/>
      <c r="BS19" s="368"/>
      <c r="BT19" s="393">
        <v>8</v>
      </c>
      <c r="BU19" s="394" t="e">
        <f t="shared" si="11"/>
        <v>#VALUE!</v>
      </c>
      <c r="BV19" s="394" t="e">
        <f t="shared" si="12"/>
        <v>#VALUE!</v>
      </c>
      <c r="BW19" s="395" t="e">
        <f t="shared" si="13"/>
        <v>#VALUE!</v>
      </c>
      <c r="BX19"/>
      <c r="BY19" s="75"/>
      <c r="BZ19" s="368"/>
      <c r="CA19" s="393">
        <v>8</v>
      </c>
      <c r="CB19" s="394" t="e">
        <f t="shared" si="14"/>
        <v>#VALUE!</v>
      </c>
      <c r="CC19" s="394" t="e">
        <f t="shared" si="15"/>
        <v>#VALUE!</v>
      </c>
      <c r="CD19" s="395" t="e">
        <f t="shared" si="1"/>
        <v>#VALUE!</v>
      </c>
      <c r="CE19"/>
      <c r="CF19" s="75"/>
      <c r="CG19" s="368"/>
      <c r="CH19" s="393">
        <v>8</v>
      </c>
      <c r="CI19" s="394" t="e">
        <f t="shared" si="16"/>
        <v>#VALUE!</v>
      </c>
      <c r="CJ19" s="394" t="e">
        <f t="shared" si="17"/>
        <v>#VALUE!</v>
      </c>
      <c r="CK19" s="395" t="e">
        <f t="shared" si="2"/>
        <v>#VALUE!</v>
      </c>
      <c r="CL19"/>
      <c r="CM19" s="75"/>
      <c r="CN19" s="368"/>
      <c r="CO19" s="393">
        <v>8</v>
      </c>
      <c r="CP19" s="394" t="e">
        <f t="shared" si="18"/>
        <v>#VALUE!</v>
      </c>
      <c r="CQ19" s="394" t="e">
        <f t="shared" si="19"/>
        <v>#VALUE!</v>
      </c>
      <c r="CR19" s="395" t="e">
        <f t="shared" si="3"/>
        <v>#VALUE!</v>
      </c>
      <c r="CS19"/>
      <c r="CT19" s="75"/>
      <c r="CU19" s="368"/>
      <c r="CV19" s="393">
        <v>8</v>
      </c>
      <c r="CW19" s="394" t="e">
        <f t="shared" si="20"/>
        <v>#VALUE!</v>
      </c>
      <c r="CX19" s="394" t="e">
        <f t="shared" si="21"/>
        <v>#VALUE!</v>
      </c>
      <c r="CY19" s="395" t="e">
        <f t="shared" si="4"/>
        <v>#VALUE!</v>
      </c>
      <c r="CZ19"/>
      <c r="DA19" s="75"/>
      <c r="DB19" s="368"/>
      <c r="DC19" s="393">
        <v>8</v>
      </c>
      <c r="DD19" s="394" t="e">
        <f t="shared" si="22"/>
        <v>#VALUE!</v>
      </c>
      <c r="DE19" s="394" t="e">
        <f t="shared" si="23"/>
        <v>#VALUE!</v>
      </c>
      <c r="DF19" s="395" t="e">
        <f t="shared" si="5"/>
        <v>#VALUE!</v>
      </c>
      <c r="DG19"/>
      <c r="DH19" s="75"/>
      <c r="DI19" s="368"/>
      <c r="DJ19" s="393">
        <v>8</v>
      </c>
      <c r="DK19" s="394" t="e">
        <f t="shared" si="24"/>
        <v>#VALUE!</v>
      </c>
      <c r="DL19" s="394" t="e">
        <f t="shared" si="25"/>
        <v>#VALUE!</v>
      </c>
      <c r="DM19" s="395" t="e">
        <f t="shared" si="6"/>
        <v>#VALUE!</v>
      </c>
      <c r="DN19"/>
      <c r="DO19" s="75"/>
    </row>
    <row r="20" spans="1:119" ht="15.75" customHeight="1" x14ac:dyDescent="0.25">
      <c r="A20" s="247" t="s">
        <v>186</v>
      </c>
      <c r="B20" s="316">
        <f>+B15*B19</f>
        <v>3.5560870757777425</v>
      </c>
      <c r="C20" s="408"/>
      <c r="D20" s="316">
        <f>+D15*D19</f>
        <v>0</v>
      </c>
      <c r="E20" s="408"/>
      <c r="F20" s="316">
        <f>+F15*F19</f>
        <v>0</v>
      </c>
      <c r="G20" s="408"/>
      <c r="H20" s="861">
        <f>+H15*H19</f>
        <v>0</v>
      </c>
      <c r="I20" s="408"/>
      <c r="J20" s="316">
        <f>+J15*J19</f>
        <v>0</v>
      </c>
      <c r="K20" s="408"/>
      <c r="L20" s="316">
        <f>+L15*L19</f>
        <v>0</v>
      </c>
      <c r="M20" s="408"/>
      <c r="N20" s="861">
        <f>+N15*N19</f>
        <v>0</v>
      </c>
      <c r="O20" s="408"/>
      <c r="P20" s="316">
        <f>+P15*P19</f>
        <v>0</v>
      </c>
      <c r="Q20" s="408"/>
      <c r="R20" s="316">
        <f>+R15*R19</f>
        <v>0</v>
      </c>
      <c r="S20" s="408"/>
      <c r="T20" s="316">
        <f>+T15*T19</f>
        <v>0</v>
      </c>
      <c r="U20" s="408"/>
      <c r="AX20" s="368">
        <f t="shared" si="7"/>
        <v>8</v>
      </c>
      <c r="AY20" s="393">
        <v>9</v>
      </c>
      <c r="AZ20" s="394">
        <f t="shared" si="8"/>
        <v>15.864211041768312</v>
      </c>
      <c r="BA20" s="394">
        <f t="shared" si="9"/>
        <v>3.6010785800332976</v>
      </c>
      <c r="BB20" s="395">
        <f t="shared" si="0"/>
        <v>3.6010785800332977E-2</v>
      </c>
      <c r="BC20"/>
      <c r="BD20" s="75"/>
      <c r="BE20" s="96"/>
      <c r="BF20" s="393">
        <v>9</v>
      </c>
      <c r="BG20" s="394" t="e">
        <f t="shared" si="29"/>
        <v>#VALUE!</v>
      </c>
      <c r="BH20" s="400" t="e">
        <f t="shared" si="26"/>
        <v>#VALUE!</v>
      </c>
      <c r="BI20" s="395" t="e">
        <f t="shared" si="30"/>
        <v>#VALUE!</v>
      </c>
      <c r="BJ20"/>
      <c r="BK20" s="75"/>
      <c r="BL20" s="368"/>
      <c r="BM20" s="393">
        <v>9</v>
      </c>
      <c r="BN20" s="394" t="e">
        <f t="shared" si="27"/>
        <v>#VALUE!</v>
      </c>
      <c r="BO20" s="394" t="e">
        <f t="shared" si="28"/>
        <v>#VALUE!</v>
      </c>
      <c r="BP20" s="395" t="e">
        <f t="shared" si="10"/>
        <v>#VALUE!</v>
      </c>
      <c r="BQ20"/>
      <c r="BR20" s="75"/>
      <c r="BS20" s="368"/>
      <c r="BT20" s="393">
        <v>9</v>
      </c>
      <c r="BU20" s="394" t="e">
        <f t="shared" si="11"/>
        <v>#VALUE!</v>
      </c>
      <c r="BV20" s="394" t="e">
        <f t="shared" si="12"/>
        <v>#VALUE!</v>
      </c>
      <c r="BW20" s="395" t="e">
        <f t="shared" si="13"/>
        <v>#VALUE!</v>
      </c>
      <c r="BX20"/>
      <c r="BY20" s="75"/>
      <c r="BZ20" s="368"/>
      <c r="CA20" s="393">
        <v>9</v>
      </c>
      <c r="CB20" s="394" t="e">
        <f t="shared" si="14"/>
        <v>#VALUE!</v>
      </c>
      <c r="CC20" s="394" t="e">
        <f t="shared" si="15"/>
        <v>#VALUE!</v>
      </c>
      <c r="CD20" s="395" t="e">
        <f t="shared" si="1"/>
        <v>#VALUE!</v>
      </c>
      <c r="CE20"/>
      <c r="CF20" s="75"/>
      <c r="CG20" s="368"/>
      <c r="CH20" s="393">
        <v>9</v>
      </c>
      <c r="CI20" s="394" t="e">
        <f t="shared" si="16"/>
        <v>#VALUE!</v>
      </c>
      <c r="CJ20" s="394" t="e">
        <f t="shared" si="17"/>
        <v>#VALUE!</v>
      </c>
      <c r="CK20" s="395" t="e">
        <f t="shared" si="2"/>
        <v>#VALUE!</v>
      </c>
      <c r="CL20"/>
      <c r="CM20" s="75"/>
      <c r="CN20" s="368"/>
      <c r="CO20" s="393">
        <v>9</v>
      </c>
      <c r="CP20" s="394" t="e">
        <f t="shared" si="18"/>
        <v>#VALUE!</v>
      </c>
      <c r="CQ20" s="394" t="e">
        <f t="shared" si="19"/>
        <v>#VALUE!</v>
      </c>
      <c r="CR20" s="395" t="e">
        <f t="shared" si="3"/>
        <v>#VALUE!</v>
      </c>
      <c r="CS20"/>
      <c r="CT20" s="75"/>
      <c r="CU20" s="368"/>
      <c r="CV20" s="393">
        <v>9</v>
      </c>
      <c r="CW20" s="394" t="e">
        <f t="shared" si="20"/>
        <v>#VALUE!</v>
      </c>
      <c r="CX20" s="394" t="e">
        <f t="shared" si="21"/>
        <v>#VALUE!</v>
      </c>
      <c r="CY20" s="395" t="e">
        <f t="shared" si="4"/>
        <v>#VALUE!</v>
      </c>
      <c r="CZ20"/>
      <c r="DA20" s="75"/>
      <c r="DB20" s="368"/>
      <c r="DC20" s="393">
        <v>9</v>
      </c>
      <c r="DD20" s="394" t="e">
        <f t="shared" si="22"/>
        <v>#VALUE!</v>
      </c>
      <c r="DE20" s="394" t="e">
        <f t="shared" si="23"/>
        <v>#VALUE!</v>
      </c>
      <c r="DF20" s="395" t="e">
        <f t="shared" si="5"/>
        <v>#VALUE!</v>
      </c>
      <c r="DG20"/>
      <c r="DH20" s="75"/>
      <c r="DI20" s="368"/>
      <c r="DJ20" s="393">
        <v>9</v>
      </c>
      <c r="DK20" s="394" t="e">
        <f t="shared" si="24"/>
        <v>#VALUE!</v>
      </c>
      <c r="DL20" s="394" t="e">
        <f t="shared" si="25"/>
        <v>#VALUE!</v>
      </c>
      <c r="DM20" s="395" t="e">
        <f t="shared" si="6"/>
        <v>#VALUE!</v>
      </c>
      <c r="DN20"/>
      <c r="DO20" s="75"/>
    </row>
    <row r="21" spans="1:119" ht="15.75" customHeight="1" x14ac:dyDescent="0.35">
      <c r="A21" s="315" t="s">
        <v>339</v>
      </c>
      <c r="B21" s="18">
        <v>1</v>
      </c>
      <c r="C21" s="409">
        <f>+methane_correction_factor_anaerobic_managed_landfills</f>
        <v>1</v>
      </c>
      <c r="D21" s="21"/>
      <c r="E21" s="409">
        <f>+methane_correction_factor_anaerobic_managed_landfills</f>
        <v>1</v>
      </c>
      <c r="F21" s="21"/>
      <c r="G21" s="409">
        <f>+methane_correction_factor_anaerobic_managed_landfills</f>
        <v>1</v>
      </c>
      <c r="H21" s="21"/>
      <c r="I21" s="409">
        <f>+methane_correction_factor_anaerobic_managed_landfills</f>
        <v>1</v>
      </c>
      <c r="J21" s="21"/>
      <c r="K21" s="409">
        <f>+methane_correction_factor_anaerobic_managed_landfills</f>
        <v>1</v>
      </c>
      <c r="L21" s="21"/>
      <c r="M21" s="409">
        <f>+methane_correction_factor_anaerobic_managed_landfills</f>
        <v>1</v>
      </c>
      <c r="N21" s="21"/>
      <c r="O21" s="409">
        <f>+methane_correction_factor_anaerobic_managed_landfills</f>
        <v>1</v>
      </c>
      <c r="P21" s="21"/>
      <c r="Q21" s="409">
        <f>+methane_correction_factor_anaerobic_managed_landfills</f>
        <v>1</v>
      </c>
      <c r="R21" s="21"/>
      <c r="S21" s="409">
        <f>+methane_correction_factor_anaerobic_managed_landfills</f>
        <v>1</v>
      </c>
      <c r="T21" s="21"/>
      <c r="U21" s="409">
        <f>+methane_correction_factor_anaerobic_managed_landfills</f>
        <v>1</v>
      </c>
      <c r="AX21" s="368">
        <f t="shared" si="7"/>
        <v>9</v>
      </c>
      <c r="AY21" s="393">
        <v>10</v>
      </c>
      <c r="AZ21" s="394">
        <f t="shared" si="8"/>
        <v>12.929331999041175</v>
      </c>
      <c r="BA21" s="394">
        <f t="shared" si="9"/>
        <v>2.9348790427271378</v>
      </c>
      <c r="BB21" s="395">
        <f t="shared" si="0"/>
        <v>2.9348790427271378E-2</v>
      </c>
      <c r="BC21"/>
      <c r="BD21" s="75"/>
      <c r="BE21" s="96"/>
      <c r="BF21" s="393">
        <v>10</v>
      </c>
      <c r="BG21" s="394" t="e">
        <f t="shared" si="29"/>
        <v>#VALUE!</v>
      </c>
      <c r="BH21" s="400" t="e">
        <f t="shared" si="26"/>
        <v>#VALUE!</v>
      </c>
      <c r="BI21" s="395" t="e">
        <f t="shared" si="30"/>
        <v>#VALUE!</v>
      </c>
      <c r="BJ21"/>
      <c r="BK21" s="75"/>
      <c r="BL21" s="368"/>
      <c r="BM21" s="393">
        <v>10</v>
      </c>
      <c r="BN21" s="394" t="e">
        <f t="shared" si="27"/>
        <v>#VALUE!</v>
      </c>
      <c r="BO21" s="394" t="e">
        <f t="shared" si="28"/>
        <v>#VALUE!</v>
      </c>
      <c r="BP21" s="395" t="e">
        <f t="shared" si="10"/>
        <v>#VALUE!</v>
      </c>
      <c r="BQ21"/>
      <c r="BR21" s="75"/>
      <c r="BS21" s="368"/>
      <c r="BT21" s="393">
        <v>10</v>
      </c>
      <c r="BU21" s="394" t="e">
        <f t="shared" si="11"/>
        <v>#VALUE!</v>
      </c>
      <c r="BV21" s="394" t="e">
        <f t="shared" si="12"/>
        <v>#VALUE!</v>
      </c>
      <c r="BW21" s="395" t="e">
        <f t="shared" si="13"/>
        <v>#VALUE!</v>
      </c>
      <c r="BX21"/>
      <c r="BY21" s="75"/>
      <c r="BZ21" s="368"/>
      <c r="CA21" s="393">
        <v>10</v>
      </c>
      <c r="CB21" s="394" t="e">
        <f t="shared" si="14"/>
        <v>#VALUE!</v>
      </c>
      <c r="CC21" s="394" t="e">
        <f t="shared" si="15"/>
        <v>#VALUE!</v>
      </c>
      <c r="CD21" s="395" t="e">
        <f t="shared" si="1"/>
        <v>#VALUE!</v>
      </c>
      <c r="CE21"/>
      <c r="CF21" s="75"/>
      <c r="CG21" s="368"/>
      <c r="CH21" s="393">
        <v>10</v>
      </c>
      <c r="CI21" s="394" t="e">
        <f t="shared" si="16"/>
        <v>#VALUE!</v>
      </c>
      <c r="CJ21" s="394" t="e">
        <f t="shared" si="17"/>
        <v>#VALUE!</v>
      </c>
      <c r="CK21" s="395" t="e">
        <f t="shared" si="2"/>
        <v>#VALUE!</v>
      </c>
      <c r="CL21"/>
      <c r="CM21" s="75"/>
      <c r="CN21" s="368"/>
      <c r="CO21" s="393">
        <v>10</v>
      </c>
      <c r="CP21" s="394" t="e">
        <f t="shared" si="18"/>
        <v>#VALUE!</v>
      </c>
      <c r="CQ21" s="394" t="e">
        <f t="shared" si="19"/>
        <v>#VALUE!</v>
      </c>
      <c r="CR21" s="395" t="e">
        <f t="shared" si="3"/>
        <v>#VALUE!</v>
      </c>
      <c r="CS21"/>
      <c r="CT21" s="75"/>
      <c r="CU21" s="368"/>
      <c r="CV21" s="393">
        <v>10</v>
      </c>
      <c r="CW21" s="394" t="e">
        <f t="shared" si="20"/>
        <v>#VALUE!</v>
      </c>
      <c r="CX21" s="394" t="e">
        <f t="shared" si="21"/>
        <v>#VALUE!</v>
      </c>
      <c r="CY21" s="395" t="e">
        <f t="shared" si="4"/>
        <v>#VALUE!</v>
      </c>
      <c r="CZ21"/>
      <c r="DA21" s="75"/>
      <c r="DB21" s="368"/>
      <c r="DC21" s="393">
        <v>10</v>
      </c>
      <c r="DD21" s="394" t="e">
        <f t="shared" si="22"/>
        <v>#VALUE!</v>
      </c>
      <c r="DE21" s="394" t="e">
        <f t="shared" si="23"/>
        <v>#VALUE!</v>
      </c>
      <c r="DF21" s="395" t="e">
        <f t="shared" si="5"/>
        <v>#VALUE!</v>
      </c>
      <c r="DG21"/>
      <c r="DH21" s="75"/>
      <c r="DI21" s="368"/>
      <c r="DJ21" s="393">
        <v>10</v>
      </c>
      <c r="DK21" s="394" t="e">
        <f t="shared" si="24"/>
        <v>#VALUE!</v>
      </c>
      <c r="DL21" s="394" t="e">
        <f t="shared" si="25"/>
        <v>#VALUE!</v>
      </c>
      <c r="DM21" s="395" t="e">
        <f t="shared" si="6"/>
        <v>#VALUE!</v>
      </c>
      <c r="DN21"/>
      <c r="DO21" s="75"/>
    </row>
    <row r="22" spans="1:119" ht="18.75" customHeight="1" x14ac:dyDescent="0.25">
      <c r="A22" s="247" t="s">
        <v>123</v>
      </c>
      <c r="B22" s="13" t="s">
        <v>66</v>
      </c>
      <c r="C22" s="411" t="s">
        <v>66</v>
      </c>
      <c r="D22" s="13"/>
      <c r="E22" s="411" t="s">
        <v>66</v>
      </c>
      <c r="F22" s="13"/>
      <c r="G22" s="411" t="s">
        <v>66</v>
      </c>
      <c r="H22" s="13"/>
      <c r="I22" s="411" t="s">
        <v>66</v>
      </c>
      <c r="J22" s="13"/>
      <c r="K22" s="411" t="s">
        <v>66</v>
      </c>
      <c r="L22" s="13"/>
      <c r="M22" s="411" t="s">
        <v>66</v>
      </c>
      <c r="N22" s="13"/>
      <c r="O22" s="411" t="s">
        <v>66</v>
      </c>
      <c r="P22" s="13"/>
      <c r="Q22" s="411" t="s">
        <v>66</v>
      </c>
      <c r="R22" s="13"/>
      <c r="S22" s="411" t="s">
        <v>66</v>
      </c>
      <c r="T22" s="13"/>
      <c r="U22" s="411" t="s">
        <v>66</v>
      </c>
      <c r="AX22" s="368">
        <f t="shared" si="7"/>
        <v>10</v>
      </c>
      <c r="AY22" s="393">
        <v>11</v>
      </c>
      <c r="AZ22" s="394">
        <f t="shared" si="8"/>
        <v>10.537405579218557</v>
      </c>
      <c r="BA22" s="394">
        <f t="shared" si="9"/>
        <v>2.3919264198226173</v>
      </c>
      <c r="BB22" s="395">
        <f t="shared" si="0"/>
        <v>2.3919264198226174E-2</v>
      </c>
      <c r="BC22"/>
      <c r="BD22" s="75"/>
      <c r="BE22" s="403"/>
      <c r="BF22" s="393">
        <v>11</v>
      </c>
      <c r="BG22" s="394" t="e">
        <f t="shared" si="29"/>
        <v>#VALUE!</v>
      </c>
      <c r="BH22" s="400" t="e">
        <f t="shared" si="26"/>
        <v>#VALUE!</v>
      </c>
      <c r="BI22" s="395" t="e">
        <f t="shared" si="30"/>
        <v>#VALUE!</v>
      </c>
      <c r="BJ22"/>
      <c r="BK22" s="75"/>
      <c r="BL22" s="410"/>
      <c r="BM22" s="393">
        <v>11</v>
      </c>
      <c r="BN22" s="394" t="e">
        <f t="shared" si="27"/>
        <v>#VALUE!</v>
      </c>
      <c r="BO22" s="394" t="e">
        <f t="shared" si="28"/>
        <v>#VALUE!</v>
      </c>
      <c r="BP22" s="395" t="e">
        <f t="shared" si="10"/>
        <v>#VALUE!</v>
      </c>
      <c r="BQ22"/>
      <c r="BR22" s="75"/>
      <c r="BS22" s="410"/>
      <c r="BT22" s="393">
        <v>11</v>
      </c>
      <c r="BU22" s="394" t="e">
        <f t="shared" si="11"/>
        <v>#VALUE!</v>
      </c>
      <c r="BV22" s="394" t="e">
        <f t="shared" si="12"/>
        <v>#VALUE!</v>
      </c>
      <c r="BW22" s="395" t="e">
        <f t="shared" si="13"/>
        <v>#VALUE!</v>
      </c>
      <c r="BX22"/>
      <c r="BY22" s="75"/>
      <c r="BZ22" s="410"/>
      <c r="CA22" s="393">
        <v>11</v>
      </c>
      <c r="CB22" s="394" t="e">
        <f t="shared" si="14"/>
        <v>#VALUE!</v>
      </c>
      <c r="CC22" s="394" t="e">
        <f t="shared" si="15"/>
        <v>#VALUE!</v>
      </c>
      <c r="CD22" s="395" t="e">
        <f t="shared" si="1"/>
        <v>#VALUE!</v>
      </c>
      <c r="CE22"/>
      <c r="CF22" s="75"/>
      <c r="CG22" s="410"/>
      <c r="CH22" s="393">
        <v>11</v>
      </c>
      <c r="CI22" s="394" t="e">
        <f t="shared" si="16"/>
        <v>#VALUE!</v>
      </c>
      <c r="CJ22" s="394" t="e">
        <f t="shared" si="17"/>
        <v>#VALUE!</v>
      </c>
      <c r="CK22" s="395" t="e">
        <f t="shared" si="2"/>
        <v>#VALUE!</v>
      </c>
      <c r="CL22"/>
      <c r="CM22" s="75"/>
      <c r="CN22" s="410"/>
      <c r="CO22" s="393">
        <v>11</v>
      </c>
      <c r="CP22" s="394" t="e">
        <f t="shared" si="18"/>
        <v>#VALUE!</v>
      </c>
      <c r="CQ22" s="394" t="e">
        <f t="shared" si="19"/>
        <v>#VALUE!</v>
      </c>
      <c r="CR22" s="395" t="e">
        <f t="shared" si="3"/>
        <v>#VALUE!</v>
      </c>
      <c r="CS22"/>
      <c r="CT22" s="75"/>
      <c r="CU22" s="410"/>
      <c r="CV22" s="393">
        <v>11</v>
      </c>
      <c r="CW22" s="394" t="e">
        <f t="shared" si="20"/>
        <v>#VALUE!</v>
      </c>
      <c r="CX22" s="394" t="e">
        <f t="shared" si="21"/>
        <v>#VALUE!</v>
      </c>
      <c r="CY22" s="395" t="e">
        <f t="shared" si="4"/>
        <v>#VALUE!</v>
      </c>
      <c r="CZ22"/>
      <c r="DA22" s="75"/>
      <c r="DB22" s="410"/>
      <c r="DC22" s="393">
        <v>11</v>
      </c>
      <c r="DD22" s="394" t="e">
        <f t="shared" si="22"/>
        <v>#VALUE!</v>
      </c>
      <c r="DE22" s="394" t="e">
        <f t="shared" si="23"/>
        <v>#VALUE!</v>
      </c>
      <c r="DF22" s="395" t="e">
        <f t="shared" si="5"/>
        <v>#VALUE!</v>
      </c>
      <c r="DG22"/>
      <c r="DH22" s="75"/>
      <c r="DI22" s="410"/>
      <c r="DJ22" s="393">
        <v>11</v>
      </c>
      <c r="DK22" s="394" t="e">
        <f t="shared" si="24"/>
        <v>#VALUE!</v>
      </c>
      <c r="DL22" s="394" t="e">
        <f t="shared" si="25"/>
        <v>#VALUE!</v>
      </c>
      <c r="DM22" s="395" t="e">
        <f t="shared" si="6"/>
        <v>#VALUE!</v>
      </c>
      <c r="DN22"/>
      <c r="DO22" s="75"/>
    </row>
    <row r="23" spans="1:119" ht="15.75" customHeight="1" x14ac:dyDescent="0.25">
      <c r="A23" s="306" t="s">
        <v>124</v>
      </c>
      <c r="B23" s="317">
        <f>+IF(B22='References Assumptions'!$C$336,0,IF(B22='References Assumptions'!$C$337,OX_of_methane_from_lowqual_soil_cover,OX_of_methane_from_hiqual_soil_cover))</f>
        <v>0.1</v>
      </c>
      <c r="C23" s="401"/>
      <c r="D23" s="317">
        <f>+IF(D22='References Assumptions'!$C$336,0,IF(D22='References Assumptions'!$C$337,OX_of_methane_from_lowqual_soil_cover,OX_of_methane_from_hiqual_soil_cover))</f>
        <v>0.25</v>
      </c>
      <c r="E23" s="401"/>
      <c r="F23" s="317">
        <f>+IF(F22='References Assumptions'!$C$336,0,IF(F22='References Assumptions'!$C$337,OX_of_methane_from_lowqual_soil_cover,OX_of_methane_from_hiqual_soil_cover))</f>
        <v>0.25</v>
      </c>
      <c r="G23" s="401"/>
      <c r="H23" s="317">
        <f>+IF(H22='References Assumptions'!$C$336,0,IF(H22='References Assumptions'!$C$337,OX_of_methane_from_lowqual_soil_cover,OX_of_methane_from_hiqual_soil_cover))</f>
        <v>0.25</v>
      </c>
      <c r="I23" s="401"/>
      <c r="J23" s="317">
        <f>+IF(J22='References Assumptions'!$C$336,0,IF(J22='References Assumptions'!$C$337,OX_of_methane_from_lowqual_soil_cover,OX_of_methane_from_hiqual_soil_cover))</f>
        <v>0.25</v>
      </c>
      <c r="K23" s="401"/>
      <c r="L23" s="317">
        <f>+IF(L22='References Assumptions'!$C$336,0,IF(L22='References Assumptions'!$C$337,OX_of_methane_from_lowqual_soil_cover,OX_of_methane_from_hiqual_soil_cover))</f>
        <v>0.25</v>
      </c>
      <c r="M23" s="401"/>
      <c r="N23" s="317">
        <f>+IF(N22='References Assumptions'!$C$336,0,IF(N22='References Assumptions'!$C$337,OX_of_methane_from_lowqual_soil_cover,OX_of_methane_from_hiqual_soil_cover))</f>
        <v>0.25</v>
      </c>
      <c r="O23" s="401"/>
      <c r="P23" s="317">
        <f>+IF(P22='References Assumptions'!$C$336,0,IF(P22='References Assumptions'!$C$337,OX_of_methane_from_lowqual_soil_cover,OX_of_methane_from_hiqual_soil_cover))</f>
        <v>0.25</v>
      </c>
      <c r="Q23" s="401"/>
      <c r="R23" s="317">
        <f>+IF(R22='References Assumptions'!$C$336,0,IF(R22='References Assumptions'!$C$337,OX_of_methane_from_lowqual_soil_cover,OX_of_methane_from_hiqual_soil_cover))</f>
        <v>0.25</v>
      </c>
      <c r="S23" s="401"/>
      <c r="T23" s="317">
        <f>+IF(T22='References Assumptions'!$C$336,0,IF(T22='References Assumptions'!$C$337,OX_of_methane_from_lowqual_soil_cover,OX_of_methane_from_hiqual_soil_cover))</f>
        <v>0.25</v>
      </c>
      <c r="U23" s="401"/>
      <c r="AX23" s="368">
        <f t="shared" si="7"/>
        <v>11</v>
      </c>
      <c r="AY23" s="393">
        <v>12</v>
      </c>
      <c r="AZ23" s="394">
        <f t="shared" si="8"/>
        <v>8.5879855470631234</v>
      </c>
      <c r="BA23" s="394">
        <f t="shared" si="9"/>
        <v>1.9494200321554331</v>
      </c>
      <c r="BB23" s="395">
        <f t="shared" si="0"/>
        <v>1.9494200321554331E-2</v>
      </c>
      <c r="BC23"/>
      <c r="BD23" s="75"/>
      <c r="BE23" s="403"/>
      <c r="BF23" s="393">
        <v>12</v>
      </c>
      <c r="BG23" s="394" t="e">
        <f t="shared" si="29"/>
        <v>#VALUE!</v>
      </c>
      <c r="BH23" s="400" t="e">
        <f t="shared" si="26"/>
        <v>#VALUE!</v>
      </c>
      <c r="BI23" s="395" t="e">
        <f t="shared" si="30"/>
        <v>#VALUE!</v>
      </c>
      <c r="BJ23"/>
      <c r="BK23" s="75"/>
      <c r="BL23" s="410"/>
      <c r="BM23" s="393">
        <v>12</v>
      </c>
      <c r="BN23" s="394" t="e">
        <f t="shared" si="27"/>
        <v>#VALUE!</v>
      </c>
      <c r="BO23" s="394" t="e">
        <f t="shared" si="28"/>
        <v>#VALUE!</v>
      </c>
      <c r="BP23" s="395" t="e">
        <f t="shared" si="10"/>
        <v>#VALUE!</v>
      </c>
      <c r="BQ23"/>
      <c r="BR23" s="75"/>
      <c r="BS23" s="410"/>
      <c r="BT23" s="393">
        <v>12</v>
      </c>
      <c r="BU23" s="394" t="e">
        <f t="shared" si="11"/>
        <v>#VALUE!</v>
      </c>
      <c r="BV23" s="394" t="e">
        <f t="shared" si="12"/>
        <v>#VALUE!</v>
      </c>
      <c r="BW23" s="395" t="e">
        <f t="shared" si="13"/>
        <v>#VALUE!</v>
      </c>
      <c r="BX23"/>
      <c r="BY23" s="75"/>
      <c r="BZ23" s="410"/>
      <c r="CA23" s="393">
        <v>12</v>
      </c>
      <c r="CB23" s="394" t="e">
        <f t="shared" si="14"/>
        <v>#VALUE!</v>
      </c>
      <c r="CC23" s="394" t="e">
        <f t="shared" si="15"/>
        <v>#VALUE!</v>
      </c>
      <c r="CD23" s="395" t="e">
        <f t="shared" si="1"/>
        <v>#VALUE!</v>
      </c>
      <c r="CE23"/>
      <c r="CF23" s="75"/>
      <c r="CG23" s="410"/>
      <c r="CH23" s="393">
        <v>12</v>
      </c>
      <c r="CI23" s="394" t="e">
        <f t="shared" si="16"/>
        <v>#VALUE!</v>
      </c>
      <c r="CJ23" s="394" t="e">
        <f t="shared" si="17"/>
        <v>#VALUE!</v>
      </c>
      <c r="CK23" s="395" t="e">
        <f t="shared" si="2"/>
        <v>#VALUE!</v>
      </c>
      <c r="CL23"/>
      <c r="CM23" s="75"/>
      <c r="CN23" s="410"/>
      <c r="CO23" s="393">
        <v>12</v>
      </c>
      <c r="CP23" s="394" t="e">
        <f t="shared" si="18"/>
        <v>#VALUE!</v>
      </c>
      <c r="CQ23" s="394" t="e">
        <f t="shared" si="19"/>
        <v>#VALUE!</v>
      </c>
      <c r="CR23" s="395" t="e">
        <f t="shared" si="3"/>
        <v>#VALUE!</v>
      </c>
      <c r="CS23"/>
      <c r="CT23" s="75"/>
      <c r="CU23" s="410"/>
      <c r="CV23" s="393">
        <v>12</v>
      </c>
      <c r="CW23" s="394" t="e">
        <f t="shared" si="20"/>
        <v>#VALUE!</v>
      </c>
      <c r="CX23" s="394" t="e">
        <f t="shared" si="21"/>
        <v>#VALUE!</v>
      </c>
      <c r="CY23" s="395" t="e">
        <f t="shared" si="4"/>
        <v>#VALUE!</v>
      </c>
      <c r="CZ23"/>
      <c r="DA23" s="75"/>
      <c r="DB23" s="410"/>
      <c r="DC23" s="393">
        <v>12</v>
      </c>
      <c r="DD23" s="394" t="e">
        <f t="shared" si="22"/>
        <v>#VALUE!</v>
      </c>
      <c r="DE23" s="394" t="e">
        <f t="shared" si="23"/>
        <v>#VALUE!</v>
      </c>
      <c r="DF23" s="395" t="e">
        <f t="shared" si="5"/>
        <v>#VALUE!</v>
      </c>
      <c r="DG23"/>
      <c r="DH23" s="75"/>
      <c r="DI23" s="410"/>
      <c r="DJ23" s="393">
        <v>12</v>
      </c>
      <c r="DK23" s="394" t="e">
        <f t="shared" si="24"/>
        <v>#VALUE!</v>
      </c>
      <c r="DL23" s="394" t="e">
        <f t="shared" si="25"/>
        <v>#VALUE!</v>
      </c>
      <c r="DM23" s="395" t="e">
        <f t="shared" si="6"/>
        <v>#VALUE!</v>
      </c>
      <c r="DN23"/>
      <c r="DO23" s="75"/>
    </row>
    <row r="24" spans="1:119" ht="15.75" customHeight="1" x14ac:dyDescent="0.25">
      <c r="A24" s="247" t="s">
        <v>430</v>
      </c>
      <c r="B24" s="317">
        <f>+$AS$14</f>
        <v>0.9</v>
      </c>
      <c r="C24" s="401"/>
      <c r="D24" s="317">
        <f>+$AS$14</f>
        <v>0.9</v>
      </c>
      <c r="E24" s="401"/>
      <c r="F24" s="317">
        <f>+$AS$14</f>
        <v>0.9</v>
      </c>
      <c r="G24" s="401"/>
      <c r="H24" s="317">
        <f>+$AS$14</f>
        <v>0.9</v>
      </c>
      <c r="I24" s="401"/>
      <c r="J24" s="317">
        <f>+$AS$14</f>
        <v>0.9</v>
      </c>
      <c r="K24" s="401"/>
      <c r="L24" s="317">
        <f>+$AS$14</f>
        <v>0.9</v>
      </c>
      <c r="M24" s="401"/>
      <c r="N24" s="317">
        <f>+$AS$14</f>
        <v>0.9</v>
      </c>
      <c r="O24" s="401"/>
      <c r="P24" s="317">
        <f>+$AS$14</f>
        <v>0.9</v>
      </c>
      <c r="Q24" s="401"/>
      <c r="R24" s="317">
        <f>+$AS$14</f>
        <v>0.9</v>
      </c>
      <c r="S24" s="401"/>
      <c r="T24" s="317">
        <f>+$AS$14</f>
        <v>0.9</v>
      </c>
      <c r="U24" s="401"/>
      <c r="AX24" s="368">
        <f t="shared" si="7"/>
        <v>12</v>
      </c>
      <c r="AY24" s="393">
        <v>13</v>
      </c>
      <c r="AZ24" s="394">
        <f t="shared" si="8"/>
        <v>6.9992082208564455</v>
      </c>
      <c r="BA24" s="394">
        <f t="shared" si="9"/>
        <v>1.5887773262066778</v>
      </c>
      <c r="BB24" s="395">
        <f t="shared" si="0"/>
        <v>1.5887773262066779E-2</v>
      </c>
      <c r="BC24"/>
      <c r="BD24" s="75"/>
      <c r="BE24" s="403"/>
      <c r="BF24" s="393">
        <v>13</v>
      </c>
      <c r="BG24" s="394" t="e">
        <f t="shared" si="29"/>
        <v>#VALUE!</v>
      </c>
      <c r="BH24" s="400" t="e">
        <f t="shared" si="26"/>
        <v>#VALUE!</v>
      </c>
      <c r="BI24" s="395" t="e">
        <f t="shared" si="30"/>
        <v>#VALUE!</v>
      </c>
      <c r="BJ24"/>
      <c r="BK24" s="75"/>
      <c r="BL24" s="410"/>
      <c r="BM24" s="393">
        <v>13</v>
      </c>
      <c r="BN24" s="394" t="e">
        <f t="shared" si="27"/>
        <v>#VALUE!</v>
      </c>
      <c r="BO24" s="394" t="e">
        <f t="shared" si="28"/>
        <v>#VALUE!</v>
      </c>
      <c r="BP24" s="395" t="e">
        <f t="shared" si="10"/>
        <v>#VALUE!</v>
      </c>
      <c r="BQ24"/>
      <c r="BR24" s="75"/>
      <c r="BS24" s="410"/>
      <c r="BT24" s="393">
        <v>13</v>
      </c>
      <c r="BU24" s="394" t="e">
        <f t="shared" si="11"/>
        <v>#VALUE!</v>
      </c>
      <c r="BV24" s="394" t="e">
        <f t="shared" si="12"/>
        <v>#VALUE!</v>
      </c>
      <c r="BW24" s="395" t="e">
        <f t="shared" si="13"/>
        <v>#VALUE!</v>
      </c>
      <c r="BX24"/>
      <c r="BY24" s="75"/>
      <c r="BZ24" s="410"/>
      <c r="CA24" s="393">
        <v>13</v>
      </c>
      <c r="CB24" s="394" t="e">
        <f t="shared" si="14"/>
        <v>#VALUE!</v>
      </c>
      <c r="CC24" s="394" t="e">
        <f t="shared" si="15"/>
        <v>#VALUE!</v>
      </c>
      <c r="CD24" s="395" t="e">
        <f t="shared" si="1"/>
        <v>#VALUE!</v>
      </c>
      <c r="CE24"/>
      <c r="CF24" s="75"/>
      <c r="CG24" s="410"/>
      <c r="CH24" s="393">
        <v>13</v>
      </c>
      <c r="CI24" s="394" t="e">
        <f t="shared" si="16"/>
        <v>#VALUE!</v>
      </c>
      <c r="CJ24" s="394" t="e">
        <f t="shared" si="17"/>
        <v>#VALUE!</v>
      </c>
      <c r="CK24" s="395" t="e">
        <f t="shared" si="2"/>
        <v>#VALUE!</v>
      </c>
      <c r="CL24"/>
      <c r="CM24" s="75"/>
      <c r="CN24" s="410"/>
      <c r="CO24" s="393">
        <v>13</v>
      </c>
      <c r="CP24" s="394" t="e">
        <f t="shared" si="18"/>
        <v>#VALUE!</v>
      </c>
      <c r="CQ24" s="394" t="e">
        <f t="shared" si="19"/>
        <v>#VALUE!</v>
      </c>
      <c r="CR24" s="395" t="e">
        <f t="shared" si="3"/>
        <v>#VALUE!</v>
      </c>
      <c r="CS24"/>
      <c r="CT24" s="75"/>
      <c r="CU24" s="410"/>
      <c r="CV24" s="393">
        <v>13</v>
      </c>
      <c r="CW24" s="394" t="e">
        <f t="shared" si="20"/>
        <v>#VALUE!</v>
      </c>
      <c r="CX24" s="394" t="e">
        <f t="shared" si="21"/>
        <v>#VALUE!</v>
      </c>
      <c r="CY24" s="395" t="e">
        <f t="shared" si="4"/>
        <v>#VALUE!</v>
      </c>
      <c r="CZ24"/>
      <c r="DA24" s="75"/>
      <c r="DB24" s="410"/>
      <c r="DC24" s="393">
        <v>13</v>
      </c>
      <c r="DD24" s="394" t="e">
        <f t="shared" si="22"/>
        <v>#VALUE!</v>
      </c>
      <c r="DE24" s="394" t="e">
        <f t="shared" si="23"/>
        <v>#VALUE!</v>
      </c>
      <c r="DF24" s="395" t="e">
        <f t="shared" si="5"/>
        <v>#VALUE!</v>
      </c>
      <c r="DG24"/>
      <c r="DH24" s="75"/>
      <c r="DI24" s="410"/>
      <c r="DJ24" s="393">
        <v>13</v>
      </c>
      <c r="DK24" s="394" t="e">
        <f t="shared" si="24"/>
        <v>#VALUE!</v>
      </c>
      <c r="DL24" s="394" t="e">
        <f t="shared" si="25"/>
        <v>#VALUE!</v>
      </c>
      <c r="DM24" s="395" t="e">
        <f t="shared" si="6"/>
        <v>#VALUE!</v>
      </c>
      <c r="DN24"/>
      <c r="DO24" s="75"/>
    </row>
    <row r="25" spans="1:119" ht="15.75" customHeight="1" x14ac:dyDescent="0.25">
      <c r="A25" s="247" t="s">
        <v>257</v>
      </c>
      <c r="B25" s="12">
        <v>0.5</v>
      </c>
      <c r="C25" s="412">
        <v>0.5</v>
      </c>
      <c r="D25" s="12"/>
      <c r="E25" s="412">
        <v>0.5</v>
      </c>
      <c r="F25" s="12"/>
      <c r="G25" s="412">
        <v>0.5</v>
      </c>
      <c r="H25" s="12"/>
      <c r="I25" s="412">
        <v>0.5</v>
      </c>
      <c r="J25" s="12"/>
      <c r="K25" s="412">
        <v>0.5</v>
      </c>
      <c r="L25" s="12"/>
      <c r="M25" s="412">
        <v>0.5</v>
      </c>
      <c r="N25" s="12"/>
      <c r="O25" s="412">
        <v>0.5</v>
      </c>
      <c r="P25" s="12"/>
      <c r="Q25" s="412">
        <v>0.5</v>
      </c>
      <c r="R25" s="12"/>
      <c r="S25" s="412">
        <v>0.5</v>
      </c>
      <c r="T25" s="12"/>
      <c r="U25" s="412">
        <v>0.5</v>
      </c>
      <c r="AX25" s="368">
        <f t="shared" si="7"/>
        <v>13</v>
      </c>
      <c r="AY25" s="393">
        <v>14</v>
      </c>
      <c r="AZ25" s="394">
        <f t="shared" si="8"/>
        <v>5.704354699998003</v>
      </c>
      <c r="BA25" s="394">
        <f t="shared" si="9"/>
        <v>1.2948535208584424</v>
      </c>
      <c r="BB25" s="395">
        <f t="shared" si="0"/>
        <v>1.2948535208584425E-2</v>
      </c>
      <c r="BC25"/>
      <c r="BD25" s="75"/>
      <c r="BE25" s="403"/>
      <c r="BF25" s="393">
        <v>14</v>
      </c>
      <c r="BG25" s="394" t="e">
        <f t="shared" si="29"/>
        <v>#VALUE!</v>
      </c>
      <c r="BH25" s="400" t="e">
        <f t="shared" si="26"/>
        <v>#VALUE!</v>
      </c>
      <c r="BI25" s="395" t="e">
        <f t="shared" si="30"/>
        <v>#VALUE!</v>
      </c>
      <c r="BJ25"/>
      <c r="BK25" s="75"/>
      <c r="BL25" s="410"/>
      <c r="BM25" s="393">
        <v>14</v>
      </c>
      <c r="BN25" s="394" t="e">
        <f t="shared" si="27"/>
        <v>#VALUE!</v>
      </c>
      <c r="BO25" s="394" t="e">
        <f t="shared" si="28"/>
        <v>#VALUE!</v>
      </c>
      <c r="BP25" s="395" t="e">
        <f t="shared" si="10"/>
        <v>#VALUE!</v>
      </c>
      <c r="BQ25"/>
      <c r="BR25" s="75"/>
      <c r="BS25" s="410"/>
      <c r="BT25" s="393">
        <v>14</v>
      </c>
      <c r="BU25" s="394" t="e">
        <f t="shared" si="11"/>
        <v>#VALUE!</v>
      </c>
      <c r="BV25" s="394" t="e">
        <f t="shared" si="12"/>
        <v>#VALUE!</v>
      </c>
      <c r="BW25" s="395" t="e">
        <f t="shared" si="13"/>
        <v>#VALUE!</v>
      </c>
      <c r="BX25"/>
      <c r="BY25" s="75"/>
      <c r="BZ25" s="410"/>
      <c r="CA25" s="393">
        <v>14</v>
      </c>
      <c r="CB25" s="394" t="e">
        <f t="shared" si="14"/>
        <v>#VALUE!</v>
      </c>
      <c r="CC25" s="394" t="e">
        <f t="shared" si="15"/>
        <v>#VALUE!</v>
      </c>
      <c r="CD25" s="395" t="e">
        <f t="shared" si="1"/>
        <v>#VALUE!</v>
      </c>
      <c r="CE25"/>
      <c r="CF25" s="75"/>
      <c r="CG25" s="410"/>
      <c r="CH25" s="393">
        <v>14</v>
      </c>
      <c r="CI25" s="394" t="e">
        <f t="shared" si="16"/>
        <v>#VALUE!</v>
      </c>
      <c r="CJ25" s="394" t="e">
        <f t="shared" si="17"/>
        <v>#VALUE!</v>
      </c>
      <c r="CK25" s="395" t="e">
        <f t="shared" si="2"/>
        <v>#VALUE!</v>
      </c>
      <c r="CL25"/>
      <c r="CM25" s="75"/>
      <c r="CN25" s="410"/>
      <c r="CO25" s="393">
        <v>14</v>
      </c>
      <c r="CP25" s="394" t="e">
        <f t="shared" si="18"/>
        <v>#VALUE!</v>
      </c>
      <c r="CQ25" s="394" t="e">
        <f t="shared" si="19"/>
        <v>#VALUE!</v>
      </c>
      <c r="CR25" s="395" t="e">
        <f t="shared" si="3"/>
        <v>#VALUE!</v>
      </c>
      <c r="CS25"/>
      <c r="CT25" s="75"/>
      <c r="CU25" s="410"/>
      <c r="CV25" s="393">
        <v>14</v>
      </c>
      <c r="CW25" s="394" t="e">
        <f t="shared" si="20"/>
        <v>#VALUE!</v>
      </c>
      <c r="CX25" s="394" t="e">
        <f t="shared" si="21"/>
        <v>#VALUE!</v>
      </c>
      <c r="CY25" s="395" t="e">
        <f t="shared" si="4"/>
        <v>#VALUE!</v>
      </c>
      <c r="CZ25"/>
      <c r="DA25" s="75"/>
      <c r="DB25" s="410"/>
      <c r="DC25" s="393">
        <v>14</v>
      </c>
      <c r="DD25" s="394" t="e">
        <f t="shared" si="22"/>
        <v>#VALUE!</v>
      </c>
      <c r="DE25" s="394" t="e">
        <f t="shared" si="23"/>
        <v>#VALUE!</v>
      </c>
      <c r="DF25" s="395" t="e">
        <f t="shared" si="5"/>
        <v>#VALUE!</v>
      </c>
      <c r="DG25"/>
      <c r="DH25" s="75"/>
      <c r="DI25" s="410"/>
      <c r="DJ25" s="393">
        <v>14</v>
      </c>
      <c r="DK25" s="394" t="e">
        <f t="shared" si="24"/>
        <v>#VALUE!</v>
      </c>
      <c r="DL25" s="394" t="e">
        <f t="shared" si="25"/>
        <v>#VALUE!</v>
      </c>
      <c r="DM25" s="395" t="e">
        <f t="shared" si="6"/>
        <v>#VALUE!</v>
      </c>
      <c r="DN25"/>
      <c r="DO25" s="75"/>
    </row>
    <row r="26" spans="1:119" ht="15.75" customHeight="1" x14ac:dyDescent="0.25">
      <c r="A26" s="247" t="s">
        <v>570</v>
      </c>
      <c r="B26" s="12" t="s">
        <v>566</v>
      </c>
      <c r="C26" s="401"/>
      <c r="D26" s="12"/>
      <c r="E26" s="401"/>
      <c r="F26" s="12"/>
      <c r="G26" s="401"/>
      <c r="H26" s="12"/>
      <c r="I26" s="401"/>
      <c r="J26" s="12"/>
      <c r="K26" s="401"/>
      <c r="L26" s="12"/>
      <c r="M26" s="401"/>
      <c r="N26" s="12"/>
      <c r="O26" s="401"/>
      <c r="P26" s="12"/>
      <c r="Q26" s="401"/>
      <c r="R26" s="12"/>
      <c r="S26" s="401"/>
      <c r="T26" s="12"/>
      <c r="U26" s="401"/>
      <c r="AW26" s="403"/>
      <c r="AX26" s="368">
        <f t="shared" si="7"/>
        <v>14</v>
      </c>
      <c r="AY26" s="393">
        <v>15</v>
      </c>
      <c r="AZ26" s="394">
        <f t="shared" si="8"/>
        <v>4.6490490804983722</v>
      </c>
      <c r="BA26" s="394">
        <f t="shared" si="9"/>
        <v>1.0553056194996306</v>
      </c>
      <c r="BB26" s="395">
        <f t="shared" si="0"/>
        <v>1.0553056194996307E-2</v>
      </c>
      <c r="BC26"/>
      <c r="BD26" s="75"/>
      <c r="BE26" s="403"/>
      <c r="BF26" s="393">
        <v>15</v>
      </c>
      <c r="BG26" s="394" t="e">
        <f t="shared" si="29"/>
        <v>#VALUE!</v>
      </c>
      <c r="BH26" s="400" t="e">
        <f t="shared" si="26"/>
        <v>#VALUE!</v>
      </c>
      <c r="BI26" s="395" t="e">
        <f t="shared" si="30"/>
        <v>#VALUE!</v>
      </c>
      <c r="BJ26"/>
      <c r="BK26" s="75"/>
      <c r="BL26" s="410"/>
      <c r="BM26" s="393">
        <v>15</v>
      </c>
      <c r="BN26" s="394" t="e">
        <f t="shared" si="27"/>
        <v>#VALUE!</v>
      </c>
      <c r="BO26" s="394" t="e">
        <f t="shared" si="28"/>
        <v>#VALUE!</v>
      </c>
      <c r="BP26" s="395" t="e">
        <f t="shared" si="10"/>
        <v>#VALUE!</v>
      </c>
      <c r="BQ26"/>
      <c r="BR26" s="75"/>
      <c r="BS26" s="410"/>
      <c r="BT26" s="393">
        <v>15</v>
      </c>
      <c r="BU26" s="394" t="e">
        <f t="shared" si="11"/>
        <v>#VALUE!</v>
      </c>
      <c r="BV26" s="394" t="e">
        <f t="shared" si="12"/>
        <v>#VALUE!</v>
      </c>
      <c r="BW26" s="395" t="e">
        <f t="shared" si="13"/>
        <v>#VALUE!</v>
      </c>
      <c r="BX26"/>
      <c r="BY26" s="75"/>
      <c r="BZ26" s="410"/>
      <c r="CA26" s="393">
        <v>15</v>
      </c>
      <c r="CB26" s="394" t="e">
        <f t="shared" si="14"/>
        <v>#VALUE!</v>
      </c>
      <c r="CC26" s="394" t="e">
        <f t="shared" si="15"/>
        <v>#VALUE!</v>
      </c>
      <c r="CD26" s="395" t="e">
        <f t="shared" si="1"/>
        <v>#VALUE!</v>
      </c>
      <c r="CE26"/>
      <c r="CF26" s="75"/>
      <c r="CG26" s="410"/>
      <c r="CH26" s="393">
        <v>15</v>
      </c>
      <c r="CI26" s="394" t="e">
        <f t="shared" si="16"/>
        <v>#VALUE!</v>
      </c>
      <c r="CJ26" s="394" t="e">
        <f t="shared" si="17"/>
        <v>#VALUE!</v>
      </c>
      <c r="CK26" s="395" t="e">
        <f t="shared" si="2"/>
        <v>#VALUE!</v>
      </c>
      <c r="CL26"/>
      <c r="CM26" s="75"/>
      <c r="CN26" s="410"/>
      <c r="CO26" s="393">
        <v>15</v>
      </c>
      <c r="CP26" s="394" t="e">
        <f t="shared" si="18"/>
        <v>#VALUE!</v>
      </c>
      <c r="CQ26" s="394" t="e">
        <f t="shared" si="19"/>
        <v>#VALUE!</v>
      </c>
      <c r="CR26" s="395" t="e">
        <f t="shared" si="3"/>
        <v>#VALUE!</v>
      </c>
      <c r="CS26"/>
      <c r="CT26" s="75"/>
      <c r="CU26" s="410"/>
      <c r="CV26" s="393">
        <v>15</v>
      </c>
      <c r="CW26" s="394" t="e">
        <f t="shared" si="20"/>
        <v>#VALUE!</v>
      </c>
      <c r="CX26" s="394" t="e">
        <f t="shared" si="21"/>
        <v>#VALUE!</v>
      </c>
      <c r="CY26" s="395" t="e">
        <f t="shared" si="4"/>
        <v>#VALUE!</v>
      </c>
      <c r="CZ26"/>
      <c r="DA26" s="75"/>
      <c r="DB26" s="410"/>
      <c r="DC26" s="393">
        <v>15</v>
      </c>
      <c r="DD26" s="394" t="e">
        <f t="shared" si="22"/>
        <v>#VALUE!</v>
      </c>
      <c r="DE26" s="394" t="e">
        <f t="shared" si="23"/>
        <v>#VALUE!</v>
      </c>
      <c r="DF26" s="395" t="e">
        <f t="shared" si="5"/>
        <v>#VALUE!</v>
      </c>
      <c r="DG26"/>
      <c r="DH26" s="75"/>
      <c r="DI26" s="410"/>
      <c r="DJ26" s="393">
        <v>15</v>
      </c>
      <c r="DK26" s="394" t="e">
        <f t="shared" si="24"/>
        <v>#VALUE!</v>
      </c>
      <c r="DL26" s="394" t="e">
        <f t="shared" si="25"/>
        <v>#VALUE!</v>
      </c>
      <c r="DM26" s="395" t="e">
        <f t="shared" si="6"/>
        <v>#VALUE!</v>
      </c>
      <c r="DN26"/>
      <c r="DO26" s="75"/>
    </row>
    <row r="27" spans="1:119" ht="15.75" customHeight="1" x14ac:dyDescent="0.35">
      <c r="A27" s="247" t="s">
        <v>10</v>
      </c>
      <c r="B27" s="413">
        <f>+IFERROR(VLOOKUP(B26,'References Assumptions'!$A$165:$B$168,2,FALSE),"N/A")</f>
        <v>0.8</v>
      </c>
      <c r="C27" s="401"/>
      <c r="D27" s="413" t="str">
        <f>+IFERROR(VLOOKUP(D26,'References Assumptions'!$A$165:$B$168,2,FALSE),"N/A")</f>
        <v>N/A</v>
      </c>
      <c r="E27" s="401"/>
      <c r="F27" s="413" t="str">
        <f>+IFERROR(VLOOKUP(F26,'References Assumptions'!$A$165:$B$168,2,FALSE),"N/A")</f>
        <v>N/A</v>
      </c>
      <c r="G27" s="401"/>
      <c r="H27" s="413" t="str">
        <f>+IFERROR(VLOOKUP(H26,'References Assumptions'!$A$165:$B$168,2,FALSE),"N/A")</f>
        <v>N/A</v>
      </c>
      <c r="I27" s="401"/>
      <c r="J27" s="413" t="str">
        <f>+IFERROR(VLOOKUP(J26,'References Assumptions'!$A$165:$B$168,2,FALSE),"N/A")</f>
        <v>N/A</v>
      </c>
      <c r="K27" s="401"/>
      <c r="L27" s="413" t="str">
        <f>+IFERROR(VLOOKUP(L26,'References Assumptions'!$A$165:$B$168,2,FALSE),"N/A")</f>
        <v>N/A</v>
      </c>
      <c r="M27" s="401"/>
      <c r="N27" s="413" t="str">
        <f>+IFERROR(VLOOKUP(N26,'References Assumptions'!$A$165:$B$168,2,FALSE),"N/A")</f>
        <v>N/A</v>
      </c>
      <c r="O27" s="401"/>
      <c r="P27" s="413" t="str">
        <f>+IFERROR(VLOOKUP(P26,'References Assumptions'!$A$165:$B$168,2,FALSE),"N/A")</f>
        <v>N/A</v>
      </c>
      <c r="Q27" s="401"/>
      <c r="R27" s="413" t="str">
        <f>+IFERROR(VLOOKUP(R26,'References Assumptions'!$A$165:$B$168,2,FALSE),"N/A")</f>
        <v>N/A</v>
      </c>
      <c r="S27" s="401"/>
      <c r="T27" s="413" t="str">
        <f>+IFERROR(VLOOKUP(T26,'References Assumptions'!$A$165:$B$168,2,FALSE),"N/A")</f>
        <v>N/A</v>
      </c>
      <c r="U27" s="401"/>
      <c r="AW27" s="403"/>
      <c r="AX27" s="368">
        <f t="shared" ref="AX27:AX41" si="31">AY27-1</f>
        <v>15</v>
      </c>
      <c r="AY27" s="393">
        <v>16</v>
      </c>
      <c r="AZ27" s="394">
        <f t="shared" ref="AZ27:AZ41" si="32">AZ26-(AZ26*$AZ$10)</f>
        <v>3.7889750006061735</v>
      </c>
      <c r="BA27" s="394">
        <f t="shared" ref="BA27:BA41" si="33">(AZ26*$AZ$10)</f>
        <v>0.86007407989219886</v>
      </c>
      <c r="BB27" s="395">
        <f t="shared" ref="BB27:BB41" si="34">+BA27/$AZ$9</f>
        <v>8.6007407989219884E-3</v>
      </c>
      <c r="BC27"/>
      <c r="BD27" s="75"/>
      <c r="BE27" s="403"/>
      <c r="BF27" s="393">
        <v>16</v>
      </c>
      <c r="BG27" s="394" t="e">
        <f t="shared" ref="BG27:BG41" si="35">BG26-(BG26*$BG$10)</f>
        <v>#VALUE!</v>
      </c>
      <c r="BH27" s="400" t="e">
        <f t="shared" ref="BH27:BH41" si="36">$BG26*$BG$10</f>
        <v>#VALUE!</v>
      </c>
      <c r="BI27" s="395" t="e">
        <f t="shared" ref="BI27:BI41" si="37">+BH27/$BG$9</f>
        <v>#VALUE!</v>
      </c>
      <c r="BJ27"/>
      <c r="BK27" s="75"/>
      <c r="BL27" s="410"/>
      <c r="BM27" s="393">
        <v>16</v>
      </c>
      <c r="BN27" s="394" t="e">
        <f t="shared" ref="BN27:BN41" si="38">BN26-(BN26*$BN$10)</f>
        <v>#VALUE!</v>
      </c>
      <c r="BO27" s="394" t="e">
        <f t="shared" ref="BO27:BO41" si="39">BN26*$BN$10</f>
        <v>#VALUE!</v>
      </c>
      <c r="BP27" s="395" t="e">
        <f t="shared" ref="BP27:BP41" si="40">BO27/$BN$9</f>
        <v>#VALUE!</v>
      </c>
      <c r="BQ27"/>
      <c r="BR27" s="75"/>
      <c r="BS27" s="410"/>
      <c r="BT27" s="393">
        <v>16</v>
      </c>
      <c r="BU27" s="394" t="e">
        <f t="shared" ref="BU27:BU41" si="41">BU26-(BU26*$BU$10)</f>
        <v>#VALUE!</v>
      </c>
      <c r="BV27" s="394" t="e">
        <f t="shared" ref="BV27:BV41" si="42">(BU26*$BU$10)</f>
        <v>#VALUE!</v>
      </c>
      <c r="BW27" s="395" t="e">
        <f t="shared" ref="BW27:BW41" si="43">+BV27/$BU$9</f>
        <v>#VALUE!</v>
      </c>
      <c r="BX27"/>
      <c r="BY27" s="75"/>
      <c r="BZ27" s="410"/>
      <c r="CA27" s="393">
        <v>16</v>
      </c>
      <c r="CB27" s="394" t="e">
        <f t="shared" ref="CB27:CB41" si="44">CB26-(CB26*$CB$10)</f>
        <v>#VALUE!</v>
      </c>
      <c r="CC27" s="394" t="e">
        <f t="shared" ref="CC27:CC41" si="45">(CB26*$CB$10)</f>
        <v>#VALUE!</v>
      </c>
      <c r="CD27" s="395" t="e">
        <f t="shared" ref="CD27:CD41" si="46">+CC27/$CB$9</f>
        <v>#VALUE!</v>
      </c>
      <c r="CE27"/>
      <c r="CF27" s="75"/>
      <c r="CG27" s="410"/>
      <c r="CH27" s="393">
        <v>16</v>
      </c>
      <c r="CI27" s="394" t="e">
        <f t="shared" ref="CI27:CI41" si="47">CI26-(CI26*$CI$10)</f>
        <v>#VALUE!</v>
      </c>
      <c r="CJ27" s="394" t="e">
        <f t="shared" ref="CJ27:CJ41" si="48">(CI26*$CI$10)</f>
        <v>#VALUE!</v>
      </c>
      <c r="CK27" s="395" t="e">
        <f t="shared" ref="CK27:CK41" si="49">+CJ27/$CI$9</f>
        <v>#VALUE!</v>
      </c>
      <c r="CL27"/>
      <c r="CM27" s="75"/>
      <c r="CN27" s="410"/>
      <c r="CO27" s="393">
        <v>16</v>
      </c>
      <c r="CP27" s="394" t="e">
        <f t="shared" ref="CP27:CP41" si="50">CP26-(CP26*$CP$10)</f>
        <v>#VALUE!</v>
      </c>
      <c r="CQ27" s="394" t="e">
        <f t="shared" ref="CQ27:CQ41" si="51">(CP26*$CP$10)</f>
        <v>#VALUE!</v>
      </c>
      <c r="CR27" s="395" t="e">
        <f t="shared" ref="CR27:CR41" si="52">+CQ27/$CP$9</f>
        <v>#VALUE!</v>
      </c>
      <c r="CS27"/>
      <c r="CT27" s="75"/>
      <c r="CU27" s="410"/>
      <c r="CV27" s="393">
        <v>16</v>
      </c>
      <c r="CW27" s="394" t="e">
        <f t="shared" ref="CW27:CW41" si="53">CW26-(CW26*$CW$10)</f>
        <v>#VALUE!</v>
      </c>
      <c r="CX27" s="394" t="e">
        <f t="shared" ref="CX27:CX41" si="54">(CW26*$CW$10)</f>
        <v>#VALUE!</v>
      </c>
      <c r="CY27" s="395" t="e">
        <f t="shared" ref="CY27:CY41" si="55">+CX27/$CW$9</f>
        <v>#VALUE!</v>
      </c>
      <c r="CZ27"/>
      <c r="DA27" s="75"/>
      <c r="DB27" s="410"/>
      <c r="DC27" s="393">
        <v>16</v>
      </c>
      <c r="DD27" s="394" t="e">
        <f t="shared" ref="DD27:DD41" si="56">DD26-(DD26*$DD$10)</f>
        <v>#VALUE!</v>
      </c>
      <c r="DE27" s="394" t="e">
        <f t="shared" ref="DE27:DE41" si="57">(DD26*$DD$10)</f>
        <v>#VALUE!</v>
      </c>
      <c r="DF27" s="395" t="e">
        <f t="shared" ref="DF27:DF41" si="58">+DE27/$DD$9</f>
        <v>#VALUE!</v>
      </c>
      <c r="DG27"/>
      <c r="DH27" s="75"/>
      <c r="DI27" s="410"/>
      <c r="DJ27" s="393">
        <v>16</v>
      </c>
      <c r="DK27" s="394" t="e">
        <f t="shared" ref="DK27:DK41" si="59">DK26-(DK26*$DK$10)</f>
        <v>#VALUE!</v>
      </c>
      <c r="DL27" s="394" t="e">
        <f t="shared" ref="DL27:DL41" si="60">(DK26*$DK$10)</f>
        <v>#VALUE!</v>
      </c>
      <c r="DM27" s="395" t="e">
        <f t="shared" ref="DM27:DM41" si="61">+DL27/$DK$9</f>
        <v>#VALUE!</v>
      </c>
      <c r="DN27"/>
      <c r="DO27" s="75"/>
    </row>
    <row r="28" spans="1:119" ht="15.75" customHeight="1" x14ac:dyDescent="0.25">
      <c r="A28" s="247" t="s">
        <v>929</v>
      </c>
      <c r="B28" s="41" t="s">
        <v>367</v>
      </c>
      <c r="C28" s="401"/>
      <c r="D28" s="41"/>
      <c r="E28" s="401"/>
      <c r="F28" s="41"/>
      <c r="G28" s="401"/>
      <c r="H28" s="41"/>
      <c r="I28" s="401"/>
      <c r="J28" s="41"/>
      <c r="K28" s="401"/>
      <c r="L28" s="41"/>
      <c r="M28" s="401"/>
      <c r="N28" s="41"/>
      <c r="O28" s="401"/>
      <c r="P28" s="41"/>
      <c r="Q28" s="401"/>
      <c r="R28" s="41"/>
      <c r="S28" s="401"/>
      <c r="T28" s="41"/>
      <c r="U28" s="401"/>
      <c r="AW28" s="403"/>
      <c r="AX28" s="368">
        <f t="shared" si="31"/>
        <v>16</v>
      </c>
      <c r="AY28" s="393">
        <v>17</v>
      </c>
      <c r="AZ28" s="394">
        <f t="shared" si="32"/>
        <v>3.0880146254940315</v>
      </c>
      <c r="BA28" s="394">
        <f t="shared" si="33"/>
        <v>0.70096037511214204</v>
      </c>
      <c r="BB28" s="395">
        <f t="shared" si="34"/>
        <v>7.0096037511214208E-3</v>
      </c>
      <c r="BC28"/>
      <c r="BD28" s="75"/>
      <c r="BE28" s="96"/>
      <c r="BF28" s="393">
        <v>17</v>
      </c>
      <c r="BG28" s="394" t="e">
        <f t="shared" si="35"/>
        <v>#VALUE!</v>
      </c>
      <c r="BH28" s="400" t="e">
        <f t="shared" si="36"/>
        <v>#VALUE!</v>
      </c>
      <c r="BI28" s="395" t="e">
        <f t="shared" si="37"/>
        <v>#VALUE!</v>
      </c>
      <c r="BJ28"/>
      <c r="BK28" s="75"/>
      <c r="BL28" s="368"/>
      <c r="BM28" s="393">
        <v>17</v>
      </c>
      <c r="BN28" s="394" t="e">
        <f t="shared" si="38"/>
        <v>#VALUE!</v>
      </c>
      <c r="BO28" s="394" t="e">
        <f t="shared" si="39"/>
        <v>#VALUE!</v>
      </c>
      <c r="BP28" s="395" t="e">
        <f t="shared" si="40"/>
        <v>#VALUE!</v>
      </c>
      <c r="BQ28"/>
      <c r="BR28" s="75"/>
      <c r="BS28" s="368"/>
      <c r="BT28" s="393">
        <v>17</v>
      </c>
      <c r="BU28" s="394" t="e">
        <f t="shared" si="41"/>
        <v>#VALUE!</v>
      </c>
      <c r="BV28" s="394" t="e">
        <f t="shared" si="42"/>
        <v>#VALUE!</v>
      </c>
      <c r="BW28" s="395" t="e">
        <f t="shared" si="43"/>
        <v>#VALUE!</v>
      </c>
      <c r="BX28"/>
      <c r="BY28" s="75"/>
      <c r="BZ28" s="368"/>
      <c r="CA28" s="393">
        <v>17</v>
      </c>
      <c r="CB28" s="394" t="e">
        <f t="shared" si="44"/>
        <v>#VALUE!</v>
      </c>
      <c r="CC28" s="394" t="e">
        <f t="shared" si="45"/>
        <v>#VALUE!</v>
      </c>
      <c r="CD28" s="395" t="e">
        <f t="shared" si="46"/>
        <v>#VALUE!</v>
      </c>
      <c r="CE28"/>
      <c r="CF28" s="75"/>
      <c r="CG28" s="368"/>
      <c r="CH28" s="393">
        <v>17</v>
      </c>
      <c r="CI28" s="394" t="e">
        <f t="shared" si="47"/>
        <v>#VALUE!</v>
      </c>
      <c r="CJ28" s="394" t="e">
        <f t="shared" si="48"/>
        <v>#VALUE!</v>
      </c>
      <c r="CK28" s="395" t="e">
        <f t="shared" si="49"/>
        <v>#VALUE!</v>
      </c>
      <c r="CL28"/>
      <c r="CM28" s="75"/>
      <c r="CN28" s="368"/>
      <c r="CO28" s="393">
        <v>17</v>
      </c>
      <c r="CP28" s="394" t="e">
        <f t="shared" si="50"/>
        <v>#VALUE!</v>
      </c>
      <c r="CQ28" s="394" t="e">
        <f t="shared" si="51"/>
        <v>#VALUE!</v>
      </c>
      <c r="CR28" s="395" t="e">
        <f t="shared" si="52"/>
        <v>#VALUE!</v>
      </c>
      <c r="CS28"/>
      <c r="CT28" s="75"/>
      <c r="CU28" s="368"/>
      <c r="CV28" s="393">
        <v>17</v>
      </c>
      <c r="CW28" s="394" t="e">
        <f t="shared" si="53"/>
        <v>#VALUE!</v>
      </c>
      <c r="CX28" s="394" t="e">
        <f t="shared" si="54"/>
        <v>#VALUE!</v>
      </c>
      <c r="CY28" s="395" t="e">
        <f t="shared" si="55"/>
        <v>#VALUE!</v>
      </c>
      <c r="CZ28"/>
      <c r="DA28" s="75"/>
      <c r="DB28" s="368"/>
      <c r="DC28" s="393">
        <v>17</v>
      </c>
      <c r="DD28" s="394" t="e">
        <f t="shared" si="56"/>
        <v>#VALUE!</v>
      </c>
      <c r="DE28" s="394" t="e">
        <f t="shared" si="57"/>
        <v>#VALUE!</v>
      </c>
      <c r="DF28" s="395" t="e">
        <f t="shared" si="58"/>
        <v>#VALUE!</v>
      </c>
      <c r="DG28"/>
      <c r="DH28" s="75"/>
      <c r="DI28" s="368"/>
      <c r="DJ28" s="393">
        <v>17</v>
      </c>
      <c r="DK28" s="394" t="e">
        <f t="shared" si="59"/>
        <v>#VALUE!</v>
      </c>
      <c r="DL28" s="394" t="e">
        <f t="shared" si="60"/>
        <v>#VALUE!</v>
      </c>
      <c r="DM28" s="395" t="e">
        <f t="shared" si="61"/>
        <v>#VALUE!</v>
      </c>
      <c r="DN28"/>
      <c r="DO28" s="75"/>
    </row>
    <row r="29" spans="1:119" ht="15.75" customHeight="1" x14ac:dyDescent="0.25">
      <c r="A29" s="1103" t="s">
        <v>912</v>
      </c>
      <c r="B29" s="1104">
        <f>+IFERROR(VLOOKUP(B28,'References Assumptions'!$A$171:$B$175,2,FALSE),"N/A")</f>
        <v>0.185</v>
      </c>
      <c r="C29" s="1105"/>
      <c r="D29" s="1104" t="str">
        <f>+IFERROR(VLOOKUP(D28,'References Assumptions'!$A$171:$B$175,2,FALSE),"N/A")</f>
        <v>N/A</v>
      </c>
      <c r="E29" s="1105"/>
      <c r="F29" s="1104" t="str">
        <f>+IFERROR(VLOOKUP(F28,'References Assumptions'!$A$171:$B$175,2,FALSE),"N/A")</f>
        <v>N/A</v>
      </c>
      <c r="G29" s="1105"/>
      <c r="H29" s="1104" t="str">
        <f>+IFERROR(VLOOKUP(H28,'References Assumptions'!$A$171:$B$175,2,FALSE),"N/A")</f>
        <v>N/A</v>
      </c>
      <c r="I29" s="1105"/>
      <c r="J29" s="1104" t="str">
        <f>+IFERROR(VLOOKUP(J28,'References Assumptions'!$A$171:$B$175,2,FALSE),"N/A")</f>
        <v>N/A</v>
      </c>
      <c r="K29" s="1105"/>
      <c r="L29" s="1104" t="str">
        <f>+IFERROR(VLOOKUP(L28,'References Assumptions'!$A$171:$B$175,2,FALSE),"N/A")</f>
        <v>N/A</v>
      </c>
      <c r="M29" s="1105"/>
      <c r="N29" s="1104" t="str">
        <f>+IFERROR(VLOOKUP(N28,'References Assumptions'!$A$171:$B$175,2,FALSE),"N/A")</f>
        <v>N/A</v>
      </c>
      <c r="O29" s="1105"/>
      <c r="P29" s="1104" t="str">
        <f>+IFERROR(VLOOKUP(P28,'References Assumptions'!$A$171:$B$175,2,FALSE),"N/A")</f>
        <v>N/A</v>
      </c>
      <c r="Q29" s="1105"/>
      <c r="R29" s="1104" t="str">
        <f>+IFERROR(VLOOKUP(R28,'References Assumptions'!$A$171:$B$175,2,FALSE),"N/A")</f>
        <v>N/A</v>
      </c>
      <c r="S29" s="1105"/>
      <c r="T29" s="1104" t="str">
        <f>+IFERROR(VLOOKUP(T28,'References Assumptions'!$A$171:$B$175,2,FALSE),"N/A")</f>
        <v>N/A</v>
      </c>
      <c r="U29" s="1105"/>
      <c r="AW29" s="96"/>
      <c r="AX29" s="368">
        <f t="shared" si="31"/>
        <v>17</v>
      </c>
      <c r="AY29" s="393">
        <v>18</v>
      </c>
      <c r="AZ29" s="394">
        <f t="shared" si="32"/>
        <v>2.5167319197776354</v>
      </c>
      <c r="BA29" s="394">
        <f t="shared" si="33"/>
        <v>0.57128270571639583</v>
      </c>
      <c r="BB29" s="395">
        <f t="shared" si="34"/>
        <v>5.7128270571639586E-3</v>
      </c>
      <c r="BC29"/>
      <c r="BD29" s="367"/>
      <c r="BE29" s="96"/>
      <c r="BF29" s="393">
        <v>18</v>
      </c>
      <c r="BG29" s="394" t="e">
        <f t="shared" si="35"/>
        <v>#VALUE!</v>
      </c>
      <c r="BH29" s="400" t="e">
        <f t="shared" si="36"/>
        <v>#VALUE!</v>
      </c>
      <c r="BI29" s="395" t="e">
        <f t="shared" si="37"/>
        <v>#VALUE!</v>
      </c>
      <c r="BJ29"/>
      <c r="BK29" s="367"/>
      <c r="BL29" s="368"/>
      <c r="BM29" s="393">
        <v>18</v>
      </c>
      <c r="BN29" s="394" t="e">
        <f t="shared" si="38"/>
        <v>#VALUE!</v>
      </c>
      <c r="BO29" s="394" t="e">
        <f t="shared" si="39"/>
        <v>#VALUE!</v>
      </c>
      <c r="BP29" s="395" t="e">
        <f t="shared" si="40"/>
        <v>#VALUE!</v>
      </c>
      <c r="BQ29"/>
      <c r="BR29" s="367"/>
      <c r="BS29" s="368"/>
      <c r="BT29" s="393">
        <v>18</v>
      </c>
      <c r="BU29" s="394" t="e">
        <f t="shared" si="41"/>
        <v>#VALUE!</v>
      </c>
      <c r="BV29" s="394" t="e">
        <f t="shared" si="42"/>
        <v>#VALUE!</v>
      </c>
      <c r="BW29" s="395" t="e">
        <f t="shared" si="43"/>
        <v>#VALUE!</v>
      </c>
      <c r="BX29"/>
      <c r="BY29" s="367"/>
      <c r="BZ29" s="368"/>
      <c r="CA29" s="393">
        <v>18</v>
      </c>
      <c r="CB29" s="394" t="e">
        <f t="shared" si="44"/>
        <v>#VALUE!</v>
      </c>
      <c r="CC29" s="394" t="e">
        <f t="shared" si="45"/>
        <v>#VALUE!</v>
      </c>
      <c r="CD29" s="395" t="e">
        <f t="shared" si="46"/>
        <v>#VALUE!</v>
      </c>
      <c r="CE29"/>
      <c r="CF29" s="367"/>
      <c r="CG29" s="368"/>
      <c r="CH29" s="393">
        <v>18</v>
      </c>
      <c r="CI29" s="394" t="e">
        <f t="shared" si="47"/>
        <v>#VALUE!</v>
      </c>
      <c r="CJ29" s="394" t="e">
        <f t="shared" si="48"/>
        <v>#VALUE!</v>
      </c>
      <c r="CK29" s="395" t="e">
        <f t="shared" si="49"/>
        <v>#VALUE!</v>
      </c>
      <c r="CL29"/>
      <c r="CM29" s="367"/>
      <c r="CN29" s="368"/>
      <c r="CO29" s="393">
        <v>18</v>
      </c>
      <c r="CP29" s="394" t="e">
        <f t="shared" si="50"/>
        <v>#VALUE!</v>
      </c>
      <c r="CQ29" s="394" t="e">
        <f t="shared" si="51"/>
        <v>#VALUE!</v>
      </c>
      <c r="CR29" s="395" t="e">
        <f t="shared" si="52"/>
        <v>#VALUE!</v>
      </c>
      <c r="CS29"/>
      <c r="CT29" s="367"/>
      <c r="CU29" s="368"/>
      <c r="CV29" s="393">
        <v>18</v>
      </c>
      <c r="CW29" s="394" t="e">
        <f t="shared" si="53"/>
        <v>#VALUE!</v>
      </c>
      <c r="CX29" s="394" t="e">
        <f t="shared" si="54"/>
        <v>#VALUE!</v>
      </c>
      <c r="CY29" s="395" t="e">
        <f t="shared" si="55"/>
        <v>#VALUE!</v>
      </c>
      <c r="CZ29"/>
      <c r="DA29" s="367"/>
      <c r="DB29" s="368"/>
      <c r="DC29" s="393">
        <v>18</v>
      </c>
      <c r="DD29" s="394" t="e">
        <f t="shared" si="56"/>
        <v>#VALUE!</v>
      </c>
      <c r="DE29" s="394" t="e">
        <f t="shared" si="57"/>
        <v>#VALUE!</v>
      </c>
      <c r="DF29" s="395" t="e">
        <f t="shared" si="58"/>
        <v>#VALUE!</v>
      </c>
      <c r="DG29"/>
      <c r="DH29" s="367"/>
      <c r="DI29" s="368"/>
      <c r="DJ29" s="393">
        <v>18</v>
      </c>
      <c r="DK29" s="394" t="e">
        <f t="shared" si="59"/>
        <v>#VALUE!</v>
      </c>
      <c r="DL29" s="394" t="e">
        <f t="shared" si="60"/>
        <v>#VALUE!</v>
      </c>
      <c r="DM29" s="395" t="e">
        <f t="shared" si="61"/>
        <v>#VALUE!</v>
      </c>
      <c r="DN29"/>
      <c r="DO29" s="367"/>
    </row>
    <row r="30" spans="1:119" ht="15.75" customHeight="1" thickBot="1" x14ac:dyDescent="0.3">
      <c r="A30" s="341"/>
      <c r="B30" s="337"/>
      <c r="C30" s="954"/>
      <c r="D30" s="337"/>
      <c r="E30" s="335"/>
      <c r="F30" s="337"/>
      <c r="G30" s="335"/>
      <c r="H30" s="337"/>
      <c r="I30" s="335"/>
      <c r="J30" s="337"/>
      <c r="K30" s="954"/>
      <c r="L30" s="337"/>
      <c r="M30" s="335"/>
      <c r="N30" s="337"/>
      <c r="O30" s="335"/>
      <c r="P30" s="337"/>
      <c r="Q30" s="335"/>
      <c r="R30" s="337"/>
      <c r="S30" s="335"/>
      <c r="T30" s="337"/>
      <c r="U30" s="335"/>
      <c r="AW30" s="96"/>
      <c r="AX30" s="368">
        <f t="shared" si="31"/>
        <v>18</v>
      </c>
      <c r="AY30" s="393">
        <v>19</v>
      </c>
      <c r="AZ30" s="394">
        <f>AZ29-(AZ29*$AZ$10)</f>
        <v>2.051136514618773</v>
      </c>
      <c r="BA30" s="394">
        <f>(AZ29*$AZ$10)</f>
        <v>0.46559540515886255</v>
      </c>
      <c r="BB30" s="395">
        <f t="shared" si="34"/>
        <v>4.6559540515886252E-3</v>
      </c>
      <c r="BC30"/>
      <c r="BD30" s="367"/>
      <c r="BE30" s="96"/>
      <c r="BF30" s="393">
        <v>19</v>
      </c>
      <c r="BG30" s="394" t="e">
        <f>BG29-(BG29*$BG$10)</f>
        <v>#VALUE!</v>
      </c>
      <c r="BH30" s="400" t="e">
        <f>$BG29*$BG$10</f>
        <v>#VALUE!</v>
      </c>
      <c r="BI30" s="395" t="e">
        <f t="shared" si="37"/>
        <v>#VALUE!</v>
      </c>
      <c r="BJ30"/>
      <c r="BK30" s="367"/>
      <c r="BL30" s="368"/>
      <c r="BM30" s="393">
        <v>19</v>
      </c>
      <c r="BN30" s="394" t="e">
        <f>BN29-(BN29*$BN$10)</f>
        <v>#VALUE!</v>
      </c>
      <c r="BO30" s="394" t="e">
        <f>BN29*$BN$10</f>
        <v>#VALUE!</v>
      </c>
      <c r="BP30" s="395" t="e">
        <f t="shared" si="40"/>
        <v>#VALUE!</v>
      </c>
      <c r="BQ30"/>
      <c r="BR30" s="367"/>
      <c r="BS30" s="368"/>
      <c r="BT30" s="393">
        <v>19</v>
      </c>
      <c r="BU30" s="394" t="e">
        <f>BU29-(BU29*$BU$10)</f>
        <v>#VALUE!</v>
      </c>
      <c r="BV30" s="394" t="e">
        <f>(BU29*$BU$10)</f>
        <v>#VALUE!</v>
      </c>
      <c r="BW30" s="395" t="e">
        <f t="shared" si="43"/>
        <v>#VALUE!</v>
      </c>
      <c r="BX30"/>
      <c r="BY30" s="367"/>
      <c r="BZ30" s="368"/>
      <c r="CA30" s="393">
        <v>19</v>
      </c>
      <c r="CB30" s="394" t="e">
        <f>CB29-(CB29*$CB$10)</f>
        <v>#VALUE!</v>
      </c>
      <c r="CC30" s="394" t="e">
        <f>(CB29*$CB$10)</f>
        <v>#VALUE!</v>
      </c>
      <c r="CD30" s="395" t="e">
        <f t="shared" si="46"/>
        <v>#VALUE!</v>
      </c>
      <c r="CE30"/>
      <c r="CF30" s="367"/>
      <c r="CG30" s="368"/>
      <c r="CH30" s="393">
        <v>19</v>
      </c>
      <c r="CI30" s="394" t="e">
        <f>CI29-(CI29*$CI$10)</f>
        <v>#VALUE!</v>
      </c>
      <c r="CJ30" s="394" t="e">
        <f>(CI29*$CI$10)</f>
        <v>#VALUE!</v>
      </c>
      <c r="CK30" s="395" t="e">
        <f t="shared" si="49"/>
        <v>#VALUE!</v>
      </c>
      <c r="CL30"/>
      <c r="CM30" s="367"/>
      <c r="CN30" s="368"/>
      <c r="CO30" s="393">
        <v>19</v>
      </c>
      <c r="CP30" s="394" t="e">
        <f>CP29-(CP29*$CP$10)</f>
        <v>#VALUE!</v>
      </c>
      <c r="CQ30" s="394" t="e">
        <f>(CP29*$CP$10)</f>
        <v>#VALUE!</v>
      </c>
      <c r="CR30" s="395" t="e">
        <f t="shared" si="52"/>
        <v>#VALUE!</v>
      </c>
      <c r="CS30"/>
      <c r="CT30" s="367"/>
      <c r="CU30" s="368"/>
      <c r="CV30" s="393">
        <v>19</v>
      </c>
      <c r="CW30" s="394" t="e">
        <f>CW29-(CW29*$CW$10)</f>
        <v>#VALUE!</v>
      </c>
      <c r="CX30" s="394" t="e">
        <f>(CW29*$CW$10)</f>
        <v>#VALUE!</v>
      </c>
      <c r="CY30" s="395" t="e">
        <f t="shared" si="55"/>
        <v>#VALUE!</v>
      </c>
      <c r="CZ30"/>
      <c r="DA30" s="367"/>
      <c r="DB30" s="368"/>
      <c r="DC30" s="393">
        <v>19</v>
      </c>
      <c r="DD30" s="394" t="e">
        <f>DD29-(DD29*$DD$10)</f>
        <v>#VALUE!</v>
      </c>
      <c r="DE30" s="394" t="e">
        <f>(DD29*$DD$10)</f>
        <v>#VALUE!</v>
      </c>
      <c r="DF30" s="395" t="e">
        <f t="shared" si="58"/>
        <v>#VALUE!</v>
      </c>
      <c r="DG30"/>
      <c r="DH30" s="367"/>
      <c r="DI30" s="368"/>
      <c r="DJ30" s="393">
        <v>19</v>
      </c>
      <c r="DK30" s="394" t="e">
        <f>DK29-(DK29*$DK$10)</f>
        <v>#VALUE!</v>
      </c>
      <c r="DL30" s="394" t="e">
        <f>(DK29*$DK$10)</f>
        <v>#VALUE!</v>
      </c>
      <c r="DM30" s="395" t="e">
        <f t="shared" si="61"/>
        <v>#VALUE!</v>
      </c>
      <c r="DN30"/>
      <c r="DO30" s="367"/>
    </row>
    <row r="31" spans="1:119" ht="15.75" customHeight="1" thickBot="1" x14ac:dyDescent="0.3">
      <c r="A31" s="1300" t="s">
        <v>282</v>
      </c>
      <c r="B31" s="1301"/>
      <c r="C31" s="1301"/>
      <c r="D31" s="1301"/>
      <c r="E31" s="1301"/>
      <c r="F31" s="1301"/>
      <c r="G31" s="1301"/>
      <c r="H31" s="1301"/>
      <c r="I31" s="1301"/>
      <c r="J31" s="1301"/>
      <c r="K31" s="1301"/>
      <c r="L31" s="1301"/>
      <c r="M31" s="1301"/>
      <c r="N31" s="1301"/>
      <c r="O31" s="1301"/>
      <c r="P31" s="1301"/>
      <c r="Q31" s="1301"/>
      <c r="R31" s="1301"/>
      <c r="S31" s="1301"/>
      <c r="T31" s="1301"/>
      <c r="U31" s="1302"/>
      <c r="AW31" s="96"/>
      <c r="AX31" s="368">
        <f t="shared" si="31"/>
        <v>19</v>
      </c>
      <c r="AY31" s="393">
        <v>20</v>
      </c>
      <c r="AZ31" s="394">
        <f t="shared" si="32"/>
        <v>1.6716762594143</v>
      </c>
      <c r="BA31" s="394">
        <f t="shared" si="33"/>
        <v>0.37946025520447302</v>
      </c>
      <c r="BB31" s="395">
        <f t="shared" si="34"/>
        <v>3.79460255204473E-3</v>
      </c>
      <c r="BC31"/>
      <c r="BD31" s="367"/>
      <c r="BE31" s="96"/>
      <c r="BF31" s="393">
        <v>20</v>
      </c>
      <c r="BG31" s="394" t="e">
        <f t="shared" si="35"/>
        <v>#VALUE!</v>
      </c>
      <c r="BH31" s="400" t="e">
        <f t="shared" si="36"/>
        <v>#VALUE!</v>
      </c>
      <c r="BI31" s="395" t="e">
        <f t="shared" si="37"/>
        <v>#VALUE!</v>
      </c>
      <c r="BJ31"/>
      <c r="BK31" s="367"/>
      <c r="BL31" s="368"/>
      <c r="BM31" s="393">
        <v>20</v>
      </c>
      <c r="BN31" s="394" t="e">
        <f t="shared" si="38"/>
        <v>#VALUE!</v>
      </c>
      <c r="BO31" s="394" t="e">
        <f t="shared" si="39"/>
        <v>#VALUE!</v>
      </c>
      <c r="BP31" s="395" t="e">
        <f t="shared" si="40"/>
        <v>#VALUE!</v>
      </c>
      <c r="BQ31"/>
      <c r="BR31" s="367"/>
      <c r="BS31" s="368"/>
      <c r="BT31" s="393">
        <v>20</v>
      </c>
      <c r="BU31" s="394" t="e">
        <f t="shared" si="41"/>
        <v>#VALUE!</v>
      </c>
      <c r="BV31" s="394" t="e">
        <f t="shared" si="42"/>
        <v>#VALUE!</v>
      </c>
      <c r="BW31" s="395" t="e">
        <f t="shared" si="43"/>
        <v>#VALUE!</v>
      </c>
      <c r="BX31"/>
      <c r="BY31" s="367"/>
      <c r="BZ31" s="368"/>
      <c r="CA31" s="393">
        <v>20</v>
      </c>
      <c r="CB31" s="394" t="e">
        <f t="shared" si="44"/>
        <v>#VALUE!</v>
      </c>
      <c r="CC31" s="394" t="e">
        <f t="shared" si="45"/>
        <v>#VALUE!</v>
      </c>
      <c r="CD31" s="395" t="e">
        <f t="shared" si="46"/>
        <v>#VALUE!</v>
      </c>
      <c r="CE31"/>
      <c r="CF31" s="367"/>
      <c r="CG31" s="368"/>
      <c r="CH31" s="393">
        <v>20</v>
      </c>
      <c r="CI31" s="394" t="e">
        <f t="shared" si="47"/>
        <v>#VALUE!</v>
      </c>
      <c r="CJ31" s="394" t="e">
        <f t="shared" si="48"/>
        <v>#VALUE!</v>
      </c>
      <c r="CK31" s="395" t="e">
        <f t="shared" si="49"/>
        <v>#VALUE!</v>
      </c>
      <c r="CL31"/>
      <c r="CM31" s="367"/>
      <c r="CN31" s="368"/>
      <c r="CO31" s="393">
        <v>20</v>
      </c>
      <c r="CP31" s="394" t="e">
        <f t="shared" si="50"/>
        <v>#VALUE!</v>
      </c>
      <c r="CQ31" s="394" t="e">
        <f t="shared" si="51"/>
        <v>#VALUE!</v>
      </c>
      <c r="CR31" s="395" t="e">
        <f t="shared" si="52"/>
        <v>#VALUE!</v>
      </c>
      <c r="CS31"/>
      <c r="CT31" s="367"/>
      <c r="CU31" s="368"/>
      <c r="CV31" s="393">
        <v>20</v>
      </c>
      <c r="CW31" s="394" t="e">
        <f t="shared" si="53"/>
        <v>#VALUE!</v>
      </c>
      <c r="CX31" s="394" t="e">
        <f t="shared" si="54"/>
        <v>#VALUE!</v>
      </c>
      <c r="CY31" s="395" t="e">
        <f t="shared" si="55"/>
        <v>#VALUE!</v>
      </c>
      <c r="CZ31"/>
      <c r="DA31" s="367"/>
      <c r="DB31" s="368"/>
      <c r="DC31" s="393">
        <v>20</v>
      </c>
      <c r="DD31" s="394" t="e">
        <f t="shared" si="56"/>
        <v>#VALUE!</v>
      </c>
      <c r="DE31" s="394" t="e">
        <f t="shared" si="57"/>
        <v>#VALUE!</v>
      </c>
      <c r="DF31" s="395" t="e">
        <f t="shared" si="58"/>
        <v>#VALUE!</v>
      </c>
      <c r="DG31"/>
      <c r="DH31" s="367"/>
      <c r="DI31" s="368"/>
      <c r="DJ31" s="393">
        <v>20</v>
      </c>
      <c r="DK31" s="394" t="e">
        <f t="shared" si="59"/>
        <v>#VALUE!</v>
      </c>
      <c r="DL31" s="394" t="e">
        <f t="shared" si="60"/>
        <v>#VALUE!</v>
      </c>
      <c r="DM31" s="395" t="e">
        <f t="shared" si="61"/>
        <v>#VALUE!</v>
      </c>
      <c r="DN31"/>
      <c r="DO31" s="367"/>
    </row>
    <row r="32" spans="1:119" ht="15.75" customHeight="1" x14ac:dyDescent="0.35">
      <c r="A32" s="270" t="s">
        <v>436</v>
      </c>
      <c r="B32" s="513">
        <f>IFERROR(B$20*landfill_uncertainty*C_to_CH4_conversion*CH4_in_landfill_gas*B$27*$AU$11*SUM($BB$12:$BB$13)*'Landfill Disposal Typical'!B$21,"N/A")</f>
        <v>0.47761805514770855</v>
      </c>
      <c r="C32" s="414"/>
      <c r="D32" s="513" t="str">
        <f>IFERROR(D$20*landfill_uncertainty*C_to_CH4_conversion*CH4_in_landfill_gas*D$27*$AU$11*SUM($BI$12:$BI$13)*'Landfill Disposal Typical'!D$21,"N/A")</f>
        <v>N/A</v>
      </c>
      <c r="E32" s="414"/>
      <c r="F32" s="513" t="str">
        <f>IFERROR(F$20*landfill_uncertainty*C_to_CH4_conversion*CH4_in_landfill_gas*F$27*$AU$11*SUM($BP$12:$BP$13)*'Landfill Disposal Typical'!F$21,"N/A")</f>
        <v>N/A</v>
      </c>
      <c r="G32" s="414"/>
      <c r="H32" s="513" t="str">
        <f>IFERROR(H$20*landfill_uncertainty*C_to_CH4_conversion*CH4_in_landfill_gas*H$27*$AU$11*SUM($BW$12:$BW$13)*'Landfill Disposal Typical'!H$21,"N/A")</f>
        <v>N/A</v>
      </c>
      <c r="I32" s="414"/>
      <c r="J32" s="513" t="str">
        <f>IFERROR(J$20*landfill_uncertainty*C_to_CH4_conversion*CH4_in_landfill_gas*J$27*$AU$11*SUM($CD$12:$CD$13)*'Landfill Disposal Typical'!J$21,"N/A")</f>
        <v>N/A</v>
      </c>
      <c r="K32" s="414"/>
      <c r="L32" s="513" t="str">
        <f>IFERROR(L$20*landfill_uncertainty*C_to_CH4_conversion*CH4_in_landfill_gas*L$27*$AU$11*SUM($CK$12:$CK$13)*'Landfill Disposal Typical'!L$21,"N/A")</f>
        <v>N/A</v>
      </c>
      <c r="M32" s="414"/>
      <c r="N32" s="513" t="str">
        <f>IFERROR(N$20*landfill_uncertainty*C_to_CH4_conversion*CH4_in_landfill_gas*N$27*$AU$11*SUM($CR$12:$CR$13)*'Landfill Disposal Typical'!N$21,"N/A")</f>
        <v>N/A</v>
      </c>
      <c r="O32" s="414"/>
      <c r="P32" s="513" t="str">
        <f>IFERROR(P$20*landfill_uncertainty*C_to_CH4_conversion*CH4_in_landfill_gas*P$27*$AU$11*SUM($CY$12:$CY$13)*'Landfill Disposal Typical'!P$21,"N/A")</f>
        <v>N/A</v>
      </c>
      <c r="Q32" s="414"/>
      <c r="R32" s="513" t="str">
        <f>IFERROR(R$20*landfill_uncertainty*C_to_CH4_conversion*CH4_in_landfill_gas*R$27*$AU$11*SUM($DF$12:$DF$13)*'Landfill Disposal Typical'!R$21,"N/A")</f>
        <v>N/A</v>
      </c>
      <c r="S32" s="414"/>
      <c r="T32" s="513" t="str">
        <f>IFERROR(T$20*landfill_uncertainty*C_to_CH4_conversion*CH4_in_landfill_gas*T$27*$AU$11*SUM($DM$12:$DM$13)*'Landfill Disposal Typical'!T$21,"N/A")</f>
        <v>N/A</v>
      </c>
      <c r="U32" s="414"/>
      <c r="AW32" s="96"/>
      <c r="AX32" s="368">
        <f t="shared" si="31"/>
        <v>20</v>
      </c>
      <c r="AY32" s="393">
        <v>21</v>
      </c>
      <c r="AZ32" s="394">
        <f t="shared" si="32"/>
        <v>1.3624161514226545</v>
      </c>
      <c r="BA32" s="394">
        <f t="shared" si="33"/>
        <v>0.30926010799164549</v>
      </c>
      <c r="BB32" s="395">
        <f t="shared" si="34"/>
        <v>3.0926010799164549E-3</v>
      </c>
      <c r="BD32" s="367"/>
      <c r="BE32" s="96"/>
      <c r="BF32" s="393">
        <v>21</v>
      </c>
      <c r="BG32" s="394" t="e">
        <f t="shared" si="35"/>
        <v>#VALUE!</v>
      </c>
      <c r="BH32" s="400" t="e">
        <f t="shared" si="36"/>
        <v>#VALUE!</v>
      </c>
      <c r="BI32" s="395" t="e">
        <f t="shared" si="37"/>
        <v>#VALUE!</v>
      </c>
      <c r="BK32" s="367"/>
      <c r="BL32" s="368"/>
      <c r="BM32" s="393">
        <v>21</v>
      </c>
      <c r="BN32" s="394" t="e">
        <f t="shared" si="38"/>
        <v>#VALUE!</v>
      </c>
      <c r="BO32" s="394" t="e">
        <f t="shared" si="39"/>
        <v>#VALUE!</v>
      </c>
      <c r="BP32" s="395" t="e">
        <f t="shared" si="40"/>
        <v>#VALUE!</v>
      </c>
      <c r="BR32" s="367"/>
      <c r="BS32" s="368"/>
      <c r="BT32" s="393">
        <v>21</v>
      </c>
      <c r="BU32" s="394" t="e">
        <f t="shared" si="41"/>
        <v>#VALUE!</v>
      </c>
      <c r="BV32" s="394" t="e">
        <f t="shared" si="42"/>
        <v>#VALUE!</v>
      </c>
      <c r="BW32" s="395" t="e">
        <f t="shared" si="43"/>
        <v>#VALUE!</v>
      </c>
      <c r="BY32" s="367"/>
      <c r="BZ32" s="368"/>
      <c r="CA32" s="393">
        <v>21</v>
      </c>
      <c r="CB32" s="394" t="e">
        <f t="shared" si="44"/>
        <v>#VALUE!</v>
      </c>
      <c r="CC32" s="394" t="e">
        <f t="shared" si="45"/>
        <v>#VALUE!</v>
      </c>
      <c r="CD32" s="395" t="e">
        <f t="shared" si="46"/>
        <v>#VALUE!</v>
      </c>
      <c r="CF32" s="367"/>
      <c r="CG32" s="368"/>
      <c r="CH32" s="393">
        <v>21</v>
      </c>
      <c r="CI32" s="394" t="e">
        <f t="shared" si="47"/>
        <v>#VALUE!</v>
      </c>
      <c r="CJ32" s="394" t="e">
        <f t="shared" si="48"/>
        <v>#VALUE!</v>
      </c>
      <c r="CK32" s="395" t="e">
        <f t="shared" si="49"/>
        <v>#VALUE!</v>
      </c>
      <c r="CM32" s="367"/>
      <c r="CN32" s="368"/>
      <c r="CO32" s="393">
        <v>21</v>
      </c>
      <c r="CP32" s="394" t="e">
        <f t="shared" si="50"/>
        <v>#VALUE!</v>
      </c>
      <c r="CQ32" s="394" t="e">
        <f t="shared" si="51"/>
        <v>#VALUE!</v>
      </c>
      <c r="CR32" s="395" t="e">
        <f t="shared" si="52"/>
        <v>#VALUE!</v>
      </c>
      <c r="CT32" s="367"/>
      <c r="CU32" s="368"/>
      <c r="CV32" s="393">
        <v>21</v>
      </c>
      <c r="CW32" s="394" t="e">
        <f t="shared" si="53"/>
        <v>#VALUE!</v>
      </c>
      <c r="CX32" s="394" t="e">
        <f t="shared" si="54"/>
        <v>#VALUE!</v>
      </c>
      <c r="CY32" s="395" t="e">
        <f t="shared" si="55"/>
        <v>#VALUE!</v>
      </c>
      <c r="DA32" s="367"/>
      <c r="DB32" s="368"/>
      <c r="DC32" s="393">
        <v>21</v>
      </c>
      <c r="DD32" s="394" t="e">
        <f t="shared" si="56"/>
        <v>#VALUE!</v>
      </c>
      <c r="DE32" s="394" t="e">
        <f t="shared" si="57"/>
        <v>#VALUE!</v>
      </c>
      <c r="DF32" s="395" t="e">
        <f t="shared" si="58"/>
        <v>#VALUE!</v>
      </c>
      <c r="DH32" s="367"/>
      <c r="DI32" s="368"/>
      <c r="DJ32" s="393">
        <v>21</v>
      </c>
      <c r="DK32" s="394" t="e">
        <f t="shared" si="59"/>
        <v>#VALUE!</v>
      </c>
      <c r="DL32" s="394" t="e">
        <f t="shared" si="60"/>
        <v>#VALUE!</v>
      </c>
      <c r="DM32" s="395" t="e">
        <f t="shared" si="61"/>
        <v>#VALUE!</v>
      </c>
      <c r="DO32" s="367"/>
    </row>
    <row r="33" spans="1:119" ht="15.75" customHeight="1" x14ac:dyDescent="0.35">
      <c r="A33" s="245" t="s">
        <v>439</v>
      </c>
      <c r="B33" s="958">
        <f>IFERROR(B$20*landfill_uncertainty*C_to_CH4_conversion*CH4_in_landfill_gas*B$27*$AU$12*SUM($BB$14:$BB$16)*'Landfill Disposal Typical'!B$21,"N/A")</f>
        <v>0.21667323666991178</v>
      </c>
      <c r="C33" s="416"/>
      <c r="D33" s="958" t="str">
        <f>IFERROR(D$20*landfill_uncertainty*C_to_CH4_conversion*CH4_in_landfill_gas*D$27*$AU$12*SUM($BI$14:$BI$16)*'Landfill Disposal Typical'!D$21,"N/A")</f>
        <v>N/A</v>
      </c>
      <c r="E33" s="416"/>
      <c r="F33" s="958" t="str">
        <f>IFERROR(F$20*landfill_uncertainty*C_to_CH4_conversion*CH4_in_landfill_gas*F$27*$AU$12*SUM($BP$14:$BP$16)*'Landfill Disposal Typical'!F$21,"N/A")</f>
        <v>N/A</v>
      </c>
      <c r="G33" s="416"/>
      <c r="H33" s="958" t="str">
        <f>IFERROR(H$20*landfill_uncertainty*C_to_CH4_conversion*CH4_in_landfill_gas*H$27*$AU$12*SUM($BW$14:$BW$16)*'Landfill Disposal Typical'!H$21,"N/A")</f>
        <v>N/A</v>
      </c>
      <c r="I33" s="416"/>
      <c r="J33" s="958" t="str">
        <f>IFERROR(J$20*landfill_uncertainty*C_to_CH4_conversion*CH4_in_landfill_gas*J$27*$AU$12*SUM($CD$14:$CD$16)*'Landfill Disposal Typical'!J$21,"N/A")</f>
        <v>N/A</v>
      </c>
      <c r="K33" s="416"/>
      <c r="L33" s="958" t="str">
        <f>IFERROR(L$20*landfill_uncertainty*C_to_CH4_conversion*CH4_in_landfill_gas*L$27*$AU$12*SUM($CK$14:$CK$16)*'Landfill Disposal Typical'!L$21,"N/A")</f>
        <v>N/A</v>
      </c>
      <c r="M33" s="416"/>
      <c r="N33" s="958" t="str">
        <f>IFERROR(N$20*landfill_uncertainty*C_to_CH4_conversion*CH4_in_landfill_gas*N$27*$AU$12*SUM($CR$14:$CR$16)*'Landfill Disposal Typical'!N$21,"N/A")</f>
        <v>N/A</v>
      </c>
      <c r="O33" s="416"/>
      <c r="P33" s="958" t="str">
        <f>IFERROR(P$20*landfill_uncertainty*C_to_CH4_conversion*CH4_in_landfill_gas*P$27*$AU$12*SUM($CY$14:$CY$16)*'Landfill Disposal Typical'!P$21,"N/A")</f>
        <v>N/A</v>
      </c>
      <c r="Q33" s="416"/>
      <c r="R33" s="958" t="str">
        <f>IFERROR(R$20*landfill_uncertainty*C_to_CH4_conversion*CH4_in_landfill_gas*R$27*$AU$12*SUM($DF$14:$DF$16)*'Landfill Disposal Typical'!R$21,"N/A")</f>
        <v>N/A</v>
      </c>
      <c r="S33" s="416"/>
      <c r="T33" s="958" t="str">
        <f>IFERROR(T$20*landfill_uncertainty*C_to_CH4_conversion*CH4_in_landfill_gas*T$27*$AU$12*SUM($DM$14:$DM$16)*'Landfill Disposal Typical'!T$21,"N/A")</f>
        <v>N/A</v>
      </c>
      <c r="U33" s="416"/>
      <c r="AW33" s="96"/>
      <c r="AX33" s="368">
        <f t="shared" si="31"/>
        <v>21</v>
      </c>
      <c r="AY33" s="393">
        <v>22</v>
      </c>
      <c r="AZ33" s="394">
        <f t="shared" si="32"/>
        <v>1.1103691634094635</v>
      </c>
      <c r="BA33" s="394">
        <f t="shared" si="33"/>
        <v>0.25204698801319109</v>
      </c>
      <c r="BB33" s="395">
        <f t="shared" si="34"/>
        <v>2.5204698801319109E-3</v>
      </c>
      <c r="BD33" s="367"/>
      <c r="BE33" s="96"/>
      <c r="BF33" s="393">
        <v>22</v>
      </c>
      <c r="BG33" s="394" t="e">
        <f t="shared" si="35"/>
        <v>#VALUE!</v>
      </c>
      <c r="BH33" s="400" t="e">
        <f t="shared" si="36"/>
        <v>#VALUE!</v>
      </c>
      <c r="BI33" s="395" t="e">
        <f t="shared" si="37"/>
        <v>#VALUE!</v>
      </c>
      <c r="BK33" s="367"/>
      <c r="BL33" s="368"/>
      <c r="BM33" s="393">
        <v>22</v>
      </c>
      <c r="BN33" s="394" t="e">
        <f t="shared" si="38"/>
        <v>#VALUE!</v>
      </c>
      <c r="BO33" s="394" t="e">
        <f t="shared" si="39"/>
        <v>#VALUE!</v>
      </c>
      <c r="BP33" s="395" t="e">
        <f t="shared" si="40"/>
        <v>#VALUE!</v>
      </c>
      <c r="BR33" s="367"/>
      <c r="BS33" s="368"/>
      <c r="BT33" s="393">
        <v>22</v>
      </c>
      <c r="BU33" s="394" t="e">
        <f t="shared" si="41"/>
        <v>#VALUE!</v>
      </c>
      <c r="BV33" s="394" t="e">
        <f t="shared" si="42"/>
        <v>#VALUE!</v>
      </c>
      <c r="BW33" s="395" t="e">
        <f t="shared" si="43"/>
        <v>#VALUE!</v>
      </c>
      <c r="BY33" s="367"/>
      <c r="BZ33" s="368"/>
      <c r="CA33" s="393">
        <v>22</v>
      </c>
      <c r="CB33" s="394" t="e">
        <f t="shared" si="44"/>
        <v>#VALUE!</v>
      </c>
      <c r="CC33" s="394" t="e">
        <f t="shared" si="45"/>
        <v>#VALUE!</v>
      </c>
      <c r="CD33" s="395" t="e">
        <f t="shared" si="46"/>
        <v>#VALUE!</v>
      </c>
      <c r="CF33" s="367"/>
      <c r="CG33" s="368"/>
      <c r="CH33" s="393">
        <v>22</v>
      </c>
      <c r="CI33" s="394" t="e">
        <f t="shared" si="47"/>
        <v>#VALUE!</v>
      </c>
      <c r="CJ33" s="394" t="e">
        <f t="shared" si="48"/>
        <v>#VALUE!</v>
      </c>
      <c r="CK33" s="395" t="e">
        <f t="shared" si="49"/>
        <v>#VALUE!</v>
      </c>
      <c r="CM33" s="367"/>
      <c r="CN33" s="368"/>
      <c r="CO33" s="393">
        <v>22</v>
      </c>
      <c r="CP33" s="394" t="e">
        <f t="shared" si="50"/>
        <v>#VALUE!</v>
      </c>
      <c r="CQ33" s="394" t="e">
        <f t="shared" si="51"/>
        <v>#VALUE!</v>
      </c>
      <c r="CR33" s="395" t="e">
        <f t="shared" si="52"/>
        <v>#VALUE!</v>
      </c>
      <c r="CT33" s="367"/>
      <c r="CU33" s="368"/>
      <c r="CV33" s="393">
        <v>22</v>
      </c>
      <c r="CW33" s="394" t="e">
        <f t="shared" si="53"/>
        <v>#VALUE!</v>
      </c>
      <c r="CX33" s="394" t="e">
        <f t="shared" si="54"/>
        <v>#VALUE!</v>
      </c>
      <c r="CY33" s="395" t="e">
        <f t="shared" si="55"/>
        <v>#VALUE!</v>
      </c>
      <c r="DA33" s="367"/>
      <c r="DB33" s="368"/>
      <c r="DC33" s="393">
        <v>22</v>
      </c>
      <c r="DD33" s="394" t="e">
        <f t="shared" si="56"/>
        <v>#VALUE!</v>
      </c>
      <c r="DE33" s="394" t="e">
        <f t="shared" si="57"/>
        <v>#VALUE!</v>
      </c>
      <c r="DF33" s="395" t="e">
        <f t="shared" si="58"/>
        <v>#VALUE!</v>
      </c>
      <c r="DH33" s="367"/>
      <c r="DI33" s="368"/>
      <c r="DJ33" s="393">
        <v>22</v>
      </c>
      <c r="DK33" s="394" t="e">
        <f t="shared" si="59"/>
        <v>#VALUE!</v>
      </c>
      <c r="DL33" s="394" t="e">
        <f t="shared" si="60"/>
        <v>#VALUE!</v>
      </c>
      <c r="DM33" s="395" t="e">
        <f t="shared" si="61"/>
        <v>#VALUE!</v>
      </c>
      <c r="DO33" s="367"/>
    </row>
    <row r="34" spans="1:119" ht="15.75" customHeight="1" x14ac:dyDescent="0.35">
      <c r="A34" s="245" t="s">
        <v>440</v>
      </c>
      <c r="B34" s="958">
        <f>+IFERROR(B$20*landfill_uncertainty*C_to_CH4_conversion*CH4_in_landfill_gas*B$27*$AU$13*SUM($BB$17:$BB$26)*'Landfill Disposal Typical'!B$21,"N/A")</f>
        <v>0.11133515210607456</v>
      </c>
      <c r="C34" s="416"/>
      <c r="D34" s="958" t="str">
        <f>+IFERROR(D$20*landfill_uncertainty*C_to_CH4_conversion*CH4_in_landfill_gas*D$27*$AU$13*SUM($BI$17:$BI$26)*'Landfill Disposal Typical'!D$21,"N/A")</f>
        <v>N/A</v>
      </c>
      <c r="E34" s="416"/>
      <c r="F34" s="958" t="str">
        <f>+IFERROR(F$20*landfill_uncertainty*C_to_CH4_conversion*CH4_in_landfill_gas*F$27*$AU$13*SUM($BP$17:$BP$26)*'Landfill Disposal Typical'!F$21,"N/A")</f>
        <v>N/A</v>
      </c>
      <c r="G34" s="416"/>
      <c r="H34" s="958" t="str">
        <f>+IFERROR(H$20*landfill_uncertainty*C_to_CH4_conversion*CH4_in_landfill_gas*H$27*$AU$13*SUM($BW$17:$BW$26)*'Landfill Disposal Typical'!H$21,"N/A")</f>
        <v>N/A</v>
      </c>
      <c r="I34" s="416"/>
      <c r="J34" s="958" t="str">
        <f>+IFERROR(J$20*landfill_uncertainty*C_to_CH4_conversion*CH4_in_landfill_gas*J$27*$AU$13*SUM($CD$17:$CD$26)*'Landfill Disposal Typical'!J$21,"N/A")</f>
        <v>N/A</v>
      </c>
      <c r="K34" s="416"/>
      <c r="L34" s="958" t="str">
        <f>+IFERROR(L$20*landfill_uncertainty*C_to_CH4_conversion*CH4_in_landfill_gas*L$27*$AU$13*SUM($CK$17:$CK$26)*'Landfill Disposal Typical'!L$21,"N/A")</f>
        <v>N/A</v>
      </c>
      <c r="M34" s="416"/>
      <c r="N34" s="958" t="str">
        <f>+IFERROR(N$20*landfill_uncertainty*C_to_CH4_conversion*CH4_in_landfill_gas*N$27*$AU$13*SUM($CR$17:$CR$26)*'Landfill Disposal Typical'!N$21,"N/A")</f>
        <v>N/A</v>
      </c>
      <c r="O34" s="416"/>
      <c r="P34" s="958" t="str">
        <f>+IFERROR(P$20*landfill_uncertainty*C_to_CH4_conversion*CH4_in_landfill_gas*P$27*$AU$13*SUM($CY$17:$CY$26)*'Landfill Disposal Typical'!P$21,"N/A")</f>
        <v>N/A</v>
      </c>
      <c r="Q34" s="416"/>
      <c r="R34" s="958" t="str">
        <f>+IFERROR(R$20*landfill_uncertainty*C_to_CH4_conversion*CH4_in_landfill_gas*R$27*$AU$13*SUM($DF$17:$DF$26)*'Landfill Disposal Typical'!R$21,"N/A")</f>
        <v>N/A</v>
      </c>
      <c r="S34" s="416"/>
      <c r="T34" s="958" t="str">
        <f>+IFERROR(T$20*landfill_uncertainty*C_to_CH4_conversion*CH4_in_landfill_gas*T$27*$AU$13*SUM($DM$17:$DM$26)*'Landfill Disposal Typical'!T$21,"N/A")</f>
        <v>N/A</v>
      </c>
      <c r="U34" s="416"/>
      <c r="AW34" s="96"/>
      <c r="AX34" s="368">
        <f t="shared" si="31"/>
        <v>22</v>
      </c>
      <c r="AY34" s="393">
        <v>23</v>
      </c>
      <c r="AZ34" s="394">
        <f t="shared" si="32"/>
        <v>0.90495086817871273</v>
      </c>
      <c r="BA34" s="394">
        <f t="shared" si="33"/>
        <v>0.20541829523075072</v>
      </c>
      <c r="BB34" s="395">
        <f t="shared" si="34"/>
        <v>2.054182952307507E-3</v>
      </c>
      <c r="BD34" s="367"/>
      <c r="BE34" s="96"/>
      <c r="BF34" s="393">
        <v>23</v>
      </c>
      <c r="BG34" s="394" t="e">
        <f t="shared" si="35"/>
        <v>#VALUE!</v>
      </c>
      <c r="BH34" s="400" t="e">
        <f t="shared" si="36"/>
        <v>#VALUE!</v>
      </c>
      <c r="BI34" s="395" t="e">
        <f t="shared" si="37"/>
        <v>#VALUE!</v>
      </c>
      <c r="BK34" s="367"/>
      <c r="BL34" s="368"/>
      <c r="BM34" s="393">
        <v>23</v>
      </c>
      <c r="BN34" s="394" t="e">
        <f t="shared" si="38"/>
        <v>#VALUE!</v>
      </c>
      <c r="BO34" s="394" t="e">
        <f t="shared" si="39"/>
        <v>#VALUE!</v>
      </c>
      <c r="BP34" s="395" t="e">
        <f t="shared" si="40"/>
        <v>#VALUE!</v>
      </c>
      <c r="BR34" s="367"/>
      <c r="BS34" s="368"/>
      <c r="BT34" s="393">
        <v>23</v>
      </c>
      <c r="BU34" s="394" t="e">
        <f t="shared" si="41"/>
        <v>#VALUE!</v>
      </c>
      <c r="BV34" s="394" t="e">
        <f t="shared" si="42"/>
        <v>#VALUE!</v>
      </c>
      <c r="BW34" s="395" t="e">
        <f t="shared" si="43"/>
        <v>#VALUE!</v>
      </c>
      <c r="BY34" s="367"/>
      <c r="BZ34" s="368"/>
      <c r="CA34" s="393">
        <v>23</v>
      </c>
      <c r="CB34" s="394" t="e">
        <f t="shared" si="44"/>
        <v>#VALUE!</v>
      </c>
      <c r="CC34" s="394" t="e">
        <f t="shared" si="45"/>
        <v>#VALUE!</v>
      </c>
      <c r="CD34" s="395" t="e">
        <f t="shared" si="46"/>
        <v>#VALUE!</v>
      </c>
      <c r="CF34" s="367"/>
      <c r="CG34" s="368"/>
      <c r="CH34" s="393">
        <v>23</v>
      </c>
      <c r="CI34" s="394" t="e">
        <f t="shared" si="47"/>
        <v>#VALUE!</v>
      </c>
      <c r="CJ34" s="394" t="e">
        <f t="shared" si="48"/>
        <v>#VALUE!</v>
      </c>
      <c r="CK34" s="395" t="e">
        <f t="shared" si="49"/>
        <v>#VALUE!</v>
      </c>
      <c r="CM34" s="367"/>
      <c r="CN34" s="368"/>
      <c r="CO34" s="393">
        <v>23</v>
      </c>
      <c r="CP34" s="394" t="e">
        <f t="shared" si="50"/>
        <v>#VALUE!</v>
      </c>
      <c r="CQ34" s="394" t="e">
        <f t="shared" si="51"/>
        <v>#VALUE!</v>
      </c>
      <c r="CR34" s="395" t="e">
        <f t="shared" si="52"/>
        <v>#VALUE!</v>
      </c>
      <c r="CT34" s="367"/>
      <c r="CU34" s="368"/>
      <c r="CV34" s="393">
        <v>23</v>
      </c>
      <c r="CW34" s="394" t="e">
        <f t="shared" si="53"/>
        <v>#VALUE!</v>
      </c>
      <c r="CX34" s="394" t="e">
        <f t="shared" si="54"/>
        <v>#VALUE!</v>
      </c>
      <c r="CY34" s="395" t="e">
        <f t="shared" si="55"/>
        <v>#VALUE!</v>
      </c>
      <c r="DA34" s="367"/>
      <c r="DB34" s="368"/>
      <c r="DC34" s="393">
        <v>23</v>
      </c>
      <c r="DD34" s="394" t="e">
        <f t="shared" si="56"/>
        <v>#VALUE!</v>
      </c>
      <c r="DE34" s="394" t="e">
        <f t="shared" si="57"/>
        <v>#VALUE!</v>
      </c>
      <c r="DF34" s="395" t="e">
        <f t="shared" si="58"/>
        <v>#VALUE!</v>
      </c>
      <c r="DH34" s="367"/>
      <c r="DI34" s="368"/>
      <c r="DJ34" s="393">
        <v>23</v>
      </c>
      <c r="DK34" s="394" t="e">
        <f t="shared" si="59"/>
        <v>#VALUE!</v>
      </c>
      <c r="DL34" s="394" t="e">
        <f t="shared" si="60"/>
        <v>#VALUE!</v>
      </c>
      <c r="DM34" s="395" t="e">
        <f t="shared" si="61"/>
        <v>#VALUE!</v>
      </c>
      <c r="DO34" s="367"/>
    </row>
    <row r="35" spans="1:119" ht="15.75" customHeight="1" x14ac:dyDescent="0.35">
      <c r="A35" s="245" t="s">
        <v>428</v>
      </c>
      <c r="B35" s="517">
        <f>+IFERROR(B$20*landfill_uncertainty*$AU$14*(1-B$23)*C_to_CH4_conversion*CH4_in_landfill_gas*B$27*$AU$14*(SUM($BB$27:$BB$41))*'Landfill Disposal Typical'!B$21,"N/A")</f>
        <v>5.6749762346716432E-4</v>
      </c>
      <c r="C35" s="416"/>
      <c r="D35" s="517" t="str">
        <f>+IFERROR(D$20*landfill_uncertainty*$AU$14*(1-D$23)*C_to_CH4_conversion*CH4_in_landfill_gas*D$27*$AU$14*(SUM($BI$27:$BI$41))*'Landfill Disposal Typical'!D$21,"N/A")</f>
        <v>N/A</v>
      </c>
      <c r="E35" s="416"/>
      <c r="F35" s="517" t="str">
        <f>+IFERROR(F$20*landfill_uncertainty*$AU$14*(1-F$23)*C_to_CH4_conversion*CH4_in_landfill_gas*F$27*$AU$14*(SUM($BP$27:$BP$41))*'Landfill Disposal Typical'!F$21,"N/A")</f>
        <v>N/A</v>
      </c>
      <c r="G35" s="416"/>
      <c r="H35" s="517" t="str">
        <f>+IFERROR(H$20*landfill_uncertainty*$AU$14*(1-H$23)*C_to_CH4_conversion*CH4_in_landfill_gas*H$27*$AU$14*(SUM($BW$27:$BW$41))*'Landfill Disposal Typical'!H$21,"N/A")</f>
        <v>N/A</v>
      </c>
      <c r="I35" s="416"/>
      <c r="J35" s="517" t="str">
        <f>+IFERROR(J$20*landfill_uncertainty*$AU$14*(1-J$23)*C_to_CH4_conversion*CH4_in_landfill_gas*J$27*$AU$14*(SUM($CD$27:$CD$41))*'Landfill Disposal Typical'!J$21,"N/A")</f>
        <v>N/A</v>
      </c>
      <c r="K35" s="416"/>
      <c r="L35" s="517" t="str">
        <f>+IFERROR(L$20*landfill_uncertainty*$AU$14*(1-L$23)*C_to_CH4_conversion*CH4_in_landfill_gas*L$27*$AU$14*(SUM($CK$27:$CK$41))*'Landfill Disposal Typical'!L$21,"N/A")</f>
        <v>N/A</v>
      </c>
      <c r="M35" s="416"/>
      <c r="N35" s="517" t="str">
        <f>+IFERROR(N$20*landfill_uncertainty*$AU$14*(1-N$23)*C_to_CH4_conversion*CH4_in_landfill_gas*N$27*$AU$14*(SUM($CR$27:$CR$41))*'Landfill Disposal Typical'!N$21,"N/A")</f>
        <v>N/A</v>
      </c>
      <c r="O35" s="416"/>
      <c r="P35" s="517" t="str">
        <f>+IFERROR(P$20*landfill_uncertainty*$AU$14*(1-P$23)*C_to_CH4_conversion*CH4_in_landfill_gas*P$27*$AU$14*(SUM($CY$27:$CY$41))*'Landfill Disposal Typical'!P$21,"N/A")</f>
        <v>N/A</v>
      </c>
      <c r="Q35" s="416"/>
      <c r="R35" s="517" t="str">
        <f>+IFERROR(R$20*landfill_uncertainty*$AU$14*(1-R$23)*C_to_CH4_conversion*CH4_in_landfill_gas*R$27*$AU$14*(SUM($DF$27:$DF$41))*'Landfill Disposal Typical'!R$21,"N/A")</f>
        <v>N/A</v>
      </c>
      <c r="S35" s="416"/>
      <c r="T35" s="517" t="str">
        <f>+IFERROR(T$20*landfill_uncertainty*$AU$14*(1-T$23)*C_to_CH4_conversion*CH4_in_landfill_gas*T$27*$AU$14*(SUM($DM$27:$DM$41))*'Landfill Disposal Typical'!T$21,"N/A")</f>
        <v>N/A</v>
      </c>
      <c r="U35" s="416"/>
      <c r="AW35" s="96"/>
      <c r="AX35" s="368">
        <f t="shared" si="31"/>
        <v>23</v>
      </c>
      <c r="AY35" s="393">
        <v>24</v>
      </c>
      <c r="AZ35" s="394">
        <f t="shared" si="32"/>
        <v>0.73753495756565091</v>
      </c>
      <c r="BA35" s="394">
        <f t="shared" si="33"/>
        <v>0.16741591061306185</v>
      </c>
      <c r="BB35" s="395">
        <f t="shared" si="34"/>
        <v>1.6741591061306185E-3</v>
      </c>
      <c r="BD35" s="367"/>
      <c r="BE35" s="96"/>
      <c r="BF35" s="393">
        <v>24</v>
      </c>
      <c r="BG35" s="394" t="e">
        <f t="shared" si="35"/>
        <v>#VALUE!</v>
      </c>
      <c r="BH35" s="400" t="e">
        <f t="shared" si="36"/>
        <v>#VALUE!</v>
      </c>
      <c r="BI35" s="395" t="e">
        <f t="shared" si="37"/>
        <v>#VALUE!</v>
      </c>
      <c r="BK35" s="367"/>
      <c r="BL35" s="368"/>
      <c r="BM35" s="393">
        <v>24</v>
      </c>
      <c r="BN35" s="394" t="e">
        <f t="shared" si="38"/>
        <v>#VALUE!</v>
      </c>
      <c r="BO35" s="394" t="e">
        <f t="shared" si="39"/>
        <v>#VALUE!</v>
      </c>
      <c r="BP35" s="395" t="e">
        <f t="shared" si="40"/>
        <v>#VALUE!</v>
      </c>
      <c r="BR35" s="367"/>
      <c r="BS35" s="368"/>
      <c r="BT35" s="393">
        <v>24</v>
      </c>
      <c r="BU35" s="394" t="e">
        <f t="shared" si="41"/>
        <v>#VALUE!</v>
      </c>
      <c r="BV35" s="394" t="e">
        <f t="shared" si="42"/>
        <v>#VALUE!</v>
      </c>
      <c r="BW35" s="395" t="e">
        <f t="shared" si="43"/>
        <v>#VALUE!</v>
      </c>
      <c r="BY35" s="367"/>
      <c r="BZ35" s="368"/>
      <c r="CA35" s="393">
        <v>24</v>
      </c>
      <c r="CB35" s="394" t="e">
        <f t="shared" si="44"/>
        <v>#VALUE!</v>
      </c>
      <c r="CC35" s="394" t="e">
        <f t="shared" si="45"/>
        <v>#VALUE!</v>
      </c>
      <c r="CD35" s="395" t="e">
        <f t="shared" si="46"/>
        <v>#VALUE!</v>
      </c>
      <c r="CF35" s="367"/>
      <c r="CG35" s="368"/>
      <c r="CH35" s="393">
        <v>24</v>
      </c>
      <c r="CI35" s="394" t="e">
        <f t="shared" si="47"/>
        <v>#VALUE!</v>
      </c>
      <c r="CJ35" s="394" t="e">
        <f t="shared" si="48"/>
        <v>#VALUE!</v>
      </c>
      <c r="CK35" s="395" t="e">
        <f t="shared" si="49"/>
        <v>#VALUE!</v>
      </c>
      <c r="CM35" s="367"/>
      <c r="CN35" s="368"/>
      <c r="CO35" s="393">
        <v>24</v>
      </c>
      <c r="CP35" s="394" t="e">
        <f t="shared" si="50"/>
        <v>#VALUE!</v>
      </c>
      <c r="CQ35" s="394" t="e">
        <f t="shared" si="51"/>
        <v>#VALUE!</v>
      </c>
      <c r="CR35" s="395" t="e">
        <f t="shared" si="52"/>
        <v>#VALUE!</v>
      </c>
      <c r="CT35" s="367"/>
      <c r="CU35" s="368"/>
      <c r="CV35" s="393">
        <v>24</v>
      </c>
      <c r="CW35" s="394" t="e">
        <f t="shared" si="53"/>
        <v>#VALUE!</v>
      </c>
      <c r="CX35" s="394" t="e">
        <f t="shared" si="54"/>
        <v>#VALUE!</v>
      </c>
      <c r="CY35" s="395" t="e">
        <f t="shared" si="55"/>
        <v>#VALUE!</v>
      </c>
      <c r="DA35" s="367"/>
      <c r="DB35" s="368"/>
      <c r="DC35" s="393">
        <v>24</v>
      </c>
      <c r="DD35" s="394" t="e">
        <f t="shared" si="56"/>
        <v>#VALUE!</v>
      </c>
      <c r="DE35" s="394" t="e">
        <f t="shared" si="57"/>
        <v>#VALUE!</v>
      </c>
      <c r="DF35" s="395" t="e">
        <f t="shared" si="58"/>
        <v>#VALUE!</v>
      </c>
      <c r="DH35" s="367"/>
      <c r="DI35" s="368"/>
      <c r="DJ35" s="393">
        <v>24</v>
      </c>
      <c r="DK35" s="394" t="e">
        <f t="shared" si="59"/>
        <v>#VALUE!</v>
      </c>
      <c r="DL35" s="394" t="e">
        <f t="shared" si="60"/>
        <v>#VALUE!</v>
      </c>
      <c r="DM35" s="395" t="e">
        <f t="shared" si="61"/>
        <v>#VALUE!</v>
      </c>
      <c r="DO35" s="367"/>
    </row>
    <row r="36" spans="1:119" ht="15.75" customHeight="1" x14ac:dyDescent="0.35">
      <c r="A36" s="245" t="s">
        <v>11</v>
      </c>
      <c r="B36" s="517">
        <f>+IFERROR(B$20*landfill_uncertainty*C_to_CH4_conversion*CH4_in_landfill_gas*B$27*B$21*(($AS$11*SUM($BB$12:$BB$13)+($AS$12*SUM($BB$14:$BB$16))+($AS$13*SUM($BB$17:$BB$26))+($AS$14*SUM($BB$27:$BB$41)))*fugitive_methane_combustion_IPCC),"N/A")</f>
        <v>6.0742845533485208E-3</v>
      </c>
      <c r="C36" s="416"/>
      <c r="D36" s="517" t="str">
        <f>+IFERROR(D$20*landfill_uncertainty*C_to_CH4_conversion*CH4_in_landfill_gas*D$27*D$21*(($AS$11*SUM($BI$12:$BI$13)+($AS$12*SUM($BI$14:$BI$16))+($AS$13*SUM($BI$17:$BI$26))+($AS$14*SUM($BI$27:$BI$41)))*fugitive_methane_combustion_IPCC),"N/A")</f>
        <v>N/A</v>
      </c>
      <c r="E36" s="416"/>
      <c r="F36" s="517" t="str">
        <f>+IFERROR(F$20*landfill_uncertainty*C_to_CH4_conversion*CH4_in_landfill_gas*F$27*F$21*(($AS$11*SUM($BP$12:$BP$13)+($AS$12*SUM($BP$14:$BP$16))+($AS$13*SUM($BP$17:$BP$26))+($AS$14*SUM($BP$27:$BP$41)))*fugitive_methane_combustion_IPCC),"N/A")</f>
        <v>N/A</v>
      </c>
      <c r="G36" s="416"/>
      <c r="H36" s="517" t="str">
        <f>+IFERROR(H$20*landfill_uncertainty*C_to_CH4_conversion*CH4_in_landfill_gas*H$27*H$21*(($AS$11*SUM($BW$12:$BW$13)+($AS$12*SUM($BW$14:$BW$16))+($AS$13*SUM($BW$17:$BW$26))+($AS$14*SUM($BW$27:$BW$41)))*fugitive_methane_combustion_IPCC),"N/A")</f>
        <v>N/A</v>
      </c>
      <c r="I36" s="416"/>
      <c r="J36" s="517" t="str">
        <f>+IFERROR(J$20*landfill_uncertainty*C_to_CH4_conversion*CH4_in_landfill_gas*J$27*J$21*(($AS$11*SUM($CD$12:$CD$13)+($AS$12*SUM($CD$14:$CD$16))+($AS$13*SUM($CD$17:$CD$26))+($AS$14*SUM($CD$27:$CD$41)))*fugitive_methane_combustion_IPCC),"N/A")</f>
        <v>N/A</v>
      </c>
      <c r="K36" s="416"/>
      <c r="L36" s="517" t="str">
        <f>+IFERROR(L$20*landfill_uncertainty*C_to_CH4_conversion*CH4_in_landfill_gas*L$27*L$21*(($AS$11*SUM($CK$12:$CK$13)+($AS$12*SUM($CK$14:$CK$16))+($AS$13*SUM($CK$17:$CK$26))+($AS$14*SUM($CK$27:$CK$41)))*fugitive_methane_combustion_IPCC),"N/A")</f>
        <v>N/A</v>
      </c>
      <c r="M36" s="416"/>
      <c r="N36" s="517" t="str">
        <f>+IFERROR(N$20*landfill_uncertainty*C_to_CH4_conversion*CH4_in_landfill_gas*N$27*N$21*(($AS$11*SUM($CR$12:$CR$13)+($AS$12*SUM($CR$14:$CR$16))+($AS$13*SUM($CR$17:$CR$26))+($AS$14*SUM($CR$27:$CR$41)))*fugitive_methane_combustion_IPCC),"N/A")</f>
        <v>N/A</v>
      </c>
      <c r="O36" s="416"/>
      <c r="P36" s="517" t="str">
        <f>+IFERROR(P$20*landfill_uncertainty*C_to_CH4_conversion*CH4_in_landfill_gas*P$27*P$21*(($AS$11*SUM($CY$12:$CY$13)+($AS$12*SUM($CY$14:$CY$16))+($AS$13*SUM($CY$17:$CY$26))+($AS$14*SUM($CY$27:$CY$41)))*fugitive_methane_combustion_IPCC),"N/A")</f>
        <v>N/A</v>
      </c>
      <c r="Q36" s="416"/>
      <c r="R36" s="517" t="str">
        <f>+IFERROR(R$20*landfill_uncertainty*C_to_CH4_conversion*CH4_in_landfill_gas*R$27*R$21*(($AS$11*SUM($DF$12:$DF$13)+($AS$12*SUM($DF$14:$DF$16))+($AS$13*SUM($DF$17:$DF$26))+($AS$14*SUM($DF$27:$DF$41)))*fugitive_methane_combustion_IPCC),"N/A")</f>
        <v>N/A</v>
      </c>
      <c r="S36" s="416"/>
      <c r="T36" s="517" t="str">
        <f>+IFERROR(T$20*landfill_uncertainty*C_to_CH4_conversion*CH4_in_landfill_gas*T$27*T$21*(($AS$11*SUM($DM$12:$DM$13)+($AS$12*SUM($DM$14:$DM$16))+($AS$13*SUM($DM$17:$DM$26))+($AS$14*SUM($DM$27:$DM$41)))*fugitive_methane_combustion_IPCC),"N/A")</f>
        <v>N/A</v>
      </c>
      <c r="U36" s="416"/>
      <c r="AW36" s="96"/>
      <c r="AX36" s="368">
        <f t="shared" si="31"/>
        <v>24</v>
      </c>
      <c r="AY36" s="393">
        <v>25</v>
      </c>
      <c r="AZ36" s="394">
        <f t="shared" si="32"/>
        <v>0.60109099041600556</v>
      </c>
      <c r="BA36" s="394">
        <f t="shared" si="33"/>
        <v>0.13644396714964541</v>
      </c>
      <c r="BB36" s="395">
        <f t="shared" si="34"/>
        <v>1.364439671496454E-3</v>
      </c>
      <c r="BD36" s="367"/>
      <c r="BE36" s="96"/>
      <c r="BF36" s="393">
        <v>25</v>
      </c>
      <c r="BG36" s="394" t="e">
        <f t="shared" si="35"/>
        <v>#VALUE!</v>
      </c>
      <c r="BH36" s="400" t="e">
        <f t="shared" si="36"/>
        <v>#VALUE!</v>
      </c>
      <c r="BI36" s="395" t="e">
        <f t="shared" si="37"/>
        <v>#VALUE!</v>
      </c>
      <c r="BK36" s="367"/>
      <c r="BL36" s="368"/>
      <c r="BM36" s="393">
        <v>25</v>
      </c>
      <c r="BN36" s="394" t="e">
        <f t="shared" si="38"/>
        <v>#VALUE!</v>
      </c>
      <c r="BO36" s="394" t="e">
        <f t="shared" si="39"/>
        <v>#VALUE!</v>
      </c>
      <c r="BP36" s="395" t="e">
        <f t="shared" si="40"/>
        <v>#VALUE!</v>
      </c>
      <c r="BR36" s="367"/>
      <c r="BS36" s="368"/>
      <c r="BT36" s="393">
        <v>25</v>
      </c>
      <c r="BU36" s="394" t="e">
        <f t="shared" si="41"/>
        <v>#VALUE!</v>
      </c>
      <c r="BV36" s="394" t="e">
        <f t="shared" si="42"/>
        <v>#VALUE!</v>
      </c>
      <c r="BW36" s="395" t="e">
        <f t="shared" si="43"/>
        <v>#VALUE!</v>
      </c>
      <c r="BY36" s="367"/>
      <c r="BZ36" s="368"/>
      <c r="CA36" s="393">
        <v>25</v>
      </c>
      <c r="CB36" s="394" t="e">
        <f t="shared" si="44"/>
        <v>#VALUE!</v>
      </c>
      <c r="CC36" s="394" t="e">
        <f t="shared" si="45"/>
        <v>#VALUE!</v>
      </c>
      <c r="CD36" s="395" t="e">
        <f t="shared" si="46"/>
        <v>#VALUE!</v>
      </c>
      <c r="CF36" s="367"/>
      <c r="CG36" s="368"/>
      <c r="CH36" s="393">
        <v>25</v>
      </c>
      <c r="CI36" s="394" t="e">
        <f t="shared" si="47"/>
        <v>#VALUE!</v>
      </c>
      <c r="CJ36" s="394" t="e">
        <f t="shared" si="48"/>
        <v>#VALUE!</v>
      </c>
      <c r="CK36" s="395" t="e">
        <f t="shared" si="49"/>
        <v>#VALUE!</v>
      </c>
      <c r="CM36" s="367"/>
      <c r="CN36" s="368"/>
      <c r="CO36" s="393">
        <v>25</v>
      </c>
      <c r="CP36" s="394" t="e">
        <f t="shared" si="50"/>
        <v>#VALUE!</v>
      </c>
      <c r="CQ36" s="394" t="e">
        <f t="shared" si="51"/>
        <v>#VALUE!</v>
      </c>
      <c r="CR36" s="395" t="e">
        <f t="shared" si="52"/>
        <v>#VALUE!</v>
      </c>
      <c r="CT36" s="367"/>
      <c r="CU36" s="368"/>
      <c r="CV36" s="393">
        <v>25</v>
      </c>
      <c r="CW36" s="394" t="e">
        <f t="shared" si="53"/>
        <v>#VALUE!</v>
      </c>
      <c r="CX36" s="394" t="e">
        <f t="shared" si="54"/>
        <v>#VALUE!</v>
      </c>
      <c r="CY36" s="395" t="e">
        <f t="shared" si="55"/>
        <v>#VALUE!</v>
      </c>
      <c r="DA36" s="367"/>
      <c r="DB36" s="368"/>
      <c r="DC36" s="393">
        <v>25</v>
      </c>
      <c r="DD36" s="394" t="e">
        <f t="shared" si="56"/>
        <v>#VALUE!</v>
      </c>
      <c r="DE36" s="394" t="e">
        <f t="shared" si="57"/>
        <v>#VALUE!</v>
      </c>
      <c r="DF36" s="395" t="e">
        <f t="shared" si="58"/>
        <v>#VALUE!</v>
      </c>
      <c r="DH36" s="367"/>
      <c r="DI36" s="368"/>
      <c r="DJ36" s="393">
        <v>25</v>
      </c>
      <c r="DK36" s="394" t="e">
        <f t="shared" si="59"/>
        <v>#VALUE!</v>
      </c>
      <c r="DL36" s="394" t="e">
        <f t="shared" si="60"/>
        <v>#VALUE!</v>
      </c>
      <c r="DM36" s="395" t="e">
        <f t="shared" si="61"/>
        <v>#VALUE!</v>
      </c>
      <c r="DO36" s="367"/>
    </row>
    <row r="37" spans="1:119" ht="15.75" customHeight="1" x14ac:dyDescent="0.3">
      <c r="A37" s="417" t="s">
        <v>337</v>
      </c>
      <c r="B37" s="418">
        <f>SUM(B32:B36)*CO2E_of_CH4_ClimateReg</f>
        <v>20.306705652512765</v>
      </c>
      <c r="C37" s="419"/>
      <c r="D37" s="420">
        <f>SUM(D32:D36)*CO2E_of_CH4_ClimateReg</f>
        <v>0</v>
      </c>
      <c r="E37" s="419"/>
      <c r="F37" s="420">
        <f>SUM(F32:F36)*CO2E_of_CH4_ClimateReg</f>
        <v>0</v>
      </c>
      <c r="G37" s="419"/>
      <c r="H37" s="420">
        <f>SUM(H32:H36)*CO2E_of_CH4_ClimateReg</f>
        <v>0</v>
      </c>
      <c r="I37" s="419"/>
      <c r="J37" s="420">
        <f>SUM(J32:J36)*CO2E_of_CH4_ClimateReg</f>
        <v>0</v>
      </c>
      <c r="K37" s="419"/>
      <c r="L37" s="420">
        <f>SUM(L32:L36)*CO2E_of_CH4_ClimateReg</f>
        <v>0</v>
      </c>
      <c r="M37" s="419"/>
      <c r="N37" s="420">
        <f>SUM(N32:N36)*CO2E_of_CH4_ClimateReg</f>
        <v>0</v>
      </c>
      <c r="O37" s="419"/>
      <c r="P37" s="420">
        <f>SUM(P32:P36)*CO2E_of_CH4_ClimateReg</f>
        <v>0</v>
      </c>
      <c r="Q37" s="419"/>
      <c r="R37" s="420">
        <f>SUM(R32:R36)*CO2E_of_CH4_ClimateReg</f>
        <v>0</v>
      </c>
      <c r="S37" s="419"/>
      <c r="T37" s="420">
        <f>SUM(T32:T36)*CO2E_of_CH4_ClimateReg</f>
        <v>0</v>
      </c>
      <c r="U37" s="419"/>
      <c r="AU37" s="130"/>
      <c r="AV37"/>
      <c r="AW37" s="96"/>
      <c r="AX37" s="368">
        <f t="shared" si="31"/>
        <v>25</v>
      </c>
      <c r="AY37" s="393">
        <v>26</v>
      </c>
      <c r="AZ37" s="394">
        <f t="shared" si="32"/>
        <v>0.48988915718904452</v>
      </c>
      <c r="BA37" s="394">
        <f t="shared" si="33"/>
        <v>0.11120183322696103</v>
      </c>
      <c r="BB37" s="395">
        <f t="shared" si="34"/>
        <v>1.1120183322696103E-3</v>
      </c>
      <c r="BD37" s="367"/>
      <c r="BE37" s="96"/>
      <c r="BF37" s="393">
        <v>26</v>
      </c>
      <c r="BG37" s="394" t="e">
        <f t="shared" si="35"/>
        <v>#VALUE!</v>
      </c>
      <c r="BH37" s="400" t="e">
        <f t="shared" si="36"/>
        <v>#VALUE!</v>
      </c>
      <c r="BI37" s="395" t="e">
        <f t="shared" si="37"/>
        <v>#VALUE!</v>
      </c>
      <c r="BK37" s="367"/>
      <c r="BL37" s="368"/>
      <c r="BM37" s="393">
        <v>26</v>
      </c>
      <c r="BN37" s="394" t="e">
        <f t="shared" si="38"/>
        <v>#VALUE!</v>
      </c>
      <c r="BO37" s="394" t="e">
        <f t="shared" si="39"/>
        <v>#VALUE!</v>
      </c>
      <c r="BP37" s="395" t="e">
        <f t="shared" si="40"/>
        <v>#VALUE!</v>
      </c>
      <c r="BR37" s="367"/>
      <c r="BS37" s="368"/>
      <c r="BT37" s="393">
        <v>26</v>
      </c>
      <c r="BU37" s="394" t="e">
        <f t="shared" si="41"/>
        <v>#VALUE!</v>
      </c>
      <c r="BV37" s="394" t="e">
        <f t="shared" si="42"/>
        <v>#VALUE!</v>
      </c>
      <c r="BW37" s="395" t="e">
        <f t="shared" si="43"/>
        <v>#VALUE!</v>
      </c>
      <c r="BY37" s="367"/>
      <c r="BZ37" s="368"/>
      <c r="CA37" s="393">
        <v>26</v>
      </c>
      <c r="CB37" s="394" t="e">
        <f t="shared" si="44"/>
        <v>#VALUE!</v>
      </c>
      <c r="CC37" s="394" t="e">
        <f t="shared" si="45"/>
        <v>#VALUE!</v>
      </c>
      <c r="CD37" s="395" t="e">
        <f t="shared" si="46"/>
        <v>#VALUE!</v>
      </c>
      <c r="CF37" s="367"/>
      <c r="CG37" s="368"/>
      <c r="CH37" s="393">
        <v>26</v>
      </c>
      <c r="CI37" s="394" t="e">
        <f t="shared" si="47"/>
        <v>#VALUE!</v>
      </c>
      <c r="CJ37" s="394" t="e">
        <f t="shared" si="48"/>
        <v>#VALUE!</v>
      </c>
      <c r="CK37" s="395" t="e">
        <f t="shared" si="49"/>
        <v>#VALUE!</v>
      </c>
      <c r="CM37" s="367"/>
      <c r="CN37" s="368"/>
      <c r="CO37" s="393">
        <v>26</v>
      </c>
      <c r="CP37" s="394" t="e">
        <f t="shared" si="50"/>
        <v>#VALUE!</v>
      </c>
      <c r="CQ37" s="394" t="e">
        <f t="shared" si="51"/>
        <v>#VALUE!</v>
      </c>
      <c r="CR37" s="395" t="e">
        <f t="shared" si="52"/>
        <v>#VALUE!</v>
      </c>
      <c r="CT37" s="367"/>
      <c r="CU37" s="368"/>
      <c r="CV37" s="393">
        <v>26</v>
      </c>
      <c r="CW37" s="394" t="e">
        <f t="shared" si="53"/>
        <v>#VALUE!</v>
      </c>
      <c r="CX37" s="394" t="e">
        <f t="shared" si="54"/>
        <v>#VALUE!</v>
      </c>
      <c r="CY37" s="395" t="e">
        <f t="shared" si="55"/>
        <v>#VALUE!</v>
      </c>
      <c r="DA37" s="367"/>
      <c r="DB37" s="368"/>
      <c r="DC37" s="393">
        <v>26</v>
      </c>
      <c r="DD37" s="394" t="e">
        <f t="shared" si="56"/>
        <v>#VALUE!</v>
      </c>
      <c r="DE37" s="394" t="e">
        <f t="shared" si="57"/>
        <v>#VALUE!</v>
      </c>
      <c r="DF37" s="395" t="e">
        <f t="shared" si="58"/>
        <v>#VALUE!</v>
      </c>
      <c r="DH37" s="367"/>
      <c r="DI37" s="368"/>
      <c r="DJ37" s="393">
        <v>26</v>
      </c>
      <c r="DK37" s="394" t="e">
        <f t="shared" si="59"/>
        <v>#VALUE!</v>
      </c>
      <c r="DL37" s="394" t="e">
        <f t="shared" si="60"/>
        <v>#VALUE!</v>
      </c>
      <c r="DM37" s="395" t="e">
        <f t="shared" si="61"/>
        <v>#VALUE!</v>
      </c>
      <c r="DO37" s="367"/>
    </row>
    <row r="38" spans="1:119" ht="15.75" customHeight="1" thickBot="1" x14ac:dyDescent="0.3">
      <c r="A38" s="341"/>
      <c r="B38" s="337"/>
      <c r="C38" s="954"/>
      <c r="D38" s="337"/>
      <c r="E38" s="335"/>
      <c r="F38" s="337"/>
      <c r="G38" s="335"/>
      <c r="H38" s="337"/>
      <c r="I38" s="335"/>
      <c r="J38" s="337"/>
      <c r="K38" s="954"/>
      <c r="L38" s="337"/>
      <c r="M38" s="335"/>
      <c r="N38" s="337"/>
      <c r="O38" s="335"/>
      <c r="P38" s="337"/>
      <c r="Q38" s="335"/>
      <c r="R38" s="337"/>
      <c r="S38" s="335"/>
      <c r="T38" s="337"/>
      <c r="U38" s="335"/>
      <c r="AS38" s="386">
        <v>1</v>
      </c>
      <c r="AT38" t="s">
        <v>413</v>
      </c>
      <c r="AU38"/>
      <c r="AV38"/>
      <c r="AW38" s="96"/>
      <c r="AX38" s="368">
        <f t="shared" si="31"/>
        <v>26</v>
      </c>
      <c r="AY38" s="393">
        <v>27</v>
      </c>
      <c r="AZ38" s="394">
        <f t="shared" si="32"/>
        <v>0.39925966310907129</v>
      </c>
      <c r="BA38" s="394">
        <f t="shared" si="33"/>
        <v>9.0629494079973241E-2</v>
      </c>
      <c r="BB38" s="395">
        <f t="shared" si="34"/>
        <v>9.0629494079973237E-4</v>
      </c>
      <c r="BD38" s="367"/>
      <c r="BE38" s="96"/>
      <c r="BF38" s="393">
        <v>27</v>
      </c>
      <c r="BG38" s="394" t="e">
        <f t="shared" si="35"/>
        <v>#VALUE!</v>
      </c>
      <c r="BH38" s="400" t="e">
        <f t="shared" si="36"/>
        <v>#VALUE!</v>
      </c>
      <c r="BI38" s="395" t="e">
        <f t="shared" si="37"/>
        <v>#VALUE!</v>
      </c>
      <c r="BK38" s="367"/>
      <c r="BL38" s="368"/>
      <c r="BM38" s="393">
        <v>27</v>
      </c>
      <c r="BN38" s="394" t="e">
        <f t="shared" si="38"/>
        <v>#VALUE!</v>
      </c>
      <c r="BO38" s="394" t="e">
        <f t="shared" si="39"/>
        <v>#VALUE!</v>
      </c>
      <c r="BP38" s="395" t="e">
        <f t="shared" si="40"/>
        <v>#VALUE!</v>
      </c>
      <c r="BR38" s="367"/>
      <c r="BS38" s="368"/>
      <c r="BT38" s="393">
        <v>27</v>
      </c>
      <c r="BU38" s="394" t="e">
        <f t="shared" si="41"/>
        <v>#VALUE!</v>
      </c>
      <c r="BV38" s="394" t="e">
        <f t="shared" si="42"/>
        <v>#VALUE!</v>
      </c>
      <c r="BW38" s="395" t="e">
        <f t="shared" si="43"/>
        <v>#VALUE!</v>
      </c>
      <c r="BY38" s="367"/>
      <c r="BZ38" s="368"/>
      <c r="CA38" s="393">
        <v>27</v>
      </c>
      <c r="CB38" s="394" t="e">
        <f t="shared" si="44"/>
        <v>#VALUE!</v>
      </c>
      <c r="CC38" s="394" t="e">
        <f t="shared" si="45"/>
        <v>#VALUE!</v>
      </c>
      <c r="CD38" s="395" t="e">
        <f t="shared" si="46"/>
        <v>#VALUE!</v>
      </c>
      <c r="CF38" s="367"/>
      <c r="CG38" s="368"/>
      <c r="CH38" s="393">
        <v>27</v>
      </c>
      <c r="CI38" s="394" t="e">
        <f t="shared" si="47"/>
        <v>#VALUE!</v>
      </c>
      <c r="CJ38" s="394" t="e">
        <f t="shared" si="48"/>
        <v>#VALUE!</v>
      </c>
      <c r="CK38" s="395" t="e">
        <f t="shared" si="49"/>
        <v>#VALUE!</v>
      </c>
      <c r="CM38" s="367"/>
      <c r="CN38" s="368"/>
      <c r="CO38" s="393">
        <v>27</v>
      </c>
      <c r="CP38" s="394" t="e">
        <f t="shared" si="50"/>
        <v>#VALUE!</v>
      </c>
      <c r="CQ38" s="394" t="e">
        <f t="shared" si="51"/>
        <v>#VALUE!</v>
      </c>
      <c r="CR38" s="395" t="e">
        <f t="shared" si="52"/>
        <v>#VALUE!</v>
      </c>
      <c r="CT38" s="367"/>
      <c r="CU38" s="368"/>
      <c r="CV38" s="393">
        <v>27</v>
      </c>
      <c r="CW38" s="394" t="e">
        <f t="shared" si="53"/>
        <v>#VALUE!</v>
      </c>
      <c r="CX38" s="394" t="e">
        <f t="shared" si="54"/>
        <v>#VALUE!</v>
      </c>
      <c r="CY38" s="395" t="e">
        <f t="shared" si="55"/>
        <v>#VALUE!</v>
      </c>
      <c r="DA38" s="367"/>
      <c r="DB38" s="368"/>
      <c r="DC38" s="393">
        <v>27</v>
      </c>
      <c r="DD38" s="394" t="e">
        <f t="shared" si="56"/>
        <v>#VALUE!</v>
      </c>
      <c r="DE38" s="394" t="e">
        <f t="shared" si="57"/>
        <v>#VALUE!</v>
      </c>
      <c r="DF38" s="395" t="e">
        <f t="shared" si="58"/>
        <v>#VALUE!</v>
      </c>
      <c r="DH38" s="367"/>
      <c r="DI38" s="368"/>
      <c r="DJ38" s="393">
        <v>27</v>
      </c>
      <c r="DK38" s="394" t="e">
        <f t="shared" si="59"/>
        <v>#VALUE!</v>
      </c>
      <c r="DL38" s="394" t="e">
        <f t="shared" si="60"/>
        <v>#VALUE!</v>
      </c>
      <c r="DM38" s="395" t="e">
        <f t="shared" si="61"/>
        <v>#VALUE!</v>
      </c>
      <c r="DO38" s="367"/>
    </row>
    <row r="39" spans="1:119" ht="15.75" customHeight="1" thickBot="1" x14ac:dyDescent="0.3">
      <c r="A39" s="1300" t="s">
        <v>202</v>
      </c>
      <c r="B39" s="1301"/>
      <c r="C39" s="1301"/>
      <c r="D39" s="1301"/>
      <c r="E39" s="1301"/>
      <c r="F39" s="1301"/>
      <c r="G39" s="1301"/>
      <c r="H39" s="1301"/>
      <c r="I39" s="1301"/>
      <c r="J39" s="1301"/>
      <c r="K39" s="1301"/>
      <c r="L39" s="1301"/>
      <c r="M39" s="1301"/>
      <c r="N39" s="1301"/>
      <c r="O39" s="1301"/>
      <c r="P39" s="1301"/>
      <c r="Q39" s="1301"/>
      <c r="R39" s="1301"/>
      <c r="S39" s="1301"/>
      <c r="T39" s="1301"/>
      <c r="U39" s="1302"/>
      <c r="AT39" t="s">
        <v>414</v>
      </c>
      <c r="AU39"/>
      <c r="AV39"/>
      <c r="AW39" s="96"/>
      <c r="AX39" s="368">
        <f t="shared" si="31"/>
        <v>27</v>
      </c>
      <c r="AY39" s="393">
        <v>28</v>
      </c>
      <c r="AZ39" s="394">
        <f t="shared" si="32"/>
        <v>0.32539662543389314</v>
      </c>
      <c r="BA39" s="394">
        <f t="shared" si="33"/>
        <v>7.3863037675178184E-2</v>
      </c>
      <c r="BB39" s="395">
        <f t="shared" si="34"/>
        <v>7.3863037675178178E-4</v>
      </c>
      <c r="BD39" s="367"/>
      <c r="BE39" s="96"/>
      <c r="BF39" s="393">
        <v>28</v>
      </c>
      <c r="BG39" s="394" t="e">
        <f t="shared" si="35"/>
        <v>#VALUE!</v>
      </c>
      <c r="BH39" s="400" t="e">
        <f t="shared" si="36"/>
        <v>#VALUE!</v>
      </c>
      <c r="BI39" s="395" t="e">
        <f t="shared" si="37"/>
        <v>#VALUE!</v>
      </c>
      <c r="BK39" s="367"/>
      <c r="BL39" s="368"/>
      <c r="BM39" s="393">
        <v>28</v>
      </c>
      <c r="BN39" s="394" t="e">
        <f t="shared" si="38"/>
        <v>#VALUE!</v>
      </c>
      <c r="BO39" s="394" t="e">
        <f t="shared" si="39"/>
        <v>#VALUE!</v>
      </c>
      <c r="BP39" s="395" t="e">
        <f t="shared" si="40"/>
        <v>#VALUE!</v>
      </c>
      <c r="BR39" s="367"/>
      <c r="BS39" s="368"/>
      <c r="BT39" s="393">
        <v>28</v>
      </c>
      <c r="BU39" s="394" t="e">
        <f t="shared" si="41"/>
        <v>#VALUE!</v>
      </c>
      <c r="BV39" s="394" t="e">
        <f t="shared" si="42"/>
        <v>#VALUE!</v>
      </c>
      <c r="BW39" s="395" t="e">
        <f t="shared" si="43"/>
        <v>#VALUE!</v>
      </c>
      <c r="BY39" s="367"/>
      <c r="BZ39" s="368"/>
      <c r="CA39" s="393">
        <v>28</v>
      </c>
      <c r="CB39" s="394" t="e">
        <f t="shared" si="44"/>
        <v>#VALUE!</v>
      </c>
      <c r="CC39" s="394" t="e">
        <f t="shared" si="45"/>
        <v>#VALUE!</v>
      </c>
      <c r="CD39" s="395" t="e">
        <f t="shared" si="46"/>
        <v>#VALUE!</v>
      </c>
      <c r="CF39" s="367"/>
      <c r="CG39" s="368"/>
      <c r="CH39" s="393">
        <v>28</v>
      </c>
      <c r="CI39" s="394" t="e">
        <f t="shared" si="47"/>
        <v>#VALUE!</v>
      </c>
      <c r="CJ39" s="394" t="e">
        <f t="shared" si="48"/>
        <v>#VALUE!</v>
      </c>
      <c r="CK39" s="395" t="e">
        <f t="shared" si="49"/>
        <v>#VALUE!</v>
      </c>
      <c r="CM39" s="367"/>
      <c r="CN39" s="368"/>
      <c r="CO39" s="393">
        <v>28</v>
      </c>
      <c r="CP39" s="394" t="e">
        <f t="shared" si="50"/>
        <v>#VALUE!</v>
      </c>
      <c r="CQ39" s="394" t="e">
        <f t="shared" si="51"/>
        <v>#VALUE!</v>
      </c>
      <c r="CR39" s="395" t="e">
        <f t="shared" si="52"/>
        <v>#VALUE!</v>
      </c>
      <c r="CT39" s="367"/>
      <c r="CU39" s="368"/>
      <c r="CV39" s="393">
        <v>28</v>
      </c>
      <c r="CW39" s="394" t="e">
        <f t="shared" si="53"/>
        <v>#VALUE!</v>
      </c>
      <c r="CX39" s="394" t="e">
        <f t="shared" si="54"/>
        <v>#VALUE!</v>
      </c>
      <c r="CY39" s="395" t="e">
        <f t="shared" si="55"/>
        <v>#VALUE!</v>
      </c>
      <c r="DA39" s="367"/>
      <c r="DB39" s="368"/>
      <c r="DC39" s="393">
        <v>28</v>
      </c>
      <c r="DD39" s="394" t="e">
        <f t="shared" si="56"/>
        <v>#VALUE!</v>
      </c>
      <c r="DE39" s="394" t="e">
        <f t="shared" si="57"/>
        <v>#VALUE!</v>
      </c>
      <c r="DF39" s="395" t="e">
        <f t="shared" si="58"/>
        <v>#VALUE!</v>
      </c>
      <c r="DH39" s="367"/>
      <c r="DI39" s="368"/>
      <c r="DJ39" s="393">
        <v>28</v>
      </c>
      <c r="DK39" s="394" t="e">
        <f t="shared" si="59"/>
        <v>#VALUE!</v>
      </c>
      <c r="DL39" s="394" t="e">
        <f t="shared" si="60"/>
        <v>#VALUE!</v>
      </c>
      <c r="DM39" s="395" t="e">
        <f t="shared" si="61"/>
        <v>#VALUE!</v>
      </c>
      <c r="DO39" s="367"/>
    </row>
    <row r="40" spans="1:119" ht="15.75" customHeight="1" x14ac:dyDescent="0.35">
      <c r="A40" s="1023" t="s">
        <v>857</v>
      </c>
      <c r="B40" s="1106">
        <f>+IFERROR(IF(B19/B17&lt;Cut_off_between_low_and_high_C_N,B15*B17*n2o_landfill*N_to_N2O_conversion,0),"N/A")</f>
        <v>3.9646022551205595E-3</v>
      </c>
      <c r="C40" s="423"/>
      <c r="D40" s="1106">
        <f>+IFERROR(IF(D19/D17&lt;Cut_off_between_low_and_high_C_N,D15*D17*n2o_landfill*N_to_N2O_conversion,0),"N/A")</f>
        <v>0</v>
      </c>
      <c r="E40" s="423"/>
      <c r="F40" s="1106">
        <f>+IFERROR(IF(F19/F17&lt;Cut_off_between_low_and_high_C_N,F15*F17*n2o_landfill*N_to_N2O_conversion,0),"N/A")</f>
        <v>0</v>
      </c>
      <c r="G40" s="423"/>
      <c r="H40" s="1106">
        <f>+IFERROR(IF(H19/H17&lt;Cut_off_between_low_and_high_C_N,H15*H17*n2o_landfill*N_to_N2O_conversion,0),"N/A")</f>
        <v>0</v>
      </c>
      <c r="I40" s="423"/>
      <c r="J40" s="1106">
        <f>+IFERROR(IF(J19/J17&lt;Cut_off_between_low_and_high_C_N,J15*J17*n2o_landfill*N_to_N2O_conversion,0),"N/A")</f>
        <v>0</v>
      </c>
      <c r="K40" s="423"/>
      <c r="L40" s="1106">
        <f>+IFERROR(IF(L19/L17&lt;Cut_off_between_low_and_high_C_N,L15*L17*n2o_landfill*N_to_N2O_conversion,0),"N/A")</f>
        <v>0</v>
      </c>
      <c r="M40" s="423"/>
      <c r="N40" s="1106">
        <f>+IFERROR(IF(N19/N17&lt;Cut_off_between_low_and_high_C_N,N15*N17*n2o_landfill*N_to_N2O_conversion,0),"N/A")</f>
        <v>0</v>
      </c>
      <c r="O40" s="423"/>
      <c r="P40" s="1106">
        <f>+IFERROR(IF(P19/P17&lt;Cut_off_between_low_and_high_C_N,P15*P17*n2o_landfill*N_to_N2O_conversion,0),"N/A")</f>
        <v>0</v>
      </c>
      <c r="Q40" s="423"/>
      <c r="R40" s="1106">
        <f>+IFERROR(IF(R19/R17&lt;Cut_off_between_low_and_high_C_N,R15*R17*n2o_landfill*N_to_N2O_conversion,0),"N/A")</f>
        <v>0</v>
      </c>
      <c r="S40" s="423"/>
      <c r="T40" s="1106">
        <f>+IFERROR(IF(T19/T17&lt;Cut_off_between_low_and_high_C_N,T15*T17*n2o_landfill*N_to_N2O_conversion,0),"N/A")</f>
        <v>0</v>
      </c>
      <c r="U40" s="423"/>
      <c r="AS40" t="s">
        <v>415</v>
      </c>
      <c r="AU40"/>
      <c r="AV40"/>
      <c r="AW40" s="96"/>
      <c r="AX40" s="368">
        <f t="shared" si="31"/>
        <v>28</v>
      </c>
      <c r="AY40" s="393">
        <v>29</v>
      </c>
      <c r="AZ40" s="394">
        <f t="shared" si="32"/>
        <v>0.26519824972862294</v>
      </c>
      <c r="BA40" s="394">
        <f t="shared" si="33"/>
        <v>6.019837570527023E-2</v>
      </c>
      <c r="BB40" s="395">
        <f t="shared" si="34"/>
        <v>6.0198375705270226E-4</v>
      </c>
      <c r="BD40" s="367"/>
      <c r="BE40" s="96"/>
      <c r="BF40" s="393">
        <v>29</v>
      </c>
      <c r="BG40" s="394" t="e">
        <f t="shared" si="35"/>
        <v>#VALUE!</v>
      </c>
      <c r="BH40" s="400" t="e">
        <f t="shared" si="36"/>
        <v>#VALUE!</v>
      </c>
      <c r="BI40" s="395" t="e">
        <f t="shared" si="37"/>
        <v>#VALUE!</v>
      </c>
      <c r="BK40" s="367"/>
      <c r="BL40" s="368"/>
      <c r="BM40" s="393">
        <v>29</v>
      </c>
      <c r="BN40" s="394" t="e">
        <f t="shared" si="38"/>
        <v>#VALUE!</v>
      </c>
      <c r="BO40" s="394" t="e">
        <f t="shared" si="39"/>
        <v>#VALUE!</v>
      </c>
      <c r="BP40" s="395" t="e">
        <f t="shared" si="40"/>
        <v>#VALUE!</v>
      </c>
      <c r="BR40" s="367"/>
      <c r="BS40" s="368"/>
      <c r="BT40" s="393">
        <v>29</v>
      </c>
      <c r="BU40" s="394" t="e">
        <f t="shared" si="41"/>
        <v>#VALUE!</v>
      </c>
      <c r="BV40" s="394" t="e">
        <f t="shared" si="42"/>
        <v>#VALUE!</v>
      </c>
      <c r="BW40" s="395" t="e">
        <f t="shared" si="43"/>
        <v>#VALUE!</v>
      </c>
      <c r="BY40" s="367"/>
      <c r="BZ40" s="368"/>
      <c r="CA40" s="393">
        <v>29</v>
      </c>
      <c r="CB40" s="394" t="e">
        <f t="shared" si="44"/>
        <v>#VALUE!</v>
      </c>
      <c r="CC40" s="394" t="e">
        <f t="shared" si="45"/>
        <v>#VALUE!</v>
      </c>
      <c r="CD40" s="395" t="e">
        <f t="shared" si="46"/>
        <v>#VALUE!</v>
      </c>
      <c r="CF40" s="367"/>
      <c r="CG40" s="368"/>
      <c r="CH40" s="393">
        <v>29</v>
      </c>
      <c r="CI40" s="394" t="e">
        <f t="shared" si="47"/>
        <v>#VALUE!</v>
      </c>
      <c r="CJ40" s="394" t="e">
        <f t="shared" si="48"/>
        <v>#VALUE!</v>
      </c>
      <c r="CK40" s="395" t="e">
        <f t="shared" si="49"/>
        <v>#VALUE!</v>
      </c>
      <c r="CM40" s="367"/>
      <c r="CN40" s="368"/>
      <c r="CO40" s="393">
        <v>29</v>
      </c>
      <c r="CP40" s="394" t="e">
        <f t="shared" si="50"/>
        <v>#VALUE!</v>
      </c>
      <c r="CQ40" s="394" t="e">
        <f t="shared" si="51"/>
        <v>#VALUE!</v>
      </c>
      <c r="CR40" s="395" t="e">
        <f t="shared" si="52"/>
        <v>#VALUE!</v>
      </c>
      <c r="CT40" s="367"/>
      <c r="CU40" s="368"/>
      <c r="CV40" s="393">
        <v>29</v>
      </c>
      <c r="CW40" s="394" t="e">
        <f t="shared" si="53"/>
        <v>#VALUE!</v>
      </c>
      <c r="CX40" s="394" t="e">
        <f t="shared" si="54"/>
        <v>#VALUE!</v>
      </c>
      <c r="CY40" s="395" t="e">
        <f t="shared" si="55"/>
        <v>#VALUE!</v>
      </c>
      <c r="DA40" s="367"/>
      <c r="DB40" s="368"/>
      <c r="DC40" s="393">
        <v>29</v>
      </c>
      <c r="DD40" s="394" t="e">
        <f t="shared" si="56"/>
        <v>#VALUE!</v>
      </c>
      <c r="DE40" s="394" t="e">
        <f t="shared" si="57"/>
        <v>#VALUE!</v>
      </c>
      <c r="DF40" s="395" t="e">
        <f t="shared" si="58"/>
        <v>#VALUE!</v>
      </c>
      <c r="DH40" s="367"/>
      <c r="DI40" s="368"/>
      <c r="DJ40" s="393">
        <v>29</v>
      </c>
      <c r="DK40" s="394" t="e">
        <f t="shared" si="59"/>
        <v>#VALUE!</v>
      </c>
      <c r="DL40" s="394" t="e">
        <f t="shared" si="60"/>
        <v>#VALUE!</v>
      </c>
      <c r="DM40" s="395" t="e">
        <f t="shared" si="61"/>
        <v>#VALUE!</v>
      </c>
      <c r="DO40" s="367"/>
    </row>
    <row r="41" spans="1:119" ht="15.75" customHeight="1" thickBot="1" x14ac:dyDescent="0.35">
      <c r="A41" s="1101" t="s">
        <v>12</v>
      </c>
      <c r="B41" s="464">
        <f>+B40*CO2E_of_N2O_Climate_Reg</f>
        <v>1.1814514720259268</v>
      </c>
      <c r="C41" s="433"/>
      <c r="D41" s="432">
        <f>+D40*CO2E_of_N2O_Climate_Reg</f>
        <v>0</v>
      </c>
      <c r="E41" s="433"/>
      <c r="F41" s="432">
        <f>+F40*CO2E_of_N2O_Climate_Reg</f>
        <v>0</v>
      </c>
      <c r="G41" s="433"/>
      <c r="H41" s="432">
        <f>+H40*CO2E_of_N2O_Climate_Reg</f>
        <v>0</v>
      </c>
      <c r="I41" s="433"/>
      <c r="J41" s="432">
        <f>+J40*CO2E_of_N2O_Climate_Reg</f>
        <v>0</v>
      </c>
      <c r="K41" s="433"/>
      <c r="L41" s="432">
        <f>+L40*CO2E_of_N2O_Climate_Reg</f>
        <v>0</v>
      </c>
      <c r="M41" s="433"/>
      <c r="N41" s="432">
        <f>+N40*CO2E_of_N2O_Climate_Reg</f>
        <v>0</v>
      </c>
      <c r="O41" s="433"/>
      <c r="P41" s="432">
        <f>+P40*CO2E_of_N2O_Climate_Reg</f>
        <v>0</v>
      </c>
      <c r="Q41" s="433"/>
      <c r="R41" s="432">
        <f>+R40*CO2E_of_N2O_Climate_Reg</f>
        <v>0</v>
      </c>
      <c r="S41" s="433"/>
      <c r="T41" s="432">
        <f>+T40*CO2E_of_N2O_Climate_Reg</f>
        <v>0</v>
      </c>
      <c r="U41" s="433"/>
      <c r="AS41" t="s">
        <v>416</v>
      </c>
      <c r="AU41"/>
      <c r="AV41"/>
      <c r="AW41" s="96"/>
      <c r="AX41" s="424">
        <f t="shared" si="31"/>
        <v>29</v>
      </c>
      <c r="AY41" s="425">
        <v>30</v>
      </c>
      <c r="AZ41" s="426">
        <f t="shared" si="32"/>
        <v>0.2161365735288277</v>
      </c>
      <c r="BA41" s="426">
        <f t="shared" si="33"/>
        <v>4.9061676199795241E-2</v>
      </c>
      <c r="BB41" s="427">
        <f t="shared" si="34"/>
        <v>4.906167619979524E-4</v>
      </c>
      <c r="BC41" s="428"/>
      <c r="BD41" s="429"/>
      <c r="BE41" s="430"/>
      <c r="BF41" s="425">
        <v>30</v>
      </c>
      <c r="BG41" s="426" t="e">
        <f t="shared" si="35"/>
        <v>#VALUE!</v>
      </c>
      <c r="BH41" s="431" t="e">
        <f t="shared" si="36"/>
        <v>#VALUE!</v>
      </c>
      <c r="BI41" s="427" t="e">
        <f t="shared" si="37"/>
        <v>#VALUE!</v>
      </c>
      <c r="BJ41" s="428"/>
      <c r="BK41" s="429"/>
      <c r="BL41" s="424"/>
      <c r="BM41" s="425">
        <v>30</v>
      </c>
      <c r="BN41" s="426" t="e">
        <f t="shared" si="38"/>
        <v>#VALUE!</v>
      </c>
      <c r="BO41" s="426" t="e">
        <f t="shared" si="39"/>
        <v>#VALUE!</v>
      </c>
      <c r="BP41" s="427" t="e">
        <f t="shared" si="40"/>
        <v>#VALUE!</v>
      </c>
      <c r="BQ41" s="428"/>
      <c r="BR41" s="429"/>
      <c r="BS41" s="424"/>
      <c r="BT41" s="425">
        <v>30</v>
      </c>
      <c r="BU41" s="426" t="e">
        <f t="shared" si="41"/>
        <v>#VALUE!</v>
      </c>
      <c r="BV41" s="426" t="e">
        <f t="shared" si="42"/>
        <v>#VALUE!</v>
      </c>
      <c r="BW41" s="427" t="e">
        <f t="shared" si="43"/>
        <v>#VALUE!</v>
      </c>
      <c r="BX41" s="428"/>
      <c r="BY41" s="429"/>
      <c r="BZ41" s="424"/>
      <c r="CA41" s="425">
        <v>30</v>
      </c>
      <c r="CB41" s="426" t="e">
        <f t="shared" si="44"/>
        <v>#VALUE!</v>
      </c>
      <c r="CC41" s="426" t="e">
        <f t="shared" si="45"/>
        <v>#VALUE!</v>
      </c>
      <c r="CD41" s="427" t="e">
        <f t="shared" si="46"/>
        <v>#VALUE!</v>
      </c>
      <c r="CE41" s="428"/>
      <c r="CF41" s="429"/>
      <c r="CG41" s="424"/>
      <c r="CH41" s="425">
        <v>30</v>
      </c>
      <c r="CI41" s="426" t="e">
        <f t="shared" si="47"/>
        <v>#VALUE!</v>
      </c>
      <c r="CJ41" s="426" t="e">
        <f t="shared" si="48"/>
        <v>#VALUE!</v>
      </c>
      <c r="CK41" s="427" t="e">
        <f t="shared" si="49"/>
        <v>#VALUE!</v>
      </c>
      <c r="CL41" s="428"/>
      <c r="CM41" s="429"/>
      <c r="CN41" s="424"/>
      <c r="CO41" s="425">
        <v>30</v>
      </c>
      <c r="CP41" s="426" t="e">
        <f t="shared" si="50"/>
        <v>#VALUE!</v>
      </c>
      <c r="CQ41" s="426" t="e">
        <f t="shared" si="51"/>
        <v>#VALUE!</v>
      </c>
      <c r="CR41" s="427" t="e">
        <f t="shared" si="52"/>
        <v>#VALUE!</v>
      </c>
      <c r="CS41" s="428"/>
      <c r="CT41" s="429"/>
      <c r="CU41" s="424"/>
      <c r="CV41" s="425">
        <v>30</v>
      </c>
      <c r="CW41" s="426" t="e">
        <f t="shared" si="53"/>
        <v>#VALUE!</v>
      </c>
      <c r="CX41" s="426" t="e">
        <f t="shared" si="54"/>
        <v>#VALUE!</v>
      </c>
      <c r="CY41" s="427" t="e">
        <f t="shared" si="55"/>
        <v>#VALUE!</v>
      </c>
      <c r="CZ41" s="428"/>
      <c r="DA41" s="429"/>
      <c r="DB41" s="424"/>
      <c r="DC41" s="425">
        <v>30</v>
      </c>
      <c r="DD41" s="426" t="e">
        <f t="shared" si="56"/>
        <v>#VALUE!</v>
      </c>
      <c r="DE41" s="426" t="e">
        <f t="shared" si="57"/>
        <v>#VALUE!</v>
      </c>
      <c r="DF41" s="427" t="e">
        <f t="shared" si="58"/>
        <v>#VALUE!</v>
      </c>
      <c r="DG41" s="428"/>
      <c r="DH41" s="429"/>
      <c r="DI41" s="424"/>
      <c r="DJ41" s="425">
        <v>30</v>
      </c>
      <c r="DK41" s="426" t="e">
        <f t="shared" si="59"/>
        <v>#VALUE!</v>
      </c>
      <c r="DL41" s="426" t="e">
        <f t="shared" si="60"/>
        <v>#VALUE!</v>
      </c>
      <c r="DM41" s="427" t="e">
        <f t="shared" si="61"/>
        <v>#VALUE!</v>
      </c>
      <c r="DN41" s="428"/>
      <c r="DO41" s="429"/>
    </row>
    <row r="42" spans="1:119" ht="15.75" customHeight="1" thickBot="1" x14ac:dyDescent="0.3">
      <c r="A42" s="341"/>
      <c r="B42" s="465"/>
      <c r="C42" s="954"/>
      <c r="D42" s="337"/>
      <c r="E42" s="335"/>
      <c r="F42" s="337"/>
      <c r="G42" s="335"/>
      <c r="H42" s="337"/>
      <c r="I42" s="335"/>
      <c r="J42" s="337"/>
      <c r="K42" s="954"/>
      <c r="L42" s="337"/>
      <c r="M42" s="335"/>
      <c r="N42" s="337"/>
      <c r="O42" s="335"/>
      <c r="P42" s="337"/>
      <c r="Q42" s="335"/>
      <c r="R42" s="337"/>
      <c r="S42" s="335"/>
      <c r="T42" s="337"/>
      <c r="U42" s="335"/>
      <c r="AS42" t="s">
        <v>420</v>
      </c>
      <c r="AU42"/>
      <c r="AV42"/>
      <c r="AW42" s="96"/>
    </row>
    <row r="43" spans="1:119" ht="15.75" customHeight="1" thickBot="1" x14ac:dyDescent="0.3">
      <c r="A43" s="1300" t="s">
        <v>235</v>
      </c>
      <c r="B43" s="1301"/>
      <c r="C43" s="1301"/>
      <c r="D43" s="1301"/>
      <c r="E43" s="1301"/>
      <c r="F43" s="1301"/>
      <c r="G43" s="1301"/>
      <c r="H43" s="1301"/>
      <c r="I43" s="1301"/>
      <c r="J43" s="1301"/>
      <c r="K43" s="1301"/>
      <c r="L43" s="1301"/>
      <c r="M43" s="1301"/>
      <c r="N43" s="1301"/>
      <c r="O43" s="1301"/>
      <c r="P43" s="1301"/>
      <c r="Q43" s="1301"/>
      <c r="R43" s="1301"/>
      <c r="S43" s="1301"/>
      <c r="T43" s="1301"/>
      <c r="U43" s="1302"/>
      <c r="AS43" t="s">
        <v>422</v>
      </c>
      <c r="AU43" s="105"/>
      <c r="AV43"/>
      <c r="AW43" s="96"/>
      <c r="AX43" s="96"/>
      <c r="AY43" s="96"/>
    </row>
    <row r="44" spans="1:119" ht="15.75" customHeight="1" x14ac:dyDescent="0.3">
      <c r="A44" s="346" t="s">
        <v>858</v>
      </c>
      <c r="B44" s="1107">
        <f>+-B$20*(1-B27)*C_to_CO2_conversion</f>
        <v>-2.6077971889036773</v>
      </c>
      <c r="C44" s="436"/>
      <c r="D44" s="435" t="e">
        <f>+-D$20*(1-D27)*C_to_CO2_conversion</f>
        <v>#VALUE!</v>
      </c>
      <c r="E44" s="436"/>
      <c r="F44" s="435" t="e">
        <f>+-F$20*(1-F27)*C_to_CO2_conversion</f>
        <v>#VALUE!</v>
      </c>
      <c r="G44" s="436"/>
      <c r="H44" s="435" t="e">
        <f>+-H$20*(1-H27)*C_to_CO2_conversion</f>
        <v>#VALUE!</v>
      </c>
      <c r="I44" s="436"/>
      <c r="J44" s="435" t="e">
        <f>+-J$20*(1-J27)*C_to_CO2_conversion</f>
        <v>#VALUE!</v>
      </c>
      <c r="K44" s="436"/>
      <c r="L44" s="435" t="e">
        <f>+-L$20*(1-L27)*C_to_CO2_conversion</f>
        <v>#VALUE!</v>
      </c>
      <c r="M44" s="436"/>
      <c r="N44" s="435" t="e">
        <f>+-N$20*(1-N27)*C_to_CO2_conversion</f>
        <v>#VALUE!</v>
      </c>
      <c r="O44" s="436"/>
      <c r="P44" s="435" t="e">
        <f>+-P$20*(1-P27)*C_to_CO2_conversion</f>
        <v>#VALUE!</v>
      </c>
      <c r="Q44" s="436"/>
      <c r="R44" s="435" t="e">
        <f>+-R$20*(1-R27)*C_to_CO2_conversion</f>
        <v>#VALUE!</v>
      </c>
      <c r="S44" s="436"/>
      <c r="T44" s="435" t="e">
        <f>+-T$20*(1-T27)*C_to_CO2_conversion</f>
        <v>#VALUE!</v>
      </c>
      <c r="U44" s="436"/>
      <c r="AV44"/>
    </row>
    <row r="45" spans="1:119" ht="15.75" customHeight="1" thickBot="1" x14ac:dyDescent="0.3">
      <c r="A45" s="341"/>
      <c r="B45" s="465"/>
      <c r="C45" s="954"/>
      <c r="D45" s="337"/>
      <c r="E45" s="335"/>
      <c r="F45" s="337"/>
      <c r="G45" s="335"/>
      <c r="H45" s="337"/>
      <c r="I45" s="335"/>
      <c r="J45" s="337"/>
      <c r="K45" s="954"/>
      <c r="L45" s="337"/>
      <c r="M45" s="335"/>
      <c r="N45" s="337"/>
      <c r="O45" s="335"/>
      <c r="P45" s="337"/>
      <c r="Q45" s="335"/>
      <c r="R45" s="337"/>
      <c r="S45" s="335"/>
      <c r="T45" s="337"/>
      <c r="U45" s="335"/>
      <c r="AV45"/>
    </row>
    <row r="46" spans="1:119" ht="15.75" customHeight="1" thickBot="1" x14ac:dyDescent="0.3">
      <c r="A46" s="1300" t="s">
        <v>155</v>
      </c>
      <c r="B46" s="1301"/>
      <c r="C46" s="1301"/>
      <c r="D46" s="1301"/>
      <c r="E46" s="1301"/>
      <c r="F46" s="1301"/>
      <c r="G46" s="1301"/>
      <c r="H46" s="1301"/>
      <c r="I46" s="1301"/>
      <c r="J46" s="1301"/>
      <c r="K46" s="1301"/>
      <c r="L46" s="1301"/>
      <c r="M46" s="1301"/>
      <c r="N46" s="1301"/>
      <c r="O46" s="1301"/>
      <c r="P46" s="1301"/>
      <c r="Q46" s="1301"/>
      <c r="R46" s="1301"/>
      <c r="S46" s="1301"/>
      <c r="T46" s="1301"/>
      <c r="U46" s="1302"/>
      <c r="AV46"/>
    </row>
    <row r="47" spans="1:119" ht="15.75" customHeight="1" x14ac:dyDescent="0.25">
      <c r="A47" s="1109" t="s">
        <v>284</v>
      </c>
      <c r="B47" s="1108">
        <f>+IFERROR(B$20*landfill_uncertainty*C_to_CH4_conversion*CH4_in_landfill_gas*B$27*B$21*(($AS$11*SUM($BB$12:$BB$13))+($AS$12*SUM($BB$14:$BB$16))+($AS$13*SUM($BB$17:$BB$26))+($AS$14*SUM($BB$27:$BB$41)))*B$25*btu_value_methane_epa_2004*Conversion_of_BtU_to_kWh*Net_capacity_factor_EPA_2006*Mg_kg/density_of_CH4_at_STP,"N/A")</f>
        <v>1117.298788721273</v>
      </c>
      <c r="C47" s="438"/>
      <c r="D47" s="1108" t="str">
        <f>+IFERROR(D$20*landfill_uncertainty*C_to_CH4_conversion*CH4_in_landfill_gas*D$27*D$21*(($AS$11*SUM($BI$12:$BI$13))+($AS$12*SUM($BI$14:$BI$16))+($AS$13*SUM($BI$17:$BI$26))+($AS$14*SUM($BI$27:$BI$41)))*D$25*btu_value_methane_epa_2004*Conversion_of_BtU_to_kWh*Net_capacity_factor_EPA_2006*Mg_kg/density_of_CH4_at_STP,"N/A")</f>
        <v>N/A</v>
      </c>
      <c r="E47" s="438"/>
      <c r="F47" s="1108" t="str">
        <f>+IFERROR(F$20*landfill_uncertainty*C_to_CH4_conversion*CH4_in_landfill_gas*F$27*F$21*(($AS$11*SUM($BP$12:$BP$13))+($AS$12*SUM($BP$14:$BP$16))+($AS$13*SUM($BP$17:$BP$26))+($AS$14*SUM($BP$27:$BP$41)))*F$25*btu_value_methane_epa_2004*Conversion_of_BtU_to_kWh*Net_capacity_factor_EPA_2006*Mg_kg/density_of_CH4_at_STP,"N/A")</f>
        <v>N/A</v>
      </c>
      <c r="G47" s="438"/>
      <c r="H47" s="1108" t="str">
        <f>+IFERROR(H$20*landfill_uncertainty*C_to_CH4_conversion*CH4_in_landfill_gas*H$27*H$21*(($AS$11*SUM($BW$12:$BW$13))+($AS$12*SUM($BW$14:$BW$16))+($AS$13*SUM($BW$17:$BW$26))+($AS$14*SUM($BW$27:$BW$41)))*H$25*btu_value_methane_epa_2004*Conversion_of_BtU_to_kWh*Net_capacity_factor_EPA_2006*Mg_kg/density_of_CH4_at_STP,"N/A")</f>
        <v>N/A</v>
      </c>
      <c r="I47" s="438"/>
      <c r="J47" s="1108" t="str">
        <f>+IFERROR(J$20*landfill_uncertainty*C_to_CH4_conversion*CH4_in_landfill_gas*J$27*J$21*(($AS$11*SUM($CD$12:$CD$13))+($AS$12*SUM($CD$14:$CD$16))+($AS$13*SUM($CD$17:$CD$26))+($AS$14*SUM($CD$27:$CD$41)))*J$25*btu_value_methane_epa_2004*Conversion_of_BtU_to_kWh*Net_capacity_factor_EPA_2006*Mg_kg/density_of_CH4_at_STP,"N/A")</f>
        <v>N/A</v>
      </c>
      <c r="K47" s="438"/>
      <c r="L47" s="1108" t="str">
        <f>+IFERROR(L$20*landfill_uncertainty*C_to_CH4_conversion*CH4_in_landfill_gas*L$27*L$21*(($AS$11*SUM($CK$12:$CK$13))+($AS$12*SUM($CK$14:$CK$16))+($AS$13*SUM($CK$17:$CK$26))+($AS$14*SUM($CK$27:$CK$41)))*L$25*btu_value_methane_epa_2004*Conversion_of_BtU_to_kWh*Net_capacity_factor_EPA_2006*Mg_kg/density_of_CH4_at_STP,"N/A")</f>
        <v>N/A</v>
      </c>
      <c r="M47" s="438"/>
      <c r="N47" s="1108" t="str">
        <f>+IFERROR(N$20*landfill_uncertainty*C_to_CH4_conversion*CH4_in_landfill_gas*N$27*N$21*(($AS$11*SUM($CR$12:$CR$13))+($AS$12*SUM($CR$14:$CR$16))+($AS$13*SUM($CR$17:$CR$26))+($AS$14*SUM($CR$27:$CR$41)))*N$25*btu_value_methane_epa_2004*Conversion_of_BtU_to_kWh*Net_capacity_factor_EPA_2006*Mg_kg/density_of_CH4_at_STP,"N/A")</f>
        <v>N/A</v>
      </c>
      <c r="O47" s="438"/>
      <c r="P47" s="1108" t="str">
        <f>+IFERROR(P$20*landfill_uncertainty*C_to_CH4_conversion*CH4_in_landfill_gas*P$27*P$21*(($AS$11*SUM($CY$12:$CY$13))+($AS$12*SUM($CY$14:$CY$16))+($AS$13*SUM($CY$17:$CY$26))+($AS$14*SUM($CY$27:$CY$41)))*P$25*btu_value_methane_epa_2004*Conversion_of_BtU_to_kWh*Net_capacity_factor_EPA_2006*Mg_kg/density_of_CH4_at_STP,"N/A")</f>
        <v>N/A</v>
      </c>
      <c r="Q47" s="438"/>
      <c r="R47" s="1108" t="str">
        <f>+IFERROR(R$20*landfill_uncertainty*C_to_CH4_conversion*CH4_in_landfill_gas*R$27*R$21*(($AS$11*SUM($DF$12:$DF$13))+($AS$12*SUM($DF$14:$DF$16))+($AS$13*SUM($DF$17:$DF$26))+($AS$14*SUM($DF$27:$DF$41)))*R$25*btu_value_methane_epa_2004*Conversion_of_BtU_to_kWh*Net_capacity_factor_EPA_2006*Mg_kg/density_of_CH4_at_STP,"N/A")</f>
        <v>N/A</v>
      </c>
      <c r="S47" s="438"/>
      <c r="T47" s="1108" t="str">
        <f>+IFERROR(T$20*landfill_uncertainty*C_to_CH4_conversion*CH4_in_landfill_gas*T$27*T$21*(($AS$11*SUM($DM$12:$DM$13))+($AS$12*SUM($DM$14:$DM$16))+($AS$13*SUM($DM$17:$DM$26))+($AS$14*SUM($DM$27:$DM$41)))*T$25*btu_value_methane_epa_2004*Conversion_of_BtU_to_kWh*Net_capacity_factor_EPA_2006*Mg_kg/density_of_CH4_at_STP,"N/A")</f>
        <v>N/A</v>
      </c>
      <c r="U47" s="438"/>
      <c r="AV47"/>
    </row>
    <row r="48" spans="1:119" ht="15.75" customHeight="1" x14ac:dyDescent="0.3">
      <c r="A48" s="331" t="s">
        <v>16</v>
      </c>
      <c r="B48" s="468">
        <f>-B47*GHG_emissions_factors_by_province/1000000</f>
        <v>-0.30627265236687556</v>
      </c>
      <c r="C48" s="276"/>
      <c r="D48" s="236" t="e">
        <f>-D47*GHG_emissions_factors_by_province/1000000</f>
        <v>#VALUE!</v>
      </c>
      <c r="E48" s="276"/>
      <c r="F48" s="236" t="e">
        <f>-F47*GHG_emissions_factors_by_province/1000000</f>
        <v>#VALUE!</v>
      </c>
      <c r="G48" s="276"/>
      <c r="H48" s="236" t="e">
        <f>-H47*GHG_emissions_factors_by_province/1000000</f>
        <v>#VALUE!</v>
      </c>
      <c r="I48" s="276"/>
      <c r="J48" s="236" t="e">
        <f>-J47*GHG_emissions_factors_by_province/1000000</f>
        <v>#VALUE!</v>
      </c>
      <c r="K48" s="276"/>
      <c r="L48" s="236" t="e">
        <f>-L47*GHG_emissions_factors_by_province/1000000</f>
        <v>#VALUE!</v>
      </c>
      <c r="M48" s="276"/>
      <c r="N48" s="236" t="e">
        <f>-N47*GHG_emissions_factors_by_province/1000000</f>
        <v>#VALUE!</v>
      </c>
      <c r="O48" s="276"/>
      <c r="P48" s="236" t="e">
        <f>-P47*GHG_emissions_factors_by_province/1000000</f>
        <v>#VALUE!</v>
      </c>
      <c r="Q48" s="276"/>
      <c r="R48" s="236" t="e">
        <f>-R47*GHG_emissions_factors_by_province/1000000</f>
        <v>#VALUE!</v>
      </c>
      <c r="S48" s="276"/>
      <c r="T48" s="236" t="e">
        <f>-T47*GHG_emissions_factors_by_province/1000000</f>
        <v>#VALUE!</v>
      </c>
      <c r="U48" s="276"/>
      <c r="AV48"/>
    </row>
    <row r="49" spans="1:67" ht="15.75" customHeight="1" x14ac:dyDescent="0.3">
      <c r="A49" s="1101" t="s">
        <v>81</v>
      </c>
      <c r="B49" s="462">
        <f>+B$20*landfill_uncertainty*CH4_in_landfill_gas*B$27*'Landfill Disposal Typical'!B21*($AS$11*SUM($BB$12:$BB$13)+($AS$12*SUM($BB$14:$BB$16))+($AS$13*SUM($BB$17:$BB$26))+($AS$14*SUM($BB$27:$BB$41)))*(1-methane_fugitive_during_combustion_IPCC)*C_to_CO2_conversion</f>
        <v>1.6453718283882801</v>
      </c>
      <c r="C49" s="433"/>
      <c r="D49" s="470" t="e">
        <f>+D$20*landfill_uncertainty*CH4_in_landfill_gas*$D$27*'Landfill Disposal Typical'!D21*($AS$11*SUM($BI$12:$BI$13)+($AS$12*SUM($BI$14:$BI$16))+($AS$13*SUM($BI$17:$BI$26))+($AS$14*SUM($BI$27:$BI$41)))*(1-methane_fugitive_during_combustion_IPCC)*C_to_CO2_conversion</f>
        <v>#VALUE!</v>
      </c>
      <c r="E49" s="433"/>
      <c r="F49" s="420" t="e">
        <f>+F$20*landfill_uncertainty*CH4_in_landfill_gas*$F$27*'Landfill Disposal Typical'!F21*($AS$11*SUM($BP$12:$BP$13)+($AS$12*SUM($BP$14:$BP$16))+($AS$13*SUM($BP$17:$BP$26))+($AS$14*SUM($BP$27:$BP$41)))*(1-methane_fugitive_during_combustion_IPCC)*C_to_CO2_conversion</f>
        <v>#VALUE!</v>
      </c>
      <c r="G49" s="433"/>
      <c r="H49" s="470" t="e">
        <f>+H$20*landfill_uncertainty*CH4_in_landfill_gas*$H$27*'Landfill Disposal Typical'!H21*($AS$11*SUM($BW$12:$BW$13)+($AS$12*SUM($BW$14:$BW$16))+($AS$13*SUM($BW$17:$BW$26))+($AS$14*SUM($BW$27:$BW$41)))*(1-methane_fugitive_during_combustion_IPCC)*C_to_CO2_conversion</f>
        <v>#VALUE!</v>
      </c>
      <c r="I49" s="433"/>
      <c r="J49" s="470" t="e">
        <f>+J$20*landfill_uncertainty*CH4_in_landfill_gas*$J$27*'Landfill Disposal Typical'!J21*($AS$11*SUM($CD$12:$CD$13)+($AS$12*SUM($CD$14:$CD$16))+($AS$13*SUM($CD$17:$CD$26))+($AS$14*SUM($CD$27:$CD$41)))*(1-methane_fugitive_during_combustion_IPCC)*C_to_CO2_conversion</f>
        <v>#VALUE!</v>
      </c>
      <c r="K49" s="433"/>
      <c r="L49" s="420" t="e">
        <f>+L$20*landfill_uncertainty*CH4_in_landfill_gas*$L$27*'Landfill Disposal Typical'!L21*($AS$11*SUM($CK$12:$CK$13)+($AS$12*SUM($CK$14:$CK$16))+($AS$13*SUM($CK$17:$CK$26))+($AS$14*SUM($CK$27:$CK$41)))*(1-methane_fugitive_during_combustion_IPCC)*C_to_CO2_conversion</f>
        <v>#VALUE!</v>
      </c>
      <c r="M49" s="433"/>
      <c r="N49" s="470" t="e">
        <f>+N$20*landfill_uncertainty*CH4_in_landfill_gas*$N$27*'Landfill Disposal Typical'!N21*($AS$11*SUM($CR$12:$CR$13)+($AS$12*SUM($CR$14:$CR$16))+($AS$13*SUM($CR$17:$CR$26))+($AS$14*SUM($CR$27:$CR$41)))*(1-methane_fugitive_during_combustion_IPCC)*C_to_CO2_conversion</f>
        <v>#VALUE!</v>
      </c>
      <c r="O49" s="433"/>
      <c r="P49" s="420" t="e">
        <f>+P$20*landfill_uncertainty*CH4_in_landfill_gas*$P$27*'Landfill Disposal Typical'!P21*($AS$11*SUM($CY$12:$CY$13)+($AS$12*SUM($CY$14:$CY$16))+($AS$13*SUM($CY$17:$CY$26))+($AS$14*SUM($CY$27:$CY$41)))*(1-methane_fugitive_during_combustion_IPCC)*C_to_CO2_conversion</f>
        <v>#VALUE!</v>
      </c>
      <c r="Q49" s="433"/>
      <c r="R49" s="470" t="e">
        <f>+R$20*landfill_uncertainty*CH4_in_landfill_gas*$R$27*'Landfill Disposal Typical'!R21*($AS$11*SUM($DF$12:$DF$13)+($AS$12*SUM($DF$14:$DF$16))+($AS$13*SUM($DF$17:$DF$26))+($AS$14*SUM($DF$27:$DF$41)))*(1-methane_fugitive_during_combustion_IPCC)*C_to_CO2_conversion</f>
        <v>#VALUE!</v>
      </c>
      <c r="S49" s="433"/>
      <c r="T49" s="470" t="e">
        <f>+T$20*landfill_uncertainty*CH4_in_landfill_gas*$T$27*'Landfill Disposal Typical'!T21*($AS$11*SUM($DM$12:$DM$13)+($AS$12*SUM($DM$14:$DM$16))+($AS$13*SUM($DM$17:$DM$26))+($AS$14*SUM($DM$27:$DM$41)))*(1-methane_fugitive_during_combustion_IPCC)*C_to_CO2_conversion</f>
        <v>#VALUE!</v>
      </c>
      <c r="U49" s="433"/>
      <c r="AV49"/>
    </row>
    <row r="50" spans="1:67" ht="15.75" customHeight="1" thickBot="1" x14ac:dyDescent="0.3">
      <c r="A50" s="341"/>
      <c r="B50" s="465"/>
      <c r="C50" s="954"/>
      <c r="D50" s="337"/>
      <c r="E50" s="335"/>
      <c r="F50" s="337"/>
      <c r="G50" s="335"/>
      <c r="H50" s="337"/>
      <c r="I50" s="335"/>
      <c r="J50" s="337"/>
      <c r="K50" s="954"/>
      <c r="L50" s="337"/>
      <c r="M50" s="335"/>
      <c r="N50" s="337"/>
      <c r="O50" s="335"/>
      <c r="P50" s="337"/>
      <c r="Q50" s="335"/>
      <c r="R50" s="337"/>
      <c r="S50" s="335"/>
      <c r="T50" s="337"/>
      <c r="U50" s="335"/>
      <c r="AV50"/>
    </row>
    <row r="51" spans="1:67" ht="15.75" customHeight="1" thickBot="1" x14ac:dyDescent="0.3">
      <c r="A51" s="1303"/>
      <c r="B51" s="1304"/>
      <c r="C51" s="1304"/>
      <c r="D51" s="1304"/>
      <c r="E51" s="1304"/>
      <c r="F51" s="1304"/>
      <c r="G51" s="1304"/>
      <c r="H51" s="1304"/>
      <c r="I51" s="1304"/>
      <c r="J51" s="1304"/>
      <c r="K51" s="1304"/>
      <c r="L51" s="1304"/>
      <c r="M51" s="1304"/>
      <c r="N51" s="1304"/>
      <c r="O51" s="1304"/>
      <c r="P51" s="1304"/>
      <c r="Q51" s="1304"/>
      <c r="R51" s="1304"/>
      <c r="S51" s="1304"/>
      <c r="T51" s="1304"/>
      <c r="U51" s="1305"/>
      <c r="AV51"/>
    </row>
    <row r="52" spans="1:67" ht="15.75" customHeight="1" thickBot="1" x14ac:dyDescent="0.3">
      <c r="A52" s="254" t="s">
        <v>329</v>
      </c>
      <c r="B52" s="282">
        <f>(B37+B41+B44+B48)*days_yr</f>
        <v>6779.5418583928704</v>
      </c>
      <c r="C52" s="439"/>
      <c r="D52" s="282" t="e">
        <f>(D37+D41+D44+D48)*days_yr</f>
        <v>#VALUE!</v>
      </c>
      <c r="E52" s="439"/>
      <c r="F52" s="282" t="e">
        <f>(F37+F41+F44+F48)*days_yr</f>
        <v>#VALUE!</v>
      </c>
      <c r="G52" s="439"/>
      <c r="H52" s="282" t="e">
        <f>(H37+H41+H44+H48)*days_yr</f>
        <v>#VALUE!</v>
      </c>
      <c r="I52" s="439"/>
      <c r="J52" s="282" t="e">
        <f>(J37+J41+J44+J48)*days_yr</f>
        <v>#VALUE!</v>
      </c>
      <c r="K52" s="439"/>
      <c r="L52" s="282" t="e">
        <f>(L37+L41+L44+L48)*days_yr</f>
        <v>#VALUE!</v>
      </c>
      <c r="M52" s="439"/>
      <c r="N52" s="282" t="e">
        <f>(N37+N41+N44+N48)*days_yr</f>
        <v>#VALUE!</v>
      </c>
      <c r="O52" s="439"/>
      <c r="P52" s="282" t="e">
        <f>(P37+P41+P44+P48)*days_yr</f>
        <v>#VALUE!</v>
      </c>
      <c r="Q52" s="439"/>
      <c r="R52" s="282" t="e">
        <f>(R37+R41+R44+R48)*days_yr</f>
        <v>#VALUE!</v>
      </c>
      <c r="S52" s="439"/>
      <c r="T52" s="282" t="e">
        <f>(T37+T41+T44+T48)*days_yr</f>
        <v>#VALUE!</v>
      </c>
      <c r="U52" s="440"/>
      <c r="AV52"/>
    </row>
    <row r="53" spans="1:67" ht="15.75" customHeight="1" x14ac:dyDescent="0.25">
      <c r="A53" s="241" t="s">
        <v>228</v>
      </c>
      <c r="B53" s="242">
        <f>(B37+B41+B44)*days_yr</f>
        <v>6891.3313765067796</v>
      </c>
      <c r="C53" s="96"/>
      <c r="D53" s="242" t="e">
        <f>(D37+D41+D44)*days_yr</f>
        <v>#VALUE!</v>
      </c>
      <c r="E53" s="96"/>
      <c r="F53" s="242" t="e">
        <f>(F37+F41+F44)*days_yr</f>
        <v>#VALUE!</v>
      </c>
      <c r="G53" s="96"/>
      <c r="H53" s="242" t="e">
        <f>(H37+H41+H44)*days_yr</f>
        <v>#VALUE!</v>
      </c>
      <c r="I53" s="96"/>
      <c r="J53" s="242" t="e">
        <f>(J37+J41+J44)*days_yr</f>
        <v>#VALUE!</v>
      </c>
      <c r="K53" s="96"/>
      <c r="L53" s="242" t="e">
        <f>(L37+L41+L44)*days_yr</f>
        <v>#VALUE!</v>
      </c>
      <c r="M53" s="96"/>
      <c r="N53" s="242" t="e">
        <f>(N37+N41+N44)*days_yr</f>
        <v>#VALUE!</v>
      </c>
      <c r="O53" s="96"/>
      <c r="P53" s="242" t="e">
        <f>(P37+P41+P44)*days_yr</f>
        <v>#VALUE!</v>
      </c>
      <c r="Q53" s="96"/>
      <c r="R53" s="242" t="e">
        <f>(R37+R41+R44)*days_yr</f>
        <v>#VALUE!</v>
      </c>
      <c r="S53" s="96"/>
      <c r="T53" s="242" t="e">
        <f>(T37+T41+T44)*days_yr</f>
        <v>#VALUE!</v>
      </c>
      <c r="U53" s="305"/>
      <c r="AV53"/>
    </row>
    <row r="54" spans="1:67" ht="18.75" customHeight="1" x14ac:dyDescent="0.25">
      <c r="A54" s="215" t="s">
        <v>229</v>
      </c>
      <c r="B54" s="216">
        <f>B48*days_yr</f>
        <v>-111.78951811390958</v>
      </c>
      <c r="C54" s="96"/>
      <c r="D54" s="216" t="e">
        <f>D48*days_yr</f>
        <v>#VALUE!</v>
      </c>
      <c r="E54" s="96"/>
      <c r="F54" s="216" t="e">
        <f>F48*days_yr</f>
        <v>#VALUE!</v>
      </c>
      <c r="G54" s="96"/>
      <c r="H54" s="216" t="e">
        <f>H48*days_yr</f>
        <v>#VALUE!</v>
      </c>
      <c r="I54" s="96"/>
      <c r="J54" s="216" t="e">
        <f>J48*days_yr</f>
        <v>#VALUE!</v>
      </c>
      <c r="K54" s="96"/>
      <c r="L54" s="216" t="e">
        <f>L48*days_yr</f>
        <v>#VALUE!</v>
      </c>
      <c r="M54" s="96"/>
      <c r="N54" s="216" t="e">
        <f>N48*days_yr</f>
        <v>#VALUE!</v>
      </c>
      <c r="O54" s="96"/>
      <c r="P54" s="216" t="e">
        <f>P48*days_yr</f>
        <v>#VALUE!</v>
      </c>
      <c r="Q54" s="96"/>
      <c r="R54" s="216" t="e">
        <f>R48*days_yr</f>
        <v>#VALUE!</v>
      </c>
      <c r="S54" s="96"/>
      <c r="T54" s="216" t="e">
        <f>T48*days_yr</f>
        <v>#VALUE!</v>
      </c>
      <c r="U54" s="305"/>
      <c r="AV54"/>
    </row>
    <row r="55" spans="1:67" ht="15.75" customHeight="1" x14ac:dyDescent="0.25">
      <c r="A55" s="215" t="s">
        <v>207</v>
      </c>
      <c r="B55" s="216">
        <f>B53+B54</f>
        <v>6779.5418583928704</v>
      </c>
      <c r="C55" s="441"/>
      <c r="D55" s="216" t="e">
        <f>D53+D54</f>
        <v>#VALUE!</v>
      </c>
      <c r="E55" s="441"/>
      <c r="F55" s="216" t="e">
        <f>F53+F54</f>
        <v>#VALUE!</v>
      </c>
      <c r="G55" s="441"/>
      <c r="H55" s="216" t="e">
        <f>H53+H54</f>
        <v>#VALUE!</v>
      </c>
      <c r="I55" s="441"/>
      <c r="J55" s="216" t="e">
        <f>J53+J54</f>
        <v>#VALUE!</v>
      </c>
      <c r="K55" s="441"/>
      <c r="L55" s="216" t="e">
        <f>L53+L54</f>
        <v>#VALUE!</v>
      </c>
      <c r="M55" s="441"/>
      <c r="N55" s="216" t="e">
        <f>N53+N54</f>
        <v>#VALUE!</v>
      </c>
      <c r="O55" s="441"/>
      <c r="P55" s="216" t="e">
        <f>P53+P54</f>
        <v>#VALUE!</v>
      </c>
      <c r="Q55" s="441"/>
      <c r="R55" s="216" t="e">
        <f>R53+R54</f>
        <v>#VALUE!</v>
      </c>
      <c r="S55" s="441"/>
      <c r="T55" s="216" t="e">
        <f>T53+T54</f>
        <v>#VALUE!</v>
      </c>
      <c r="U55" s="442"/>
      <c r="AT55" s="105"/>
      <c r="AU55" s="130"/>
      <c r="AV55"/>
      <c r="AW55" s="96"/>
      <c r="AX55" s="96"/>
      <c r="AY55" s="96"/>
    </row>
    <row r="56" spans="1:67" ht="15.75" customHeight="1" x14ac:dyDescent="0.25">
      <c r="A56" s="215" t="s">
        <v>230</v>
      </c>
      <c r="B56" s="216">
        <v>0</v>
      </c>
      <c r="C56" s="96"/>
      <c r="D56" s="216">
        <v>0</v>
      </c>
      <c r="E56" s="96"/>
      <c r="F56" s="216">
        <v>0</v>
      </c>
      <c r="G56" s="96"/>
      <c r="H56" s="216">
        <v>0</v>
      </c>
      <c r="I56" s="96"/>
      <c r="J56" s="216">
        <v>0</v>
      </c>
      <c r="K56" s="96"/>
      <c r="L56" s="216">
        <v>0</v>
      </c>
      <c r="M56" s="96"/>
      <c r="N56" s="216">
        <v>0</v>
      </c>
      <c r="O56" s="96"/>
      <c r="P56" s="216">
        <v>0</v>
      </c>
      <c r="Q56" s="96"/>
      <c r="R56" s="216">
        <v>0</v>
      </c>
      <c r="S56" s="96"/>
      <c r="T56" s="216">
        <v>0</v>
      </c>
      <c r="U56" s="305"/>
      <c r="AU56" s="130"/>
      <c r="AV56"/>
      <c r="AW56" s="96"/>
      <c r="AX56" s="96"/>
      <c r="AY56" s="96"/>
    </row>
    <row r="57" spans="1:67" ht="15.75" customHeight="1" thickBot="1" x14ac:dyDescent="0.3">
      <c r="A57" s="153" t="s">
        <v>325</v>
      </c>
      <c r="B57" s="443">
        <f>+B49*days_yr</f>
        <v>600.56071736172225</v>
      </c>
      <c r="C57" s="430"/>
      <c r="D57" s="443" t="e">
        <f>+D49*days_yr</f>
        <v>#VALUE!</v>
      </c>
      <c r="E57" s="430"/>
      <c r="F57" s="443" t="e">
        <f>+F49*days_yr</f>
        <v>#VALUE!</v>
      </c>
      <c r="G57" s="430"/>
      <c r="H57" s="443" t="e">
        <f>+H49*days_yr</f>
        <v>#VALUE!</v>
      </c>
      <c r="I57" s="430"/>
      <c r="J57" s="443" t="e">
        <f>+J49*days_yr</f>
        <v>#VALUE!</v>
      </c>
      <c r="K57" s="430"/>
      <c r="L57" s="443" t="e">
        <f>+L49*days_yr</f>
        <v>#VALUE!</v>
      </c>
      <c r="M57" s="430"/>
      <c r="N57" s="443" t="e">
        <f>+N49*days_yr</f>
        <v>#VALUE!</v>
      </c>
      <c r="O57" s="430"/>
      <c r="P57" s="443" t="e">
        <f>+P49*days_yr</f>
        <v>#VALUE!</v>
      </c>
      <c r="Q57" s="430"/>
      <c r="R57" s="443" t="e">
        <f>+R49*days_yr</f>
        <v>#VALUE!</v>
      </c>
      <c r="S57" s="430"/>
      <c r="T57" s="443" t="e">
        <f>+T49*days_yr</f>
        <v>#VALUE!</v>
      </c>
      <c r="U57" s="351"/>
      <c r="AU57" s="130"/>
      <c r="AV57"/>
      <c r="AW57" s="96"/>
      <c r="AX57" s="96"/>
      <c r="AY57" s="96"/>
    </row>
    <row r="58" spans="1:67" ht="15.75" customHeight="1" x14ac:dyDescent="0.25">
      <c r="AU58" s="96"/>
      <c r="AV58"/>
      <c r="AW58" s="96"/>
      <c r="AX58" s="96"/>
      <c r="AY58" s="96"/>
    </row>
    <row r="59" spans="1:67" ht="15.75" customHeight="1" x14ac:dyDescent="0.25">
      <c r="AU59" s="96"/>
      <c r="AV59"/>
      <c r="AW59" s="96"/>
      <c r="AX59" s="96"/>
      <c r="AY59" s="96"/>
    </row>
    <row r="60" spans="1:67" x14ac:dyDescent="0.25">
      <c r="A60" s="96"/>
      <c r="B60" s="444"/>
      <c r="C60" s="96"/>
      <c r="D60" s="96" t="s">
        <v>412</v>
      </c>
      <c r="AU60" s="96"/>
      <c r="AV60"/>
      <c r="AW60" s="96"/>
      <c r="AX60" s="96"/>
      <c r="AY60" s="96"/>
    </row>
    <row r="61" spans="1:67" s="105" customFormat="1" ht="18" x14ac:dyDescent="0.25">
      <c r="A61" s="176" t="s">
        <v>97</v>
      </c>
      <c r="B61" s="155"/>
      <c r="AU61" s="96"/>
      <c r="AV61"/>
      <c r="AW61" s="96"/>
      <c r="AX61" s="96"/>
      <c r="AY61" s="96"/>
      <c r="AZ61" s="355"/>
      <c r="BA61" s="355"/>
      <c r="BB61" s="355"/>
      <c r="BC61" s="355"/>
      <c r="BD61" s="355"/>
      <c r="BE61" s="355"/>
      <c r="BF61" s="355"/>
      <c r="BG61" s="355"/>
      <c r="BH61" s="355"/>
      <c r="BI61" s="355"/>
      <c r="BJ61" s="355"/>
      <c r="BK61" s="355"/>
      <c r="BL61" s="355"/>
      <c r="BM61" s="355"/>
      <c r="BN61" s="355"/>
      <c r="BO61" s="355"/>
    </row>
    <row r="62" spans="1:67" s="105" customFormat="1" ht="15.75" customHeight="1" x14ac:dyDescent="0.25">
      <c r="A62" s="1335" t="s">
        <v>859</v>
      </c>
      <c r="B62" s="1335"/>
      <c r="C62" s="1335"/>
      <c r="AV62"/>
    </row>
    <row r="63" spans="1:67" s="105" customFormat="1" ht="15.75" customHeight="1" x14ac:dyDescent="0.25">
      <c r="A63" s="1035" t="s">
        <v>107</v>
      </c>
      <c r="B63" s="1036"/>
      <c r="C63" s="1036"/>
      <c r="AV63"/>
    </row>
    <row r="64" spans="1:67" s="96" customFormat="1" ht="15" x14ac:dyDescent="0.25">
      <c r="B64" s="1234" t="s">
        <v>110</v>
      </c>
      <c r="C64" s="1235"/>
      <c r="D64" s="1235"/>
      <c r="E64" s="1236"/>
      <c r="AU64" s="105"/>
      <c r="AV64"/>
      <c r="AW64" s="105"/>
      <c r="AX64" s="105"/>
      <c r="AY64" s="105"/>
      <c r="AZ64" s="105"/>
      <c r="BA64" s="105"/>
      <c r="BB64" s="105"/>
      <c r="BC64" s="105"/>
      <c r="BD64" s="105"/>
      <c r="BE64" s="105"/>
      <c r="BF64" s="105"/>
      <c r="BG64" s="105"/>
      <c r="BH64" s="105"/>
      <c r="BI64" s="105"/>
      <c r="BJ64" s="105"/>
      <c r="BK64" s="105"/>
      <c r="BL64" s="105"/>
      <c r="BM64" s="105"/>
      <c r="BN64" s="105"/>
      <c r="BO64" s="105"/>
    </row>
    <row r="65" spans="1:67" x14ac:dyDescent="0.25">
      <c r="A65" s="96"/>
      <c r="B65" s="1231" t="s">
        <v>31</v>
      </c>
      <c r="C65" s="1232"/>
      <c r="D65" s="1233"/>
      <c r="E65" s="563">
        <v>0</v>
      </c>
      <c r="AU65" s="96"/>
      <c r="AV65"/>
      <c r="AW65" s="96"/>
      <c r="AX65" s="96"/>
      <c r="AY65" s="96"/>
      <c r="AZ65" s="96"/>
      <c r="BA65" s="96"/>
      <c r="BB65" s="96"/>
      <c r="BC65" s="96"/>
      <c r="BD65" s="96"/>
      <c r="BE65" s="96"/>
      <c r="BF65" s="96"/>
      <c r="BG65" s="96"/>
      <c r="BH65" s="96"/>
      <c r="BI65" s="96"/>
      <c r="BJ65" s="96"/>
      <c r="BK65" s="96"/>
      <c r="BL65" s="96"/>
      <c r="BM65" s="96"/>
      <c r="BN65" s="96"/>
      <c r="BO65" s="96"/>
    </row>
    <row r="66" spans="1:67" x14ac:dyDescent="0.25">
      <c r="A66" s="96"/>
      <c r="B66" s="1231" t="s">
        <v>32</v>
      </c>
      <c r="C66" s="1232"/>
      <c r="D66" s="1233"/>
      <c r="E66" s="564">
        <v>0</v>
      </c>
      <c r="AU66" s="96"/>
      <c r="AV66"/>
      <c r="AW66" s="96"/>
      <c r="AX66" s="96"/>
      <c r="AY66" s="96"/>
    </row>
    <row r="67" spans="1:67" x14ac:dyDescent="0.25">
      <c r="A67" s="96"/>
      <c r="B67" s="1231" t="s">
        <v>615</v>
      </c>
      <c r="C67" s="1232"/>
      <c r="D67" s="1233"/>
      <c r="E67" s="565">
        <v>0</v>
      </c>
      <c r="AU67" s="96"/>
      <c r="AV67"/>
      <c r="AW67" s="96"/>
      <c r="AX67" s="96"/>
      <c r="AY67" s="96"/>
    </row>
    <row r="68" spans="1:67" x14ac:dyDescent="0.25">
      <c r="A68" s="96"/>
      <c r="B68" s="1231" t="s">
        <v>70</v>
      </c>
      <c r="C68" s="1232"/>
      <c r="D68" s="1233"/>
      <c r="E68" s="566">
        <v>0</v>
      </c>
      <c r="AU68" s="96"/>
      <c r="AV68"/>
      <c r="AW68" s="96"/>
      <c r="AX68" s="96"/>
      <c r="AY68" s="96"/>
    </row>
    <row r="69" spans="1:67" x14ac:dyDescent="0.25">
      <c r="A69" s="96"/>
      <c r="B69" s="1231" t="s">
        <v>550</v>
      </c>
      <c r="C69" s="1232"/>
      <c r="D69" s="1233"/>
      <c r="E69" s="567">
        <v>0</v>
      </c>
      <c r="F69" s="445"/>
      <c r="AU69" s="96"/>
      <c r="AV69"/>
      <c r="AW69" s="96"/>
      <c r="AX69" s="96"/>
      <c r="AY69" s="96"/>
    </row>
    <row r="70" spans="1:67" x14ac:dyDescent="0.25">
      <c r="A70" s="96"/>
      <c r="B70" s="1231" t="s">
        <v>610</v>
      </c>
      <c r="C70" s="1232"/>
      <c r="D70" s="1233"/>
      <c r="E70" s="227">
        <v>0</v>
      </c>
      <c r="AU70" s="96"/>
      <c r="AV70"/>
      <c r="AW70" s="96"/>
      <c r="AX70" s="96"/>
      <c r="AY70" s="96"/>
    </row>
    <row r="71" spans="1:67" x14ac:dyDescent="0.25">
      <c r="A71" s="96"/>
      <c r="B71" s="96"/>
      <c r="C71" s="96"/>
      <c r="D71" s="96"/>
      <c r="AU71" s="96"/>
      <c r="AV71"/>
      <c r="AW71" s="96"/>
      <c r="AX71" s="96"/>
      <c r="AY71" s="96"/>
    </row>
    <row r="72" spans="1:67" x14ac:dyDescent="0.25">
      <c r="A72" s="96"/>
      <c r="B72" s="96"/>
      <c r="C72" s="96"/>
      <c r="D72" s="96"/>
      <c r="E72" s="446"/>
      <c r="AU72" s="96"/>
      <c r="AV72"/>
      <c r="AW72" s="96"/>
      <c r="AX72" s="96"/>
      <c r="AY72" s="96"/>
    </row>
    <row r="73" spans="1:67" x14ac:dyDescent="0.25">
      <c r="A73" s="96"/>
      <c r="B73" s="96"/>
      <c r="C73" s="96"/>
      <c r="D73" s="96"/>
      <c r="E73" s="447"/>
      <c r="AU73" s="96"/>
      <c r="AV73"/>
      <c r="AW73" s="96"/>
      <c r="AX73" s="96"/>
      <c r="AY73" s="96"/>
    </row>
    <row r="74" spans="1:67" x14ac:dyDescent="0.25">
      <c r="A74" s="96"/>
      <c r="B74" s="96"/>
      <c r="C74" s="96"/>
      <c r="D74" s="96"/>
      <c r="E74" s="446"/>
      <c r="AU74" s="96"/>
      <c r="AV74"/>
      <c r="AW74" s="96"/>
      <c r="AX74" s="96"/>
      <c r="AY74" s="96"/>
    </row>
    <row r="75" spans="1:67" x14ac:dyDescent="0.25">
      <c r="A75" s="96"/>
      <c r="B75" s="96"/>
      <c r="C75" s="96"/>
      <c r="D75" s="96"/>
      <c r="E75" s="448"/>
      <c r="AU75" s="96"/>
      <c r="AV75"/>
      <c r="AW75" s="96"/>
      <c r="AX75" s="96"/>
      <c r="AY75" s="96"/>
    </row>
    <row r="76" spans="1:67" x14ac:dyDescent="0.25">
      <c r="A76" s="96"/>
      <c r="B76" s="96"/>
      <c r="C76" s="96"/>
      <c r="D76" s="96"/>
      <c r="AU76" s="96"/>
      <c r="AV76"/>
      <c r="AW76" s="96"/>
      <c r="AX76" s="96"/>
      <c r="AY76" s="96"/>
    </row>
    <row r="77" spans="1:67" x14ac:dyDescent="0.25">
      <c r="A77" s="96"/>
      <c r="B77" s="96"/>
      <c r="C77" s="96"/>
      <c r="D77" s="96"/>
      <c r="AU77" s="96"/>
      <c r="AV77"/>
      <c r="AW77" s="96"/>
      <c r="AX77" s="96"/>
      <c r="AY77" s="96"/>
    </row>
    <row r="78" spans="1:67" x14ac:dyDescent="0.25">
      <c r="A78" s="96"/>
      <c r="B78" s="96"/>
      <c r="C78" s="96"/>
      <c r="D78" s="96"/>
      <c r="AU78" s="96"/>
      <c r="AV78"/>
      <c r="AW78" s="96"/>
      <c r="AX78" s="96"/>
      <c r="AY78" s="96"/>
    </row>
    <row r="79" spans="1:67" x14ac:dyDescent="0.25">
      <c r="A79" s="96"/>
      <c r="B79" s="96"/>
      <c r="C79" s="96"/>
      <c r="D79" s="96"/>
      <c r="AU79" s="96"/>
      <c r="AV79"/>
      <c r="AW79" s="96"/>
      <c r="AX79" s="96"/>
      <c r="AY79" s="96"/>
    </row>
    <row r="80" spans="1:67" x14ac:dyDescent="0.25">
      <c r="A80" s="96"/>
      <c r="AU80" s="96"/>
      <c r="AV80"/>
      <c r="AW80" s="96"/>
      <c r="AX80" s="96"/>
      <c r="AY80" s="96"/>
    </row>
    <row r="81" spans="1:51" x14ac:dyDescent="0.25">
      <c r="A81" s="96"/>
      <c r="AU81" s="96"/>
      <c r="AV81"/>
      <c r="AW81" s="96"/>
      <c r="AX81" s="96"/>
      <c r="AY81" s="96"/>
    </row>
    <row r="82" spans="1:51" x14ac:dyDescent="0.25">
      <c r="A82" s="96"/>
      <c r="AU82" s="96"/>
      <c r="AV82"/>
      <c r="AW82" s="96"/>
      <c r="AX82" s="96"/>
      <c r="AY82" s="96"/>
    </row>
    <row r="83" spans="1:51" x14ac:dyDescent="0.25">
      <c r="A83" s="96"/>
      <c r="AU83" s="96"/>
      <c r="AV83"/>
      <c r="AW83" s="96"/>
      <c r="AX83" s="96"/>
      <c r="AY83" s="96"/>
    </row>
    <row r="84" spans="1:51" x14ac:dyDescent="0.25">
      <c r="A84" s="96"/>
      <c r="AU84" s="96"/>
      <c r="AV84"/>
      <c r="AW84" s="96"/>
      <c r="AX84" s="96"/>
      <c r="AY84" s="96"/>
    </row>
    <row r="85" spans="1:51" x14ac:dyDescent="0.25">
      <c r="A85" s="96"/>
      <c r="B85" s="96"/>
      <c r="C85" s="96"/>
      <c r="D85" s="96"/>
      <c r="AU85" s="96"/>
      <c r="AV85"/>
      <c r="AW85" s="96"/>
      <c r="AX85" s="96"/>
      <c r="AY85" s="96"/>
    </row>
    <row r="86" spans="1:51" x14ac:dyDescent="0.25">
      <c r="A86" s="96"/>
      <c r="B86" s="96"/>
      <c r="C86" s="96"/>
      <c r="D86" s="96"/>
      <c r="AU86" s="96"/>
      <c r="AV86"/>
      <c r="AW86" s="96"/>
      <c r="AX86" s="96"/>
      <c r="AY86" s="96"/>
    </row>
    <row r="87" spans="1:51" x14ac:dyDescent="0.25">
      <c r="A87" s="96"/>
      <c r="B87" s="96"/>
      <c r="C87" s="96"/>
      <c r="D87" s="96"/>
      <c r="AU87" s="96"/>
      <c r="AV87"/>
      <c r="AW87" s="96"/>
      <c r="AX87" s="96"/>
      <c r="AY87" s="96"/>
    </row>
    <row r="88" spans="1:51" x14ac:dyDescent="0.25">
      <c r="A88" s="96"/>
      <c r="B88" s="96"/>
      <c r="C88" s="96"/>
      <c r="D88" s="96"/>
      <c r="AU88" s="96"/>
      <c r="AV88"/>
      <c r="AW88" s="96"/>
      <c r="AX88" s="96"/>
      <c r="AY88" s="96"/>
    </row>
    <row r="89" spans="1:51" x14ac:dyDescent="0.25">
      <c r="A89" s="96"/>
      <c r="B89" s="96"/>
      <c r="C89" s="96"/>
      <c r="D89" s="96"/>
      <c r="AU89" s="96"/>
      <c r="AV89"/>
      <c r="AW89" s="96"/>
      <c r="AX89" s="96"/>
      <c r="AY89" s="96"/>
    </row>
    <row r="90" spans="1:51" x14ac:dyDescent="0.25">
      <c r="A90" s="96"/>
      <c r="B90" s="96"/>
      <c r="C90" s="96"/>
      <c r="D90" s="96"/>
      <c r="AU90" s="96"/>
      <c r="AV90"/>
      <c r="AW90" s="96"/>
      <c r="AX90" s="96"/>
      <c r="AY90" s="96"/>
    </row>
    <row r="91" spans="1:51" x14ac:dyDescent="0.25">
      <c r="A91" s="96"/>
      <c r="B91" s="96"/>
      <c r="C91" s="96"/>
      <c r="D91" s="96"/>
      <c r="AU91" s="96"/>
      <c r="AV91"/>
      <c r="AW91" s="96"/>
      <c r="AX91" s="96"/>
      <c r="AY91" s="96"/>
    </row>
    <row r="92" spans="1:51" x14ac:dyDescent="0.25">
      <c r="A92" s="96"/>
      <c r="B92" s="96"/>
      <c r="C92" s="96"/>
      <c r="D92" s="96"/>
      <c r="AU92" s="96"/>
      <c r="AV92"/>
      <c r="AW92" s="96"/>
      <c r="AX92" s="96"/>
      <c r="AY92" s="96"/>
    </row>
    <row r="93" spans="1:51" x14ac:dyDescent="0.25">
      <c r="A93" s="96"/>
      <c r="B93" s="96"/>
      <c r="C93" s="96"/>
      <c r="D93" s="96"/>
      <c r="AU93" s="96"/>
      <c r="AV93"/>
      <c r="AW93" s="96"/>
      <c r="AX93" s="96"/>
      <c r="AY93" s="96"/>
    </row>
    <row r="94" spans="1:51" x14ac:dyDescent="0.25">
      <c r="A94" s="96"/>
      <c r="B94" s="96"/>
      <c r="C94" s="96"/>
      <c r="D94" s="96"/>
      <c r="AU94" s="96"/>
      <c r="AV94"/>
      <c r="AW94" s="96"/>
      <c r="AX94" s="96"/>
      <c r="AY94" s="96"/>
    </row>
    <row r="95" spans="1:51" x14ac:dyDescent="0.25">
      <c r="A95" s="96"/>
      <c r="B95" s="96"/>
      <c r="C95" s="96"/>
      <c r="D95" s="96"/>
      <c r="AU95" s="96"/>
      <c r="AV95"/>
      <c r="AW95" s="96"/>
      <c r="AX95" s="96"/>
      <c r="AY95" s="96"/>
    </row>
    <row r="96" spans="1:51" x14ac:dyDescent="0.25">
      <c r="A96" s="96"/>
      <c r="B96" s="96"/>
      <c r="C96" s="96"/>
      <c r="D96" s="96"/>
      <c r="AU96" s="96"/>
      <c r="AV96"/>
      <c r="AW96" s="96"/>
      <c r="AX96" s="96"/>
      <c r="AY96" s="96"/>
    </row>
    <row r="97" spans="1:51" x14ac:dyDescent="0.25">
      <c r="A97" s="96"/>
      <c r="B97" s="96"/>
      <c r="C97" s="96"/>
      <c r="D97" s="96"/>
      <c r="AU97" s="96"/>
      <c r="AV97"/>
      <c r="AW97" s="96"/>
      <c r="AX97" s="96"/>
      <c r="AY97" s="96"/>
    </row>
    <row r="98" spans="1:51" x14ac:dyDescent="0.25">
      <c r="A98" s="96"/>
      <c r="B98" s="96"/>
      <c r="C98" s="96"/>
      <c r="D98" s="96"/>
      <c r="AU98" s="96"/>
      <c r="AV98"/>
      <c r="AW98" s="96"/>
      <c r="AX98" s="96"/>
      <c r="AY98" s="96"/>
    </row>
    <row r="99" spans="1:51" x14ac:dyDescent="0.25">
      <c r="A99" s="96"/>
      <c r="B99" s="96"/>
      <c r="C99" s="96"/>
      <c r="D99" s="96"/>
      <c r="AU99" s="96"/>
      <c r="AV99"/>
      <c r="AW99" s="96"/>
      <c r="AX99" s="96"/>
      <c r="AY99" s="96"/>
    </row>
    <row r="100" spans="1:51" x14ac:dyDescent="0.25">
      <c r="A100" s="96"/>
      <c r="B100" s="96"/>
      <c r="C100" s="96"/>
      <c r="D100" s="96"/>
      <c r="AU100" s="96"/>
      <c r="AV100"/>
      <c r="AW100" s="96"/>
      <c r="AX100" s="96"/>
      <c r="AY100" s="96"/>
    </row>
    <row r="101" spans="1:51" x14ac:dyDescent="0.25">
      <c r="A101" s="96"/>
      <c r="B101" s="96"/>
      <c r="C101" s="96"/>
      <c r="D101" s="96"/>
      <c r="AU101" s="96"/>
      <c r="AV101"/>
      <c r="AW101" s="96"/>
      <c r="AX101" s="96"/>
      <c r="AY101" s="96"/>
    </row>
    <row r="102" spans="1:51" x14ac:dyDescent="0.25">
      <c r="A102" s="96"/>
      <c r="B102" s="96"/>
      <c r="C102" s="96"/>
      <c r="D102" s="96"/>
      <c r="AU102" s="96"/>
      <c r="AV102"/>
      <c r="AW102" s="96"/>
      <c r="AX102" s="96"/>
      <c r="AY102" s="96"/>
    </row>
    <row r="103" spans="1:51" x14ac:dyDescent="0.25">
      <c r="A103" s="96"/>
      <c r="B103" s="96"/>
      <c r="C103" s="96"/>
      <c r="D103" s="96"/>
      <c r="AU103" s="96"/>
      <c r="AV103"/>
      <c r="AW103" s="96"/>
      <c r="AX103" s="96"/>
      <c r="AY103" s="96"/>
    </row>
    <row r="104" spans="1:51" x14ac:dyDescent="0.25">
      <c r="A104" s="96"/>
      <c r="B104" s="96"/>
      <c r="C104" s="96"/>
      <c r="D104" s="96"/>
      <c r="AU104" s="96"/>
      <c r="AV104"/>
      <c r="AW104" s="96"/>
      <c r="AX104" s="96"/>
      <c r="AY104" s="96"/>
    </row>
    <row r="105" spans="1:51" x14ac:dyDescent="0.25">
      <c r="A105" s="96"/>
      <c r="B105" s="96"/>
      <c r="C105" s="96"/>
      <c r="D105" s="96"/>
      <c r="AU105" s="96"/>
      <c r="AV105"/>
      <c r="AW105" s="96"/>
      <c r="AX105" s="96"/>
      <c r="AY105" s="96"/>
    </row>
    <row r="106" spans="1:51" x14ac:dyDescent="0.25">
      <c r="A106" s="96"/>
      <c r="B106" s="96"/>
      <c r="C106" s="96"/>
      <c r="D106" s="96"/>
      <c r="AU106" s="96"/>
      <c r="AV106"/>
      <c r="AW106" s="96"/>
      <c r="AX106" s="96"/>
      <c r="AY106" s="96"/>
    </row>
    <row r="107" spans="1:51" x14ac:dyDescent="0.25">
      <c r="A107" s="96"/>
      <c r="B107" s="96"/>
      <c r="C107" s="96"/>
      <c r="D107" s="96"/>
      <c r="AU107" s="96"/>
      <c r="AV107"/>
      <c r="AW107" s="96"/>
      <c r="AX107" s="96"/>
      <c r="AY107" s="96"/>
    </row>
    <row r="108" spans="1:51" x14ac:dyDescent="0.25">
      <c r="A108" s="96"/>
      <c r="B108" s="96"/>
      <c r="C108" s="96"/>
      <c r="D108" s="96"/>
      <c r="AU108" s="96"/>
      <c r="AV108"/>
      <c r="AW108" s="96"/>
      <c r="AX108" s="96"/>
      <c r="AY108" s="96"/>
    </row>
    <row r="109" spans="1:51" x14ac:dyDescent="0.25">
      <c r="A109" s="96"/>
      <c r="B109" s="96"/>
      <c r="C109" s="96"/>
      <c r="D109" s="96"/>
      <c r="AU109" s="96"/>
      <c r="AV109"/>
      <c r="AW109" s="96"/>
      <c r="AX109" s="96"/>
      <c r="AY109" s="96"/>
    </row>
    <row r="110" spans="1:51" x14ac:dyDescent="0.25">
      <c r="A110" s="96"/>
      <c r="B110" s="96"/>
      <c r="C110" s="96"/>
      <c r="D110" s="96"/>
      <c r="AU110" s="96"/>
      <c r="AV110"/>
      <c r="AW110" s="96"/>
      <c r="AX110" s="96"/>
      <c r="AY110" s="96"/>
    </row>
    <row r="111" spans="1:51" x14ac:dyDescent="0.25">
      <c r="A111" s="96"/>
      <c r="B111" s="96"/>
      <c r="C111" s="96"/>
      <c r="D111" s="96"/>
      <c r="AU111" s="96"/>
      <c r="AV111"/>
      <c r="AW111" s="96"/>
      <c r="AX111" s="96"/>
      <c r="AY111" s="96"/>
    </row>
    <row r="112" spans="1:51" x14ac:dyDescent="0.25">
      <c r="A112" s="96"/>
      <c r="B112" s="96"/>
      <c r="C112" s="96"/>
      <c r="D112" s="96"/>
      <c r="AU112" s="96"/>
      <c r="AV112"/>
      <c r="AW112" s="96"/>
      <c r="AX112" s="96"/>
      <c r="AY112" s="96"/>
    </row>
    <row r="113" spans="1:51" x14ac:dyDescent="0.25">
      <c r="A113" s="96"/>
      <c r="B113" s="96"/>
      <c r="C113" s="96"/>
      <c r="D113" s="96"/>
      <c r="AU113" s="96"/>
      <c r="AV113"/>
      <c r="AW113" s="96"/>
      <c r="AX113" s="96"/>
      <c r="AY113" s="96"/>
    </row>
    <row r="114" spans="1:51" x14ac:dyDescent="0.25">
      <c r="A114" s="96"/>
      <c r="B114" s="96"/>
      <c r="C114" s="96"/>
      <c r="D114" s="96"/>
      <c r="AU114" s="96"/>
      <c r="AV114"/>
      <c r="AW114" s="96"/>
      <c r="AX114" s="96"/>
      <c r="AY114" s="96"/>
    </row>
    <row r="115" spans="1:51" x14ac:dyDescent="0.25">
      <c r="A115" s="96"/>
      <c r="B115" s="96"/>
      <c r="C115" s="96"/>
      <c r="D115" s="96"/>
      <c r="AU115" s="96"/>
      <c r="AV115"/>
      <c r="AW115" s="96"/>
      <c r="AX115" s="96"/>
      <c r="AY115" s="96"/>
    </row>
    <row r="116" spans="1:51" x14ac:dyDescent="0.25">
      <c r="A116" s="96"/>
      <c r="B116" s="96"/>
      <c r="C116" s="96"/>
      <c r="D116" s="96"/>
      <c r="AU116" s="96"/>
      <c r="AV116"/>
      <c r="AW116" s="96"/>
      <c r="AX116" s="96"/>
      <c r="AY116" s="96"/>
    </row>
    <row r="117" spans="1:51" x14ac:dyDescent="0.25">
      <c r="A117" s="96"/>
      <c r="B117" s="96"/>
      <c r="C117" s="96"/>
      <c r="D117" s="96"/>
      <c r="AU117" s="96"/>
      <c r="AV117"/>
      <c r="AW117" s="96"/>
      <c r="AX117" s="96"/>
      <c r="AY117" s="96"/>
    </row>
    <row r="118" spans="1:51" x14ac:dyDescent="0.25">
      <c r="A118" s="96"/>
      <c r="B118" s="96"/>
      <c r="C118" s="96"/>
      <c r="D118" s="96"/>
      <c r="AU118" s="96"/>
      <c r="AV118"/>
      <c r="AW118" s="96"/>
      <c r="AX118" s="96"/>
      <c r="AY118" s="96"/>
    </row>
    <row r="119" spans="1:51" x14ac:dyDescent="0.25">
      <c r="A119" s="96"/>
      <c r="B119" s="96"/>
      <c r="C119" s="96"/>
      <c r="D119" s="96"/>
      <c r="AU119" s="96"/>
      <c r="AV119" s="96"/>
      <c r="AW119" s="96"/>
      <c r="AX119" s="96"/>
      <c r="AY119" s="96"/>
    </row>
    <row r="120" spans="1:51" x14ac:dyDescent="0.25">
      <c r="A120" s="96"/>
      <c r="B120" s="96"/>
      <c r="C120" s="96"/>
      <c r="D120" s="96"/>
      <c r="AU120" s="96"/>
      <c r="AV120" s="96"/>
      <c r="AW120" s="96"/>
      <c r="AX120" s="96"/>
      <c r="AY120" s="96"/>
    </row>
    <row r="121" spans="1:51" x14ac:dyDescent="0.25">
      <c r="A121" s="96"/>
      <c r="B121" s="96"/>
      <c r="C121" s="96"/>
      <c r="D121" s="96"/>
      <c r="AU121" s="96"/>
      <c r="AV121" s="96"/>
      <c r="AW121" s="96"/>
      <c r="AX121" s="96"/>
      <c r="AY121" s="96"/>
    </row>
    <row r="122" spans="1:51" x14ac:dyDescent="0.25">
      <c r="A122" s="96"/>
      <c r="B122" s="96"/>
      <c r="C122" s="96"/>
      <c r="D122" s="96"/>
      <c r="AU122" s="96"/>
      <c r="AV122" s="96"/>
      <c r="AW122" s="96"/>
      <c r="AX122" s="96"/>
      <c r="AY122" s="96"/>
    </row>
    <row r="123" spans="1:51" x14ac:dyDescent="0.25">
      <c r="A123" s="96"/>
      <c r="B123" s="96"/>
      <c r="C123" s="96"/>
      <c r="D123" s="96"/>
      <c r="AU123" s="96"/>
      <c r="AV123" s="96"/>
      <c r="AW123" s="96"/>
      <c r="AX123" s="96"/>
      <c r="AY123" s="96"/>
    </row>
    <row r="124" spans="1:51" x14ac:dyDescent="0.25">
      <c r="A124" s="96"/>
      <c r="B124" s="96"/>
      <c r="C124" s="96"/>
      <c r="D124" s="96"/>
      <c r="AU124" s="96"/>
      <c r="AV124" s="96"/>
      <c r="AW124" s="96"/>
      <c r="AX124" s="96"/>
      <c r="AY124" s="96"/>
    </row>
    <row r="125" spans="1:51" x14ac:dyDescent="0.25">
      <c r="A125" s="96"/>
      <c r="B125" s="96"/>
      <c r="C125" s="96"/>
      <c r="D125" s="96"/>
      <c r="AU125" s="96"/>
      <c r="AV125" s="96"/>
      <c r="AW125" s="96"/>
      <c r="AX125" s="96"/>
      <c r="AY125" s="96"/>
    </row>
    <row r="126" spans="1:51" x14ac:dyDescent="0.25">
      <c r="A126" s="96"/>
      <c r="B126" s="96"/>
      <c r="C126" s="96"/>
      <c r="D126" s="96"/>
      <c r="E126" s="96"/>
      <c r="F126" s="96"/>
      <c r="G126" s="96"/>
      <c r="H126" s="96"/>
      <c r="I126" s="96"/>
      <c r="AU126" s="96"/>
      <c r="AV126" s="96"/>
      <c r="AW126" s="96"/>
      <c r="AX126" s="96"/>
      <c r="AY126" s="96"/>
    </row>
  </sheetData>
  <sheetProtection algorithmName="SHA-512" hashValue="Y1OWwMcpkqXOfpeaIdjKus6lPLrxAxvTHcI5Z33JuTICZufFbP1qAVpdf7WtU2SvL8r6TKbW296eU7bs0606Cw==" saltValue="+jWQ1p2rytnkccm+lidqrA==" spinCount="100000" sheet="1" objects="1" scenarios="1"/>
  <mergeCells count="35">
    <mergeCell ref="T10:U10"/>
    <mergeCell ref="F9:G9"/>
    <mergeCell ref="H9:I9"/>
    <mergeCell ref="J9:K9"/>
    <mergeCell ref="L9:M9"/>
    <mergeCell ref="N9:O9"/>
    <mergeCell ref="P9:Q9"/>
    <mergeCell ref="F10:G10"/>
    <mergeCell ref="H10:I10"/>
    <mergeCell ref="J10:K10"/>
    <mergeCell ref="L10:M10"/>
    <mergeCell ref="N10:O10"/>
    <mergeCell ref="A62:C62"/>
    <mergeCell ref="B9:C9"/>
    <mergeCell ref="B10:C10"/>
    <mergeCell ref="A9:A10"/>
    <mergeCell ref="D9:E9"/>
    <mergeCell ref="A39:U39"/>
    <mergeCell ref="A43:U43"/>
    <mergeCell ref="A46:U46"/>
    <mergeCell ref="A51:U51"/>
    <mergeCell ref="A12:U12"/>
    <mergeCell ref="A31:U31"/>
    <mergeCell ref="P10:Q10"/>
    <mergeCell ref="R9:S9"/>
    <mergeCell ref="T9:U9"/>
    <mergeCell ref="D10:E10"/>
    <mergeCell ref="R10:S10"/>
    <mergeCell ref="B69:D69"/>
    <mergeCell ref="B70:D70"/>
    <mergeCell ref="B64:E64"/>
    <mergeCell ref="B65:D65"/>
    <mergeCell ref="B66:D66"/>
    <mergeCell ref="B67:D67"/>
    <mergeCell ref="B68:D68"/>
  </mergeCells>
  <phoneticPr fontId="43"/>
  <dataValidations count="4">
    <dataValidation type="list" allowBlank="1" showInputMessage="1" showErrorMessage="1" sqref="R22 B22 D22 F22 H22 J22 T22 N22 L22 P22" xr:uid="{00000000-0002-0000-1200-000000000000}">
      <formula1>Landfill_cover_quality</formula1>
    </dataValidation>
    <dataValidation type="list" allowBlank="1" showInputMessage="1" showErrorMessage="1" sqref="F16 B16 D16 R16 P16 N16 T16 J16 H16 L16" xr:uid="{00000000-0002-0000-1200-000001000000}">
      <formula1>Yes_No</formula1>
    </dataValidation>
    <dataValidation type="list" allowBlank="1" showInputMessage="1" showErrorMessage="1" sqref="P28 R28 B28 D28 F28 H28 J28 L28 N28 T28" xr:uid="{00000000-0002-0000-1200-000002000000}">
      <formula1>Landfill_climate</formula1>
    </dataValidation>
    <dataValidation type="list" allowBlank="1" showInputMessage="1" showErrorMessage="1" sqref="J26 T26 N26 L26 R26 H26 B26 D26 F26 P26" xr:uid="{00000000-0002-0000-1200-000003000000}">
      <formula1>Select_DOCf</formula1>
    </dataValidation>
  </dataValidations>
  <pageMargins left="0.7" right="0.7" top="0.75" bottom="0.75" header="0.3" footer="0.3"/>
  <pageSetup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64"/>
  <sheetViews>
    <sheetView topLeftCell="A16" zoomScale="70" zoomScaleNormal="70" workbookViewId="0">
      <selection activeCell="B29" sqref="B29"/>
    </sheetView>
  </sheetViews>
  <sheetFormatPr defaultColWidth="11.42578125" defaultRowHeight="14.25" x14ac:dyDescent="0.2"/>
  <cols>
    <col min="1" max="1" width="34.140625" style="105" customWidth="1"/>
    <col min="2" max="2" width="17.85546875" style="155" customWidth="1"/>
    <col min="3" max="3" width="17.85546875" style="105" customWidth="1"/>
    <col min="4" max="4" width="24" style="105" customWidth="1"/>
    <col min="5" max="11" width="17.85546875" style="105" customWidth="1"/>
    <col min="12" max="12" width="29.140625" style="105" customWidth="1"/>
    <col min="13" max="13" width="13.42578125" style="105" customWidth="1"/>
    <col min="14" max="14" width="15.140625" style="105" customWidth="1"/>
    <col min="15" max="15" width="39.140625" style="105" customWidth="1"/>
    <col min="16" max="16384" width="11.42578125" style="105"/>
  </cols>
  <sheetData>
    <row r="1" spans="1:16" ht="23.25" x14ac:dyDescent="0.35">
      <c r="A1" s="1197" t="s">
        <v>991</v>
      </c>
      <c r="B1" s="1197"/>
      <c r="C1" s="1198"/>
      <c r="D1" s="1198"/>
      <c r="E1" s="1198"/>
      <c r="F1" s="1198"/>
      <c r="G1" s="1198"/>
      <c r="H1" s="1198"/>
    </row>
    <row r="2" spans="1:16" ht="24" thickBot="1" x14ac:dyDescent="0.4">
      <c r="A2" s="528"/>
      <c r="B2" s="528"/>
      <c r="C2" s="886"/>
      <c r="D2" s="886"/>
      <c r="E2" s="886"/>
      <c r="F2" s="96"/>
      <c r="G2" s="96"/>
      <c r="H2" s="96"/>
      <c r="I2" s="96"/>
    </row>
    <row r="3" spans="1:16" ht="20.25" x14ac:dyDescent="0.3">
      <c r="A3" s="1119" t="s">
        <v>628</v>
      </c>
      <c r="B3" s="1208"/>
      <c r="C3" s="1208"/>
      <c r="D3" s="1209"/>
      <c r="F3" s="96"/>
      <c r="G3" s="96"/>
      <c r="H3" s="96"/>
      <c r="I3" s="96"/>
    </row>
    <row r="4" spans="1:16" ht="20.25" x14ac:dyDescent="0.3">
      <c r="A4" s="1120" t="s">
        <v>795</v>
      </c>
      <c r="B4" s="1210" t="s">
        <v>996</v>
      </c>
      <c r="C4" s="1210"/>
      <c r="D4" s="1211"/>
      <c r="F4" s="96"/>
      <c r="G4" s="96"/>
      <c r="H4" s="96"/>
      <c r="I4" s="96"/>
    </row>
    <row r="5" spans="1:16" ht="20.25" x14ac:dyDescent="0.3">
      <c r="A5" s="1120" t="s">
        <v>100</v>
      </c>
      <c r="B5" s="1212">
        <v>45379</v>
      </c>
      <c r="C5" s="1212"/>
      <c r="D5" s="1213"/>
      <c r="F5" s="96"/>
      <c r="G5" s="96"/>
      <c r="H5" s="96"/>
    </row>
    <row r="6" spans="1:16" ht="21" thickBot="1" x14ac:dyDescent="0.35">
      <c r="A6" s="1121" t="s">
        <v>21</v>
      </c>
      <c r="B6" s="1214" t="s">
        <v>993</v>
      </c>
      <c r="C6" s="1214"/>
      <c r="D6" s="1215"/>
      <c r="F6" s="96"/>
    </row>
    <row r="7" spans="1:16" ht="23.25" x14ac:dyDescent="0.35">
      <c r="A7" s="369"/>
      <c r="B7" s="369"/>
    </row>
    <row r="8" spans="1:16" ht="24" thickBot="1" x14ac:dyDescent="0.4">
      <c r="A8" s="1201"/>
      <c r="B8" s="1201"/>
    </row>
    <row r="9" spans="1:16" ht="20.25" customHeight="1" x14ac:dyDescent="0.25">
      <c r="A9" s="1202" t="s">
        <v>771</v>
      </c>
      <c r="B9" s="1203"/>
      <c r="C9" s="1203"/>
      <c r="D9" s="1204"/>
      <c r="E9" s="1122"/>
    </row>
    <row r="10" spans="1:16" ht="15.75" customHeight="1" x14ac:dyDescent="0.2">
      <c r="A10" s="1205" t="s">
        <v>831</v>
      </c>
      <c r="B10" s="1200"/>
      <c r="C10" s="1200"/>
      <c r="D10" s="899"/>
      <c r="J10" s="155"/>
      <c r="P10" s="96"/>
    </row>
    <row r="11" spans="1:16" ht="15.75" customHeight="1" x14ac:dyDescent="0.2">
      <c r="A11" s="1205" t="s">
        <v>607</v>
      </c>
      <c r="B11" s="1200"/>
      <c r="C11" s="1200"/>
      <c r="D11" s="900" t="s">
        <v>683</v>
      </c>
    </row>
    <row r="12" spans="1:16" ht="15.75" customHeight="1" x14ac:dyDescent="0.2">
      <c r="A12" s="1199" t="s">
        <v>292</v>
      </c>
      <c r="B12" s="1200"/>
      <c r="C12" s="1200"/>
      <c r="D12" s="1123">
        <f>IFERROR(VLOOKUP(D11,'References Assumptions'!A294:E328,5,FALSE),"N/A")</f>
        <v>274.11884399999997</v>
      </c>
      <c r="E12" s="175"/>
    </row>
    <row r="13" spans="1:16" ht="15.75" customHeight="1" thickBot="1" x14ac:dyDescent="0.25">
      <c r="A13" s="1218" t="s">
        <v>832</v>
      </c>
      <c r="B13" s="1219"/>
      <c r="C13" s="1220"/>
      <c r="D13" s="901">
        <v>100</v>
      </c>
    </row>
    <row r="14" spans="1:16" ht="15.75" customHeight="1" thickBot="1" x14ac:dyDescent="0.25">
      <c r="A14" s="1124"/>
      <c r="B14" s="1124"/>
      <c r="C14" s="1124"/>
      <c r="D14" s="175"/>
    </row>
    <row r="15" spans="1:16" ht="26.25" customHeight="1" x14ac:dyDescent="0.2">
      <c r="A15" s="1216" t="s">
        <v>603</v>
      </c>
      <c r="B15" s="1125" t="s">
        <v>449</v>
      </c>
      <c r="C15" s="1125" t="s">
        <v>451</v>
      </c>
      <c r="D15" s="1125" t="s">
        <v>452</v>
      </c>
      <c r="E15" s="1125" t="s">
        <v>453</v>
      </c>
      <c r="F15" s="1125" t="s">
        <v>454</v>
      </c>
      <c r="G15" s="1125" t="s">
        <v>455</v>
      </c>
      <c r="H15" s="1125" t="s">
        <v>456</v>
      </c>
      <c r="I15" s="1125" t="s">
        <v>457</v>
      </c>
      <c r="J15" s="1125" t="s">
        <v>458</v>
      </c>
      <c r="K15" s="1125" t="s">
        <v>459</v>
      </c>
    </row>
    <row r="16" spans="1:16" ht="24" customHeight="1" thickBot="1" x14ac:dyDescent="0.25">
      <c r="A16" s="1217"/>
      <c r="B16" s="1126" t="str">
        <f>'Scenarios Data'!$B$1</f>
        <v>Landfill</v>
      </c>
      <c r="C16" s="1126" t="str">
        <f>'Scenarios Data'!$B$33</f>
        <v>Co-digestion</v>
      </c>
      <c r="D16" s="1126">
        <f>'Scenarios Data'!$B$65</f>
        <v>0</v>
      </c>
      <c r="E16" s="1126">
        <f>'Scenarios Data'!$B$97</f>
        <v>0</v>
      </c>
      <c r="F16" s="1126">
        <f>'Scenarios Data'!$B$129</f>
        <v>0</v>
      </c>
      <c r="G16" s="1126">
        <f>'Scenarios Data'!$B$161</f>
        <v>0</v>
      </c>
      <c r="H16" s="1126" t="str">
        <f>'Scenarios Data'!$B$193</f>
        <v xml:space="preserve"> </v>
      </c>
      <c r="I16" s="1126">
        <f>'Scenarios Data'!$B$225</f>
        <v>0</v>
      </c>
      <c r="J16" s="1126">
        <f>'Scenarios Data'!$B$257</f>
        <v>0</v>
      </c>
      <c r="K16" s="1126">
        <f>'Scenarios Data'!$B$289</f>
        <v>0</v>
      </c>
    </row>
    <row r="17" spans="1:11" s="130" customFormat="1" ht="108.75" customHeight="1" thickBot="1" x14ac:dyDescent="0.25">
      <c r="A17" s="45" t="s">
        <v>152</v>
      </c>
      <c r="B17" s="48" t="str">
        <f>+'Scenarios Data'!D1</f>
        <v>FOG to landfill</v>
      </c>
      <c r="C17" s="48" t="str">
        <f>+'Scenarios Data'!D33</f>
        <v>FOG diverted to Gresham WWTP for co-digestion, with additional biogas to boost CHP, and final Class B biosolids to farmland</v>
      </c>
      <c r="D17" s="48">
        <f>+'Scenarios Data'!D65</f>
        <v>0</v>
      </c>
      <c r="E17" s="48">
        <f>+'Scenarios Data'!D97</f>
        <v>0</v>
      </c>
      <c r="F17" s="48">
        <f>+'Scenarios Data'!D129</f>
        <v>0</v>
      </c>
      <c r="G17" s="48">
        <f>+'Scenarios Data'!D161</f>
        <v>0</v>
      </c>
      <c r="H17" s="48">
        <f>+'Scenarios Data'!D193</f>
        <v>0</v>
      </c>
      <c r="I17" s="48">
        <f>+'Scenarios Data'!D225</f>
        <v>0</v>
      </c>
      <c r="J17" s="48">
        <f>+'Scenarios Data'!D257</f>
        <v>0</v>
      </c>
      <c r="K17" s="48">
        <f>+'Scenarios Data'!D289</f>
        <v>0</v>
      </c>
    </row>
    <row r="18" spans="1:11" s="130" customFormat="1" ht="15.75" customHeight="1" x14ac:dyDescent="0.25">
      <c r="A18" s="86" t="str">
        <f>+Storage!A2</f>
        <v>Storage Prior to Processing</v>
      </c>
      <c r="B18" s="137" t="str">
        <f>'Scenarios Data'!F8</f>
        <v>NA</v>
      </c>
      <c r="C18" s="137" t="str">
        <f>'Scenarios Data'!F40</f>
        <v>NA</v>
      </c>
      <c r="D18" s="137" t="str">
        <f>'Scenarios Data'!F72</f>
        <v>NA</v>
      </c>
      <c r="E18" s="137" t="str">
        <f>'Scenarios Data'!F104</f>
        <v>NA</v>
      </c>
      <c r="F18" s="137" t="str">
        <f>'Scenarios Data'!F136</f>
        <v>NA</v>
      </c>
      <c r="G18" s="137" t="str">
        <f>'Scenarios Data'!F168</f>
        <v>NA</v>
      </c>
      <c r="H18" s="137" t="str">
        <f>'Scenarios Data'!F200</f>
        <v>NA</v>
      </c>
      <c r="I18" s="137" t="str">
        <f>'Scenarios Data'!F232</f>
        <v>NA</v>
      </c>
      <c r="J18" s="137" t="str">
        <f>'Scenarios Data'!F264</f>
        <v>NA</v>
      </c>
      <c r="K18" s="137" t="str">
        <f>'Scenarios Data'!F296</f>
        <v>NA</v>
      </c>
    </row>
    <row r="19" spans="1:11" s="130" customFormat="1" ht="15.75" customHeight="1" x14ac:dyDescent="0.25">
      <c r="A19" s="46" t="str">
        <f>+'Conditioning Thickening'!A2</f>
        <v>Conditioning/Thickening</v>
      </c>
      <c r="B19" s="137" t="str">
        <f>'Scenarios Data'!F9</f>
        <v>NA</v>
      </c>
      <c r="C19" s="137" t="str">
        <f>'Scenarios Data'!F41</f>
        <v>NA</v>
      </c>
      <c r="D19" s="137" t="str">
        <f>'Scenarios Data'!F73</f>
        <v>NA</v>
      </c>
      <c r="E19" s="137" t="str">
        <f>'Scenarios Data'!F105</f>
        <v>NA</v>
      </c>
      <c r="F19" s="137" t="str">
        <f>'Scenarios Data'!F137</f>
        <v>NA</v>
      </c>
      <c r="G19" s="137" t="str">
        <f>'Scenarios Data'!F169</f>
        <v>NA</v>
      </c>
      <c r="H19" s="137" t="str">
        <f>'Scenarios Data'!F201</f>
        <v>NA</v>
      </c>
      <c r="I19" s="137" t="str">
        <f>'Scenarios Data'!F233</f>
        <v>NA</v>
      </c>
      <c r="J19" s="137" t="str">
        <f>'Scenarios Data'!F265</f>
        <v>NA</v>
      </c>
      <c r="K19" s="137" t="str">
        <f>'Scenarios Data'!F297</f>
        <v>NA</v>
      </c>
    </row>
    <row r="20" spans="1:11" s="130" customFormat="1" ht="15.75" customHeight="1" x14ac:dyDescent="0.25">
      <c r="A20" s="46" t="str">
        <f>+'Aerobic Digestion'!A2</f>
        <v>Aerobic Digestion</v>
      </c>
      <c r="B20" s="137" t="str">
        <f>'Scenarios Data'!F10</f>
        <v>NA</v>
      </c>
      <c r="C20" s="137" t="str">
        <f>'Scenarios Data'!F42</f>
        <v>NA</v>
      </c>
      <c r="D20" s="137" t="str">
        <f>'Scenarios Data'!F74</f>
        <v>NA</v>
      </c>
      <c r="E20" s="137" t="str">
        <f>'Scenarios Data'!F106</f>
        <v>NA</v>
      </c>
      <c r="F20" s="137" t="str">
        <f>'Scenarios Data'!F138</f>
        <v>NA</v>
      </c>
      <c r="G20" s="137" t="str">
        <f>'Scenarios Data'!F170</f>
        <v>NA</v>
      </c>
      <c r="H20" s="137" t="str">
        <f>'Scenarios Data'!F202</f>
        <v>NA</v>
      </c>
      <c r="I20" s="137" t="str">
        <f>'Scenarios Data'!F234</f>
        <v>NA</v>
      </c>
      <c r="J20" s="137" t="str">
        <f>'Scenarios Data'!F266</f>
        <v>NA</v>
      </c>
      <c r="K20" s="137" t="str">
        <f>'Scenarios Data'!F298</f>
        <v>NA</v>
      </c>
    </row>
    <row r="21" spans="1:11" s="130" customFormat="1" ht="15.75" customHeight="1" x14ac:dyDescent="0.25">
      <c r="A21" s="558" t="str">
        <f>+'Anaerobic Digestion'!A2</f>
        <v>Anaerobic Digestion</v>
      </c>
      <c r="B21" s="137" t="str">
        <f>'Scenarios Data'!F11</f>
        <v>NA</v>
      </c>
      <c r="C21" s="137">
        <f>'Scenarios Data'!F43</f>
        <v>-872.89529889385233</v>
      </c>
      <c r="D21" s="137" t="str">
        <f>'Scenarios Data'!F75</f>
        <v>NA</v>
      </c>
      <c r="E21" s="137" t="str">
        <f>'Scenarios Data'!F107</f>
        <v>NA</v>
      </c>
      <c r="F21" s="137" t="str">
        <f>'Scenarios Data'!F139</f>
        <v>NA</v>
      </c>
      <c r="G21" s="137" t="str">
        <f>'Scenarios Data'!F171</f>
        <v>NA</v>
      </c>
      <c r="H21" s="137" t="str">
        <f>'Scenarios Data'!F203</f>
        <v>NA</v>
      </c>
      <c r="I21" s="137" t="str">
        <f>'Scenarios Data'!F235</f>
        <v>NA</v>
      </c>
      <c r="J21" s="137" t="str">
        <f>'Scenarios Data'!F267</f>
        <v>NA</v>
      </c>
      <c r="K21" s="137" t="str">
        <f>'Scenarios Data'!F299</f>
        <v>NA</v>
      </c>
    </row>
    <row r="22" spans="1:11" s="130" customFormat="1" ht="15.75" customHeight="1" x14ac:dyDescent="0.25">
      <c r="A22" s="46" t="str">
        <f>+'Anaerobic Digestion (2)'!A2</f>
        <v>Anaerobic Digestion 2</v>
      </c>
      <c r="B22" s="137" t="str">
        <f>'Scenarios Data'!F12</f>
        <v>NA</v>
      </c>
      <c r="C22" s="137" t="str">
        <f>'Scenarios Data'!F44</f>
        <v>NA</v>
      </c>
      <c r="D22" s="137" t="str">
        <f>'Scenarios Data'!F76</f>
        <v>NA</v>
      </c>
      <c r="E22" s="137" t="str">
        <f>'Scenarios Data'!F108</f>
        <v>NA</v>
      </c>
      <c r="F22" s="137" t="str">
        <f>'Scenarios Data'!F140</f>
        <v>NA</v>
      </c>
      <c r="G22" s="137" t="str">
        <f>'Scenarios Data'!F172</f>
        <v>NA</v>
      </c>
      <c r="H22" s="137" t="str">
        <f>'Scenarios Data'!F204</f>
        <v>NA</v>
      </c>
      <c r="I22" s="137" t="str">
        <f>'Scenarios Data'!F236</f>
        <v>NA</v>
      </c>
      <c r="J22" s="137" t="str">
        <f>'Scenarios Data'!F268</f>
        <v>NA</v>
      </c>
      <c r="K22" s="137" t="str">
        <f>'Scenarios Data'!F300</f>
        <v>NA</v>
      </c>
    </row>
    <row r="23" spans="1:11" s="130" customFormat="1" ht="15.75" customHeight="1" x14ac:dyDescent="0.25">
      <c r="A23" s="46" t="str">
        <f>+'De-watering'!A2</f>
        <v>De-watering</v>
      </c>
      <c r="B23" s="137" t="str">
        <f>'Scenarios Data'!F13</f>
        <v>NA</v>
      </c>
      <c r="C23" s="137" t="str">
        <f>'Scenarios Data'!F45</f>
        <v>NA</v>
      </c>
      <c r="D23" s="137" t="str">
        <f>'Scenarios Data'!F77</f>
        <v>NA</v>
      </c>
      <c r="E23" s="137" t="str">
        <f>'Scenarios Data'!F109</f>
        <v>NA</v>
      </c>
      <c r="F23" s="137" t="str">
        <f>'Scenarios Data'!F141</f>
        <v>NA</v>
      </c>
      <c r="G23" s="137" t="str">
        <f>'Scenarios Data'!F173</f>
        <v>NA</v>
      </c>
      <c r="H23" s="137" t="str">
        <f>'Scenarios Data'!F205</f>
        <v>NA</v>
      </c>
      <c r="I23" s="137" t="str">
        <f>'Scenarios Data'!F237</f>
        <v>NA</v>
      </c>
      <c r="J23" s="137" t="str">
        <f>'Scenarios Data'!F269</f>
        <v>NA</v>
      </c>
      <c r="K23" s="137" t="str">
        <f>'Scenarios Data'!F301</f>
        <v>NA</v>
      </c>
    </row>
    <row r="24" spans="1:11" s="130" customFormat="1" ht="15.75" customHeight="1" x14ac:dyDescent="0.25">
      <c r="A24" s="46" t="str">
        <f>+'Thermal Drying'!A2</f>
        <v>Thermal Drying</v>
      </c>
      <c r="B24" s="137" t="str">
        <f>'Scenarios Data'!F14</f>
        <v>NA</v>
      </c>
      <c r="C24" s="137" t="str">
        <f>'Scenarios Data'!F46</f>
        <v>NA</v>
      </c>
      <c r="D24" s="137" t="str">
        <f>'Scenarios Data'!F78</f>
        <v>NA</v>
      </c>
      <c r="E24" s="137" t="str">
        <f>'Scenarios Data'!F110</f>
        <v>NA</v>
      </c>
      <c r="F24" s="137" t="str">
        <f>'Scenarios Data'!F142</f>
        <v>NA</v>
      </c>
      <c r="G24" s="137" t="str">
        <f>'Scenarios Data'!F174</f>
        <v>NA</v>
      </c>
      <c r="H24" s="137" t="str">
        <f>'Scenarios Data'!F206</f>
        <v>NA</v>
      </c>
      <c r="I24" s="137" t="str">
        <f>'Scenarios Data'!F238</f>
        <v>NA</v>
      </c>
      <c r="J24" s="137" t="str">
        <f>'Scenarios Data'!F270</f>
        <v>NA</v>
      </c>
      <c r="K24" s="137" t="str">
        <f>'Scenarios Data'!F302</f>
        <v>NA</v>
      </c>
    </row>
    <row r="25" spans="1:11" s="130" customFormat="1" ht="15.75" customHeight="1" x14ac:dyDescent="0.25">
      <c r="A25" s="46" t="str">
        <f>BioDrying!A2</f>
        <v>BioDrying</v>
      </c>
      <c r="B25" s="137" t="str">
        <f>'Scenarios Data'!F15</f>
        <v>NA</v>
      </c>
      <c r="C25" s="137" t="str">
        <f>'Scenarios Data'!F47</f>
        <v>NA</v>
      </c>
      <c r="D25" s="137" t="str">
        <f>'Scenarios Data'!F79</f>
        <v>NA</v>
      </c>
      <c r="E25" s="137" t="str">
        <f>'Scenarios Data'!F111</f>
        <v>NA</v>
      </c>
      <c r="F25" s="137" t="str">
        <f>'Scenarios Data'!F143</f>
        <v>NA</v>
      </c>
      <c r="G25" s="137" t="str">
        <f>'Scenarios Data'!F175</f>
        <v>NA</v>
      </c>
      <c r="H25" s="137" t="str">
        <f>'Scenarios Data'!F207</f>
        <v>NA</v>
      </c>
      <c r="I25" s="137" t="str">
        <f>'Scenarios Data'!F239</f>
        <v>NA</v>
      </c>
      <c r="J25" s="137" t="str">
        <f>'Scenarios Data'!F271</f>
        <v>NA</v>
      </c>
      <c r="K25" s="137" t="str">
        <f>'Scenarios Data'!F303</f>
        <v>NA</v>
      </c>
    </row>
    <row r="26" spans="1:11" s="130" customFormat="1" ht="15.75" customHeight="1" x14ac:dyDescent="0.25">
      <c r="A26" s="46" t="str">
        <f>+'Alkaline Stabilization'!A2</f>
        <v>Alkaline Stabilization</v>
      </c>
      <c r="B26" s="137" t="str">
        <f>'Scenarios Data'!F16</f>
        <v>NA</v>
      </c>
      <c r="C26" s="137" t="str">
        <f>'Scenarios Data'!F48</f>
        <v>NA</v>
      </c>
      <c r="D26" s="137" t="str">
        <f>'Scenarios Data'!F80</f>
        <v>NA</v>
      </c>
      <c r="E26" s="137" t="str">
        <f>'Scenarios Data'!F112</f>
        <v>NA</v>
      </c>
      <c r="F26" s="137" t="str">
        <f>'Scenarios Data'!F144</f>
        <v>NA</v>
      </c>
      <c r="G26" s="137" t="str">
        <f>'Scenarios Data'!F176</f>
        <v>NA</v>
      </c>
      <c r="H26" s="137" t="str">
        <f>'Scenarios Data'!F208</f>
        <v>NA</v>
      </c>
      <c r="I26" s="137" t="str">
        <f>'Scenarios Data'!F240</f>
        <v>NA</v>
      </c>
      <c r="J26" s="137" t="str">
        <f>'Scenarios Data'!F272</f>
        <v>NA</v>
      </c>
      <c r="K26" s="137" t="str">
        <f>'Scenarios Data'!F304</f>
        <v>NA</v>
      </c>
    </row>
    <row r="27" spans="1:11" s="130" customFormat="1" ht="15.75" customHeight="1" x14ac:dyDescent="0.25">
      <c r="A27" s="46" t="str">
        <f>+Composting!A2</f>
        <v>Composting</v>
      </c>
      <c r="B27" s="137" t="str">
        <f>'Scenarios Data'!F17</f>
        <v>NA</v>
      </c>
      <c r="C27" s="137" t="str">
        <f>'Scenarios Data'!F49</f>
        <v>NA</v>
      </c>
      <c r="D27" s="137" t="str">
        <f>'Scenarios Data'!F81</f>
        <v>NA</v>
      </c>
      <c r="E27" s="137" t="str">
        <f>'Scenarios Data'!F113</f>
        <v>NA</v>
      </c>
      <c r="F27" s="137" t="str">
        <f>'Scenarios Data'!F145</f>
        <v>NA</v>
      </c>
      <c r="G27" s="137" t="str">
        <f>'Scenarios Data'!F177</f>
        <v>NA</v>
      </c>
      <c r="H27" s="137" t="str">
        <f>'Scenarios Data'!F209</f>
        <v>NA</v>
      </c>
      <c r="I27" s="137" t="str">
        <f>'Scenarios Data'!F241</f>
        <v>NA</v>
      </c>
      <c r="J27" s="137" t="str">
        <f>'Scenarios Data'!F273</f>
        <v>NA</v>
      </c>
      <c r="K27" s="137" t="str">
        <f>'Scenarios Data'!F305</f>
        <v>NA</v>
      </c>
    </row>
    <row r="28" spans="1:11" s="130" customFormat="1" ht="15.75" customHeight="1" x14ac:dyDescent="0.25">
      <c r="A28" s="46" t="str">
        <f>+'Composting (2)'!A2</f>
        <v>Composting 2</v>
      </c>
      <c r="B28" s="137" t="str">
        <f>'Scenarios Data'!F18</f>
        <v>NA</v>
      </c>
      <c r="C28" s="137" t="str">
        <f>'Scenarios Data'!F50</f>
        <v>NA</v>
      </c>
      <c r="D28" s="137" t="str">
        <f>'Scenarios Data'!F82</f>
        <v>NA</v>
      </c>
      <c r="E28" s="137" t="str">
        <f>'Scenarios Data'!F114</f>
        <v>NA</v>
      </c>
      <c r="F28" s="137" t="str">
        <f>'Scenarios Data'!F146</f>
        <v>NA</v>
      </c>
      <c r="G28" s="137" t="str">
        <f>'Scenarios Data'!F178</f>
        <v>NA</v>
      </c>
      <c r="H28" s="137" t="str">
        <f>'Scenarios Data'!F210</f>
        <v>NA</v>
      </c>
      <c r="I28" s="137" t="str">
        <f>'Scenarios Data'!F242</f>
        <v>NA</v>
      </c>
      <c r="J28" s="137" t="str">
        <f>'Scenarios Data'!F274</f>
        <v>NA</v>
      </c>
      <c r="K28" s="137" t="str">
        <f>'Scenarios Data'!F306</f>
        <v>NA</v>
      </c>
    </row>
    <row r="29" spans="1:11" s="130" customFormat="1" ht="15.75" customHeight="1" x14ac:dyDescent="0.25">
      <c r="A29" s="558" t="str">
        <f>+'Landfill Disposal Typical'!A9</f>
        <v>Landfill Disposal - Typical</v>
      </c>
      <c r="B29" s="137">
        <f>'Scenarios Data'!F19</f>
        <v>6779.5418583928704</v>
      </c>
      <c r="C29" s="137" t="str">
        <f>'Scenarios Data'!F51</f>
        <v>NA</v>
      </c>
      <c r="D29" s="137" t="str">
        <f>'Scenarios Data'!F83</f>
        <v>NA</v>
      </c>
      <c r="E29" s="137" t="str">
        <f>'Scenarios Data'!F115</f>
        <v>NA</v>
      </c>
      <c r="F29" s="137" t="str">
        <f>'Scenarios Data'!F147</f>
        <v>NA</v>
      </c>
      <c r="G29" s="137" t="str">
        <f>'Scenarios Data'!F179</f>
        <v>NA</v>
      </c>
      <c r="H29" s="137" t="str">
        <f>'Scenarios Data'!F211</f>
        <v>NA</v>
      </c>
      <c r="I29" s="137" t="str">
        <f>'Scenarios Data'!F243</f>
        <v>NA</v>
      </c>
      <c r="J29" s="137" t="str">
        <f>'Scenarios Data'!F275</f>
        <v>NA</v>
      </c>
      <c r="K29" s="137" t="str">
        <f>'Scenarios Data'!F307</f>
        <v>NA</v>
      </c>
    </row>
    <row r="30" spans="1:11" s="130" customFormat="1" ht="15.75" customHeight="1" x14ac:dyDescent="0.25">
      <c r="A30" s="558" t="str">
        <f>+'Landfill Disposal Worst-case'!A9</f>
        <v>Landfill Disposal - Worst Case</v>
      </c>
      <c r="B30" s="137" t="str">
        <f>'Scenarios Data'!F20</f>
        <v>NA</v>
      </c>
      <c r="C30" s="137" t="str">
        <f>'Scenarios Data'!F52</f>
        <v>NA</v>
      </c>
      <c r="D30" s="137" t="str">
        <f>'Scenarios Data'!F84</f>
        <v>NA</v>
      </c>
      <c r="E30" s="137" t="str">
        <f>'Scenarios Data'!F116</f>
        <v>NA</v>
      </c>
      <c r="F30" s="137" t="str">
        <f>'Scenarios Data'!F148</f>
        <v>NA</v>
      </c>
      <c r="G30" s="137" t="str">
        <f>'Scenarios Data'!F180</f>
        <v>NA</v>
      </c>
      <c r="H30" s="137" t="str">
        <f>'Scenarios Data'!F212</f>
        <v>NA</v>
      </c>
      <c r="I30" s="137" t="str">
        <f>'Scenarios Data'!F244</f>
        <v>NA</v>
      </c>
      <c r="J30" s="137" t="str">
        <f>'Scenarios Data'!F276</f>
        <v>NA</v>
      </c>
      <c r="K30" s="137" t="str">
        <f>'Scenarios Data'!F308</f>
        <v>NA</v>
      </c>
    </row>
    <row r="31" spans="1:11" s="130" customFormat="1" ht="15.75" customHeight="1" x14ac:dyDescent="0.25">
      <c r="A31" s="558" t="str">
        <f>+'Landfill Disposal Aggressive'!A9</f>
        <v>Landfill Disposal - Aggressive</v>
      </c>
      <c r="B31" s="137" t="str">
        <f>'Scenarios Data'!F21</f>
        <v>NA</v>
      </c>
      <c r="C31" s="137" t="str">
        <f>'Scenarios Data'!F53</f>
        <v>NA</v>
      </c>
      <c r="D31" s="137" t="str">
        <f>'Scenarios Data'!F85</f>
        <v>NA</v>
      </c>
      <c r="E31" s="137" t="str">
        <f>'Scenarios Data'!F117</f>
        <v>NA</v>
      </c>
      <c r="F31" s="137" t="str">
        <f>'Scenarios Data'!F149</f>
        <v>NA</v>
      </c>
      <c r="G31" s="137" t="str">
        <f>'Scenarios Data'!F181</f>
        <v>NA</v>
      </c>
      <c r="H31" s="137" t="str">
        <f>'Scenarios Data'!F213</f>
        <v>NA</v>
      </c>
      <c r="I31" s="137" t="str">
        <f>'Scenarios Data'!F245</f>
        <v>NA</v>
      </c>
      <c r="J31" s="137" t="str">
        <f>'Scenarios Data'!F277</f>
        <v>NA</v>
      </c>
      <c r="K31" s="137" t="str">
        <f>'Scenarios Data'!F309</f>
        <v>NA</v>
      </c>
    </row>
    <row r="32" spans="1:11" s="130" customFormat="1" ht="15.75" customHeight="1" x14ac:dyDescent="0.25">
      <c r="A32" s="558" t="str">
        <f>+'Landfill Disposal CA Regulatory'!A9</f>
        <v>Landfill Disposal - CA Regulatory</v>
      </c>
      <c r="B32" s="137" t="str">
        <f>'Scenarios Data'!F22</f>
        <v>NA</v>
      </c>
      <c r="C32" s="137" t="str">
        <f>'Scenarios Data'!F54</f>
        <v>NA</v>
      </c>
      <c r="D32" s="137" t="str">
        <f>'Scenarios Data'!F86</f>
        <v>NA</v>
      </c>
      <c r="E32" s="137" t="str">
        <f>'Scenarios Data'!F118</f>
        <v>NA</v>
      </c>
      <c r="F32" s="137" t="str">
        <f>'Scenarios Data'!F150</f>
        <v>NA</v>
      </c>
      <c r="G32" s="137" t="str">
        <f>'Scenarios Data'!F182</f>
        <v>NA</v>
      </c>
      <c r="H32" s="137" t="str">
        <f>'Scenarios Data'!F214</f>
        <v>NA</v>
      </c>
      <c r="I32" s="137" t="str">
        <f>'Scenarios Data'!F246</f>
        <v>NA</v>
      </c>
      <c r="J32" s="137" t="str">
        <f>'Scenarios Data'!F278</f>
        <v>NA</v>
      </c>
      <c r="K32" s="137" t="str">
        <f>'Scenarios Data'!F310</f>
        <v>NA</v>
      </c>
    </row>
    <row r="33" spans="1:11" s="130" customFormat="1" ht="15.75" customHeight="1" x14ac:dyDescent="0.25">
      <c r="A33" s="46" t="str">
        <f>+Combustion!A2</f>
        <v>Combustion</v>
      </c>
      <c r="B33" s="137" t="str">
        <f>'Scenarios Data'!F23</f>
        <v>NA</v>
      </c>
      <c r="C33" s="137" t="str">
        <f>'Scenarios Data'!F55</f>
        <v>NA</v>
      </c>
      <c r="D33" s="137" t="str">
        <f>'Scenarios Data'!F87</f>
        <v>NA</v>
      </c>
      <c r="E33" s="137" t="str">
        <f>'Scenarios Data'!F119</f>
        <v>NA</v>
      </c>
      <c r="F33" s="137" t="str">
        <f>'Scenarios Data'!F151</f>
        <v>NA</v>
      </c>
      <c r="G33" s="137" t="str">
        <f>'Scenarios Data'!F183</f>
        <v>NA</v>
      </c>
      <c r="H33" s="137" t="str">
        <f>'Scenarios Data'!F215</f>
        <v>NA</v>
      </c>
      <c r="I33" s="137" t="str">
        <f>'Scenarios Data'!F247</f>
        <v>NA</v>
      </c>
      <c r="J33" s="137" t="str">
        <f>'Scenarios Data'!F279</f>
        <v>NA</v>
      </c>
      <c r="K33" s="137" t="str">
        <f>'Scenarios Data'!F311</f>
        <v>NA</v>
      </c>
    </row>
    <row r="34" spans="1:11" s="130" customFormat="1" ht="15.75" customHeight="1" x14ac:dyDescent="0.25">
      <c r="A34" s="46" t="str">
        <f>Pyrolysis!A2</f>
        <v>Pyrolysis</v>
      </c>
      <c r="B34" s="137" t="str">
        <f>'Scenarios Data'!F24</f>
        <v>NA</v>
      </c>
      <c r="C34" s="137" t="str">
        <f>'Scenarios Data'!F56</f>
        <v>NA</v>
      </c>
      <c r="D34" s="137" t="str">
        <f>'Scenarios Data'!F88</f>
        <v>NA</v>
      </c>
      <c r="E34" s="137" t="str">
        <f>'Scenarios Data'!F120</f>
        <v>NA</v>
      </c>
      <c r="F34" s="137" t="str">
        <f>'Scenarios Data'!F152</f>
        <v>NA</v>
      </c>
      <c r="G34" s="137" t="str">
        <f>'Scenarios Data'!F184</f>
        <v>NA</v>
      </c>
      <c r="H34" s="137" t="str">
        <f>'Scenarios Data'!F216</f>
        <v>NA</v>
      </c>
      <c r="I34" s="137" t="str">
        <f>'Scenarios Data'!F248</f>
        <v>NA</v>
      </c>
      <c r="J34" s="137" t="str">
        <f>'Scenarios Data'!F280</f>
        <v>NA</v>
      </c>
      <c r="K34" s="137" t="str">
        <f>'Scenarios Data'!F312</f>
        <v>NA</v>
      </c>
    </row>
    <row r="35" spans="1:11" s="130" customFormat="1" ht="15.75" customHeight="1" x14ac:dyDescent="0.25">
      <c r="A35" s="46" t="str">
        <f>+'Land Application'!A2</f>
        <v>Land Application</v>
      </c>
      <c r="B35" s="137" t="str">
        <f>'Scenarios Data'!F25</f>
        <v>NA</v>
      </c>
      <c r="C35" s="137">
        <f>'Scenarios Data'!F57</f>
        <v>1.3134415461913362</v>
      </c>
      <c r="D35" s="137" t="str">
        <f>'Scenarios Data'!F89</f>
        <v>NA</v>
      </c>
      <c r="E35" s="137" t="str">
        <f>'Scenarios Data'!F121</f>
        <v>NA</v>
      </c>
      <c r="F35" s="137" t="str">
        <f>'Scenarios Data'!F153</f>
        <v>NA</v>
      </c>
      <c r="G35" s="137" t="str">
        <f>'Scenarios Data'!F185</f>
        <v>NA</v>
      </c>
      <c r="H35" s="137" t="str">
        <f>'Scenarios Data'!F217</f>
        <v>NA</v>
      </c>
      <c r="I35" s="137" t="str">
        <f>'Scenarios Data'!F249</f>
        <v>NA</v>
      </c>
      <c r="J35" s="137" t="str">
        <f>'Scenarios Data'!F281</f>
        <v>NA</v>
      </c>
      <c r="K35" s="137" t="str">
        <f>'Scenarios Data'!F313</f>
        <v>NA</v>
      </c>
    </row>
    <row r="36" spans="1:11" s="130" customFormat="1" ht="15.75" customHeight="1" x14ac:dyDescent="0.25">
      <c r="A36" s="1127" t="str">
        <f>+'Land Application (2)'!A2</f>
        <v>Land Application 2</v>
      </c>
      <c r="B36" s="137" t="str">
        <f>'Scenarios Data'!F26</f>
        <v>NA</v>
      </c>
      <c r="C36" s="137" t="str">
        <f>'Scenarios Data'!F58</f>
        <v>NA</v>
      </c>
      <c r="D36" s="137" t="str">
        <f>'Scenarios Data'!F90</f>
        <v>NA</v>
      </c>
      <c r="E36" s="137" t="str">
        <f>'Scenarios Data'!F122</f>
        <v>NA</v>
      </c>
      <c r="F36" s="137" t="str">
        <f>'Scenarios Data'!F154</f>
        <v>NA</v>
      </c>
      <c r="G36" s="137" t="str">
        <f>'Scenarios Data'!F186</f>
        <v>NA</v>
      </c>
      <c r="H36" s="137" t="str">
        <f>'Scenarios Data'!F218</f>
        <v>NA</v>
      </c>
      <c r="I36" s="137" t="str">
        <f>'Scenarios Data'!F250</f>
        <v>NA</v>
      </c>
      <c r="J36" s="137" t="str">
        <f>'Scenarios Data'!F282</f>
        <v>NA</v>
      </c>
      <c r="K36" s="137" t="str">
        <f>'Scenarios Data'!F314</f>
        <v>NA</v>
      </c>
    </row>
    <row r="37" spans="1:11" s="130" customFormat="1" ht="15.75" customHeight="1" x14ac:dyDescent="0.25">
      <c r="A37" s="1127" t="str">
        <f>'Misc Emissions'!A2</f>
        <v>Miscellaneous Emissions</v>
      </c>
      <c r="B37" s="137" t="str">
        <f>'Scenarios Data'!F27</f>
        <v>NA</v>
      </c>
      <c r="C37" s="137" t="str">
        <f>'Scenarios Data'!F59</f>
        <v>NA</v>
      </c>
      <c r="D37" s="137" t="str">
        <f>'Scenarios Data'!F91</f>
        <v>NA</v>
      </c>
      <c r="E37" s="137" t="str">
        <f>'Scenarios Data'!F123</f>
        <v>NA</v>
      </c>
      <c r="F37" s="137" t="str">
        <f>'Scenarios Data'!F155</f>
        <v>NA</v>
      </c>
      <c r="G37" s="137" t="str">
        <f>'Scenarios Data'!F187</f>
        <v>NA</v>
      </c>
      <c r="H37" s="137" t="str">
        <f>'Scenarios Data'!F219</f>
        <v>NA</v>
      </c>
      <c r="I37" s="137" t="str">
        <f>'Scenarios Data'!F251</f>
        <v>NA</v>
      </c>
      <c r="J37" s="137" t="str">
        <f>'Scenarios Data'!F283</f>
        <v>NA</v>
      </c>
      <c r="K37" s="137" t="str">
        <f>'Scenarios Data'!F315</f>
        <v>NA</v>
      </c>
    </row>
    <row r="38" spans="1:11" s="130" customFormat="1" ht="15.75" customHeight="1" thickBot="1" x14ac:dyDescent="0.3">
      <c r="A38" s="47" t="str">
        <f>+Transportation!B1</f>
        <v>Transportation</v>
      </c>
      <c r="B38" s="1128" t="str">
        <f>'Scenarios Data'!F28</f>
        <v>NA</v>
      </c>
      <c r="C38" s="137" t="str">
        <f>'Scenarios Data'!F60</f>
        <v>NA</v>
      </c>
      <c r="D38" s="137" t="str">
        <f>'Scenarios Data'!F92</f>
        <v>NA</v>
      </c>
      <c r="E38" s="137" t="str">
        <f>'Scenarios Data'!F124</f>
        <v>NA</v>
      </c>
      <c r="F38" s="137" t="str">
        <f>'Scenarios Data'!F156</f>
        <v>NA</v>
      </c>
      <c r="G38" s="137" t="str">
        <f>'Scenarios Data'!F188</f>
        <v>NA</v>
      </c>
      <c r="H38" s="137" t="str">
        <f>'Scenarios Data'!F220</f>
        <v>NA</v>
      </c>
      <c r="I38" s="137" t="str">
        <f>'Scenarios Data'!F252</f>
        <v>NA</v>
      </c>
      <c r="J38" s="137" t="str">
        <f>'Scenarios Data'!F284</f>
        <v>NA</v>
      </c>
      <c r="K38" s="137" t="str">
        <f>'Scenarios Data'!F316</f>
        <v>NA</v>
      </c>
    </row>
    <row r="39" spans="1:11" s="1131" customFormat="1" ht="18.75" thickBot="1" x14ac:dyDescent="0.3">
      <c r="A39" s="1129" t="s">
        <v>326</v>
      </c>
      <c r="B39" s="1130">
        <f>'Scenarios Data'!F29</f>
        <v>6779.5418583928704</v>
      </c>
      <c r="C39" s="1130">
        <f>'Scenarios Data'!F61</f>
        <v>-871.58185734766096</v>
      </c>
      <c r="D39" s="1130">
        <f>'Scenarios Data'!F93</f>
        <v>0</v>
      </c>
      <c r="E39" s="1130">
        <f>'Scenarios Data'!F125</f>
        <v>0</v>
      </c>
      <c r="F39" s="1130">
        <f>'Scenarios Data'!F157</f>
        <v>0</v>
      </c>
      <c r="G39" s="1130">
        <f>'Scenarios Data'!F189</f>
        <v>0</v>
      </c>
      <c r="H39" s="1130">
        <f>'Scenarios Data'!F221</f>
        <v>0</v>
      </c>
      <c r="I39" s="1130">
        <f>'Scenarios Data'!F253</f>
        <v>0</v>
      </c>
      <c r="J39" s="1130">
        <f>'Scenarios Data'!F285</f>
        <v>0</v>
      </c>
      <c r="K39" s="1130">
        <f>'Scenarios Data'!F317</f>
        <v>0</v>
      </c>
    </row>
    <row r="40" spans="1:11" s="1131" customFormat="1" ht="18.75" thickBot="1" x14ac:dyDescent="0.3">
      <c r="A40" s="1132"/>
      <c r="B40" s="1133"/>
      <c r="C40" s="1133"/>
      <c r="D40" s="1133"/>
      <c r="E40" s="1133"/>
      <c r="F40" s="1133"/>
      <c r="G40" s="1133"/>
      <c r="H40" s="1133"/>
      <c r="I40" s="1133"/>
      <c r="J40" s="1133"/>
      <c r="K40" s="1133"/>
    </row>
    <row r="41" spans="1:11" s="1131" customFormat="1" ht="18" x14ac:dyDescent="0.25">
      <c r="A41" s="1134" t="s">
        <v>595</v>
      </c>
      <c r="B41" s="1135">
        <f>+'Amount and Destination'!AC22</f>
        <v>37585.096819999999</v>
      </c>
      <c r="C41" s="1135">
        <f>+'Amount and Destination'!AC51</f>
        <v>37585.096819999999</v>
      </c>
      <c r="D41" s="1135">
        <f>+'Amount and Destination'!AC80</f>
        <v>0</v>
      </c>
      <c r="E41" s="1135">
        <f>+'Amount and Destination'!AC109</f>
        <v>0</v>
      </c>
      <c r="F41" s="1135">
        <f>+'Amount and Destination'!AC138</f>
        <v>0</v>
      </c>
      <c r="G41" s="1135">
        <f>+'Amount and Destination'!AC167</f>
        <v>0</v>
      </c>
      <c r="H41" s="1135">
        <f>+'Amount and Destination'!AC196</f>
        <v>0</v>
      </c>
      <c r="I41" s="1135">
        <f>+'Amount and Destination'!AC225</f>
        <v>0</v>
      </c>
      <c r="J41" s="1135">
        <f>+'Amount and Destination'!AC254</f>
        <v>0</v>
      </c>
      <c r="K41" s="1136">
        <f>+'Amount and Destination'!AC283</f>
        <v>0</v>
      </c>
    </row>
    <row r="42" spans="1:11" s="1131" customFormat="1" ht="18" x14ac:dyDescent="0.25">
      <c r="A42" s="1137" t="s">
        <v>596</v>
      </c>
      <c r="B42" s="923">
        <f>+'Amount and Destination'!AD22</f>
        <v>34106.258457350268</v>
      </c>
      <c r="C42" s="923">
        <f>+'Amount and Destination'!AD51</f>
        <v>34106.258457350268</v>
      </c>
      <c r="D42" s="923">
        <f>+'Amount and Destination'!AD80</f>
        <v>0</v>
      </c>
      <c r="E42" s="923">
        <f>+'Amount and Destination'!AD109</f>
        <v>0</v>
      </c>
      <c r="F42" s="923">
        <f>+'Amount and Destination'!AD138</f>
        <v>0</v>
      </c>
      <c r="G42" s="923">
        <f>+'Amount and Destination'!AD167</f>
        <v>0</v>
      </c>
      <c r="H42" s="923">
        <f>+'Amount and Destination'!AD196</f>
        <v>0</v>
      </c>
      <c r="I42" s="923">
        <f>+'Amount and Destination'!AD225</f>
        <v>0</v>
      </c>
      <c r="J42" s="923">
        <f>+'Amount and Destination'!AD254</f>
        <v>0</v>
      </c>
      <c r="K42" s="216">
        <f>+'Amount and Destination'!AD283</f>
        <v>0</v>
      </c>
    </row>
    <row r="43" spans="1:11" s="1131" customFormat="1" ht="18" x14ac:dyDescent="0.25">
      <c r="A43" s="1137" t="s">
        <v>597</v>
      </c>
      <c r="B43" s="923">
        <f>+'Amount and Destination'!AE30</f>
        <v>2455.6506089292193</v>
      </c>
      <c r="C43" s="923">
        <f>+'Amount and Destination'!AE59</f>
        <v>2455.6506089292193</v>
      </c>
      <c r="D43" s="923">
        <f>+'Amount and Destination'!AE88</f>
        <v>0</v>
      </c>
      <c r="E43" s="923">
        <f>+'Amount and Destination'!AE117</f>
        <v>0</v>
      </c>
      <c r="F43" s="923">
        <f>+'Amount and Destination'!AE146</f>
        <v>0</v>
      </c>
      <c r="G43" s="923">
        <f>+'Amount and Destination'!AE175</f>
        <v>0</v>
      </c>
      <c r="H43" s="923">
        <f>+'Amount and Destination'!AE204</f>
        <v>0</v>
      </c>
      <c r="I43" s="923">
        <f>+'Amount and Destination'!AE233</f>
        <v>0</v>
      </c>
      <c r="J43" s="923">
        <f>+'Amount and Destination'!AE262</f>
        <v>0</v>
      </c>
      <c r="K43" s="216">
        <f>+'Amount and Destination'!AE291</f>
        <v>0</v>
      </c>
    </row>
    <row r="44" spans="1:11" s="1131" customFormat="1" ht="20.25" thickBot="1" x14ac:dyDescent="0.4">
      <c r="A44" s="1138" t="s">
        <v>599</v>
      </c>
      <c r="B44" s="1139">
        <f>+B39/B43</f>
        <v>2.7607925303954679</v>
      </c>
      <c r="C44" s="1139">
        <f t="shared" ref="C44:K44" si="0">+C39/C43</f>
        <v>-0.35492909869931055</v>
      </c>
      <c r="D44" s="1139" t="e">
        <f t="shared" si="0"/>
        <v>#DIV/0!</v>
      </c>
      <c r="E44" s="1139" t="e">
        <f t="shared" si="0"/>
        <v>#DIV/0!</v>
      </c>
      <c r="F44" s="1139" t="e">
        <f t="shared" si="0"/>
        <v>#DIV/0!</v>
      </c>
      <c r="G44" s="1139" t="e">
        <f t="shared" si="0"/>
        <v>#DIV/0!</v>
      </c>
      <c r="H44" s="1139" t="e">
        <f t="shared" si="0"/>
        <v>#DIV/0!</v>
      </c>
      <c r="I44" s="1139" t="e">
        <f t="shared" si="0"/>
        <v>#DIV/0!</v>
      </c>
      <c r="J44" s="1139" t="e">
        <f t="shared" si="0"/>
        <v>#DIV/0!</v>
      </c>
      <c r="K44" s="1139" t="e">
        <f t="shared" si="0"/>
        <v>#DIV/0!</v>
      </c>
    </row>
    <row r="45" spans="1:11" s="226" customFormat="1" ht="15.75" customHeight="1" thickBot="1" x14ac:dyDescent="0.25">
      <c r="B45" s="1140"/>
      <c r="C45" s="1141"/>
    </row>
    <row r="46" spans="1:11" ht="31.5" customHeight="1" x14ac:dyDescent="0.2">
      <c r="A46" s="1206" t="s">
        <v>606</v>
      </c>
      <c r="B46" s="1125" t="s">
        <v>449</v>
      </c>
      <c r="C46" s="1125" t="s">
        <v>451</v>
      </c>
      <c r="D46" s="1125" t="s">
        <v>452</v>
      </c>
      <c r="E46" s="1125" t="s">
        <v>453</v>
      </c>
      <c r="F46" s="1125" t="s">
        <v>454</v>
      </c>
      <c r="G46" s="1125" t="s">
        <v>455</v>
      </c>
      <c r="H46" s="1125" t="s">
        <v>456</v>
      </c>
      <c r="I46" s="1125" t="s">
        <v>457</v>
      </c>
      <c r="J46" s="1125" t="s">
        <v>458</v>
      </c>
      <c r="K46" s="1125" t="s">
        <v>459</v>
      </c>
    </row>
    <row r="47" spans="1:11" ht="21" customHeight="1" thickBot="1" x14ac:dyDescent="0.25">
      <c r="A47" s="1207"/>
      <c r="B47" s="1126" t="str">
        <f>'Scenarios Data'!$B$1</f>
        <v>Landfill</v>
      </c>
      <c r="C47" s="1126" t="str">
        <f>'Scenarios Data'!$B$33</f>
        <v>Co-digestion</v>
      </c>
      <c r="D47" s="1126">
        <f>'Scenarios Data'!$B$65</f>
        <v>0</v>
      </c>
      <c r="E47" s="1126">
        <f>'Scenarios Data'!$B$97</f>
        <v>0</v>
      </c>
      <c r="F47" s="1126">
        <f>'Scenarios Data'!$B$129</f>
        <v>0</v>
      </c>
      <c r="G47" s="1126">
        <f>'Scenarios Data'!$B$161</f>
        <v>0</v>
      </c>
      <c r="H47" s="1126" t="str">
        <f>'Scenarios Data'!$B$193</f>
        <v xml:space="preserve"> </v>
      </c>
      <c r="I47" s="1126">
        <f>'Scenarios Data'!$B$225</f>
        <v>0</v>
      </c>
      <c r="J47" s="1126">
        <f>'Scenarios Data'!$B$257</f>
        <v>0</v>
      </c>
      <c r="K47" s="1126">
        <f>'Scenarios Data'!$B$289</f>
        <v>0</v>
      </c>
    </row>
    <row r="48" spans="1:11" ht="18.75" thickBot="1" x14ac:dyDescent="0.25">
      <c r="A48" s="45"/>
      <c r="B48" s="48" t="s">
        <v>99</v>
      </c>
      <c r="C48" s="48" t="s">
        <v>99</v>
      </c>
      <c r="D48" s="48" t="s">
        <v>99</v>
      </c>
      <c r="E48" s="48" t="s">
        <v>99</v>
      </c>
      <c r="F48" s="48" t="s">
        <v>99</v>
      </c>
      <c r="G48" s="48" t="s">
        <v>99</v>
      </c>
      <c r="H48" s="48" t="s">
        <v>99</v>
      </c>
      <c r="I48" s="48" t="s">
        <v>99</v>
      </c>
      <c r="J48" s="48" t="s">
        <v>99</v>
      </c>
      <c r="K48" s="48" t="s">
        <v>99</v>
      </c>
    </row>
    <row r="49" spans="1:11" ht="15" x14ac:dyDescent="0.25">
      <c r="A49" s="46" t="s">
        <v>536</v>
      </c>
      <c r="B49" s="137">
        <f>'Scenarios Data'!$L29</f>
        <v>-1063.6354920637518</v>
      </c>
      <c r="C49" s="137">
        <f>'Scenarios Data'!$L61</f>
        <v>-1042.0391287311779</v>
      </c>
      <c r="D49" s="137">
        <f>'Scenarios Data'!$L93</f>
        <v>0</v>
      </c>
      <c r="E49" s="137">
        <f>'Scenarios Data'!$L125</f>
        <v>0</v>
      </c>
      <c r="F49" s="137">
        <f>'Scenarios Data'!$L157</f>
        <v>0</v>
      </c>
      <c r="G49" s="137">
        <f>'Scenarios Data'!$L189</f>
        <v>0</v>
      </c>
      <c r="H49" s="137">
        <f>'Scenarios Data'!$L221</f>
        <v>0</v>
      </c>
      <c r="I49" s="137">
        <f>'Scenarios Data'!$L253</f>
        <v>0</v>
      </c>
      <c r="J49" s="137">
        <f>'Scenarios Data'!$L285</f>
        <v>0</v>
      </c>
      <c r="K49" s="137">
        <f>'Scenarios Data'!$L317</f>
        <v>0</v>
      </c>
    </row>
    <row r="50" spans="1:11" ht="15" x14ac:dyDescent="0.25">
      <c r="A50" s="558" t="s">
        <v>903</v>
      </c>
      <c r="B50" s="1142">
        <f>'Scenarios Data'!$M29</f>
        <v>7411.9475631671594</v>
      </c>
      <c r="C50" s="137">
        <f>'Scenarios Data'!$M61</f>
        <v>66.475807857688338</v>
      </c>
      <c r="D50" s="137">
        <f>'Scenarios Data'!$M93</f>
        <v>0</v>
      </c>
      <c r="E50" s="137">
        <f>'Scenarios Data'!$M125</f>
        <v>0</v>
      </c>
      <c r="F50" s="137">
        <f>'Scenarios Data'!$M157</f>
        <v>0</v>
      </c>
      <c r="G50" s="137">
        <f>'Scenarios Data'!$M189</f>
        <v>0</v>
      </c>
      <c r="H50" s="137">
        <f>'Scenarios Data'!$M221</f>
        <v>0</v>
      </c>
      <c r="I50" s="137">
        <f>'Scenarios Data'!$M253</f>
        <v>0</v>
      </c>
      <c r="J50" s="137">
        <f>'Scenarios Data'!$M285</f>
        <v>0</v>
      </c>
      <c r="K50" s="137">
        <f>'Scenarios Data'!$M317</f>
        <v>0</v>
      </c>
    </row>
    <row r="51" spans="1:11" ht="15" x14ac:dyDescent="0.25">
      <c r="A51" s="558" t="s">
        <v>902</v>
      </c>
      <c r="B51" s="1142">
        <f>'Scenarios Data'!$N29</f>
        <v>431.22978728946327</v>
      </c>
      <c r="C51" s="137">
        <f>'Scenarios Data'!$N61</f>
        <v>103.98146352582856</v>
      </c>
      <c r="D51" s="137">
        <f>'Scenarios Data'!$N93</f>
        <v>0</v>
      </c>
      <c r="E51" s="137">
        <f>'Scenarios Data'!$N125</f>
        <v>0</v>
      </c>
      <c r="F51" s="137">
        <f>'Scenarios Data'!$N157</f>
        <v>0</v>
      </c>
      <c r="G51" s="137">
        <f>'Scenarios Data'!$N189</f>
        <v>0</v>
      </c>
      <c r="H51" s="137">
        <f>'Scenarios Data'!$N221</f>
        <v>0</v>
      </c>
      <c r="I51" s="137">
        <f>'Scenarios Data'!$N253</f>
        <v>0</v>
      </c>
      <c r="J51" s="137">
        <f>'Scenarios Data'!$N285</f>
        <v>0</v>
      </c>
      <c r="K51" s="137">
        <f>'Scenarios Data'!$N317</f>
        <v>0</v>
      </c>
    </row>
    <row r="52" spans="1:11" ht="15.75" thickBot="1" x14ac:dyDescent="0.3">
      <c r="A52" s="47" t="s">
        <v>537</v>
      </c>
      <c r="B52" s="1143">
        <f>'Scenarios Data'!$O29</f>
        <v>600.56071736172225</v>
      </c>
      <c r="C52" s="1143">
        <f>'Scenarios Data'!$O61</f>
        <v>1549.1144963533825</v>
      </c>
      <c r="D52" s="1143">
        <f>'Scenarios Data'!$O93</f>
        <v>0</v>
      </c>
      <c r="E52" s="1143">
        <f>'Scenarios Data'!$O125</f>
        <v>0</v>
      </c>
      <c r="F52" s="1143">
        <f>'Scenarios Data'!$O157</f>
        <v>0</v>
      </c>
      <c r="G52" s="1143">
        <f>'Scenarios Data'!$O189</f>
        <v>0</v>
      </c>
      <c r="H52" s="1143">
        <f>'Scenarios Data'!$O221</f>
        <v>0</v>
      </c>
      <c r="I52" s="1143">
        <f>'Scenarios Data'!$O253</f>
        <v>0</v>
      </c>
      <c r="J52" s="1143">
        <f>'Scenarios Data'!$O285</f>
        <v>0</v>
      </c>
      <c r="K52" s="1143">
        <f>'Scenarios Data'!$O317</f>
        <v>0</v>
      </c>
    </row>
    <row r="53" spans="1:11" x14ac:dyDescent="0.2">
      <c r="B53" s="104"/>
      <c r="C53" s="104"/>
      <c r="D53" s="104"/>
    </row>
    <row r="55" spans="1:11" ht="24" customHeight="1" x14ac:dyDescent="0.2"/>
    <row r="56" spans="1:11" ht="24" customHeight="1" x14ac:dyDescent="0.2"/>
    <row r="64" spans="1:11" ht="15" customHeight="1" x14ac:dyDescent="0.2"/>
  </sheetData>
  <sheetProtection algorithmName="SHA-512" hashValue="HZarvVVJ4BpyrKBhUFTMUZJ37HI3Fm8w4w+P14l6/NxIoFguA2SLwhQxOxxXqF4drU9yx0Rl7D4FhdBXe6GQXA==" saltValue="aavZo4skDs4+qE7/N78M3Q==" spinCount="100000" sheet="1" objects="1" scenarios="1"/>
  <mergeCells count="13">
    <mergeCell ref="A46:A47"/>
    <mergeCell ref="A11:C11"/>
    <mergeCell ref="B3:D3"/>
    <mergeCell ref="B4:D4"/>
    <mergeCell ref="B5:D5"/>
    <mergeCell ref="B6:D6"/>
    <mergeCell ref="A15:A16"/>
    <mergeCell ref="A13:C13"/>
    <mergeCell ref="A1:H1"/>
    <mergeCell ref="A12:C12"/>
    <mergeCell ref="A8:B8"/>
    <mergeCell ref="A9:D9"/>
    <mergeCell ref="A10:C10"/>
  </mergeCells>
  <phoneticPr fontId="44" type="noConversion"/>
  <dataValidations count="1">
    <dataValidation type="list" allowBlank="1" showInputMessage="1" showErrorMessage="1" sqref="D13" xr:uid="{00000000-0002-0000-0100-000000000000}">
      <formula1>GWP_Time_Horizon</formula1>
    </dataValidation>
  </dataValidations>
  <pageMargins left="0.75" right="0.75" top="1" bottom="1" header="0.5" footer="0.5"/>
  <pageSetup scale="59" orientation="portrait" horizontalDpi="4294967292" verticalDpi="4294967292" r:id="rId1"/>
  <headerFooter alignWithMargins="0">
    <oddFooter>&amp;LBEAM&amp;RCanadian Council of Ministers of the Environment</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'References Assumptions'!$A$294:$A$328</xm:f>
          </x14:formula1>
          <xm:sqref>D11</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7">
    <pageSetUpPr fitToPage="1"/>
  </sheetPr>
  <dimension ref="A1:DO126"/>
  <sheetViews>
    <sheetView workbookViewId="0"/>
  </sheetViews>
  <sheetFormatPr defaultColWidth="9.140625" defaultRowHeight="15.75" x14ac:dyDescent="0.25"/>
  <cols>
    <col min="1" max="1" width="98.85546875" style="355" customWidth="1"/>
    <col min="2" max="2" width="19.42578125" style="355" customWidth="1"/>
    <col min="3" max="3" width="15.42578125" style="355" customWidth="1"/>
    <col min="4" max="4" width="19.42578125" style="355" customWidth="1"/>
    <col min="5" max="5" width="15.42578125" style="355" customWidth="1"/>
    <col min="6" max="6" width="19.42578125" style="355" customWidth="1"/>
    <col min="7" max="7" width="15.42578125" style="355" customWidth="1"/>
    <col min="8" max="8" width="19.42578125" style="355" customWidth="1"/>
    <col min="9" max="9" width="15.42578125" style="355" customWidth="1"/>
    <col min="10" max="10" width="19.42578125" style="355" customWidth="1"/>
    <col min="11" max="11" width="15.42578125" style="355" customWidth="1"/>
    <col min="12" max="12" width="19.42578125" style="355" customWidth="1"/>
    <col min="13" max="13" width="15.42578125" style="355" customWidth="1"/>
    <col min="14" max="14" width="19.42578125" style="355" customWidth="1"/>
    <col min="15" max="15" width="15.42578125" style="355" customWidth="1"/>
    <col min="16" max="16" width="19.42578125" style="355" customWidth="1"/>
    <col min="17" max="17" width="15.42578125" style="355" customWidth="1"/>
    <col min="18" max="18" width="19.42578125" style="355" customWidth="1"/>
    <col min="19" max="19" width="15.42578125" style="355" customWidth="1"/>
    <col min="20" max="20" width="19.42578125" style="355" customWidth="1"/>
    <col min="21" max="21" width="15.42578125" style="355" customWidth="1"/>
    <col min="22" max="41" width="9.140625" style="355"/>
    <col min="42" max="42" width="10.85546875" style="355" bestFit="1" customWidth="1"/>
    <col min="43" max="44" width="9.140625" style="355"/>
    <col min="45" max="45" width="14" style="355" customWidth="1"/>
    <col min="46" max="46" width="14.42578125" style="355" customWidth="1"/>
    <col min="47" max="49" width="9.140625" style="355"/>
    <col min="50" max="50" width="21.85546875" style="355" bestFit="1" customWidth="1"/>
    <col min="51" max="51" width="17.85546875" style="355" customWidth="1"/>
    <col min="52" max="52" width="11.85546875" style="355" customWidth="1"/>
    <col min="53" max="53" width="13" style="355" customWidth="1"/>
    <col min="54" max="54" width="10.140625" style="355" customWidth="1"/>
    <col min="55" max="55" width="12" style="355" customWidth="1"/>
    <col min="56" max="57" width="9.140625" style="355"/>
    <col min="58" max="58" width="17.85546875" style="355" bestFit="1" customWidth="1"/>
    <col min="59" max="65" width="9.140625" style="355"/>
    <col min="66" max="66" width="10.85546875" style="355" customWidth="1"/>
    <col min="67" max="69" width="9.140625" style="355"/>
    <col min="70" max="70" width="11.42578125" style="355" customWidth="1"/>
    <col min="71" max="72" width="9.140625" style="355"/>
    <col min="73" max="73" width="10.42578125" style="355" customWidth="1"/>
    <col min="74" max="16384" width="9.140625" style="355"/>
  </cols>
  <sheetData>
    <row r="1" spans="1:119" ht="29.25" customHeight="1" x14ac:dyDescent="0.25">
      <c r="E1" s="356"/>
      <c r="F1" s="356"/>
      <c r="AX1" s="357" t="s">
        <v>449</v>
      </c>
      <c r="AY1" s="358">
        <f>+'Amount and Destination'!$O$30-'Amount and Destination'!$O$9-'Scenarios Data'!$P$10</f>
        <v>37585.096819999999</v>
      </c>
      <c r="AZ1" s="359" t="s">
        <v>372</v>
      </c>
      <c r="BA1" s="360">
        <f>+AY1/Mg_ton</f>
        <v>34106.258457350268</v>
      </c>
      <c r="BB1" s="361" t="s">
        <v>394</v>
      </c>
      <c r="BC1" s="362"/>
      <c r="BD1" s="363"/>
      <c r="BE1" t="s">
        <v>451</v>
      </c>
      <c r="BF1" s="364"/>
      <c r="BG1" s="359" t="s">
        <v>372</v>
      </c>
      <c r="BH1" s="360">
        <f>+BF1/Mg_ton</f>
        <v>0</v>
      </c>
      <c r="BI1" s="361" t="s">
        <v>394</v>
      </c>
      <c r="BJ1" s="362"/>
      <c r="BK1" s="363"/>
      <c r="BL1" s="357" t="s">
        <v>452</v>
      </c>
      <c r="BM1" s="364"/>
      <c r="BN1" s="359" t="s">
        <v>372</v>
      </c>
      <c r="BO1" s="360">
        <f>+BM1/Mg_ton</f>
        <v>0</v>
      </c>
      <c r="BP1" s="361" t="s">
        <v>394</v>
      </c>
      <c r="BQ1" s="362"/>
      <c r="BR1" s="363"/>
      <c r="BS1" s="357" t="s">
        <v>453</v>
      </c>
      <c r="BT1" s="364"/>
      <c r="BU1" s="359" t="s">
        <v>372</v>
      </c>
      <c r="BV1" s="360">
        <f>+BT1/Mg_ton</f>
        <v>0</v>
      </c>
      <c r="BW1" s="361" t="s">
        <v>394</v>
      </c>
      <c r="BX1" s="362"/>
      <c r="BY1" s="363"/>
      <c r="BZ1" s="357" t="s">
        <v>454</v>
      </c>
      <c r="CA1" s="364"/>
      <c r="CB1" s="359" t="s">
        <v>372</v>
      </c>
      <c r="CC1" s="360">
        <f>+CA1/Mg_ton</f>
        <v>0</v>
      </c>
      <c r="CD1" s="361" t="s">
        <v>394</v>
      </c>
      <c r="CE1" s="362"/>
      <c r="CF1" s="363"/>
      <c r="CG1" s="357" t="s">
        <v>455</v>
      </c>
      <c r="CH1" s="364"/>
      <c r="CI1" s="359" t="s">
        <v>372</v>
      </c>
      <c r="CJ1" s="360">
        <f>+CH1/Mg_ton</f>
        <v>0</v>
      </c>
      <c r="CK1" s="361" t="s">
        <v>394</v>
      </c>
      <c r="CL1" s="362"/>
      <c r="CM1" s="363"/>
      <c r="CN1" s="357" t="s">
        <v>456</v>
      </c>
      <c r="CO1" s="364"/>
      <c r="CP1" s="359" t="s">
        <v>372</v>
      </c>
      <c r="CQ1" s="360">
        <f>+CO1/Mg_ton</f>
        <v>0</v>
      </c>
      <c r="CR1" s="361" t="s">
        <v>394</v>
      </c>
      <c r="CS1" s="362"/>
      <c r="CT1" s="363"/>
      <c r="CU1" s="357" t="s">
        <v>457</v>
      </c>
      <c r="CV1" s="364"/>
      <c r="CW1" s="359" t="s">
        <v>372</v>
      </c>
      <c r="CX1" s="360">
        <f>+CV1/Mg_ton</f>
        <v>0</v>
      </c>
      <c r="CY1" s="361" t="s">
        <v>394</v>
      </c>
      <c r="CZ1" s="362"/>
      <c r="DA1" s="363"/>
      <c r="DB1" s="357" t="s">
        <v>458</v>
      </c>
      <c r="DC1" s="364"/>
      <c r="DD1" s="359" t="s">
        <v>372</v>
      </c>
      <c r="DE1" s="360">
        <f>+DC1/Mg_ton</f>
        <v>0</v>
      </c>
      <c r="DF1" s="361" t="s">
        <v>394</v>
      </c>
      <c r="DG1" s="362"/>
      <c r="DH1" s="363"/>
      <c r="DI1" s="357" t="s">
        <v>459</v>
      </c>
      <c r="DJ1" s="364"/>
      <c r="DK1" s="359" t="s">
        <v>372</v>
      </c>
      <c r="DL1" s="360">
        <f>+DJ1/Mg_ton</f>
        <v>0</v>
      </c>
      <c r="DM1" s="361" t="s">
        <v>394</v>
      </c>
      <c r="DN1" s="362"/>
      <c r="DO1" s="363"/>
    </row>
    <row r="2" spans="1:119" x14ac:dyDescent="0.25">
      <c r="E2" s="356"/>
      <c r="F2" s="356"/>
      <c r="AS2" s="905" t="s">
        <v>503</v>
      </c>
      <c r="AX2" s="74"/>
      <c r="AY2" s="365"/>
      <c r="AZ2" s="183"/>
      <c r="BA2" s="366" t="e">
        <f>+B52/BA1</f>
        <v>#VALUE!</v>
      </c>
      <c r="BB2" s="96" t="s">
        <v>433</v>
      </c>
      <c r="BD2" s="367"/>
      <c r="BE2" s="74"/>
      <c r="BF2" s="365"/>
      <c r="BG2" s="183"/>
      <c r="BH2" s="366" t="e">
        <f>D52/BH1</f>
        <v>#VALUE!</v>
      </c>
      <c r="BI2" s="96" t="s">
        <v>433</v>
      </c>
      <c r="BK2" s="367"/>
      <c r="BL2" s="74"/>
      <c r="BM2" s="365"/>
      <c r="BN2" s="183"/>
      <c r="BO2" s="366" t="e">
        <f>+F52/BO1</f>
        <v>#VALUE!</v>
      </c>
      <c r="BP2" s="96" t="s">
        <v>433</v>
      </c>
      <c r="BR2" s="367"/>
      <c r="BS2" s="74"/>
      <c r="BT2" s="365"/>
      <c r="BU2" s="183"/>
      <c r="BV2" s="366" t="e">
        <f>+H52/BV1</f>
        <v>#VALUE!</v>
      </c>
      <c r="BW2" s="96" t="s">
        <v>433</v>
      </c>
      <c r="BY2" s="367"/>
      <c r="BZ2" s="74"/>
      <c r="CA2" s="365"/>
      <c r="CB2" s="183"/>
      <c r="CC2" s="366" t="e">
        <f>+J52/CC1</f>
        <v>#VALUE!</v>
      </c>
      <c r="CD2" s="96" t="s">
        <v>433</v>
      </c>
      <c r="CF2" s="367"/>
      <c r="CG2" s="74"/>
      <c r="CH2" s="365"/>
      <c r="CI2" s="183"/>
      <c r="CJ2" s="366" t="e">
        <f>+L52/CJ1</f>
        <v>#VALUE!</v>
      </c>
      <c r="CK2" s="96" t="s">
        <v>433</v>
      </c>
      <c r="CM2" s="367"/>
      <c r="CN2" s="74"/>
      <c r="CO2" s="365"/>
      <c r="CP2" s="183"/>
      <c r="CQ2" s="366" t="e">
        <f>+N52/CQ1</f>
        <v>#VALUE!</v>
      </c>
      <c r="CR2" s="96" t="s">
        <v>433</v>
      </c>
      <c r="CT2" s="367"/>
      <c r="CU2" s="74"/>
      <c r="CV2" s="365"/>
      <c r="CW2" s="183"/>
      <c r="CX2" s="366" t="e">
        <f>+P52/CX1</f>
        <v>#VALUE!</v>
      </c>
      <c r="CY2" s="96" t="s">
        <v>433</v>
      </c>
      <c r="DA2" s="367"/>
      <c r="DB2" s="74"/>
      <c r="DC2" s="365"/>
      <c r="DD2" s="183"/>
      <c r="DE2" s="366" t="e">
        <f>+R52/DE1</f>
        <v>#VALUE!</v>
      </c>
      <c r="DF2" s="96" t="s">
        <v>433</v>
      </c>
      <c r="DH2" s="367"/>
      <c r="DI2" s="74"/>
      <c r="DJ2" s="365"/>
      <c r="DK2" s="183"/>
      <c r="DL2" s="366" t="e">
        <f>T52/DL1</f>
        <v>#VALUE!</v>
      </c>
      <c r="DM2" s="96" t="s">
        <v>433</v>
      </c>
      <c r="DO2" s="367"/>
    </row>
    <row r="3" spans="1:119" x14ac:dyDescent="0.25">
      <c r="E3" s="356"/>
      <c r="F3" s="356"/>
      <c r="AS3" s="905" t="s">
        <v>504</v>
      </c>
      <c r="AU3" s="183"/>
      <c r="AV3" s="183"/>
      <c r="AW3" s="96"/>
      <c r="AX3" s="368"/>
      <c r="BB3"/>
      <c r="BD3" s="367"/>
      <c r="BE3" s="96"/>
      <c r="BF3"/>
      <c r="BG3"/>
      <c r="BH3"/>
      <c r="BI3"/>
      <c r="BK3" s="367"/>
      <c r="BL3" s="368"/>
      <c r="BM3"/>
      <c r="BN3"/>
      <c r="BO3"/>
      <c r="BP3"/>
      <c r="BR3" s="367"/>
      <c r="BS3" s="368"/>
      <c r="BT3"/>
      <c r="BU3"/>
      <c r="BV3"/>
      <c r="BW3"/>
      <c r="BY3" s="367"/>
      <c r="BZ3" s="368"/>
      <c r="CA3"/>
      <c r="CB3"/>
      <c r="CC3"/>
      <c r="CD3"/>
      <c r="CF3" s="367"/>
      <c r="CG3" s="368"/>
      <c r="CH3"/>
      <c r="CI3"/>
      <c r="CJ3"/>
      <c r="CK3"/>
      <c r="CM3" s="367"/>
      <c r="CN3" s="368"/>
      <c r="CO3"/>
      <c r="CP3"/>
      <c r="CQ3"/>
      <c r="CR3"/>
      <c r="CT3" s="367"/>
      <c r="CU3" s="368"/>
      <c r="CV3"/>
      <c r="CW3"/>
      <c r="CX3"/>
      <c r="CY3"/>
      <c r="DA3" s="367"/>
      <c r="DB3" s="368"/>
      <c r="DC3"/>
      <c r="DD3"/>
      <c r="DE3"/>
      <c r="DF3"/>
      <c r="DH3" s="367"/>
      <c r="DI3" s="368"/>
      <c r="DJ3"/>
      <c r="DK3"/>
      <c r="DL3"/>
      <c r="DM3"/>
      <c r="DO3" s="367"/>
    </row>
    <row r="4" spans="1:119" ht="23.25" x14ac:dyDescent="0.35">
      <c r="A4" s="369"/>
      <c r="E4" s="356"/>
      <c r="F4" s="356"/>
      <c r="AS4" s="905" t="s">
        <v>505</v>
      </c>
      <c r="AX4" s="74" t="s">
        <v>507</v>
      </c>
      <c r="AY4" s="370">
        <v>3</v>
      </c>
      <c r="AZ4" t="s">
        <v>419</v>
      </c>
      <c r="BA4" s="371" t="e">
        <f>AZ9*(1-AZ10)^AY4</f>
        <v>#VALUE!</v>
      </c>
      <c r="BB4" s="372" t="e">
        <f>+BA5/AZ9</f>
        <v>#VALUE!</v>
      </c>
      <c r="BC4" s="372"/>
      <c r="BD4" s="373"/>
      <c r="BE4" t="s">
        <v>507</v>
      </c>
      <c r="BF4" s="370">
        <v>3</v>
      </c>
      <c r="BG4" t="s">
        <v>419</v>
      </c>
      <c r="BH4" s="371" t="e">
        <f>BG9*(1-BG10)^BF4</f>
        <v>#VALUE!</v>
      </c>
      <c r="BI4" s="372" t="e">
        <f>+BH5/BG9</f>
        <v>#VALUE!</v>
      </c>
      <c r="BJ4" s="372"/>
      <c r="BK4" s="373"/>
      <c r="BL4" s="74" t="s">
        <v>507</v>
      </c>
      <c r="BM4" s="370">
        <v>3</v>
      </c>
      <c r="BN4" t="s">
        <v>419</v>
      </c>
      <c r="BO4" s="371" t="e">
        <f>BN9*(1-BN10)^BM4</f>
        <v>#VALUE!</v>
      </c>
      <c r="BP4" s="372" t="e">
        <f>+BO5/BN9</f>
        <v>#VALUE!</v>
      </c>
      <c r="BQ4"/>
      <c r="BR4" s="75" t="s">
        <v>431</v>
      </c>
      <c r="BS4" s="74" t="s">
        <v>507</v>
      </c>
      <c r="BT4" s="370">
        <v>3</v>
      </c>
      <c r="BU4" t="s">
        <v>419</v>
      </c>
      <c r="BV4" s="371" t="e">
        <f>BU9*(1-BU10)^BT4</f>
        <v>#VALUE!</v>
      </c>
      <c r="BW4" s="372" t="e">
        <f>+BV5/BU9</f>
        <v>#VALUE!</v>
      </c>
      <c r="BX4" s="372"/>
      <c r="BY4" s="373"/>
      <c r="BZ4" s="74" t="s">
        <v>507</v>
      </c>
      <c r="CA4" s="370">
        <v>3</v>
      </c>
      <c r="CB4" t="s">
        <v>419</v>
      </c>
      <c r="CC4" s="371" t="e">
        <f>CB9*(1-CB10)^CA4</f>
        <v>#VALUE!</v>
      </c>
      <c r="CD4" s="372" t="e">
        <f>+CC5/CB9</f>
        <v>#VALUE!</v>
      </c>
      <c r="CE4" s="372"/>
      <c r="CF4" s="373"/>
      <c r="CG4" s="74" t="s">
        <v>507</v>
      </c>
      <c r="CH4" s="370">
        <v>3</v>
      </c>
      <c r="CI4" t="s">
        <v>419</v>
      </c>
      <c r="CJ4" s="371" t="e">
        <f>CI9*(1-CI10)^CH4</f>
        <v>#VALUE!</v>
      </c>
      <c r="CK4" s="372" t="e">
        <f>+CJ5/CI9</f>
        <v>#VALUE!</v>
      </c>
      <c r="CL4" s="372"/>
      <c r="CM4" s="373"/>
      <c r="CN4" s="74" t="s">
        <v>507</v>
      </c>
      <c r="CO4" s="370">
        <v>3</v>
      </c>
      <c r="CP4" t="s">
        <v>419</v>
      </c>
      <c r="CQ4" s="371" t="e">
        <f>CP9*(1-CP10)^CO4</f>
        <v>#VALUE!</v>
      </c>
      <c r="CR4" s="372" t="e">
        <f>+CQ5/CP9</f>
        <v>#VALUE!</v>
      </c>
      <c r="CS4" s="372"/>
      <c r="CT4" s="373"/>
      <c r="CU4" s="74" t="s">
        <v>507</v>
      </c>
      <c r="CV4" s="370">
        <v>3</v>
      </c>
      <c r="CW4" t="s">
        <v>419</v>
      </c>
      <c r="CX4" s="371" t="e">
        <f>CW9*(1-CW10)^CV4</f>
        <v>#VALUE!</v>
      </c>
      <c r="CY4" s="372" t="e">
        <f>+CX5/CW9</f>
        <v>#VALUE!</v>
      </c>
      <c r="CZ4" s="372"/>
      <c r="DA4" s="373"/>
      <c r="DB4" s="74" t="s">
        <v>507</v>
      </c>
      <c r="DC4" s="370">
        <v>3</v>
      </c>
      <c r="DD4" t="s">
        <v>419</v>
      </c>
      <c r="DE4" s="371" t="e">
        <f>DD9*(1-DD10)^DC4</f>
        <v>#VALUE!</v>
      </c>
      <c r="DF4" s="372" t="e">
        <f>+DE5/DD9</f>
        <v>#VALUE!</v>
      </c>
      <c r="DG4" s="372"/>
      <c r="DH4" s="373"/>
      <c r="DI4" s="74" t="s">
        <v>507</v>
      </c>
      <c r="DJ4" s="370">
        <v>3</v>
      </c>
      <c r="DK4" t="s">
        <v>419</v>
      </c>
      <c r="DL4" s="371" t="e">
        <f>DK9*(1-DK10)^DJ4</f>
        <v>#VALUE!</v>
      </c>
      <c r="DM4" s="372" t="e">
        <f>+DL5/DK9</f>
        <v>#VALUE!</v>
      </c>
      <c r="DN4" s="372"/>
      <c r="DO4" s="373"/>
    </row>
    <row r="5" spans="1:119" ht="23.25" x14ac:dyDescent="0.35">
      <c r="A5" s="369"/>
      <c r="E5" s="356"/>
      <c r="F5" s="356"/>
      <c r="AS5" s="905" t="s">
        <v>506</v>
      </c>
      <c r="AX5" s="74" t="s">
        <v>508</v>
      </c>
      <c r="AY5">
        <f>AY4</f>
        <v>3</v>
      </c>
      <c r="AZ5" t="s">
        <v>419</v>
      </c>
      <c r="BA5" s="374" t="e">
        <f>AZ9-BA4</f>
        <v>#VALUE!</v>
      </c>
      <c r="BB5"/>
      <c r="BC5" s="372"/>
      <c r="BD5" s="373"/>
      <c r="BE5" t="s">
        <v>508</v>
      </c>
      <c r="BF5">
        <f>BF4</f>
        <v>3</v>
      </c>
      <c r="BG5" t="s">
        <v>419</v>
      </c>
      <c r="BH5" s="374" t="e">
        <f>BG9-BH4</f>
        <v>#VALUE!</v>
      </c>
      <c r="BI5"/>
      <c r="BJ5" s="372"/>
      <c r="BK5" s="373"/>
      <c r="BL5" s="74" t="s">
        <v>508</v>
      </c>
      <c r="BM5">
        <f>BM4</f>
        <v>3</v>
      </c>
      <c r="BN5" t="s">
        <v>419</v>
      </c>
      <c r="BO5" s="374" t="e">
        <f>BN9-BO4</f>
        <v>#VALUE!</v>
      </c>
      <c r="BP5"/>
      <c r="BQ5"/>
      <c r="BR5" s="373" t="e">
        <f>+BI11*SUM(BP12:BP13)</f>
        <v>#VALUE!</v>
      </c>
      <c r="BS5" s="74" t="s">
        <v>508</v>
      </c>
      <c r="BT5">
        <f>BT4</f>
        <v>3</v>
      </c>
      <c r="BU5" t="s">
        <v>419</v>
      </c>
      <c r="BV5" s="374" t="e">
        <f>BU9-BV4</f>
        <v>#VALUE!</v>
      </c>
      <c r="BW5"/>
      <c r="BX5" s="372"/>
      <c r="BY5" s="373"/>
      <c r="BZ5" s="74" t="s">
        <v>508</v>
      </c>
      <c r="CA5">
        <f>CA4</f>
        <v>3</v>
      </c>
      <c r="CB5" t="s">
        <v>419</v>
      </c>
      <c r="CC5" s="374" t="e">
        <f>CB9-CC4</f>
        <v>#VALUE!</v>
      </c>
      <c r="CD5"/>
      <c r="CE5" s="372"/>
      <c r="CF5" s="373"/>
      <c r="CG5" s="74" t="s">
        <v>508</v>
      </c>
      <c r="CH5">
        <f>CH4</f>
        <v>3</v>
      </c>
      <c r="CI5" t="s">
        <v>419</v>
      </c>
      <c r="CJ5" s="374" t="e">
        <f>CI9-CJ4</f>
        <v>#VALUE!</v>
      </c>
      <c r="CK5"/>
      <c r="CL5" s="372"/>
      <c r="CM5" s="373"/>
      <c r="CN5" s="74" t="s">
        <v>508</v>
      </c>
      <c r="CO5">
        <f>CO4</f>
        <v>3</v>
      </c>
      <c r="CP5" t="s">
        <v>419</v>
      </c>
      <c r="CQ5" s="374" t="e">
        <f>CP9-CQ4</f>
        <v>#VALUE!</v>
      </c>
      <c r="CR5"/>
      <c r="CS5" s="372"/>
      <c r="CT5" s="373"/>
      <c r="CU5" s="74" t="s">
        <v>508</v>
      </c>
      <c r="CV5">
        <f>CV4</f>
        <v>3</v>
      </c>
      <c r="CW5" t="s">
        <v>419</v>
      </c>
      <c r="CX5" s="374" t="e">
        <f>CW9-CX4</f>
        <v>#VALUE!</v>
      </c>
      <c r="CY5"/>
      <c r="CZ5" s="372"/>
      <c r="DA5" s="373"/>
      <c r="DB5" s="74" t="s">
        <v>508</v>
      </c>
      <c r="DC5">
        <f>DC4</f>
        <v>3</v>
      </c>
      <c r="DD5" t="s">
        <v>419</v>
      </c>
      <c r="DE5" s="374" t="e">
        <f>DD9-DE4</f>
        <v>#VALUE!</v>
      </c>
      <c r="DF5"/>
      <c r="DG5" s="372"/>
      <c r="DH5" s="373"/>
      <c r="DI5" s="74" t="s">
        <v>508</v>
      </c>
      <c r="DJ5">
        <f>DJ4</f>
        <v>3</v>
      </c>
      <c r="DK5" t="s">
        <v>419</v>
      </c>
      <c r="DL5" s="374" t="e">
        <f>DK9-DL4</f>
        <v>#VALUE!</v>
      </c>
      <c r="DM5"/>
      <c r="DN5" s="372"/>
      <c r="DO5" s="373"/>
    </row>
    <row r="6" spans="1:119" ht="23.25" x14ac:dyDescent="0.35">
      <c r="A6" s="369"/>
      <c r="E6" s="356"/>
      <c r="F6" s="356"/>
      <c r="AU6" s="130"/>
      <c r="AV6" s="130"/>
      <c r="AW6" s="96"/>
      <c r="AX6" s="74" t="str">
        <f>CONCATENATE("Tons decayed in year ",(AY4),":")</f>
        <v>Tons decayed in year 3:</v>
      </c>
      <c r="AY6"/>
      <c r="AZ6"/>
      <c r="BA6" s="371" t="e">
        <f>$AZ$10*(AZ9*(1-AZ10)^(AY4-AS38))</f>
        <v>#VALUE!</v>
      </c>
      <c r="BB6"/>
      <c r="BC6" s="372"/>
      <c r="BD6" s="373"/>
      <c r="BE6" t="str">
        <f>CONCATENATE("Tons decayed in year ",(BF4),":")</f>
        <v>Tons decayed in year 3:</v>
      </c>
      <c r="BF6"/>
      <c r="BG6"/>
      <c r="BH6" s="371" t="e">
        <f>$AZ$10*(BG9*(1-BG10)^(BF4-AZ37))</f>
        <v>#VALUE!</v>
      </c>
      <c r="BI6"/>
      <c r="BJ6" s="372"/>
      <c r="BK6" s="373"/>
      <c r="BL6" s="74" t="str">
        <f>CONCATENATE("Tons decayed in year ",(BM4),":")</f>
        <v>Tons decayed in year 3:</v>
      </c>
      <c r="BM6"/>
      <c r="BN6"/>
      <c r="BO6" s="371" t="e">
        <f>$AZ$10*(BN9*(1-BN10)^(BM4-BG37))</f>
        <v>#VALUE!</v>
      </c>
      <c r="BP6"/>
      <c r="BQ6"/>
      <c r="BR6" s="373" t="e">
        <f>+BI12*SUM(BP14:BP15)</f>
        <v>#VALUE!</v>
      </c>
      <c r="BS6" s="74" t="str">
        <f>CONCATENATE("Tons decayed in year ",(BT4),":")</f>
        <v>Tons decayed in year 3:</v>
      </c>
      <c r="BT6"/>
      <c r="BU6"/>
      <c r="BV6" s="371" t="e">
        <f>$AZ$10*(BU9*(1-BU10)^(BT4-BN37))</f>
        <v>#VALUE!</v>
      </c>
      <c r="BW6"/>
      <c r="BX6" s="372"/>
      <c r="BY6" s="373"/>
      <c r="BZ6" s="74" t="str">
        <f>CONCATENATE("Tons decayed in year ",(CA4),":")</f>
        <v>Tons decayed in year 3:</v>
      </c>
      <c r="CA6"/>
      <c r="CB6"/>
      <c r="CC6" s="371" t="e">
        <f>$AZ$10*(CB9*(1-CB10)^(CA4-BU37))</f>
        <v>#VALUE!</v>
      </c>
      <c r="CD6"/>
      <c r="CE6" s="372"/>
      <c r="CF6" s="373"/>
      <c r="CG6" s="74" t="str">
        <f>CONCATENATE("Tons decayed in year ",(CH4),":")</f>
        <v>Tons decayed in year 3:</v>
      </c>
      <c r="CH6"/>
      <c r="CI6"/>
      <c r="CJ6" s="371" t="e">
        <f>$AZ$10*(CI9*(1-CI10)^(CH4-CB37))</f>
        <v>#VALUE!</v>
      </c>
      <c r="CK6"/>
      <c r="CL6" s="372"/>
      <c r="CM6" s="373"/>
      <c r="CN6" s="74" t="str">
        <f>CONCATENATE("Tons decayed in year ",(CO4),":")</f>
        <v>Tons decayed in year 3:</v>
      </c>
      <c r="CO6"/>
      <c r="CP6"/>
      <c r="CQ6" s="371" t="e">
        <f>$AZ$10*(CP9*(1-CP10)^(CO4-CI37))</f>
        <v>#VALUE!</v>
      </c>
      <c r="CR6"/>
      <c r="CS6" s="372"/>
      <c r="CT6" s="373"/>
      <c r="CU6" s="74" t="str">
        <f>CONCATENATE("Tons decayed in year ",(CV4),":")</f>
        <v>Tons decayed in year 3:</v>
      </c>
      <c r="CV6"/>
      <c r="CW6"/>
      <c r="CX6" s="371" t="e">
        <f>$AZ$10*(CW9*(1-CW10)^(CV4-CP37))</f>
        <v>#VALUE!</v>
      </c>
      <c r="CY6"/>
      <c r="CZ6" s="372"/>
      <c r="DA6" s="373"/>
      <c r="DB6" s="74" t="str">
        <f>CONCATENATE("Tons decayed in year ",(DC4),":")</f>
        <v>Tons decayed in year 3:</v>
      </c>
      <c r="DC6"/>
      <c r="DD6"/>
      <c r="DE6" s="371" t="e">
        <f>$AZ$10*(DD9*(1-DD10)^(DC4-CW37))</f>
        <v>#VALUE!</v>
      </c>
      <c r="DF6"/>
      <c r="DG6" s="372"/>
      <c r="DH6" s="373"/>
      <c r="DI6" s="74" t="str">
        <f>CONCATENATE("Tons decayed in year ",(DJ4),":")</f>
        <v>Tons decayed in year 3:</v>
      </c>
      <c r="DJ6"/>
      <c r="DK6"/>
      <c r="DL6" s="371" t="e">
        <f>$AZ$10*(DK9*(1-DK10)^(DJ4-DD37))</f>
        <v>#VALUE!</v>
      </c>
      <c r="DM6"/>
      <c r="DN6" s="372"/>
      <c r="DO6" s="373"/>
    </row>
    <row r="7" spans="1:119" ht="23.25" x14ac:dyDescent="0.35">
      <c r="A7" s="369"/>
      <c r="B7" s="375"/>
      <c r="C7" s="375"/>
      <c r="D7" s="375"/>
      <c r="E7" s="356"/>
      <c r="F7" s="356"/>
      <c r="AR7" t="s">
        <v>434</v>
      </c>
      <c r="AS7">
        <v>0.36</v>
      </c>
      <c r="AT7" t="s">
        <v>435</v>
      </c>
      <c r="AX7" s="376">
        <v>100</v>
      </c>
      <c r="AY7" t="s">
        <v>427</v>
      </c>
      <c r="AZ7"/>
      <c r="BC7" s="372"/>
      <c r="BD7" s="373"/>
      <c r="BE7" s="377">
        <v>100</v>
      </c>
      <c r="BF7" t="s">
        <v>427</v>
      </c>
      <c r="BG7"/>
      <c r="BJ7" s="372"/>
      <c r="BK7" s="373"/>
      <c r="BL7" s="376">
        <v>100</v>
      </c>
      <c r="BM7" t="s">
        <v>427</v>
      </c>
      <c r="BN7"/>
      <c r="BQ7"/>
      <c r="BR7" s="373" t="e">
        <f>+BI13*SUM(BP16:BP25)</f>
        <v>#VALUE!</v>
      </c>
      <c r="BS7" s="376">
        <v>100</v>
      </c>
      <c r="BT7" t="s">
        <v>427</v>
      </c>
      <c r="BU7"/>
      <c r="BX7" s="372"/>
      <c r="BY7" s="373"/>
      <c r="BZ7" s="376">
        <v>100</v>
      </c>
      <c r="CA7" t="s">
        <v>427</v>
      </c>
      <c r="CB7"/>
      <c r="CE7" s="372"/>
      <c r="CF7" s="373"/>
      <c r="CG7" s="376">
        <v>100</v>
      </c>
      <c r="CH7" t="s">
        <v>427</v>
      </c>
      <c r="CI7"/>
      <c r="CL7" s="372"/>
      <c r="CM7" s="373"/>
      <c r="CN7" s="376">
        <v>100</v>
      </c>
      <c r="CO7" t="s">
        <v>427</v>
      </c>
      <c r="CP7"/>
      <c r="CS7" s="372"/>
      <c r="CT7" s="373"/>
      <c r="CU7" s="376">
        <v>100</v>
      </c>
      <c r="CV7" t="s">
        <v>427</v>
      </c>
      <c r="CW7"/>
      <c r="CZ7" s="372"/>
      <c r="DA7" s="373"/>
      <c r="DB7" s="376">
        <v>100</v>
      </c>
      <c r="DC7" t="s">
        <v>427</v>
      </c>
      <c r="DD7"/>
      <c r="DG7" s="372"/>
      <c r="DH7" s="373"/>
      <c r="DI7" s="376">
        <v>100</v>
      </c>
      <c r="DJ7" t="s">
        <v>427</v>
      </c>
      <c r="DK7"/>
      <c r="DN7" s="372"/>
      <c r="DO7" s="373"/>
    </row>
    <row r="8" spans="1:119" ht="24" thickBot="1" x14ac:dyDescent="0.4">
      <c r="A8" s="369"/>
      <c r="B8" s="375"/>
      <c r="C8" s="375"/>
      <c r="D8" s="375"/>
      <c r="E8" s="356"/>
      <c r="F8" s="356"/>
      <c r="AX8" s="368"/>
      <c r="AY8"/>
      <c r="AZ8" s="886" t="s">
        <v>98</v>
      </c>
      <c r="BA8" t="s">
        <v>418</v>
      </c>
      <c r="BC8" s="372"/>
      <c r="BD8" s="373"/>
      <c r="BE8" s="96"/>
      <c r="BF8"/>
      <c r="BG8" s="886" t="s">
        <v>98</v>
      </c>
      <c r="BH8" t="s">
        <v>418</v>
      </c>
      <c r="BJ8" s="372"/>
      <c r="BK8" s="373"/>
      <c r="BL8" s="368"/>
      <c r="BM8"/>
      <c r="BN8" s="886" t="s">
        <v>98</v>
      </c>
      <c r="BO8" t="s">
        <v>418</v>
      </c>
      <c r="BQ8"/>
      <c r="BR8" s="373" t="e">
        <f>+BI14*SUM(BP26:BP41)</f>
        <v>#VALUE!</v>
      </c>
      <c r="BS8" s="368"/>
      <c r="BT8"/>
      <c r="BU8" s="886" t="s">
        <v>98</v>
      </c>
      <c r="BV8" t="s">
        <v>418</v>
      </c>
      <c r="BX8" s="372"/>
      <c r="BY8" s="373"/>
      <c r="BZ8" s="368"/>
      <c r="CA8"/>
      <c r="CB8" s="886" t="s">
        <v>98</v>
      </c>
      <c r="CC8" t="s">
        <v>418</v>
      </c>
      <c r="CE8" s="372"/>
      <c r="CF8" s="373"/>
      <c r="CG8" s="368"/>
      <c r="CH8"/>
      <c r="CI8" s="886" t="s">
        <v>98</v>
      </c>
      <c r="CJ8" t="s">
        <v>418</v>
      </c>
      <c r="CL8" s="372"/>
      <c r="CM8" s="373"/>
      <c r="CN8" s="368"/>
      <c r="CO8"/>
      <c r="CP8" s="886" t="s">
        <v>98</v>
      </c>
      <c r="CQ8" t="s">
        <v>418</v>
      </c>
      <c r="CS8" s="372"/>
      <c r="CT8" s="373"/>
      <c r="CU8" s="368"/>
      <c r="CV8"/>
      <c r="CW8" s="886" t="s">
        <v>98</v>
      </c>
      <c r="CX8" t="s">
        <v>418</v>
      </c>
      <c r="CZ8" s="372"/>
      <c r="DA8" s="373"/>
      <c r="DB8" s="368"/>
      <c r="DC8"/>
      <c r="DD8" s="886" t="s">
        <v>98</v>
      </c>
      <c r="DE8" t="s">
        <v>418</v>
      </c>
      <c r="DG8" s="372"/>
      <c r="DH8" s="373"/>
      <c r="DI8" s="368"/>
      <c r="DJ8"/>
      <c r="DK8" s="886" t="s">
        <v>98</v>
      </c>
      <c r="DL8" t="s">
        <v>418</v>
      </c>
      <c r="DN8" s="372"/>
      <c r="DO8" s="373"/>
    </row>
    <row r="9" spans="1:119" ht="15.75" customHeight="1" x14ac:dyDescent="0.25">
      <c r="A9" s="1318" t="s">
        <v>601</v>
      </c>
      <c r="B9" s="1293" t="s">
        <v>449</v>
      </c>
      <c r="C9" s="1294"/>
      <c r="D9" s="1293" t="s">
        <v>451</v>
      </c>
      <c r="E9" s="1294"/>
      <c r="F9" s="1293" t="s">
        <v>452</v>
      </c>
      <c r="G9" s="1294"/>
      <c r="H9" s="1293" t="s">
        <v>453</v>
      </c>
      <c r="I9" s="1294"/>
      <c r="J9" s="1293" t="s">
        <v>454</v>
      </c>
      <c r="K9" s="1294"/>
      <c r="L9" s="1293" t="s">
        <v>455</v>
      </c>
      <c r="M9" s="1294"/>
      <c r="N9" s="1293" t="s">
        <v>456</v>
      </c>
      <c r="O9" s="1294"/>
      <c r="P9" s="1293" t="s">
        <v>457</v>
      </c>
      <c r="Q9" s="1294"/>
      <c r="R9" s="1293" t="s">
        <v>458</v>
      </c>
      <c r="S9" s="1294"/>
      <c r="T9" s="1293" t="s">
        <v>459</v>
      </c>
      <c r="U9" s="1294"/>
      <c r="AS9" s="378" t="s">
        <v>498</v>
      </c>
      <c r="AT9" s="379"/>
      <c r="AU9" s="96"/>
      <c r="AX9" s="368"/>
      <c r="AY9" t="s">
        <v>417</v>
      </c>
      <c r="AZ9" s="380">
        <v>100</v>
      </c>
      <c r="BA9"/>
      <c r="BB9"/>
      <c r="BC9" s="372"/>
      <c r="BD9" s="373"/>
      <c r="BE9" s="96"/>
      <c r="BF9" t="s">
        <v>417</v>
      </c>
      <c r="BG9" s="380">
        <v>100</v>
      </c>
      <c r="BH9"/>
      <c r="BI9"/>
      <c r="BJ9" s="372"/>
      <c r="BK9" s="373"/>
      <c r="BL9" s="368"/>
      <c r="BM9" t="s">
        <v>417</v>
      </c>
      <c r="BN9" s="380">
        <v>100</v>
      </c>
      <c r="BO9"/>
      <c r="BP9"/>
      <c r="BQ9" s="381" t="s">
        <v>443</v>
      </c>
      <c r="BR9" s="382" t="e">
        <f>SUM(BR5:BR8)</f>
        <v>#VALUE!</v>
      </c>
      <c r="BS9" s="368"/>
      <c r="BT9" t="s">
        <v>417</v>
      </c>
      <c r="BU9" s="380">
        <v>100</v>
      </c>
      <c r="BV9"/>
      <c r="BW9"/>
      <c r="BX9" s="372"/>
      <c r="BY9" s="373"/>
      <c r="BZ9" s="368"/>
      <c r="CA9" t="s">
        <v>417</v>
      </c>
      <c r="CB9" s="380">
        <v>100</v>
      </c>
      <c r="CC9"/>
      <c r="CD9"/>
      <c r="CE9" s="372"/>
      <c r="CF9" s="373"/>
      <c r="CG9" s="368"/>
      <c r="CH9" t="s">
        <v>417</v>
      </c>
      <c r="CI9" s="380">
        <v>100</v>
      </c>
      <c r="CJ9"/>
      <c r="CK9"/>
      <c r="CL9" s="372"/>
      <c r="CM9" s="373"/>
      <c r="CN9" s="368"/>
      <c r="CO9" t="s">
        <v>417</v>
      </c>
      <c r="CP9" s="380">
        <v>100</v>
      </c>
      <c r="CQ9"/>
      <c r="CR9"/>
      <c r="CS9" s="372"/>
      <c r="CT9" s="373"/>
      <c r="CU9" s="368"/>
      <c r="CV9" t="s">
        <v>417</v>
      </c>
      <c r="CW9" s="380">
        <v>100</v>
      </c>
      <c r="CX9"/>
      <c r="CY9"/>
      <c r="CZ9" s="372"/>
      <c r="DA9" s="373"/>
      <c r="DB9" s="368"/>
      <c r="DC9" t="s">
        <v>417</v>
      </c>
      <c r="DD9" s="380">
        <v>100</v>
      </c>
      <c r="DE9"/>
      <c r="DF9"/>
      <c r="DG9" s="372"/>
      <c r="DH9" s="373"/>
      <c r="DI9" s="368"/>
      <c r="DJ9" t="s">
        <v>417</v>
      </c>
      <c r="DK9" s="380">
        <v>100</v>
      </c>
      <c r="DL9"/>
      <c r="DM9"/>
      <c r="DN9" s="372"/>
      <c r="DO9" s="373"/>
    </row>
    <row r="10" spans="1:119" ht="15.75" customHeight="1" thickBot="1" x14ac:dyDescent="0.3">
      <c r="A10" s="1319"/>
      <c r="B10" s="1330" t="str">
        <f>'Scenarios Data'!$B$1</f>
        <v>Landfill</v>
      </c>
      <c r="C10" s="1331"/>
      <c r="D10" s="1328" t="str">
        <f>'Scenarios Data'!$B$33</f>
        <v>Co-digestion</v>
      </c>
      <c r="E10" s="1329"/>
      <c r="F10" s="1328">
        <f>'Scenarios Data'!$B$65</f>
        <v>0</v>
      </c>
      <c r="G10" s="1329"/>
      <c r="H10" s="1328">
        <f>'Scenarios Data'!$B$97</f>
        <v>0</v>
      </c>
      <c r="I10" s="1329"/>
      <c r="J10" s="1328">
        <f>'Scenarios Data'!$B$129</f>
        <v>0</v>
      </c>
      <c r="K10" s="1329"/>
      <c r="L10" s="1328">
        <f>'Scenarios Data'!$B$161</f>
        <v>0</v>
      </c>
      <c r="M10" s="1329"/>
      <c r="N10" s="1328" t="str">
        <f>'Scenarios Data'!$B$193</f>
        <v xml:space="preserve"> </v>
      </c>
      <c r="O10" s="1329"/>
      <c r="P10" s="1328">
        <f>'Scenarios Data'!$B$225</f>
        <v>0</v>
      </c>
      <c r="Q10" s="1329"/>
      <c r="R10" s="1328">
        <f>'Scenarios Data'!$B$257</f>
        <v>0</v>
      </c>
      <c r="S10" s="1329"/>
      <c r="T10" s="1328">
        <f>'Scenarios Data'!$B$289</f>
        <v>0</v>
      </c>
      <c r="U10" s="1329"/>
      <c r="AS10" s="905" t="s">
        <v>432</v>
      </c>
      <c r="AT10" s="383" t="s">
        <v>426</v>
      </c>
      <c r="AU10" s="905" t="s">
        <v>431</v>
      </c>
      <c r="AV10"/>
      <c r="AX10" s="368"/>
      <c r="AY10" t="s">
        <v>421</v>
      </c>
      <c r="AZ10" s="384" t="str">
        <f>$B$29</f>
        <v>N/A</v>
      </c>
      <c r="BA10"/>
      <c r="BB10"/>
      <c r="BC10" s="372"/>
      <c r="BD10" s="373"/>
      <c r="BE10" s="96"/>
      <c r="BF10" t="s">
        <v>421</v>
      </c>
      <c r="BG10" s="384" t="str">
        <f>$D$29</f>
        <v>N/A</v>
      </c>
      <c r="BH10"/>
      <c r="BI10"/>
      <c r="BJ10" s="372"/>
      <c r="BK10" s="373"/>
      <c r="BL10" s="368"/>
      <c r="BM10" t="s">
        <v>421</v>
      </c>
      <c r="BN10" s="384" t="str">
        <f>$F$29</f>
        <v>N/A</v>
      </c>
      <c r="BO10"/>
      <c r="BP10"/>
      <c r="BQ10" s="381" t="s">
        <v>442</v>
      </c>
      <c r="BR10" s="385" t="e">
        <f>1-BR9</f>
        <v>#VALUE!</v>
      </c>
      <c r="BS10" s="368"/>
      <c r="BT10" t="s">
        <v>421</v>
      </c>
      <c r="BU10" s="384" t="str">
        <f>$H$29</f>
        <v>N/A</v>
      </c>
      <c r="BV10"/>
      <c r="BW10"/>
      <c r="BX10" s="372"/>
      <c r="BY10" s="373"/>
      <c r="BZ10" s="368"/>
      <c r="CA10" t="s">
        <v>421</v>
      </c>
      <c r="CB10" s="384" t="str">
        <f>$J$29</f>
        <v>N/A</v>
      </c>
      <c r="CC10"/>
      <c r="CD10"/>
      <c r="CE10" s="372"/>
      <c r="CF10" s="373"/>
      <c r="CG10" s="368"/>
      <c r="CH10" t="s">
        <v>421</v>
      </c>
      <c r="CI10" s="384" t="str">
        <f>$L$29</f>
        <v>N/A</v>
      </c>
      <c r="CJ10"/>
      <c r="CK10"/>
      <c r="CL10" s="372"/>
      <c r="CM10" s="373"/>
      <c r="CN10" s="368"/>
      <c r="CO10" t="s">
        <v>421</v>
      </c>
      <c r="CP10" s="384" t="str">
        <f>$N$29</f>
        <v>N/A</v>
      </c>
      <c r="CQ10"/>
      <c r="CR10"/>
      <c r="CS10" s="372"/>
      <c r="CT10" s="373"/>
      <c r="CU10" s="368"/>
      <c r="CV10" t="s">
        <v>421</v>
      </c>
      <c r="CW10" s="384" t="str">
        <f>$P$29</f>
        <v>N/A</v>
      </c>
      <c r="CX10"/>
      <c r="CY10"/>
      <c r="CZ10" s="372"/>
      <c r="DA10" s="373"/>
      <c r="DB10" s="368"/>
      <c r="DC10" t="s">
        <v>421</v>
      </c>
      <c r="DD10" s="384" t="str">
        <f>$R$29</f>
        <v>N/A</v>
      </c>
      <c r="DE10"/>
      <c r="DF10"/>
      <c r="DG10" s="372"/>
      <c r="DH10" s="373"/>
      <c r="DI10" s="368"/>
      <c r="DJ10" t="s">
        <v>421</v>
      </c>
      <c r="DK10" s="384" t="str">
        <f>$T$29</f>
        <v>N/A</v>
      </c>
      <c r="DL10"/>
      <c r="DM10"/>
      <c r="DN10" s="372"/>
      <c r="DO10" s="373"/>
    </row>
    <row r="11" spans="1:119" ht="48" customHeight="1" thickBot="1" x14ac:dyDescent="0.3">
      <c r="A11" s="145" t="s">
        <v>104</v>
      </c>
      <c r="B11" s="186" t="s">
        <v>105</v>
      </c>
      <c r="C11" s="147" t="s">
        <v>103</v>
      </c>
      <c r="D11" s="186" t="s">
        <v>105</v>
      </c>
      <c r="E11" s="147" t="s">
        <v>103</v>
      </c>
      <c r="F11" s="186" t="s">
        <v>105</v>
      </c>
      <c r="G11" s="147" t="s">
        <v>103</v>
      </c>
      <c r="H11" s="186" t="s">
        <v>105</v>
      </c>
      <c r="I11" s="147" t="s">
        <v>103</v>
      </c>
      <c r="J11" s="186" t="s">
        <v>105</v>
      </c>
      <c r="K11" s="147" t="s">
        <v>103</v>
      </c>
      <c r="L11" s="186" t="s">
        <v>105</v>
      </c>
      <c r="M11" s="147" t="s">
        <v>103</v>
      </c>
      <c r="N11" s="186" t="s">
        <v>105</v>
      </c>
      <c r="O11" s="147" t="s">
        <v>103</v>
      </c>
      <c r="P11" s="186" t="s">
        <v>105</v>
      </c>
      <c r="Q11" s="147" t="s">
        <v>103</v>
      </c>
      <c r="R11" s="186" t="s">
        <v>105</v>
      </c>
      <c r="S11" s="147" t="s">
        <v>103</v>
      </c>
      <c r="T11" s="186" t="s">
        <v>105</v>
      </c>
      <c r="U11" s="147" t="s">
        <v>103</v>
      </c>
      <c r="AP11" s="386" t="s">
        <v>504</v>
      </c>
      <c r="AS11" s="387">
        <v>0</v>
      </c>
      <c r="AT11" s="388" t="s">
        <v>509</v>
      </c>
      <c r="AU11" s="389">
        <f>1-AS11</f>
        <v>1</v>
      </c>
      <c r="AV11" s="390"/>
      <c r="AX11" s="368"/>
      <c r="AY11" s="391" t="s">
        <v>423</v>
      </c>
      <c r="AZ11" s="391" t="s">
        <v>424</v>
      </c>
      <c r="BA11" s="391" t="s">
        <v>425</v>
      </c>
      <c r="BB11"/>
      <c r="BC11" s="372"/>
      <c r="BD11" s="373"/>
      <c r="BE11" s="96"/>
      <c r="BF11" s="391" t="s">
        <v>423</v>
      </c>
      <c r="BG11" s="391" t="s">
        <v>424</v>
      </c>
      <c r="BH11" s="391" t="s">
        <v>425</v>
      </c>
      <c r="BI11"/>
      <c r="BJ11" s="372"/>
      <c r="BK11" s="373"/>
      <c r="BL11" s="368"/>
      <c r="BM11" s="391" t="s">
        <v>423</v>
      </c>
      <c r="BN11" s="391" t="s">
        <v>424</v>
      </c>
      <c r="BO11" s="391" t="s">
        <v>425</v>
      </c>
      <c r="BP11"/>
      <c r="BQ11"/>
      <c r="BR11" s="75"/>
      <c r="BS11" s="368"/>
      <c r="BT11" s="391" t="s">
        <v>423</v>
      </c>
      <c r="BU11" s="391" t="s">
        <v>424</v>
      </c>
      <c r="BV11" s="391" t="s">
        <v>425</v>
      </c>
      <c r="BW11"/>
      <c r="BX11"/>
      <c r="BY11" s="75"/>
      <c r="BZ11" s="368"/>
      <c r="CA11" s="391" t="s">
        <v>423</v>
      </c>
      <c r="CB11" s="391" t="s">
        <v>424</v>
      </c>
      <c r="CC11" s="391" t="s">
        <v>425</v>
      </c>
      <c r="CD11"/>
      <c r="CE11"/>
      <c r="CF11" s="75"/>
      <c r="CG11" s="368"/>
      <c r="CH11" s="391" t="s">
        <v>423</v>
      </c>
      <c r="CI11" s="391" t="s">
        <v>424</v>
      </c>
      <c r="CJ11" s="391" t="s">
        <v>425</v>
      </c>
      <c r="CK11"/>
      <c r="CL11"/>
      <c r="CM11" s="75"/>
      <c r="CN11" s="368"/>
      <c r="CO11" s="391" t="s">
        <v>423</v>
      </c>
      <c r="CP11" s="391" t="s">
        <v>424</v>
      </c>
      <c r="CQ11" s="391" t="s">
        <v>425</v>
      </c>
      <c r="CR11"/>
      <c r="CS11"/>
      <c r="CT11" s="75"/>
      <c r="CU11" s="368"/>
      <c r="CV11" s="391" t="s">
        <v>423</v>
      </c>
      <c r="CW11" s="391" t="s">
        <v>424</v>
      </c>
      <c r="CX11" s="391" t="s">
        <v>425</v>
      </c>
      <c r="CY11"/>
      <c r="CZ11"/>
      <c r="DA11" s="75"/>
      <c r="DB11" s="368"/>
      <c r="DC11" s="391" t="s">
        <v>423</v>
      </c>
      <c r="DD11" s="391" t="s">
        <v>424</v>
      </c>
      <c r="DE11" s="391" t="s">
        <v>425</v>
      </c>
      <c r="DF11"/>
      <c r="DG11"/>
      <c r="DH11" s="75"/>
      <c r="DI11" s="368"/>
      <c r="DJ11" s="391" t="s">
        <v>423</v>
      </c>
      <c r="DK11" s="391" t="s">
        <v>424</v>
      </c>
      <c r="DL11" s="391" t="s">
        <v>425</v>
      </c>
      <c r="DM11"/>
      <c r="DN11"/>
      <c r="DO11" s="75"/>
    </row>
    <row r="12" spans="1:119" ht="15.75" customHeight="1" thickBot="1" x14ac:dyDescent="0.3">
      <c r="A12" s="1300" t="s">
        <v>928</v>
      </c>
      <c r="B12" s="1301"/>
      <c r="C12" s="1301"/>
      <c r="D12" s="1301"/>
      <c r="E12" s="1301"/>
      <c r="F12" s="1301"/>
      <c r="G12" s="1301"/>
      <c r="H12" s="1301"/>
      <c r="I12" s="1301"/>
      <c r="J12" s="1301"/>
      <c r="K12" s="1301"/>
      <c r="L12" s="1301"/>
      <c r="M12" s="1301"/>
      <c r="N12" s="1301"/>
      <c r="O12" s="1301"/>
      <c r="P12" s="1301"/>
      <c r="Q12" s="1301"/>
      <c r="R12" s="1301"/>
      <c r="S12" s="1301"/>
      <c r="T12" s="1301"/>
      <c r="U12" s="1302"/>
      <c r="AO12"/>
      <c r="AP12" s="386" t="s">
        <v>431</v>
      </c>
      <c r="AS12" s="387">
        <v>0.5</v>
      </c>
      <c r="AT12" s="392" t="s">
        <v>510</v>
      </c>
      <c r="AU12" s="389">
        <f>1-AS12</f>
        <v>0.5</v>
      </c>
      <c r="AV12" s="390"/>
      <c r="AW12" s="96"/>
      <c r="AX12" s="368">
        <f>AY12-1</f>
        <v>0</v>
      </c>
      <c r="AY12" s="393">
        <v>1</v>
      </c>
      <c r="AZ12" s="394" t="e">
        <f>AZ9-(AZ9*$AZ$10)</f>
        <v>#VALUE!</v>
      </c>
      <c r="BA12" s="394" t="e">
        <f>(AZ9*$AZ$10)</f>
        <v>#VALUE!</v>
      </c>
      <c r="BB12" s="395" t="e">
        <f t="shared" ref="BB12:BB26" si="0">+BA12/$AZ$9</f>
        <v>#VALUE!</v>
      </c>
      <c r="BC12" s="886"/>
      <c r="BD12" s="75"/>
      <c r="BE12" s="96"/>
      <c r="BF12" s="393">
        <v>1</v>
      </c>
      <c r="BG12" s="394" t="e">
        <f>BG9-(BG9*$BG$10)</f>
        <v>#VALUE!</v>
      </c>
      <c r="BH12" s="394" t="e">
        <f>BG9*$BG$10</f>
        <v>#VALUE!</v>
      </c>
      <c r="BI12" s="395" t="e">
        <f>+BH12/$BG$9</f>
        <v>#VALUE!</v>
      </c>
      <c r="BJ12" s="886"/>
      <c r="BK12" s="75"/>
      <c r="BL12" s="368"/>
      <c r="BM12" s="393">
        <v>1</v>
      </c>
      <c r="BN12" s="394" t="e">
        <f>BN9-(BN9*$BN$10)</f>
        <v>#VALUE!</v>
      </c>
      <c r="BO12" s="394" t="e">
        <f>BN9*BN10</f>
        <v>#VALUE!</v>
      </c>
      <c r="BP12" s="372" t="e">
        <f>BO12/$BN$9</f>
        <v>#VALUE!</v>
      </c>
      <c r="BQ12" s="886"/>
      <c r="BR12" s="75"/>
      <c r="BS12" s="368"/>
      <c r="BT12" s="393">
        <v>1</v>
      </c>
      <c r="BU12" s="394" t="e">
        <f>BU9-(BU9*$BU$10)</f>
        <v>#VALUE!</v>
      </c>
      <c r="BV12" s="394" t="e">
        <f>BU9*$BU$10</f>
        <v>#VALUE!</v>
      </c>
      <c r="BW12" s="395" t="e">
        <f>+BV12/$BU$9</f>
        <v>#VALUE!</v>
      </c>
      <c r="BX12" s="886"/>
      <c r="BY12" s="75"/>
      <c r="BZ12" s="368"/>
      <c r="CA12" s="393">
        <v>1</v>
      </c>
      <c r="CB12" s="394" t="e">
        <f>CB9-(CB9*$CB$10)</f>
        <v>#VALUE!</v>
      </c>
      <c r="CC12" s="394" t="e">
        <f>CB9*$CB$10</f>
        <v>#VALUE!</v>
      </c>
      <c r="CD12" s="395" t="e">
        <f t="shared" ref="CD12:CD26" si="1">+CC12/$CB$9</f>
        <v>#VALUE!</v>
      </c>
      <c r="CE12" s="886"/>
      <c r="CF12" s="75"/>
      <c r="CG12" s="368"/>
      <c r="CH12" s="393">
        <v>1</v>
      </c>
      <c r="CI12" s="394" t="e">
        <f>CI9-(CI9*$CI$10)</f>
        <v>#VALUE!</v>
      </c>
      <c r="CJ12" s="394" t="e">
        <f>CI9*$CI$10</f>
        <v>#VALUE!</v>
      </c>
      <c r="CK12" s="395" t="e">
        <f t="shared" ref="CK12:CK26" si="2">+CJ12/$CI$9</f>
        <v>#VALUE!</v>
      </c>
      <c r="CL12" s="886"/>
      <c r="CM12" s="75"/>
      <c r="CN12" s="368"/>
      <c r="CO12" s="393">
        <v>1</v>
      </c>
      <c r="CP12" s="394" t="e">
        <f>CP9-(CP9*$CP$10)</f>
        <v>#VALUE!</v>
      </c>
      <c r="CQ12" s="394" t="e">
        <f>CP9*$CP$10</f>
        <v>#VALUE!</v>
      </c>
      <c r="CR12" s="395" t="e">
        <f t="shared" ref="CR12:CR26" si="3">+CQ12/$CP$9</f>
        <v>#VALUE!</v>
      </c>
      <c r="CS12" s="886"/>
      <c r="CT12" s="75"/>
      <c r="CU12" s="368"/>
      <c r="CV12" s="393">
        <v>1</v>
      </c>
      <c r="CW12" s="394" t="e">
        <f>CW9-(CW9*$CW$10)</f>
        <v>#VALUE!</v>
      </c>
      <c r="CX12" s="394" t="e">
        <f>CW9*$CW$10</f>
        <v>#VALUE!</v>
      </c>
      <c r="CY12" s="395" t="e">
        <f t="shared" ref="CY12:CY26" si="4">+CX12/$CW$9</f>
        <v>#VALUE!</v>
      </c>
      <c r="CZ12" s="886"/>
      <c r="DA12" s="75"/>
      <c r="DB12" s="368"/>
      <c r="DC12" s="393">
        <v>1</v>
      </c>
      <c r="DD12" s="394" t="e">
        <f>DD9-(DD9*$DD$10)</f>
        <v>#VALUE!</v>
      </c>
      <c r="DE12" s="394" t="e">
        <f>DD9*$DD$10</f>
        <v>#VALUE!</v>
      </c>
      <c r="DF12" s="395" t="e">
        <f t="shared" ref="DF12:DF26" si="5">+DE12/$DD$9</f>
        <v>#VALUE!</v>
      </c>
      <c r="DG12" s="886"/>
      <c r="DH12" s="75"/>
      <c r="DI12" s="368"/>
      <c r="DJ12" s="393">
        <v>1</v>
      </c>
      <c r="DK12" s="394" t="e">
        <f>DK9-(DK9*$DK$10)</f>
        <v>#VALUE!</v>
      </c>
      <c r="DL12" s="394" t="e">
        <f>DK9*$DK$10</f>
        <v>#VALUE!</v>
      </c>
      <c r="DM12" s="395" t="e">
        <f t="shared" ref="DM12:DM26" si="6">+DL12/$DK$9</f>
        <v>#VALUE!</v>
      </c>
      <c r="DN12" s="886"/>
      <c r="DO12" s="75"/>
    </row>
    <row r="13" spans="1:119" ht="15.75" customHeight="1" x14ac:dyDescent="0.25">
      <c r="A13" s="397" t="s">
        <v>247</v>
      </c>
      <c r="B13" s="354">
        <f>'Amount and Destination'!AH5/days_yr</f>
        <v>0</v>
      </c>
      <c r="C13" s="398"/>
      <c r="D13" s="354">
        <f>'Amount and Destination'!AH34/days_yr</f>
        <v>0</v>
      </c>
      <c r="E13" s="398"/>
      <c r="F13" s="354">
        <f>'Amount and Destination'!AH63/days_yr</f>
        <v>0</v>
      </c>
      <c r="G13" s="398"/>
      <c r="H13" s="354">
        <f>'Amount and Destination'!AH92/days_yr</f>
        <v>0</v>
      </c>
      <c r="I13" s="398"/>
      <c r="J13" s="354">
        <f>'Amount and Destination'!AH121/days_yr</f>
        <v>0</v>
      </c>
      <c r="K13" s="398"/>
      <c r="L13" s="354">
        <f>'Amount and Destination'!AH150/days_yr</f>
        <v>0</v>
      </c>
      <c r="M13" s="398"/>
      <c r="N13" s="354">
        <f>'Amount and Destination'!AH179/days_yr</f>
        <v>0</v>
      </c>
      <c r="O13" s="398"/>
      <c r="P13" s="354">
        <f>'Amount and Destination'!AH208/days_yr</f>
        <v>0</v>
      </c>
      <c r="Q13" s="398"/>
      <c r="R13" s="354">
        <f>'Amount and Destination'!AH237/days_yr</f>
        <v>0</v>
      </c>
      <c r="S13" s="398"/>
      <c r="T13" s="354">
        <f>'Amount and Destination'!AH266/days_yr</f>
        <v>0</v>
      </c>
      <c r="U13" s="398"/>
      <c r="AO13"/>
      <c r="AP13" s="399" t="e">
        <f>+$AU$11*SUM(BB$12:BB$15)</f>
        <v>#VALUE!</v>
      </c>
      <c r="AS13" s="387">
        <v>0.75</v>
      </c>
      <c r="AT13" s="392" t="s">
        <v>501</v>
      </c>
      <c r="AU13" s="389">
        <f>1-AS13</f>
        <v>0.25</v>
      </c>
      <c r="AV13" s="390"/>
      <c r="AW13" s="96"/>
      <c r="AX13" s="368">
        <f t="shared" ref="AX13:AX26" si="7">AY13-1</f>
        <v>1</v>
      </c>
      <c r="AY13" s="393">
        <v>2</v>
      </c>
      <c r="AZ13" s="394" t="e">
        <f t="shared" ref="AZ13:AZ26" si="8">AZ12-(AZ12*$AZ$10)</f>
        <v>#VALUE!</v>
      </c>
      <c r="BA13" s="394" t="e">
        <f t="shared" ref="BA13:BA26" si="9">(AZ12*$AZ$10)</f>
        <v>#VALUE!</v>
      </c>
      <c r="BB13" s="395" t="e">
        <f t="shared" si="0"/>
        <v>#VALUE!</v>
      </c>
      <c r="BC13"/>
      <c r="BD13" s="75"/>
      <c r="BE13" s="96"/>
      <c r="BF13" s="393">
        <v>2</v>
      </c>
      <c r="BG13" s="394" t="e">
        <f>BG12-(BG12*$BG$10)</f>
        <v>#VALUE!</v>
      </c>
      <c r="BH13" s="400" t="e">
        <f>$BG12*$BG$10</f>
        <v>#VALUE!</v>
      </c>
      <c r="BI13" s="395" t="e">
        <f>+BH13/$BG$9</f>
        <v>#VALUE!</v>
      </c>
      <c r="BJ13"/>
      <c r="BK13" s="75"/>
      <c r="BL13" s="368"/>
      <c r="BM13" s="393">
        <v>2</v>
      </c>
      <c r="BN13" s="394" t="e">
        <f>BN12-(BN12*$BN$10)</f>
        <v>#VALUE!</v>
      </c>
      <c r="BO13" s="394" t="e">
        <f>BN12*$BN$10</f>
        <v>#VALUE!</v>
      </c>
      <c r="BP13" s="372" t="e">
        <f t="shared" ref="BP13:BP41" si="10">BO13/$BN$9</f>
        <v>#VALUE!</v>
      </c>
      <c r="BQ13"/>
      <c r="BR13" s="75"/>
      <c r="BS13" s="368"/>
      <c r="BT13" s="393">
        <v>2</v>
      </c>
      <c r="BU13" s="394" t="e">
        <f t="shared" ref="BU13:BU26" si="11">BU12-(BU12*$BU$10)</f>
        <v>#VALUE!</v>
      </c>
      <c r="BV13" s="394" t="e">
        <f t="shared" ref="BV13:BV26" si="12">(BU12*$BU$10)</f>
        <v>#VALUE!</v>
      </c>
      <c r="BW13" s="395" t="e">
        <f t="shared" ref="BW13:BW26" si="13">+BV13/$BU$9</f>
        <v>#VALUE!</v>
      </c>
      <c r="BX13"/>
      <c r="BY13" s="75"/>
      <c r="BZ13" s="368"/>
      <c r="CA13" s="393">
        <v>2</v>
      </c>
      <c r="CB13" s="394" t="e">
        <f t="shared" ref="CB13:CB26" si="14">CB12-(CB12*$CB$10)</f>
        <v>#VALUE!</v>
      </c>
      <c r="CC13" s="394" t="e">
        <f t="shared" ref="CC13:CC26" si="15">(CB12*$CB$10)</f>
        <v>#VALUE!</v>
      </c>
      <c r="CD13" s="395" t="e">
        <f t="shared" si="1"/>
        <v>#VALUE!</v>
      </c>
      <c r="CE13"/>
      <c r="CF13" s="75"/>
      <c r="CG13" s="368"/>
      <c r="CH13" s="393">
        <v>2</v>
      </c>
      <c r="CI13" s="394" t="e">
        <f t="shared" ref="CI13:CI26" si="16">CI12-(CI12*$CI$10)</f>
        <v>#VALUE!</v>
      </c>
      <c r="CJ13" s="394" t="e">
        <f t="shared" ref="CJ13:CJ26" si="17">(CI12*$CI$10)</f>
        <v>#VALUE!</v>
      </c>
      <c r="CK13" s="395" t="e">
        <f t="shared" si="2"/>
        <v>#VALUE!</v>
      </c>
      <c r="CL13"/>
      <c r="CM13" s="75"/>
      <c r="CN13" s="368"/>
      <c r="CO13" s="393">
        <v>2</v>
      </c>
      <c r="CP13" s="394" t="e">
        <f t="shared" ref="CP13:CP26" si="18">CP12-(CP12*$CP$10)</f>
        <v>#VALUE!</v>
      </c>
      <c r="CQ13" s="394" t="e">
        <f t="shared" ref="CQ13:CQ26" si="19">(CP12*$CP$10)</f>
        <v>#VALUE!</v>
      </c>
      <c r="CR13" s="395" t="e">
        <f t="shared" si="3"/>
        <v>#VALUE!</v>
      </c>
      <c r="CS13"/>
      <c r="CT13" s="75"/>
      <c r="CU13" s="368"/>
      <c r="CV13" s="393">
        <v>2</v>
      </c>
      <c r="CW13" s="394" t="e">
        <f t="shared" ref="CW13:CW26" si="20">CW12-(CW12*$CW$10)</f>
        <v>#VALUE!</v>
      </c>
      <c r="CX13" s="394" t="e">
        <f t="shared" ref="CX13:CX26" si="21">(CW12*$CW$10)</f>
        <v>#VALUE!</v>
      </c>
      <c r="CY13" s="395" t="e">
        <f t="shared" si="4"/>
        <v>#VALUE!</v>
      </c>
      <c r="CZ13"/>
      <c r="DA13" s="75"/>
      <c r="DB13" s="368"/>
      <c r="DC13" s="393">
        <v>2</v>
      </c>
      <c r="DD13" s="394" t="e">
        <f t="shared" ref="DD13:DD26" si="22">DD12-(DD12*$DD$10)</f>
        <v>#VALUE!</v>
      </c>
      <c r="DE13" s="394" t="e">
        <f t="shared" ref="DE13:DE26" si="23">(DD12*$DD$10)</f>
        <v>#VALUE!</v>
      </c>
      <c r="DF13" s="395" t="e">
        <f t="shared" si="5"/>
        <v>#VALUE!</v>
      </c>
      <c r="DG13"/>
      <c r="DH13" s="75"/>
      <c r="DI13" s="368"/>
      <c r="DJ13" s="393">
        <v>2</v>
      </c>
      <c r="DK13" s="394" t="e">
        <f t="shared" ref="DK13:DK26" si="24">DK12-(DK12*$DK$10)</f>
        <v>#VALUE!</v>
      </c>
      <c r="DL13" s="394" t="e">
        <f t="shared" ref="DL13:DL26" si="25">(DK12*$DK$10)</f>
        <v>#VALUE!</v>
      </c>
      <c r="DM13" s="395" t="e">
        <f t="shared" si="6"/>
        <v>#VALUE!</v>
      </c>
      <c r="DN13"/>
      <c r="DO13" s="75"/>
    </row>
    <row r="14" spans="1:119" ht="15.75" customHeight="1" x14ac:dyDescent="0.25">
      <c r="A14" s="315" t="s">
        <v>170</v>
      </c>
      <c r="B14" s="889">
        <f>Mean_solids</f>
        <v>7.1999999999999995E-2</v>
      </c>
      <c r="C14" s="401"/>
      <c r="D14" s="889">
        <f>Mean_solids</f>
        <v>7.1999999999999995E-2</v>
      </c>
      <c r="E14" s="401"/>
      <c r="F14" s="889">
        <f>Mean_solids</f>
        <v>7.1999999999999995E-2</v>
      </c>
      <c r="G14" s="401"/>
      <c r="H14" s="889">
        <f>Mean_solids</f>
        <v>7.1999999999999995E-2</v>
      </c>
      <c r="I14" s="401"/>
      <c r="J14" s="889">
        <f>Mean_solids</f>
        <v>7.1999999999999995E-2</v>
      </c>
      <c r="K14" s="401"/>
      <c r="L14" s="889">
        <f>Mean_solids</f>
        <v>7.1999999999999995E-2</v>
      </c>
      <c r="M14" s="401"/>
      <c r="N14" s="889">
        <f>Mean_solids</f>
        <v>7.1999999999999995E-2</v>
      </c>
      <c r="O14" s="401"/>
      <c r="P14" s="889">
        <f>Mean_solids</f>
        <v>7.1999999999999995E-2</v>
      </c>
      <c r="Q14" s="401"/>
      <c r="R14" s="889">
        <f>Mean_solids</f>
        <v>7.1999999999999995E-2</v>
      </c>
      <c r="S14" s="401"/>
      <c r="T14" s="889">
        <f>Mean_solids</f>
        <v>7.1999999999999995E-2</v>
      </c>
      <c r="U14" s="401"/>
      <c r="AO14"/>
      <c r="AP14" s="399" t="e">
        <f>+$AU$12*SUM(BB$16:BB$20)</f>
        <v>#VALUE!</v>
      </c>
      <c r="AS14" s="387">
        <v>0.9</v>
      </c>
      <c r="AT14" s="388" t="s">
        <v>429</v>
      </c>
      <c r="AU14" s="389">
        <f>1-AS14</f>
        <v>9.9999999999999978E-2</v>
      </c>
      <c r="AV14" s="390"/>
      <c r="AW14" s="96"/>
      <c r="AX14" s="368">
        <f t="shared" si="7"/>
        <v>2</v>
      </c>
      <c r="AY14" s="393">
        <v>3</v>
      </c>
      <c r="AZ14" s="394" t="e">
        <f t="shared" si="8"/>
        <v>#VALUE!</v>
      </c>
      <c r="BA14" s="394" t="e">
        <f t="shared" si="9"/>
        <v>#VALUE!</v>
      </c>
      <c r="BB14" s="395" t="e">
        <f t="shared" si="0"/>
        <v>#VALUE!</v>
      </c>
      <c r="BC14"/>
      <c r="BD14" s="75"/>
      <c r="BE14" s="96"/>
      <c r="BF14" s="393">
        <v>3</v>
      </c>
      <c r="BG14" s="394" t="e">
        <f>BG13-(BG13*$BG$10)</f>
        <v>#VALUE!</v>
      </c>
      <c r="BH14" s="400" t="e">
        <f t="shared" ref="BH14:BH26" si="26">$BG13*$BG$10</f>
        <v>#VALUE!</v>
      </c>
      <c r="BI14" s="395" t="e">
        <f>+BH14/$BG$9</f>
        <v>#VALUE!</v>
      </c>
      <c r="BJ14"/>
      <c r="BK14" s="75"/>
      <c r="BL14" s="368"/>
      <c r="BM14" s="393">
        <v>3</v>
      </c>
      <c r="BN14" s="394" t="e">
        <f t="shared" ref="BN14:BN26" si="27">BN13-(BN13*$BN$10)</f>
        <v>#VALUE!</v>
      </c>
      <c r="BO14" s="394" t="e">
        <f t="shared" ref="BO14:BO26" si="28">BN13*$BN$10</f>
        <v>#VALUE!</v>
      </c>
      <c r="BP14" s="372" t="e">
        <f t="shared" si="10"/>
        <v>#VALUE!</v>
      </c>
      <c r="BQ14"/>
      <c r="BR14" s="75"/>
      <c r="BS14" s="368"/>
      <c r="BT14" s="393">
        <v>3</v>
      </c>
      <c r="BU14" s="394" t="e">
        <f t="shared" si="11"/>
        <v>#VALUE!</v>
      </c>
      <c r="BV14" s="394" t="e">
        <f t="shared" si="12"/>
        <v>#VALUE!</v>
      </c>
      <c r="BW14" s="395" t="e">
        <f t="shared" si="13"/>
        <v>#VALUE!</v>
      </c>
      <c r="BX14"/>
      <c r="BY14" s="75"/>
      <c r="BZ14" s="368"/>
      <c r="CA14" s="393">
        <v>3</v>
      </c>
      <c r="CB14" s="394" t="e">
        <f t="shared" si="14"/>
        <v>#VALUE!</v>
      </c>
      <c r="CC14" s="394" t="e">
        <f t="shared" si="15"/>
        <v>#VALUE!</v>
      </c>
      <c r="CD14" s="395" t="e">
        <f t="shared" si="1"/>
        <v>#VALUE!</v>
      </c>
      <c r="CE14"/>
      <c r="CF14" s="75"/>
      <c r="CG14" s="368"/>
      <c r="CH14" s="393">
        <v>3</v>
      </c>
      <c r="CI14" s="394" t="e">
        <f t="shared" si="16"/>
        <v>#VALUE!</v>
      </c>
      <c r="CJ14" s="394" t="e">
        <f t="shared" si="17"/>
        <v>#VALUE!</v>
      </c>
      <c r="CK14" s="395" t="e">
        <f t="shared" si="2"/>
        <v>#VALUE!</v>
      </c>
      <c r="CL14"/>
      <c r="CM14" s="75"/>
      <c r="CN14" s="368"/>
      <c r="CO14" s="393">
        <v>3</v>
      </c>
      <c r="CP14" s="394" t="e">
        <f t="shared" si="18"/>
        <v>#VALUE!</v>
      </c>
      <c r="CQ14" s="394" t="e">
        <f t="shared" si="19"/>
        <v>#VALUE!</v>
      </c>
      <c r="CR14" s="395" t="e">
        <f t="shared" si="3"/>
        <v>#VALUE!</v>
      </c>
      <c r="CS14"/>
      <c r="CT14" s="75"/>
      <c r="CU14" s="368"/>
      <c r="CV14" s="393">
        <v>3</v>
      </c>
      <c r="CW14" s="394" t="e">
        <f t="shared" si="20"/>
        <v>#VALUE!</v>
      </c>
      <c r="CX14" s="394" t="e">
        <f t="shared" si="21"/>
        <v>#VALUE!</v>
      </c>
      <c r="CY14" s="395" t="e">
        <f t="shared" si="4"/>
        <v>#VALUE!</v>
      </c>
      <c r="CZ14"/>
      <c r="DA14" s="75"/>
      <c r="DB14" s="368"/>
      <c r="DC14" s="393">
        <v>3</v>
      </c>
      <c r="DD14" s="394" t="e">
        <f t="shared" si="22"/>
        <v>#VALUE!</v>
      </c>
      <c r="DE14" s="394" t="e">
        <f t="shared" si="23"/>
        <v>#VALUE!</v>
      </c>
      <c r="DF14" s="395" t="e">
        <f t="shared" si="5"/>
        <v>#VALUE!</v>
      </c>
      <c r="DG14"/>
      <c r="DH14" s="75"/>
      <c r="DI14" s="368"/>
      <c r="DJ14" s="393">
        <v>3</v>
      </c>
      <c r="DK14" s="394" t="e">
        <f t="shared" si="24"/>
        <v>#VALUE!</v>
      </c>
      <c r="DL14" s="394" t="e">
        <f t="shared" si="25"/>
        <v>#VALUE!</v>
      </c>
      <c r="DM14" s="395" t="e">
        <f t="shared" si="6"/>
        <v>#VALUE!</v>
      </c>
      <c r="DN14"/>
      <c r="DO14" s="75"/>
    </row>
    <row r="15" spans="1:119" ht="15.75" customHeight="1" x14ac:dyDescent="0.25">
      <c r="A15" s="308" t="s">
        <v>187</v>
      </c>
      <c r="B15" s="265">
        <f>+B13*B14</f>
        <v>0</v>
      </c>
      <c r="C15" s="232"/>
      <c r="D15" s="265">
        <f>+D13*D14</f>
        <v>0</v>
      </c>
      <c r="E15" s="232"/>
      <c r="F15" s="265">
        <f>+F13*F14</f>
        <v>0</v>
      </c>
      <c r="G15" s="232"/>
      <c r="H15" s="265">
        <f>+H13*H14</f>
        <v>0</v>
      </c>
      <c r="I15" s="232"/>
      <c r="J15" s="265">
        <f>+J13*J14</f>
        <v>0</v>
      </c>
      <c r="K15" s="232"/>
      <c r="L15" s="265">
        <f>+L13*L14</f>
        <v>0</v>
      </c>
      <c r="M15" s="232"/>
      <c r="N15" s="265">
        <f>+N13*N14</f>
        <v>0</v>
      </c>
      <c r="O15" s="232"/>
      <c r="P15" s="265">
        <f>+P13*P14</f>
        <v>0</v>
      </c>
      <c r="Q15" s="232"/>
      <c r="R15" s="265">
        <f>+R13*R14</f>
        <v>0</v>
      </c>
      <c r="S15" s="232"/>
      <c r="T15" s="265">
        <f>+T13*T14</f>
        <v>0</v>
      </c>
      <c r="U15" s="232"/>
      <c r="AO15"/>
      <c r="AP15" s="399" t="e">
        <f>+$AU$13*SUM(BB$21:BB$25)</f>
        <v>#VALUE!</v>
      </c>
      <c r="AS15" s="402"/>
      <c r="AT15" s="402"/>
      <c r="AU15" s="403"/>
      <c r="AV15"/>
      <c r="AW15" s="96"/>
      <c r="AX15" s="368">
        <f t="shared" si="7"/>
        <v>3</v>
      </c>
      <c r="AY15" s="393">
        <v>4</v>
      </c>
      <c r="AZ15" s="394" t="e">
        <f t="shared" si="8"/>
        <v>#VALUE!</v>
      </c>
      <c r="BA15" s="394" t="e">
        <f t="shared" si="9"/>
        <v>#VALUE!</v>
      </c>
      <c r="BB15" s="395" t="e">
        <f t="shared" si="0"/>
        <v>#VALUE!</v>
      </c>
      <c r="BC15"/>
      <c r="BD15" s="75"/>
      <c r="BE15" s="96"/>
      <c r="BF15" s="393">
        <v>4</v>
      </c>
      <c r="BG15" s="394" t="e">
        <f t="shared" ref="BG15:BG26" si="29">BG14-(BG14*$BG$10)</f>
        <v>#VALUE!</v>
      </c>
      <c r="BH15" s="400" t="e">
        <f t="shared" si="26"/>
        <v>#VALUE!</v>
      </c>
      <c r="BI15" s="395" t="e">
        <f t="shared" ref="BI15:BI26" si="30">+BH15/$BG$9</f>
        <v>#VALUE!</v>
      </c>
      <c r="BJ15"/>
      <c r="BK15" s="75"/>
      <c r="BL15" s="368"/>
      <c r="BM15" s="393">
        <v>4</v>
      </c>
      <c r="BN15" s="394" t="e">
        <f t="shared" si="27"/>
        <v>#VALUE!</v>
      </c>
      <c r="BO15" s="394" t="e">
        <f t="shared" si="28"/>
        <v>#VALUE!</v>
      </c>
      <c r="BP15" s="372" t="e">
        <f t="shared" si="10"/>
        <v>#VALUE!</v>
      </c>
      <c r="BQ15"/>
      <c r="BR15" s="75"/>
      <c r="BS15" s="368"/>
      <c r="BT15" s="393">
        <v>4</v>
      </c>
      <c r="BU15" s="394" t="e">
        <f t="shared" si="11"/>
        <v>#VALUE!</v>
      </c>
      <c r="BV15" s="394" t="e">
        <f t="shared" si="12"/>
        <v>#VALUE!</v>
      </c>
      <c r="BW15" s="395" t="e">
        <f t="shared" si="13"/>
        <v>#VALUE!</v>
      </c>
      <c r="BX15"/>
      <c r="BY15" s="75"/>
      <c r="BZ15" s="368"/>
      <c r="CA15" s="393">
        <v>4</v>
      </c>
      <c r="CB15" s="394" t="e">
        <f t="shared" si="14"/>
        <v>#VALUE!</v>
      </c>
      <c r="CC15" s="394" t="e">
        <f t="shared" si="15"/>
        <v>#VALUE!</v>
      </c>
      <c r="CD15" s="395" t="e">
        <f t="shared" si="1"/>
        <v>#VALUE!</v>
      </c>
      <c r="CE15"/>
      <c r="CF15" s="75"/>
      <c r="CG15" s="368"/>
      <c r="CH15" s="393">
        <v>4</v>
      </c>
      <c r="CI15" s="394" t="e">
        <f t="shared" si="16"/>
        <v>#VALUE!</v>
      </c>
      <c r="CJ15" s="394" t="e">
        <f t="shared" si="17"/>
        <v>#VALUE!</v>
      </c>
      <c r="CK15" s="395" t="e">
        <f t="shared" si="2"/>
        <v>#VALUE!</v>
      </c>
      <c r="CL15"/>
      <c r="CM15" s="75"/>
      <c r="CN15" s="368"/>
      <c r="CO15" s="393">
        <v>4</v>
      </c>
      <c r="CP15" s="394" t="e">
        <f t="shared" si="18"/>
        <v>#VALUE!</v>
      </c>
      <c r="CQ15" s="394" t="e">
        <f t="shared" si="19"/>
        <v>#VALUE!</v>
      </c>
      <c r="CR15" s="395" t="e">
        <f t="shared" si="3"/>
        <v>#VALUE!</v>
      </c>
      <c r="CS15"/>
      <c r="CT15" s="75"/>
      <c r="CU15" s="368"/>
      <c r="CV15" s="393">
        <v>4</v>
      </c>
      <c r="CW15" s="394" t="e">
        <f t="shared" si="20"/>
        <v>#VALUE!</v>
      </c>
      <c r="CX15" s="394" t="e">
        <f t="shared" si="21"/>
        <v>#VALUE!</v>
      </c>
      <c r="CY15" s="395" t="e">
        <f t="shared" si="4"/>
        <v>#VALUE!</v>
      </c>
      <c r="CZ15"/>
      <c r="DA15" s="75"/>
      <c r="DB15" s="368"/>
      <c r="DC15" s="393">
        <v>4</v>
      </c>
      <c r="DD15" s="394" t="e">
        <f t="shared" si="22"/>
        <v>#VALUE!</v>
      </c>
      <c r="DE15" s="394" t="e">
        <f t="shared" si="23"/>
        <v>#VALUE!</v>
      </c>
      <c r="DF15" s="395" t="e">
        <f t="shared" si="5"/>
        <v>#VALUE!</v>
      </c>
      <c r="DG15"/>
      <c r="DH15" s="75"/>
      <c r="DI15" s="368"/>
      <c r="DJ15" s="393">
        <v>4</v>
      </c>
      <c r="DK15" s="394" t="e">
        <f t="shared" si="24"/>
        <v>#VALUE!</v>
      </c>
      <c r="DL15" s="394" t="e">
        <f t="shared" si="25"/>
        <v>#VALUE!</v>
      </c>
      <c r="DM15" s="395" t="e">
        <f t="shared" si="6"/>
        <v>#VALUE!</v>
      </c>
      <c r="DN15"/>
      <c r="DO15" s="75"/>
    </row>
    <row r="16" spans="1:119" ht="15.75" customHeight="1" x14ac:dyDescent="0.25">
      <c r="A16" s="247" t="s">
        <v>941</v>
      </c>
      <c r="B16" s="11"/>
      <c r="C16" s="232"/>
      <c r="D16" s="11"/>
      <c r="E16" s="232"/>
      <c r="F16" s="11"/>
      <c r="G16" s="232"/>
      <c r="H16" s="11"/>
      <c r="I16" s="232"/>
      <c r="J16" s="11"/>
      <c r="K16" s="232"/>
      <c r="L16" s="11"/>
      <c r="M16" s="232"/>
      <c r="N16" s="11"/>
      <c r="O16" s="232"/>
      <c r="P16" s="11"/>
      <c r="Q16" s="232"/>
      <c r="R16" s="11"/>
      <c r="S16" s="232"/>
      <c r="T16" s="11"/>
      <c r="U16" s="232"/>
      <c r="AO16"/>
      <c r="AP16" s="399" t="e">
        <f>+$AU$14*SUM(BB$26:BB$41)</f>
        <v>#VALUE!</v>
      </c>
      <c r="AW16" s="96"/>
      <c r="AX16" s="368">
        <f t="shared" si="7"/>
        <v>4</v>
      </c>
      <c r="AY16" s="393">
        <v>5</v>
      </c>
      <c r="AZ16" s="394" t="e">
        <f t="shared" si="8"/>
        <v>#VALUE!</v>
      </c>
      <c r="BA16" s="394" t="e">
        <f t="shared" si="9"/>
        <v>#VALUE!</v>
      </c>
      <c r="BB16" s="395" t="e">
        <f t="shared" si="0"/>
        <v>#VALUE!</v>
      </c>
      <c r="BC16"/>
      <c r="BD16" s="75"/>
      <c r="BE16" s="96"/>
      <c r="BF16" s="393">
        <v>5</v>
      </c>
      <c r="BG16" s="394" t="e">
        <f t="shared" si="29"/>
        <v>#VALUE!</v>
      </c>
      <c r="BH16" s="400" t="e">
        <f t="shared" si="26"/>
        <v>#VALUE!</v>
      </c>
      <c r="BI16" s="395" t="e">
        <f t="shared" si="30"/>
        <v>#VALUE!</v>
      </c>
      <c r="BJ16"/>
      <c r="BK16" s="75"/>
      <c r="BL16" s="368"/>
      <c r="BM16" s="393">
        <v>5</v>
      </c>
      <c r="BN16" s="394" t="e">
        <f t="shared" si="27"/>
        <v>#VALUE!</v>
      </c>
      <c r="BO16" s="394" t="e">
        <f t="shared" si="28"/>
        <v>#VALUE!</v>
      </c>
      <c r="BP16" s="372" t="e">
        <f t="shared" si="10"/>
        <v>#VALUE!</v>
      </c>
      <c r="BQ16"/>
      <c r="BR16" s="75"/>
      <c r="BS16" s="368"/>
      <c r="BT16" s="393">
        <v>5</v>
      </c>
      <c r="BU16" s="394" t="e">
        <f t="shared" si="11"/>
        <v>#VALUE!</v>
      </c>
      <c r="BV16" s="394" t="e">
        <f t="shared" si="12"/>
        <v>#VALUE!</v>
      </c>
      <c r="BW16" s="395" t="e">
        <f t="shared" si="13"/>
        <v>#VALUE!</v>
      </c>
      <c r="BX16"/>
      <c r="BY16" s="75"/>
      <c r="BZ16" s="368"/>
      <c r="CA16" s="393">
        <v>5</v>
      </c>
      <c r="CB16" s="394" t="e">
        <f t="shared" si="14"/>
        <v>#VALUE!</v>
      </c>
      <c r="CC16" s="394" t="e">
        <f t="shared" si="15"/>
        <v>#VALUE!</v>
      </c>
      <c r="CD16" s="395" t="e">
        <f t="shared" si="1"/>
        <v>#VALUE!</v>
      </c>
      <c r="CE16"/>
      <c r="CF16" s="75"/>
      <c r="CG16" s="368"/>
      <c r="CH16" s="393">
        <v>5</v>
      </c>
      <c r="CI16" s="394" t="e">
        <f t="shared" si="16"/>
        <v>#VALUE!</v>
      </c>
      <c r="CJ16" s="394" t="e">
        <f t="shared" si="17"/>
        <v>#VALUE!</v>
      </c>
      <c r="CK16" s="395" t="e">
        <f t="shared" si="2"/>
        <v>#VALUE!</v>
      </c>
      <c r="CL16"/>
      <c r="CM16" s="75"/>
      <c r="CN16" s="368"/>
      <c r="CO16" s="393">
        <v>5</v>
      </c>
      <c r="CP16" s="394" t="e">
        <f t="shared" si="18"/>
        <v>#VALUE!</v>
      </c>
      <c r="CQ16" s="394" t="e">
        <f t="shared" si="19"/>
        <v>#VALUE!</v>
      </c>
      <c r="CR16" s="395" t="e">
        <f t="shared" si="3"/>
        <v>#VALUE!</v>
      </c>
      <c r="CS16"/>
      <c r="CT16" s="75"/>
      <c r="CU16" s="368"/>
      <c r="CV16" s="393">
        <v>5</v>
      </c>
      <c r="CW16" s="394" t="e">
        <f t="shared" si="20"/>
        <v>#VALUE!</v>
      </c>
      <c r="CX16" s="394" t="e">
        <f t="shared" si="21"/>
        <v>#VALUE!</v>
      </c>
      <c r="CY16" s="395" t="e">
        <f t="shared" si="4"/>
        <v>#VALUE!</v>
      </c>
      <c r="CZ16"/>
      <c r="DA16" s="75"/>
      <c r="DB16" s="368"/>
      <c r="DC16" s="393">
        <v>5</v>
      </c>
      <c r="DD16" s="394" t="e">
        <f t="shared" si="22"/>
        <v>#VALUE!</v>
      </c>
      <c r="DE16" s="394" t="e">
        <f t="shared" si="23"/>
        <v>#VALUE!</v>
      </c>
      <c r="DF16" s="395" t="e">
        <f t="shared" si="5"/>
        <v>#VALUE!</v>
      </c>
      <c r="DG16"/>
      <c r="DH16" s="75"/>
      <c r="DI16" s="368"/>
      <c r="DJ16" s="393">
        <v>5</v>
      </c>
      <c r="DK16" s="394" t="e">
        <f t="shared" si="24"/>
        <v>#VALUE!</v>
      </c>
      <c r="DL16" s="394" t="e">
        <f t="shared" si="25"/>
        <v>#VALUE!</v>
      </c>
      <c r="DM16" s="395" t="e">
        <f t="shared" si="6"/>
        <v>#VALUE!</v>
      </c>
      <c r="DN16"/>
      <c r="DO16" s="75"/>
    </row>
    <row r="17" spans="1:119" ht="15.75" customHeight="1" x14ac:dyDescent="0.25">
      <c r="A17" s="315" t="s">
        <v>264</v>
      </c>
      <c r="B17" s="889">
        <f>Analyses!$I$5</f>
        <v>2.5000000000000001E-2</v>
      </c>
      <c r="C17" s="190">
        <f>+IF(B16='References Assumptions'!$C$340, Total_N_untreated, total_N_digested)</f>
        <v>0.05</v>
      </c>
      <c r="D17" s="889">
        <f>Analyses!$I$5</f>
        <v>2.5000000000000001E-2</v>
      </c>
      <c r="E17" s="190">
        <f>+IF(D16='References Assumptions'!$C$340, Total_N_untreated, total_N_digested)</f>
        <v>0.05</v>
      </c>
      <c r="F17" s="889">
        <f>Analyses!$I$5</f>
        <v>2.5000000000000001E-2</v>
      </c>
      <c r="G17" s="190">
        <f>+IF(F16='References Assumptions'!$C$340, Total_N_untreated, total_N_digested)</f>
        <v>0.05</v>
      </c>
      <c r="H17" s="889">
        <f>Analyses!$I$5</f>
        <v>2.5000000000000001E-2</v>
      </c>
      <c r="I17" s="190">
        <f>+IF(H16='References Assumptions'!$C$340, Total_N_untreated, total_N_digested)</f>
        <v>0.05</v>
      </c>
      <c r="J17" s="889">
        <f>Analyses!$I$5</f>
        <v>2.5000000000000001E-2</v>
      </c>
      <c r="K17" s="190">
        <f>+IF(J16='References Assumptions'!$C$340, Total_N_untreated, total_N_digested)</f>
        <v>0.05</v>
      </c>
      <c r="L17" s="889">
        <f>Analyses!$I$5</f>
        <v>2.5000000000000001E-2</v>
      </c>
      <c r="M17" s="190">
        <f>+IF(L16='References Assumptions'!$C$340, Total_N_untreated, total_N_digested)</f>
        <v>0.05</v>
      </c>
      <c r="N17" s="889">
        <f>Analyses!$I$5</f>
        <v>2.5000000000000001E-2</v>
      </c>
      <c r="O17" s="190">
        <f>+IF(N16='References Assumptions'!$C$340, Total_N_untreated, total_N_digested)</f>
        <v>0.05</v>
      </c>
      <c r="P17" s="889">
        <f>Analyses!$I$5</f>
        <v>2.5000000000000001E-2</v>
      </c>
      <c r="Q17" s="190">
        <f>+IF(P16='References Assumptions'!$C$340, Total_N_untreated, total_N_digested)</f>
        <v>0.05</v>
      </c>
      <c r="R17" s="889">
        <f>Analyses!$I$5</f>
        <v>2.5000000000000001E-2</v>
      </c>
      <c r="S17" s="190">
        <f>+IF(R16='References Assumptions'!$C$340, Total_N_untreated, total_N_digested)</f>
        <v>0.05</v>
      </c>
      <c r="T17" s="889">
        <f>Analyses!$I$5</f>
        <v>2.5000000000000001E-2</v>
      </c>
      <c r="U17" s="190">
        <f>+IF(T16='References Assumptions'!$C$340, Total_N_untreated, total_N_digested)</f>
        <v>0.05</v>
      </c>
      <c r="AO17" s="381" t="s">
        <v>443</v>
      </c>
      <c r="AP17" s="405" t="e">
        <f>SUM(AP$13:AP$16)</f>
        <v>#VALUE!</v>
      </c>
      <c r="AW17" s="96"/>
      <c r="AX17" s="368">
        <f t="shared" si="7"/>
        <v>5</v>
      </c>
      <c r="AY17" s="393">
        <v>6</v>
      </c>
      <c r="AZ17" s="394" t="e">
        <f t="shared" si="8"/>
        <v>#VALUE!</v>
      </c>
      <c r="BA17" s="394" t="e">
        <f t="shared" si="9"/>
        <v>#VALUE!</v>
      </c>
      <c r="BB17" s="395" t="e">
        <f t="shared" si="0"/>
        <v>#VALUE!</v>
      </c>
      <c r="BC17"/>
      <c r="BD17" s="75"/>
      <c r="BE17" s="96"/>
      <c r="BF17" s="393">
        <v>6</v>
      </c>
      <c r="BG17" s="394" t="e">
        <f t="shared" si="29"/>
        <v>#VALUE!</v>
      </c>
      <c r="BH17" s="400" t="e">
        <f t="shared" si="26"/>
        <v>#VALUE!</v>
      </c>
      <c r="BI17" s="395" t="e">
        <f t="shared" si="30"/>
        <v>#VALUE!</v>
      </c>
      <c r="BJ17"/>
      <c r="BK17" s="75"/>
      <c r="BL17" s="368"/>
      <c r="BM17" s="393">
        <v>6</v>
      </c>
      <c r="BN17" s="394" t="e">
        <f t="shared" si="27"/>
        <v>#VALUE!</v>
      </c>
      <c r="BO17" s="394" t="e">
        <f t="shared" si="28"/>
        <v>#VALUE!</v>
      </c>
      <c r="BP17" s="372" t="e">
        <f t="shared" si="10"/>
        <v>#VALUE!</v>
      </c>
      <c r="BQ17"/>
      <c r="BR17" s="75"/>
      <c r="BS17" s="368"/>
      <c r="BT17" s="393">
        <v>6</v>
      </c>
      <c r="BU17" s="394" t="e">
        <f t="shared" si="11"/>
        <v>#VALUE!</v>
      </c>
      <c r="BV17" s="394" t="e">
        <f t="shared" si="12"/>
        <v>#VALUE!</v>
      </c>
      <c r="BW17" s="395" t="e">
        <f t="shared" si="13"/>
        <v>#VALUE!</v>
      </c>
      <c r="BX17"/>
      <c r="BY17" s="75"/>
      <c r="BZ17" s="368"/>
      <c r="CA17" s="393">
        <v>6</v>
      </c>
      <c r="CB17" s="394" t="e">
        <f t="shared" si="14"/>
        <v>#VALUE!</v>
      </c>
      <c r="CC17" s="394" t="e">
        <f t="shared" si="15"/>
        <v>#VALUE!</v>
      </c>
      <c r="CD17" s="395" t="e">
        <f t="shared" si="1"/>
        <v>#VALUE!</v>
      </c>
      <c r="CE17"/>
      <c r="CF17" s="75"/>
      <c r="CG17" s="368"/>
      <c r="CH17" s="393">
        <v>6</v>
      </c>
      <c r="CI17" s="394" t="e">
        <f t="shared" si="16"/>
        <v>#VALUE!</v>
      </c>
      <c r="CJ17" s="394" t="e">
        <f t="shared" si="17"/>
        <v>#VALUE!</v>
      </c>
      <c r="CK17" s="395" t="e">
        <f t="shared" si="2"/>
        <v>#VALUE!</v>
      </c>
      <c r="CL17"/>
      <c r="CM17" s="75"/>
      <c r="CN17" s="368"/>
      <c r="CO17" s="393">
        <v>6</v>
      </c>
      <c r="CP17" s="394" t="e">
        <f t="shared" si="18"/>
        <v>#VALUE!</v>
      </c>
      <c r="CQ17" s="394" t="e">
        <f t="shared" si="19"/>
        <v>#VALUE!</v>
      </c>
      <c r="CR17" s="395" t="e">
        <f t="shared" si="3"/>
        <v>#VALUE!</v>
      </c>
      <c r="CS17"/>
      <c r="CT17" s="75"/>
      <c r="CU17" s="368"/>
      <c r="CV17" s="393">
        <v>6</v>
      </c>
      <c r="CW17" s="394" t="e">
        <f t="shared" si="20"/>
        <v>#VALUE!</v>
      </c>
      <c r="CX17" s="394" t="e">
        <f t="shared" si="21"/>
        <v>#VALUE!</v>
      </c>
      <c r="CY17" s="395" t="e">
        <f t="shared" si="4"/>
        <v>#VALUE!</v>
      </c>
      <c r="CZ17"/>
      <c r="DA17" s="75"/>
      <c r="DB17" s="368"/>
      <c r="DC17" s="393">
        <v>6</v>
      </c>
      <c r="DD17" s="394" t="e">
        <f t="shared" si="22"/>
        <v>#VALUE!</v>
      </c>
      <c r="DE17" s="394" t="e">
        <f t="shared" si="23"/>
        <v>#VALUE!</v>
      </c>
      <c r="DF17" s="395" t="e">
        <f t="shared" si="5"/>
        <v>#VALUE!</v>
      </c>
      <c r="DG17"/>
      <c r="DH17" s="75"/>
      <c r="DI17" s="368"/>
      <c r="DJ17" s="393">
        <v>6</v>
      </c>
      <c r="DK17" s="394" t="e">
        <f t="shared" si="24"/>
        <v>#VALUE!</v>
      </c>
      <c r="DL17" s="394" t="e">
        <f t="shared" si="25"/>
        <v>#VALUE!</v>
      </c>
      <c r="DM17" s="395" t="e">
        <f t="shared" si="6"/>
        <v>#VALUE!</v>
      </c>
      <c r="DN17"/>
      <c r="DO17" s="75"/>
    </row>
    <row r="18" spans="1:119" ht="15.75" customHeight="1" x14ac:dyDescent="0.25">
      <c r="A18" s="247" t="s">
        <v>942</v>
      </c>
      <c r="B18" s="889">
        <f>Analyses!$G$5</f>
        <v>0.94386666666666685</v>
      </c>
      <c r="C18" s="190">
        <f>+IF(B16='References Assumptions'!$C$340, TVS_untreated, TVS_digested)</f>
        <v>0.65</v>
      </c>
      <c r="D18" s="889">
        <f>Analyses!$G$5</f>
        <v>0.94386666666666685</v>
      </c>
      <c r="E18" s="190">
        <f>+IF(D16='References Assumptions'!$C$340, TVS_untreated, TVS_digested)</f>
        <v>0.65</v>
      </c>
      <c r="F18" s="889">
        <f>Analyses!$G$5</f>
        <v>0.94386666666666685</v>
      </c>
      <c r="G18" s="190">
        <f>+IF(F16='References Assumptions'!$C$340, TVS_untreated, TVS_digested)</f>
        <v>0.65</v>
      </c>
      <c r="H18" s="889">
        <f>Analyses!$G$5</f>
        <v>0.94386666666666685</v>
      </c>
      <c r="I18" s="190">
        <f>+IF(H16='References Assumptions'!$C$340, TVS_untreated, TVS_digested)</f>
        <v>0.65</v>
      </c>
      <c r="J18" s="889">
        <f>Analyses!$G$5</f>
        <v>0.94386666666666685</v>
      </c>
      <c r="K18" s="190">
        <f>+IF(J16='References Assumptions'!$C$340, TVS_untreated, TVS_digested)</f>
        <v>0.65</v>
      </c>
      <c r="L18" s="889">
        <f>Analyses!$G$5</f>
        <v>0.94386666666666685</v>
      </c>
      <c r="M18" s="190">
        <f>+IF(L16='References Assumptions'!$C$340, TVS_untreated, TVS_digested)</f>
        <v>0.65</v>
      </c>
      <c r="N18" s="889">
        <f>Analyses!$G$5</f>
        <v>0.94386666666666685</v>
      </c>
      <c r="O18" s="190">
        <f>+IF(N16='References Assumptions'!$C$340, TVS_untreated, TVS_digested)</f>
        <v>0.65</v>
      </c>
      <c r="P18" s="889">
        <f>Analyses!$G$5</f>
        <v>0.94386666666666685</v>
      </c>
      <c r="Q18" s="190">
        <f>+IF(P16='References Assumptions'!$C$340, TVS_untreated, TVS_digested)</f>
        <v>0.65</v>
      </c>
      <c r="R18" s="889">
        <f>Analyses!$G$5</f>
        <v>0.94386666666666685</v>
      </c>
      <c r="S18" s="190">
        <f>+IF(R16='References Assumptions'!$C$340, TVS_untreated, TVS_digested)</f>
        <v>0.65</v>
      </c>
      <c r="T18" s="889">
        <f>Analyses!$G$5</f>
        <v>0.94386666666666685</v>
      </c>
      <c r="U18" s="190">
        <f>+IF(T16='References Assumptions'!$C$340, TVS_untreated, TVS_digested)</f>
        <v>0.65</v>
      </c>
      <c r="AO18" s="381" t="s">
        <v>442</v>
      </c>
      <c r="AP18" s="406" t="e">
        <f>1-AP$17</f>
        <v>#VALUE!</v>
      </c>
      <c r="AW18" s="96"/>
      <c r="AX18" s="368">
        <f t="shared" si="7"/>
        <v>6</v>
      </c>
      <c r="AY18" s="393">
        <v>7</v>
      </c>
      <c r="AZ18" s="394" t="e">
        <f t="shared" si="8"/>
        <v>#VALUE!</v>
      </c>
      <c r="BA18" s="394" t="e">
        <f t="shared" si="9"/>
        <v>#VALUE!</v>
      </c>
      <c r="BB18" s="395" t="e">
        <f t="shared" si="0"/>
        <v>#VALUE!</v>
      </c>
      <c r="BC18"/>
      <c r="BD18" s="75"/>
      <c r="BE18" s="96"/>
      <c r="BF18" s="393">
        <v>7</v>
      </c>
      <c r="BG18" s="394" t="e">
        <f t="shared" si="29"/>
        <v>#VALUE!</v>
      </c>
      <c r="BH18" s="400" t="e">
        <f t="shared" si="26"/>
        <v>#VALUE!</v>
      </c>
      <c r="BI18" s="395" t="e">
        <f t="shared" si="30"/>
        <v>#VALUE!</v>
      </c>
      <c r="BJ18"/>
      <c r="BK18" s="75"/>
      <c r="BL18" s="368"/>
      <c r="BM18" s="393">
        <v>7</v>
      </c>
      <c r="BN18" s="394" t="e">
        <f t="shared" si="27"/>
        <v>#VALUE!</v>
      </c>
      <c r="BO18" s="394" t="e">
        <f t="shared" si="28"/>
        <v>#VALUE!</v>
      </c>
      <c r="BP18" s="372" t="e">
        <f t="shared" si="10"/>
        <v>#VALUE!</v>
      </c>
      <c r="BQ18"/>
      <c r="BR18" s="75"/>
      <c r="BS18" s="368"/>
      <c r="BT18" s="393">
        <v>7</v>
      </c>
      <c r="BU18" s="394" t="e">
        <f t="shared" si="11"/>
        <v>#VALUE!</v>
      </c>
      <c r="BV18" s="394" t="e">
        <f t="shared" si="12"/>
        <v>#VALUE!</v>
      </c>
      <c r="BW18" s="395" t="e">
        <f t="shared" si="13"/>
        <v>#VALUE!</v>
      </c>
      <c r="BX18"/>
      <c r="BY18" s="75"/>
      <c r="BZ18" s="368"/>
      <c r="CA18" s="393">
        <v>7</v>
      </c>
      <c r="CB18" s="394" t="e">
        <f t="shared" si="14"/>
        <v>#VALUE!</v>
      </c>
      <c r="CC18" s="394" t="e">
        <f t="shared" si="15"/>
        <v>#VALUE!</v>
      </c>
      <c r="CD18" s="395" t="e">
        <f t="shared" si="1"/>
        <v>#VALUE!</v>
      </c>
      <c r="CE18"/>
      <c r="CF18" s="75"/>
      <c r="CG18" s="368"/>
      <c r="CH18" s="393">
        <v>7</v>
      </c>
      <c r="CI18" s="394" t="e">
        <f t="shared" si="16"/>
        <v>#VALUE!</v>
      </c>
      <c r="CJ18" s="394" t="e">
        <f t="shared" si="17"/>
        <v>#VALUE!</v>
      </c>
      <c r="CK18" s="395" t="e">
        <f t="shared" si="2"/>
        <v>#VALUE!</v>
      </c>
      <c r="CL18"/>
      <c r="CM18" s="75"/>
      <c r="CN18" s="368"/>
      <c r="CO18" s="393">
        <v>7</v>
      </c>
      <c r="CP18" s="394" t="e">
        <f t="shared" si="18"/>
        <v>#VALUE!</v>
      </c>
      <c r="CQ18" s="394" t="e">
        <f t="shared" si="19"/>
        <v>#VALUE!</v>
      </c>
      <c r="CR18" s="395" t="e">
        <f t="shared" si="3"/>
        <v>#VALUE!</v>
      </c>
      <c r="CS18"/>
      <c r="CT18" s="75"/>
      <c r="CU18" s="368"/>
      <c r="CV18" s="393">
        <v>7</v>
      </c>
      <c r="CW18" s="394" t="e">
        <f t="shared" si="20"/>
        <v>#VALUE!</v>
      </c>
      <c r="CX18" s="394" t="e">
        <f t="shared" si="21"/>
        <v>#VALUE!</v>
      </c>
      <c r="CY18" s="395" t="e">
        <f t="shared" si="4"/>
        <v>#VALUE!</v>
      </c>
      <c r="CZ18"/>
      <c r="DA18" s="75"/>
      <c r="DB18" s="368"/>
      <c r="DC18" s="393">
        <v>7</v>
      </c>
      <c r="DD18" s="394" t="e">
        <f t="shared" si="22"/>
        <v>#VALUE!</v>
      </c>
      <c r="DE18" s="394" t="e">
        <f t="shared" si="23"/>
        <v>#VALUE!</v>
      </c>
      <c r="DF18" s="395" t="e">
        <f t="shared" si="5"/>
        <v>#VALUE!</v>
      </c>
      <c r="DG18"/>
      <c r="DH18" s="75"/>
      <c r="DI18" s="368"/>
      <c r="DJ18" s="393">
        <v>7</v>
      </c>
      <c r="DK18" s="394" t="e">
        <f t="shared" si="24"/>
        <v>#VALUE!</v>
      </c>
      <c r="DL18" s="394" t="e">
        <f t="shared" si="25"/>
        <v>#VALUE!</v>
      </c>
      <c r="DM18" s="395" t="e">
        <f t="shared" si="6"/>
        <v>#VALUE!</v>
      </c>
      <c r="DN18"/>
      <c r="DO18" s="75"/>
    </row>
    <row r="19" spans="1:119" ht="15.75" customHeight="1" x14ac:dyDescent="0.25">
      <c r="A19" s="247" t="s">
        <v>943</v>
      </c>
      <c r="B19" s="889">
        <f>Analyses!$H$5</f>
        <v>0.52856533333333344</v>
      </c>
      <c r="C19" s="407">
        <f>+B18*Carbon_as_a___of_TVS_compostinghandbook</f>
        <v>0.52856533333333344</v>
      </c>
      <c r="D19" s="889">
        <f>Analyses!$H$5</f>
        <v>0.52856533333333344</v>
      </c>
      <c r="E19" s="407">
        <f>+D18*Carbon_as_a___of_TVS_compostinghandbook</f>
        <v>0.52856533333333344</v>
      </c>
      <c r="F19" s="889">
        <f>Analyses!$H$5</f>
        <v>0.52856533333333344</v>
      </c>
      <c r="G19" s="407">
        <f>+F18*Carbon_as_a___of_TVS_compostinghandbook</f>
        <v>0.52856533333333344</v>
      </c>
      <c r="H19" s="889">
        <f>Analyses!$H$5</f>
        <v>0.52856533333333344</v>
      </c>
      <c r="I19" s="407">
        <f>+H18*Carbon_as_a___of_TVS_compostinghandbook</f>
        <v>0.52856533333333344</v>
      </c>
      <c r="J19" s="889">
        <f>Analyses!$H$5</f>
        <v>0.52856533333333344</v>
      </c>
      <c r="K19" s="407">
        <f>+J18*Carbon_as_a___of_TVS_compostinghandbook</f>
        <v>0.52856533333333344</v>
      </c>
      <c r="L19" s="889">
        <f>Analyses!$H$5</f>
        <v>0.52856533333333344</v>
      </c>
      <c r="M19" s="407">
        <f>+L18*Carbon_as_a___of_TVS_compostinghandbook</f>
        <v>0.52856533333333344</v>
      </c>
      <c r="N19" s="889">
        <f>Analyses!$H$5</f>
        <v>0.52856533333333344</v>
      </c>
      <c r="O19" s="407">
        <f>+N18*Carbon_as_a___of_TVS_compostinghandbook</f>
        <v>0.52856533333333344</v>
      </c>
      <c r="P19" s="889">
        <f>Analyses!$H$5</f>
        <v>0.52856533333333344</v>
      </c>
      <c r="Q19" s="407">
        <f>+P18*Carbon_as_a___of_TVS_compostinghandbook</f>
        <v>0.52856533333333344</v>
      </c>
      <c r="R19" s="889">
        <f>Analyses!$H$5</f>
        <v>0.52856533333333344</v>
      </c>
      <c r="S19" s="407">
        <f>+R18*Carbon_as_a___of_TVS_compostinghandbook</f>
        <v>0.52856533333333344</v>
      </c>
      <c r="T19" s="889">
        <f>Analyses!$H$5</f>
        <v>0.52856533333333344</v>
      </c>
      <c r="U19" s="407">
        <f>+T18*Carbon_as_a___of_TVS_compostinghandbook</f>
        <v>0.52856533333333344</v>
      </c>
      <c r="AW19" s="96"/>
      <c r="AX19" s="368">
        <f t="shared" si="7"/>
        <v>7</v>
      </c>
      <c r="AY19" s="393">
        <v>8</v>
      </c>
      <c r="AZ19" s="394" t="e">
        <f t="shared" si="8"/>
        <v>#VALUE!</v>
      </c>
      <c r="BA19" s="394" t="e">
        <f t="shared" si="9"/>
        <v>#VALUE!</v>
      </c>
      <c r="BB19" s="395" t="e">
        <f t="shared" si="0"/>
        <v>#VALUE!</v>
      </c>
      <c r="BC19"/>
      <c r="BD19" s="75"/>
      <c r="BE19" s="96"/>
      <c r="BF19" s="393">
        <v>8</v>
      </c>
      <c r="BG19" s="394" t="e">
        <f t="shared" si="29"/>
        <v>#VALUE!</v>
      </c>
      <c r="BH19" s="400" t="e">
        <f t="shared" si="26"/>
        <v>#VALUE!</v>
      </c>
      <c r="BI19" s="395" t="e">
        <f t="shared" si="30"/>
        <v>#VALUE!</v>
      </c>
      <c r="BJ19"/>
      <c r="BK19" s="75"/>
      <c r="BL19" s="368"/>
      <c r="BM19" s="393">
        <v>8</v>
      </c>
      <c r="BN19" s="394" t="e">
        <f t="shared" si="27"/>
        <v>#VALUE!</v>
      </c>
      <c r="BO19" s="394" t="e">
        <f t="shared" si="28"/>
        <v>#VALUE!</v>
      </c>
      <c r="BP19" s="372" t="e">
        <f t="shared" si="10"/>
        <v>#VALUE!</v>
      </c>
      <c r="BQ19"/>
      <c r="BR19" s="75"/>
      <c r="BS19" s="368"/>
      <c r="BT19" s="393">
        <v>8</v>
      </c>
      <c r="BU19" s="394" t="e">
        <f t="shared" si="11"/>
        <v>#VALUE!</v>
      </c>
      <c r="BV19" s="394" t="e">
        <f t="shared" si="12"/>
        <v>#VALUE!</v>
      </c>
      <c r="BW19" s="395" t="e">
        <f t="shared" si="13"/>
        <v>#VALUE!</v>
      </c>
      <c r="BX19"/>
      <c r="BY19" s="75"/>
      <c r="BZ19" s="368"/>
      <c r="CA19" s="393">
        <v>8</v>
      </c>
      <c r="CB19" s="394" t="e">
        <f t="shared" si="14"/>
        <v>#VALUE!</v>
      </c>
      <c r="CC19" s="394" t="e">
        <f t="shared" si="15"/>
        <v>#VALUE!</v>
      </c>
      <c r="CD19" s="395" t="e">
        <f t="shared" si="1"/>
        <v>#VALUE!</v>
      </c>
      <c r="CE19"/>
      <c r="CF19" s="75"/>
      <c r="CG19" s="368"/>
      <c r="CH19" s="393">
        <v>8</v>
      </c>
      <c r="CI19" s="394" t="e">
        <f t="shared" si="16"/>
        <v>#VALUE!</v>
      </c>
      <c r="CJ19" s="394" t="e">
        <f t="shared" si="17"/>
        <v>#VALUE!</v>
      </c>
      <c r="CK19" s="395" t="e">
        <f t="shared" si="2"/>
        <v>#VALUE!</v>
      </c>
      <c r="CL19"/>
      <c r="CM19" s="75"/>
      <c r="CN19" s="368"/>
      <c r="CO19" s="393">
        <v>8</v>
      </c>
      <c r="CP19" s="394" t="e">
        <f t="shared" si="18"/>
        <v>#VALUE!</v>
      </c>
      <c r="CQ19" s="394" t="e">
        <f t="shared" si="19"/>
        <v>#VALUE!</v>
      </c>
      <c r="CR19" s="395" t="e">
        <f t="shared" si="3"/>
        <v>#VALUE!</v>
      </c>
      <c r="CS19"/>
      <c r="CT19" s="75"/>
      <c r="CU19" s="368"/>
      <c r="CV19" s="393">
        <v>8</v>
      </c>
      <c r="CW19" s="394" t="e">
        <f t="shared" si="20"/>
        <v>#VALUE!</v>
      </c>
      <c r="CX19" s="394" t="e">
        <f t="shared" si="21"/>
        <v>#VALUE!</v>
      </c>
      <c r="CY19" s="395" t="e">
        <f t="shared" si="4"/>
        <v>#VALUE!</v>
      </c>
      <c r="CZ19"/>
      <c r="DA19" s="75"/>
      <c r="DB19" s="368"/>
      <c r="DC19" s="393">
        <v>8</v>
      </c>
      <c r="DD19" s="394" t="e">
        <f t="shared" si="22"/>
        <v>#VALUE!</v>
      </c>
      <c r="DE19" s="394" t="e">
        <f t="shared" si="23"/>
        <v>#VALUE!</v>
      </c>
      <c r="DF19" s="395" t="e">
        <f t="shared" si="5"/>
        <v>#VALUE!</v>
      </c>
      <c r="DG19"/>
      <c r="DH19" s="75"/>
      <c r="DI19" s="368"/>
      <c r="DJ19" s="393">
        <v>8</v>
      </c>
      <c r="DK19" s="394" t="e">
        <f t="shared" si="24"/>
        <v>#VALUE!</v>
      </c>
      <c r="DL19" s="394" t="e">
        <f t="shared" si="25"/>
        <v>#VALUE!</v>
      </c>
      <c r="DM19" s="395" t="e">
        <f t="shared" si="6"/>
        <v>#VALUE!</v>
      </c>
      <c r="DN19"/>
      <c r="DO19" s="75"/>
    </row>
    <row r="20" spans="1:119" ht="15.75" customHeight="1" x14ac:dyDescent="0.25">
      <c r="A20" s="247" t="s">
        <v>186</v>
      </c>
      <c r="B20" s="316">
        <f>+B15*B19</f>
        <v>0</v>
      </c>
      <c r="C20" s="408"/>
      <c r="D20" s="316">
        <f>+D15*D19</f>
        <v>0</v>
      </c>
      <c r="E20" s="408"/>
      <c r="F20" s="316">
        <f>+F15*F19</f>
        <v>0</v>
      </c>
      <c r="G20" s="408"/>
      <c r="H20" s="316">
        <f>+H15*H19</f>
        <v>0</v>
      </c>
      <c r="I20" s="408"/>
      <c r="J20" s="316">
        <f>+J15*J19</f>
        <v>0</v>
      </c>
      <c r="K20" s="408"/>
      <c r="L20" s="316">
        <f>+L15*L19</f>
        <v>0</v>
      </c>
      <c r="M20" s="408"/>
      <c r="N20" s="316">
        <f>+N15*N19</f>
        <v>0</v>
      </c>
      <c r="O20" s="408"/>
      <c r="P20" s="316">
        <f>+P15*P19</f>
        <v>0</v>
      </c>
      <c r="Q20" s="408"/>
      <c r="R20" s="316">
        <f>+R15*R19</f>
        <v>0</v>
      </c>
      <c r="S20" s="408"/>
      <c r="T20" s="316">
        <f>+T15*T19</f>
        <v>0</v>
      </c>
      <c r="U20" s="408"/>
      <c r="AX20" s="368">
        <f t="shared" si="7"/>
        <v>8</v>
      </c>
      <c r="AY20" s="393">
        <v>9</v>
      </c>
      <c r="AZ20" s="394" t="e">
        <f t="shared" si="8"/>
        <v>#VALUE!</v>
      </c>
      <c r="BA20" s="394" t="e">
        <f t="shared" si="9"/>
        <v>#VALUE!</v>
      </c>
      <c r="BB20" s="395" t="e">
        <f t="shared" si="0"/>
        <v>#VALUE!</v>
      </c>
      <c r="BC20"/>
      <c r="BD20" s="75"/>
      <c r="BE20" s="96"/>
      <c r="BF20" s="393">
        <v>9</v>
      </c>
      <c r="BG20" s="394" t="e">
        <f t="shared" si="29"/>
        <v>#VALUE!</v>
      </c>
      <c r="BH20" s="400" t="e">
        <f t="shared" si="26"/>
        <v>#VALUE!</v>
      </c>
      <c r="BI20" s="395" t="e">
        <f t="shared" si="30"/>
        <v>#VALUE!</v>
      </c>
      <c r="BJ20"/>
      <c r="BK20" s="75"/>
      <c r="BL20" s="368"/>
      <c r="BM20" s="393">
        <v>9</v>
      </c>
      <c r="BN20" s="394" t="e">
        <f t="shared" si="27"/>
        <v>#VALUE!</v>
      </c>
      <c r="BO20" s="394" t="e">
        <f t="shared" si="28"/>
        <v>#VALUE!</v>
      </c>
      <c r="BP20" s="372" t="e">
        <f t="shared" si="10"/>
        <v>#VALUE!</v>
      </c>
      <c r="BQ20"/>
      <c r="BR20" s="75"/>
      <c r="BS20" s="368"/>
      <c r="BT20" s="393">
        <v>9</v>
      </c>
      <c r="BU20" s="394" t="e">
        <f t="shared" si="11"/>
        <v>#VALUE!</v>
      </c>
      <c r="BV20" s="394" t="e">
        <f t="shared" si="12"/>
        <v>#VALUE!</v>
      </c>
      <c r="BW20" s="395" t="e">
        <f t="shared" si="13"/>
        <v>#VALUE!</v>
      </c>
      <c r="BX20"/>
      <c r="BY20" s="75"/>
      <c r="BZ20" s="368"/>
      <c r="CA20" s="393">
        <v>9</v>
      </c>
      <c r="CB20" s="394" t="e">
        <f t="shared" si="14"/>
        <v>#VALUE!</v>
      </c>
      <c r="CC20" s="394" t="e">
        <f t="shared" si="15"/>
        <v>#VALUE!</v>
      </c>
      <c r="CD20" s="395" t="e">
        <f t="shared" si="1"/>
        <v>#VALUE!</v>
      </c>
      <c r="CE20"/>
      <c r="CF20" s="75"/>
      <c r="CG20" s="368"/>
      <c r="CH20" s="393">
        <v>9</v>
      </c>
      <c r="CI20" s="394" t="e">
        <f t="shared" si="16"/>
        <v>#VALUE!</v>
      </c>
      <c r="CJ20" s="394" t="e">
        <f t="shared" si="17"/>
        <v>#VALUE!</v>
      </c>
      <c r="CK20" s="395" t="e">
        <f t="shared" si="2"/>
        <v>#VALUE!</v>
      </c>
      <c r="CL20"/>
      <c r="CM20" s="75"/>
      <c r="CN20" s="368"/>
      <c r="CO20" s="393">
        <v>9</v>
      </c>
      <c r="CP20" s="394" t="e">
        <f t="shared" si="18"/>
        <v>#VALUE!</v>
      </c>
      <c r="CQ20" s="394" t="e">
        <f t="shared" si="19"/>
        <v>#VALUE!</v>
      </c>
      <c r="CR20" s="395" t="e">
        <f t="shared" si="3"/>
        <v>#VALUE!</v>
      </c>
      <c r="CS20"/>
      <c r="CT20" s="75"/>
      <c r="CU20" s="368"/>
      <c r="CV20" s="393">
        <v>9</v>
      </c>
      <c r="CW20" s="394" t="e">
        <f t="shared" si="20"/>
        <v>#VALUE!</v>
      </c>
      <c r="CX20" s="394" t="e">
        <f t="shared" si="21"/>
        <v>#VALUE!</v>
      </c>
      <c r="CY20" s="395" t="e">
        <f t="shared" si="4"/>
        <v>#VALUE!</v>
      </c>
      <c r="CZ20"/>
      <c r="DA20" s="75"/>
      <c r="DB20" s="368"/>
      <c r="DC20" s="393">
        <v>9</v>
      </c>
      <c r="DD20" s="394" t="e">
        <f t="shared" si="22"/>
        <v>#VALUE!</v>
      </c>
      <c r="DE20" s="394" t="e">
        <f t="shared" si="23"/>
        <v>#VALUE!</v>
      </c>
      <c r="DF20" s="395" t="e">
        <f t="shared" si="5"/>
        <v>#VALUE!</v>
      </c>
      <c r="DG20"/>
      <c r="DH20" s="75"/>
      <c r="DI20" s="368"/>
      <c r="DJ20" s="393">
        <v>9</v>
      </c>
      <c r="DK20" s="394" t="e">
        <f t="shared" si="24"/>
        <v>#VALUE!</v>
      </c>
      <c r="DL20" s="394" t="e">
        <f t="shared" si="25"/>
        <v>#VALUE!</v>
      </c>
      <c r="DM20" s="395" t="e">
        <f t="shared" si="6"/>
        <v>#VALUE!</v>
      </c>
      <c r="DN20"/>
      <c r="DO20" s="75"/>
    </row>
    <row r="21" spans="1:119" ht="15.75" customHeight="1" x14ac:dyDescent="0.35">
      <c r="A21" s="315" t="s">
        <v>339</v>
      </c>
      <c r="B21" s="21"/>
      <c r="C21" s="409">
        <f>+methane_correction_factor_anaerobic_managed_landfills</f>
        <v>1</v>
      </c>
      <c r="D21" s="21"/>
      <c r="E21" s="409">
        <f>+methane_correction_factor_anaerobic_managed_landfills</f>
        <v>1</v>
      </c>
      <c r="F21" s="21"/>
      <c r="G21" s="409">
        <f>+methane_correction_factor_anaerobic_managed_landfills</f>
        <v>1</v>
      </c>
      <c r="H21" s="21"/>
      <c r="I21" s="409">
        <f>+methane_correction_factor_anaerobic_managed_landfills</f>
        <v>1</v>
      </c>
      <c r="J21" s="21"/>
      <c r="K21" s="409">
        <f>+methane_correction_factor_anaerobic_managed_landfills</f>
        <v>1</v>
      </c>
      <c r="L21" s="21"/>
      <c r="M21" s="409">
        <f>+methane_correction_factor_anaerobic_managed_landfills</f>
        <v>1</v>
      </c>
      <c r="N21" s="21"/>
      <c r="O21" s="409">
        <f>+methane_correction_factor_anaerobic_managed_landfills</f>
        <v>1</v>
      </c>
      <c r="P21" s="21"/>
      <c r="Q21" s="409">
        <f>+methane_correction_factor_anaerobic_managed_landfills</f>
        <v>1</v>
      </c>
      <c r="R21" s="21"/>
      <c r="S21" s="409">
        <f>+methane_correction_factor_anaerobic_managed_landfills</f>
        <v>1</v>
      </c>
      <c r="T21" s="21"/>
      <c r="U21" s="409">
        <f>+methane_correction_factor_anaerobic_managed_landfills</f>
        <v>1</v>
      </c>
      <c r="AX21" s="368">
        <f t="shared" si="7"/>
        <v>9</v>
      </c>
      <c r="AY21" s="393">
        <v>10</v>
      </c>
      <c r="AZ21" s="394" t="e">
        <f t="shared" si="8"/>
        <v>#VALUE!</v>
      </c>
      <c r="BA21" s="394" t="e">
        <f t="shared" si="9"/>
        <v>#VALUE!</v>
      </c>
      <c r="BB21" s="395" t="e">
        <f t="shared" si="0"/>
        <v>#VALUE!</v>
      </c>
      <c r="BC21"/>
      <c r="BD21" s="75"/>
      <c r="BE21" s="96"/>
      <c r="BF21" s="393">
        <v>10</v>
      </c>
      <c r="BG21" s="394" t="e">
        <f t="shared" si="29"/>
        <v>#VALUE!</v>
      </c>
      <c r="BH21" s="400" t="e">
        <f t="shared" si="26"/>
        <v>#VALUE!</v>
      </c>
      <c r="BI21" s="395" t="e">
        <f t="shared" si="30"/>
        <v>#VALUE!</v>
      </c>
      <c r="BJ21"/>
      <c r="BK21" s="75"/>
      <c r="BL21" s="368"/>
      <c r="BM21" s="393">
        <v>10</v>
      </c>
      <c r="BN21" s="394" t="e">
        <f t="shared" si="27"/>
        <v>#VALUE!</v>
      </c>
      <c r="BO21" s="394" t="e">
        <f t="shared" si="28"/>
        <v>#VALUE!</v>
      </c>
      <c r="BP21" s="372" t="e">
        <f t="shared" si="10"/>
        <v>#VALUE!</v>
      </c>
      <c r="BQ21"/>
      <c r="BR21" s="75"/>
      <c r="BS21" s="368"/>
      <c r="BT21" s="393">
        <v>10</v>
      </c>
      <c r="BU21" s="394" t="e">
        <f t="shared" si="11"/>
        <v>#VALUE!</v>
      </c>
      <c r="BV21" s="394" t="e">
        <f t="shared" si="12"/>
        <v>#VALUE!</v>
      </c>
      <c r="BW21" s="395" t="e">
        <f t="shared" si="13"/>
        <v>#VALUE!</v>
      </c>
      <c r="BX21"/>
      <c r="BY21" s="75"/>
      <c r="BZ21" s="368"/>
      <c r="CA21" s="393">
        <v>10</v>
      </c>
      <c r="CB21" s="394" t="e">
        <f t="shared" si="14"/>
        <v>#VALUE!</v>
      </c>
      <c r="CC21" s="394" t="e">
        <f t="shared" si="15"/>
        <v>#VALUE!</v>
      </c>
      <c r="CD21" s="395" t="e">
        <f t="shared" si="1"/>
        <v>#VALUE!</v>
      </c>
      <c r="CE21"/>
      <c r="CF21" s="75"/>
      <c r="CG21" s="368"/>
      <c r="CH21" s="393">
        <v>10</v>
      </c>
      <c r="CI21" s="394" t="e">
        <f t="shared" si="16"/>
        <v>#VALUE!</v>
      </c>
      <c r="CJ21" s="394" t="e">
        <f t="shared" si="17"/>
        <v>#VALUE!</v>
      </c>
      <c r="CK21" s="395" t="e">
        <f t="shared" si="2"/>
        <v>#VALUE!</v>
      </c>
      <c r="CL21"/>
      <c r="CM21" s="75"/>
      <c r="CN21" s="368"/>
      <c r="CO21" s="393">
        <v>10</v>
      </c>
      <c r="CP21" s="394" t="e">
        <f t="shared" si="18"/>
        <v>#VALUE!</v>
      </c>
      <c r="CQ21" s="394" t="e">
        <f t="shared" si="19"/>
        <v>#VALUE!</v>
      </c>
      <c r="CR21" s="395" t="e">
        <f t="shared" si="3"/>
        <v>#VALUE!</v>
      </c>
      <c r="CS21"/>
      <c r="CT21" s="75"/>
      <c r="CU21" s="368"/>
      <c r="CV21" s="393">
        <v>10</v>
      </c>
      <c r="CW21" s="394" t="e">
        <f t="shared" si="20"/>
        <v>#VALUE!</v>
      </c>
      <c r="CX21" s="394" t="e">
        <f t="shared" si="21"/>
        <v>#VALUE!</v>
      </c>
      <c r="CY21" s="395" t="e">
        <f t="shared" si="4"/>
        <v>#VALUE!</v>
      </c>
      <c r="CZ21"/>
      <c r="DA21" s="75"/>
      <c r="DB21" s="368"/>
      <c r="DC21" s="393">
        <v>10</v>
      </c>
      <c r="DD21" s="394" t="e">
        <f t="shared" si="22"/>
        <v>#VALUE!</v>
      </c>
      <c r="DE21" s="394" t="e">
        <f t="shared" si="23"/>
        <v>#VALUE!</v>
      </c>
      <c r="DF21" s="395" t="e">
        <f t="shared" si="5"/>
        <v>#VALUE!</v>
      </c>
      <c r="DG21"/>
      <c r="DH21" s="75"/>
      <c r="DI21" s="368"/>
      <c r="DJ21" s="393">
        <v>10</v>
      </c>
      <c r="DK21" s="394" t="e">
        <f t="shared" si="24"/>
        <v>#VALUE!</v>
      </c>
      <c r="DL21" s="394" t="e">
        <f t="shared" si="25"/>
        <v>#VALUE!</v>
      </c>
      <c r="DM21" s="395" t="e">
        <f t="shared" si="6"/>
        <v>#VALUE!</v>
      </c>
      <c r="DN21"/>
      <c r="DO21" s="75"/>
    </row>
    <row r="22" spans="1:119" x14ac:dyDescent="0.25">
      <c r="A22" s="247" t="s">
        <v>123</v>
      </c>
      <c r="B22" s="13"/>
      <c r="C22" s="411" t="s">
        <v>139</v>
      </c>
      <c r="D22" s="13"/>
      <c r="E22" s="411" t="s">
        <v>139</v>
      </c>
      <c r="F22" s="13"/>
      <c r="G22" s="411" t="s">
        <v>139</v>
      </c>
      <c r="H22" s="13"/>
      <c r="I22" s="411" t="s">
        <v>139</v>
      </c>
      <c r="J22" s="13"/>
      <c r="K22" s="411" t="s">
        <v>139</v>
      </c>
      <c r="L22" s="13"/>
      <c r="M22" s="411" t="s">
        <v>139</v>
      </c>
      <c r="N22" s="13"/>
      <c r="O22" s="411" t="s">
        <v>139</v>
      </c>
      <c r="P22" s="13"/>
      <c r="Q22" s="411" t="s">
        <v>139</v>
      </c>
      <c r="R22" s="13"/>
      <c r="S22" s="411" t="s">
        <v>139</v>
      </c>
      <c r="T22" s="13"/>
      <c r="U22" s="411" t="s">
        <v>139</v>
      </c>
      <c r="AX22" s="368">
        <f t="shared" si="7"/>
        <v>10</v>
      </c>
      <c r="AY22" s="393">
        <v>11</v>
      </c>
      <c r="AZ22" s="394" t="e">
        <f t="shared" si="8"/>
        <v>#VALUE!</v>
      </c>
      <c r="BA22" s="394" t="e">
        <f t="shared" si="9"/>
        <v>#VALUE!</v>
      </c>
      <c r="BB22" s="395" t="e">
        <f t="shared" si="0"/>
        <v>#VALUE!</v>
      </c>
      <c r="BC22"/>
      <c r="BD22" s="75"/>
      <c r="BE22" s="403"/>
      <c r="BF22" s="393">
        <v>11</v>
      </c>
      <c r="BG22" s="394" t="e">
        <f t="shared" si="29"/>
        <v>#VALUE!</v>
      </c>
      <c r="BH22" s="400" t="e">
        <f t="shared" si="26"/>
        <v>#VALUE!</v>
      </c>
      <c r="BI22" s="395" t="e">
        <f t="shared" si="30"/>
        <v>#VALUE!</v>
      </c>
      <c r="BJ22"/>
      <c r="BK22" s="75"/>
      <c r="BL22" s="410"/>
      <c r="BM22" s="393">
        <v>11</v>
      </c>
      <c r="BN22" s="394" t="e">
        <f t="shared" si="27"/>
        <v>#VALUE!</v>
      </c>
      <c r="BO22" s="394" t="e">
        <f t="shared" si="28"/>
        <v>#VALUE!</v>
      </c>
      <c r="BP22" s="372" t="e">
        <f t="shared" si="10"/>
        <v>#VALUE!</v>
      </c>
      <c r="BQ22"/>
      <c r="BR22" s="75"/>
      <c r="BS22" s="410"/>
      <c r="BT22" s="393">
        <v>11</v>
      </c>
      <c r="BU22" s="394" t="e">
        <f t="shared" si="11"/>
        <v>#VALUE!</v>
      </c>
      <c r="BV22" s="394" t="e">
        <f t="shared" si="12"/>
        <v>#VALUE!</v>
      </c>
      <c r="BW22" s="395" t="e">
        <f t="shared" si="13"/>
        <v>#VALUE!</v>
      </c>
      <c r="BX22"/>
      <c r="BY22" s="75"/>
      <c r="BZ22" s="410"/>
      <c r="CA22" s="393">
        <v>11</v>
      </c>
      <c r="CB22" s="394" t="e">
        <f t="shared" si="14"/>
        <v>#VALUE!</v>
      </c>
      <c r="CC22" s="394" t="e">
        <f t="shared" si="15"/>
        <v>#VALUE!</v>
      </c>
      <c r="CD22" s="395" t="e">
        <f t="shared" si="1"/>
        <v>#VALUE!</v>
      </c>
      <c r="CE22"/>
      <c r="CF22" s="75"/>
      <c r="CG22" s="410"/>
      <c r="CH22" s="393">
        <v>11</v>
      </c>
      <c r="CI22" s="394" t="e">
        <f t="shared" si="16"/>
        <v>#VALUE!</v>
      </c>
      <c r="CJ22" s="394" t="e">
        <f t="shared" si="17"/>
        <v>#VALUE!</v>
      </c>
      <c r="CK22" s="395" t="e">
        <f t="shared" si="2"/>
        <v>#VALUE!</v>
      </c>
      <c r="CL22"/>
      <c r="CM22" s="75"/>
      <c r="CN22" s="410"/>
      <c r="CO22" s="393">
        <v>11</v>
      </c>
      <c r="CP22" s="394" t="e">
        <f t="shared" si="18"/>
        <v>#VALUE!</v>
      </c>
      <c r="CQ22" s="394" t="e">
        <f t="shared" si="19"/>
        <v>#VALUE!</v>
      </c>
      <c r="CR22" s="395" t="e">
        <f t="shared" si="3"/>
        <v>#VALUE!</v>
      </c>
      <c r="CS22"/>
      <c r="CT22" s="75"/>
      <c r="CU22" s="410"/>
      <c r="CV22" s="393">
        <v>11</v>
      </c>
      <c r="CW22" s="394" t="e">
        <f t="shared" si="20"/>
        <v>#VALUE!</v>
      </c>
      <c r="CX22" s="394" t="e">
        <f t="shared" si="21"/>
        <v>#VALUE!</v>
      </c>
      <c r="CY22" s="395" t="e">
        <f t="shared" si="4"/>
        <v>#VALUE!</v>
      </c>
      <c r="CZ22"/>
      <c r="DA22" s="75"/>
      <c r="DB22" s="410"/>
      <c r="DC22" s="393">
        <v>11</v>
      </c>
      <c r="DD22" s="394" t="e">
        <f t="shared" si="22"/>
        <v>#VALUE!</v>
      </c>
      <c r="DE22" s="394" t="e">
        <f t="shared" si="23"/>
        <v>#VALUE!</v>
      </c>
      <c r="DF22" s="395" t="e">
        <f t="shared" si="5"/>
        <v>#VALUE!</v>
      </c>
      <c r="DG22"/>
      <c r="DH22" s="75"/>
      <c r="DI22" s="410"/>
      <c r="DJ22" s="393">
        <v>11</v>
      </c>
      <c r="DK22" s="394" t="e">
        <f t="shared" si="24"/>
        <v>#VALUE!</v>
      </c>
      <c r="DL22" s="394" t="e">
        <f t="shared" si="25"/>
        <v>#VALUE!</v>
      </c>
      <c r="DM22" s="395" t="e">
        <f t="shared" si="6"/>
        <v>#VALUE!</v>
      </c>
      <c r="DN22"/>
      <c r="DO22" s="75"/>
    </row>
    <row r="23" spans="1:119" ht="15.75" customHeight="1" x14ac:dyDescent="0.25">
      <c r="A23" s="306" t="s">
        <v>124</v>
      </c>
      <c r="B23" s="317">
        <f>+IF(B22='References Assumptions'!$C$336,0,IF(B22='References Assumptions'!$C$337,OX_of_methane_from_lowqual_soil_cover,OX_of_methane_from_hiqual_soil_cover))</f>
        <v>0.25</v>
      </c>
      <c r="C23" s="408"/>
      <c r="D23" s="317">
        <f>+IF(D22='References Assumptions'!$C$336,0,IF(D22='References Assumptions'!$C$337,OX_of_methane_from_lowqual_soil_cover,OX_of_methane_from_hiqual_soil_cover))</f>
        <v>0.25</v>
      </c>
      <c r="E23" s="408"/>
      <c r="F23" s="317">
        <f>+IF(F22='References Assumptions'!$C$336,0,IF(F22='References Assumptions'!$C$337,OX_of_methane_from_lowqual_soil_cover,OX_of_methane_from_hiqual_soil_cover))</f>
        <v>0.25</v>
      </c>
      <c r="G23" s="408"/>
      <c r="H23" s="317">
        <f>+IF(H22='References Assumptions'!$C$336,0,IF(H22='References Assumptions'!$C$337,OX_of_methane_from_lowqual_soil_cover,OX_of_methane_from_hiqual_soil_cover))</f>
        <v>0.25</v>
      </c>
      <c r="I23" s="408"/>
      <c r="J23" s="317">
        <f>+IF(J22='References Assumptions'!$C$336,0,IF(J22='References Assumptions'!$C$337,OX_of_methane_from_lowqual_soil_cover,OX_of_methane_from_hiqual_soil_cover))</f>
        <v>0.25</v>
      </c>
      <c r="K23" s="408"/>
      <c r="L23" s="317">
        <f>+IF(L22='References Assumptions'!$C$336,0,IF(L22='References Assumptions'!$C$337,OX_of_methane_from_lowqual_soil_cover,OX_of_methane_from_hiqual_soil_cover))</f>
        <v>0.25</v>
      </c>
      <c r="M23" s="408"/>
      <c r="N23" s="317">
        <f>+IF(N22='References Assumptions'!$C$336,0,IF(N22='References Assumptions'!$C$337,OX_of_methane_from_lowqual_soil_cover,OX_of_methane_from_hiqual_soil_cover))</f>
        <v>0.25</v>
      </c>
      <c r="O23" s="408"/>
      <c r="P23" s="317">
        <f>+IF(P22='References Assumptions'!$C$336,0,IF(P22='References Assumptions'!$C$337,OX_of_methane_from_lowqual_soil_cover,OX_of_methane_from_hiqual_soil_cover))</f>
        <v>0.25</v>
      </c>
      <c r="Q23" s="408"/>
      <c r="R23" s="317">
        <f>+IF(R22='References Assumptions'!$C$336,0,IF(R22='References Assumptions'!$C$337,OX_of_methane_from_lowqual_soil_cover,OX_of_methane_from_hiqual_soil_cover))</f>
        <v>0.25</v>
      </c>
      <c r="S23" s="408"/>
      <c r="T23" s="317">
        <f>+IF(T22='References Assumptions'!$C$336,0,IF(T22='References Assumptions'!$C$337,OX_of_methane_from_lowqual_soil_cover,OX_of_methane_from_hiqual_soil_cover))</f>
        <v>0.25</v>
      </c>
      <c r="U23" s="408"/>
      <c r="AX23" s="368">
        <f t="shared" si="7"/>
        <v>11</v>
      </c>
      <c r="AY23" s="393">
        <v>12</v>
      </c>
      <c r="AZ23" s="394" t="e">
        <f t="shared" si="8"/>
        <v>#VALUE!</v>
      </c>
      <c r="BA23" s="394" t="e">
        <f t="shared" si="9"/>
        <v>#VALUE!</v>
      </c>
      <c r="BB23" s="395" t="e">
        <f t="shared" si="0"/>
        <v>#VALUE!</v>
      </c>
      <c r="BC23"/>
      <c r="BD23" s="75"/>
      <c r="BE23" s="403"/>
      <c r="BF23" s="393">
        <v>12</v>
      </c>
      <c r="BG23" s="394" t="e">
        <f t="shared" si="29"/>
        <v>#VALUE!</v>
      </c>
      <c r="BH23" s="400" t="e">
        <f t="shared" si="26"/>
        <v>#VALUE!</v>
      </c>
      <c r="BI23" s="395" t="e">
        <f t="shared" si="30"/>
        <v>#VALUE!</v>
      </c>
      <c r="BJ23"/>
      <c r="BK23" s="75"/>
      <c r="BL23" s="410"/>
      <c r="BM23" s="393">
        <v>12</v>
      </c>
      <c r="BN23" s="394" t="e">
        <f t="shared" si="27"/>
        <v>#VALUE!</v>
      </c>
      <c r="BO23" s="394" t="e">
        <f t="shared" si="28"/>
        <v>#VALUE!</v>
      </c>
      <c r="BP23" s="372" t="e">
        <f t="shared" si="10"/>
        <v>#VALUE!</v>
      </c>
      <c r="BQ23"/>
      <c r="BR23" s="75"/>
      <c r="BS23" s="410"/>
      <c r="BT23" s="393">
        <v>12</v>
      </c>
      <c r="BU23" s="394" t="e">
        <f t="shared" si="11"/>
        <v>#VALUE!</v>
      </c>
      <c r="BV23" s="394" t="e">
        <f t="shared" si="12"/>
        <v>#VALUE!</v>
      </c>
      <c r="BW23" s="395" t="e">
        <f t="shared" si="13"/>
        <v>#VALUE!</v>
      </c>
      <c r="BX23"/>
      <c r="BY23" s="75"/>
      <c r="BZ23" s="410"/>
      <c r="CA23" s="393">
        <v>12</v>
      </c>
      <c r="CB23" s="394" t="e">
        <f t="shared" si="14"/>
        <v>#VALUE!</v>
      </c>
      <c r="CC23" s="394" t="e">
        <f t="shared" si="15"/>
        <v>#VALUE!</v>
      </c>
      <c r="CD23" s="395" t="e">
        <f t="shared" si="1"/>
        <v>#VALUE!</v>
      </c>
      <c r="CE23"/>
      <c r="CF23" s="75"/>
      <c r="CG23" s="410"/>
      <c r="CH23" s="393">
        <v>12</v>
      </c>
      <c r="CI23" s="394" t="e">
        <f t="shared" si="16"/>
        <v>#VALUE!</v>
      </c>
      <c r="CJ23" s="394" t="e">
        <f t="shared" si="17"/>
        <v>#VALUE!</v>
      </c>
      <c r="CK23" s="395" t="e">
        <f t="shared" si="2"/>
        <v>#VALUE!</v>
      </c>
      <c r="CL23"/>
      <c r="CM23" s="75"/>
      <c r="CN23" s="410"/>
      <c r="CO23" s="393">
        <v>12</v>
      </c>
      <c r="CP23" s="394" t="e">
        <f t="shared" si="18"/>
        <v>#VALUE!</v>
      </c>
      <c r="CQ23" s="394" t="e">
        <f t="shared" si="19"/>
        <v>#VALUE!</v>
      </c>
      <c r="CR23" s="395" t="e">
        <f t="shared" si="3"/>
        <v>#VALUE!</v>
      </c>
      <c r="CS23"/>
      <c r="CT23" s="75"/>
      <c r="CU23" s="410"/>
      <c r="CV23" s="393">
        <v>12</v>
      </c>
      <c r="CW23" s="394" t="e">
        <f t="shared" si="20"/>
        <v>#VALUE!</v>
      </c>
      <c r="CX23" s="394" t="e">
        <f t="shared" si="21"/>
        <v>#VALUE!</v>
      </c>
      <c r="CY23" s="395" t="e">
        <f t="shared" si="4"/>
        <v>#VALUE!</v>
      </c>
      <c r="CZ23"/>
      <c r="DA23" s="75"/>
      <c r="DB23" s="410"/>
      <c r="DC23" s="393">
        <v>12</v>
      </c>
      <c r="DD23" s="394" t="e">
        <f t="shared" si="22"/>
        <v>#VALUE!</v>
      </c>
      <c r="DE23" s="394" t="e">
        <f t="shared" si="23"/>
        <v>#VALUE!</v>
      </c>
      <c r="DF23" s="395" t="e">
        <f t="shared" si="5"/>
        <v>#VALUE!</v>
      </c>
      <c r="DG23"/>
      <c r="DH23" s="75"/>
      <c r="DI23" s="410"/>
      <c r="DJ23" s="393">
        <v>12</v>
      </c>
      <c r="DK23" s="394" t="e">
        <f t="shared" si="24"/>
        <v>#VALUE!</v>
      </c>
      <c r="DL23" s="394" t="e">
        <f t="shared" si="25"/>
        <v>#VALUE!</v>
      </c>
      <c r="DM23" s="395" t="e">
        <f t="shared" si="6"/>
        <v>#VALUE!</v>
      </c>
      <c r="DN23"/>
      <c r="DO23" s="75"/>
    </row>
    <row r="24" spans="1:119" ht="15.75" customHeight="1" x14ac:dyDescent="0.25">
      <c r="A24" s="247" t="s">
        <v>430</v>
      </c>
      <c r="B24" s="317">
        <f>+$AS$14</f>
        <v>0.9</v>
      </c>
      <c r="C24" s="408"/>
      <c r="D24" s="317">
        <f>+$AS$14</f>
        <v>0.9</v>
      </c>
      <c r="E24" s="408"/>
      <c r="F24" s="317">
        <f>+$AS$14</f>
        <v>0.9</v>
      </c>
      <c r="G24" s="408"/>
      <c r="H24" s="317">
        <f>+$AS$14</f>
        <v>0.9</v>
      </c>
      <c r="I24" s="408"/>
      <c r="J24" s="317">
        <f>+$AS$14</f>
        <v>0.9</v>
      </c>
      <c r="K24" s="408"/>
      <c r="L24" s="317">
        <f>+$AS$14</f>
        <v>0.9</v>
      </c>
      <c r="M24" s="408"/>
      <c r="N24" s="317">
        <f>+$AS$14</f>
        <v>0.9</v>
      </c>
      <c r="O24" s="408"/>
      <c r="P24" s="317">
        <f>+$AS$14</f>
        <v>0.9</v>
      </c>
      <c r="Q24" s="408"/>
      <c r="R24" s="317">
        <f>+$AS$14</f>
        <v>0.9</v>
      </c>
      <c r="S24" s="408"/>
      <c r="T24" s="317">
        <f>+$AS$14</f>
        <v>0.9</v>
      </c>
      <c r="U24" s="408"/>
      <c r="AX24" s="368">
        <f t="shared" si="7"/>
        <v>12</v>
      </c>
      <c r="AY24" s="393">
        <v>13</v>
      </c>
      <c r="AZ24" s="394" t="e">
        <f t="shared" si="8"/>
        <v>#VALUE!</v>
      </c>
      <c r="BA24" s="394" t="e">
        <f t="shared" si="9"/>
        <v>#VALUE!</v>
      </c>
      <c r="BB24" s="395" t="e">
        <f t="shared" si="0"/>
        <v>#VALUE!</v>
      </c>
      <c r="BC24"/>
      <c r="BD24" s="75"/>
      <c r="BE24" s="403"/>
      <c r="BF24" s="393">
        <v>13</v>
      </c>
      <c r="BG24" s="394" t="e">
        <f t="shared" si="29"/>
        <v>#VALUE!</v>
      </c>
      <c r="BH24" s="400" t="e">
        <f t="shared" si="26"/>
        <v>#VALUE!</v>
      </c>
      <c r="BI24" s="395" t="e">
        <f t="shared" si="30"/>
        <v>#VALUE!</v>
      </c>
      <c r="BJ24"/>
      <c r="BK24" s="75"/>
      <c r="BL24" s="410"/>
      <c r="BM24" s="393">
        <v>13</v>
      </c>
      <c r="BN24" s="394" t="e">
        <f t="shared" si="27"/>
        <v>#VALUE!</v>
      </c>
      <c r="BO24" s="394" t="e">
        <f t="shared" si="28"/>
        <v>#VALUE!</v>
      </c>
      <c r="BP24" s="372" t="e">
        <f t="shared" si="10"/>
        <v>#VALUE!</v>
      </c>
      <c r="BQ24"/>
      <c r="BR24" s="75"/>
      <c r="BS24" s="410"/>
      <c r="BT24" s="393">
        <v>13</v>
      </c>
      <c r="BU24" s="394" t="e">
        <f t="shared" si="11"/>
        <v>#VALUE!</v>
      </c>
      <c r="BV24" s="394" t="e">
        <f t="shared" si="12"/>
        <v>#VALUE!</v>
      </c>
      <c r="BW24" s="395" t="e">
        <f t="shared" si="13"/>
        <v>#VALUE!</v>
      </c>
      <c r="BX24"/>
      <c r="BY24" s="75"/>
      <c r="BZ24" s="410"/>
      <c r="CA24" s="393">
        <v>13</v>
      </c>
      <c r="CB24" s="394" t="e">
        <f t="shared" si="14"/>
        <v>#VALUE!</v>
      </c>
      <c r="CC24" s="394" t="e">
        <f t="shared" si="15"/>
        <v>#VALUE!</v>
      </c>
      <c r="CD24" s="395" t="e">
        <f t="shared" si="1"/>
        <v>#VALUE!</v>
      </c>
      <c r="CE24"/>
      <c r="CF24" s="75"/>
      <c r="CG24" s="410"/>
      <c r="CH24" s="393">
        <v>13</v>
      </c>
      <c r="CI24" s="394" t="e">
        <f t="shared" si="16"/>
        <v>#VALUE!</v>
      </c>
      <c r="CJ24" s="394" t="e">
        <f t="shared" si="17"/>
        <v>#VALUE!</v>
      </c>
      <c r="CK24" s="395" t="e">
        <f t="shared" si="2"/>
        <v>#VALUE!</v>
      </c>
      <c r="CL24"/>
      <c r="CM24" s="75"/>
      <c r="CN24" s="410"/>
      <c r="CO24" s="393">
        <v>13</v>
      </c>
      <c r="CP24" s="394" t="e">
        <f t="shared" si="18"/>
        <v>#VALUE!</v>
      </c>
      <c r="CQ24" s="394" t="e">
        <f t="shared" si="19"/>
        <v>#VALUE!</v>
      </c>
      <c r="CR24" s="395" t="e">
        <f t="shared" si="3"/>
        <v>#VALUE!</v>
      </c>
      <c r="CS24"/>
      <c r="CT24" s="75"/>
      <c r="CU24" s="410"/>
      <c r="CV24" s="393">
        <v>13</v>
      </c>
      <c r="CW24" s="394" t="e">
        <f t="shared" si="20"/>
        <v>#VALUE!</v>
      </c>
      <c r="CX24" s="394" t="e">
        <f t="shared" si="21"/>
        <v>#VALUE!</v>
      </c>
      <c r="CY24" s="395" t="e">
        <f t="shared" si="4"/>
        <v>#VALUE!</v>
      </c>
      <c r="CZ24"/>
      <c r="DA24" s="75"/>
      <c r="DB24" s="410"/>
      <c r="DC24" s="393">
        <v>13</v>
      </c>
      <c r="DD24" s="394" t="e">
        <f t="shared" si="22"/>
        <v>#VALUE!</v>
      </c>
      <c r="DE24" s="394" t="e">
        <f t="shared" si="23"/>
        <v>#VALUE!</v>
      </c>
      <c r="DF24" s="395" t="e">
        <f t="shared" si="5"/>
        <v>#VALUE!</v>
      </c>
      <c r="DG24"/>
      <c r="DH24" s="75"/>
      <c r="DI24" s="410"/>
      <c r="DJ24" s="393">
        <v>13</v>
      </c>
      <c r="DK24" s="394" t="e">
        <f t="shared" si="24"/>
        <v>#VALUE!</v>
      </c>
      <c r="DL24" s="394" t="e">
        <f t="shared" si="25"/>
        <v>#VALUE!</v>
      </c>
      <c r="DM24" s="395" t="e">
        <f t="shared" si="6"/>
        <v>#VALUE!</v>
      </c>
      <c r="DN24"/>
      <c r="DO24" s="75"/>
    </row>
    <row r="25" spans="1:119" ht="15.75" customHeight="1" x14ac:dyDescent="0.25">
      <c r="A25" s="247" t="s">
        <v>257</v>
      </c>
      <c r="B25" s="12"/>
      <c r="C25" s="412">
        <v>0</v>
      </c>
      <c r="D25" s="12"/>
      <c r="E25" s="412">
        <v>0</v>
      </c>
      <c r="F25" s="12"/>
      <c r="G25" s="412">
        <v>0</v>
      </c>
      <c r="H25" s="12"/>
      <c r="I25" s="412">
        <v>0</v>
      </c>
      <c r="J25" s="12"/>
      <c r="K25" s="412">
        <v>0</v>
      </c>
      <c r="L25" s="12"/>
      <c r="M25" s="412">
        <v>0</v>
      </c>
      <c r="N25" s="12"/>
      <c r="O25" s="412">
        <v>0</v>
      </c>
      <c r="P25" s="12"/>
      <c r="Q25" s="412">
        <v>0</v>
      </c>
      <c r="R25" s="12"/>
      <c r="S25" s="412">
        <v>0</v>
      </c>
      <c r="T25" s="12"/>
      <c r="U25" s="412">
        <v>0</v>
      </c>
      <c r="AX25" s="368">
        <f t="shared" si="7"/>
        <v>13</v>
      </c>
      <c r="AY25" s="393">
        <v>14</v>
      </c>
      <c r="AZ25" s="394" t="e">
        <f t="shared" si="8"/>
        <v>#VALUE!</v>
      </c>
      <c r="BA25" s="394" t="e">
        <f t="shared" si="9"/>
        <v>#VALUE!</v>
      </c>
      <c r="BB25" s="395" t="e">
        <f t="shared" si="0"/>
        <v>#VALUE!</v>
      </c>
      <c r="BC25"/>
      <c r="BD25" s="75"/>
      <c r="BE25" s="403"/>
      <c r="BF25" s="393">
        <v>14</v>
      </c>
      <c r="BG25" s="394" t="e">
        <f t="shared" si="29"/>
        <v>#VALUE!</v>
      </c>
      <c r="BH25" s="400" t="e">
        <f t="shared" si="26"/>
        <v>#VALUE!</v>
      </c>
      <c r="BI25" s="395" t="e">
        <f t="shared" si="30"/>
        <v>#VALUE!</v>
      </c>
      <c r="BJ25"/>
      <c r="BK25" s="75"/>
      <c r="BL25" s="410"/>
      <c r="BM25" s="393">
        <v>14</v>
      </c>
      <c r="BN25" s="394" t="e">
        <f t="shared" si="27"/>
        <v>#VALUE!</v>
      </c>
      <c r="BO25" s="394" t="e">
        <f t="shared" si="28"/>
        <v>#VALUE!</v>
      </c>
      <c r="BP25" s="372" t="e">
        <f t="shared" si="10"/>
        <v>#VALUE!</v>
      </c>
      <c r="BQ25"/>
      <c r="BR25" s="75"/>
      <c r="BS25" s="410"/>
      <c r="BT25" s="393">
        <v>14</v>
      </c>
      <c r="BU25" s="394" t="e">
        <f t="shared" si="11"/>
        <v>#VALUE!</v>
      </c>
      <c r="BV25" s="394" t="e">
        <f t="shared" si="12"/>
        <v>#VALUE!</v>
      </c>
      <c r="BW25" s="395" t="e">
        <f t="shared" si="13"/>
        <v>#VALUE!</v>
      </c>
      <c r="BX25"/>
      <c r="BY25" s="75"/>
      <c r="BZ25" s="410"/>
      <c r="CA25" s="393">
        <v>14</v>
      </c>
      <c r="CB25" s="394" t="e">
        <f t="shared" si="14"/>
        <v>#VALUE!</v>
      </c>
      <c r="CC25" s="394" t="e">
        <f t="shared" si="15"/>
        <v>#VALUE!</v>
      </c>
      <c r="CD25" s="395" t="e">
        <f t="shared" si="1"/>
        <v>#VALUE!</v>
      </c>
      <c r="CE25"/>
      <c r="CF25" s="75"/>
      <c r="CG25" s="410"/>
      <c r="CH25" s="393">
        <v>14</v>
      </c>
      <c r="CI25" s="394" t="e">
        <f t="shared" si="16"/>
        <v>#VALUE!</v>
      </c>
      <c r="CJ25" s="394" t="e">
        <f t="shared" si="17"/>
        <v>#VALUE!</v>
      </c>
      <c r="CK25" s="395" t="e">
        <f t="shared" si="2"/>
        <v>#VALUE!</v>
      </c>
      <c r="CL25"/>
      <c r="CM25" s="75"/>
      <c r="CN25" s="410"/>
      <c r="CO25" s="393">
        <v>14</v>
      </c>
      <c r="CP25" s="394" t="e">
        <f t="shared" si="18"/>
        <v>#VALUE!</v>
      </c>
      <c r="CQ25" s="394" t="e">
        <f t="shared" si="19"/>
        <v>#VALUE!</v>
      </c>
      <c r="CR25" s="395" t="e">
        <f t="shared" si="3"/>
        <v>#VALUE!</v>
      </c>
      <c r="CS25"/>
      <c r="CT25" s="75"/>
      <c r="CU25" s="410"/>
      <c r="CV25" s="393">
        <v>14</v>
      </c>
      <c r="CW25" s="394" t="e">
        <f t="shared" si="20"/>
        <v>#VALUE!</v>
      </c>
      <c r="CX25" s="394" t="e">
        <f t="shared" si="21"/>
        <v>#VALUE!</v>
      </c>
      <c r="CY25" s="395" t="e">
        <f t="shared" si="4"/>
        <v>#VALUE!</v>
      </c>
      <c r="CZ25"/>
      <c r="DA25" s="75"/>
      <c r="DB25" s="410"/>
      <c r="DC25" s="393">
        <v>14</v>
      </c>
      <c r="DD25" s="394" t="e">
        <f t="shared" si="22"/>
        <v>#VALUE!</v>
      </c>
      <c r="DE25" s="394" t="e">
        <f t="shared" si="23"/>
        <v>#VALUE!</v>
      </c>
      <c r="DF25" s="395" t="e">
        <f t="shared" si="5"/>
        <v>#VALUE!</v>
      </c>
      <c r="DG25"/>
      <c r="DH25" s="75"/>
      <c r="DI25" s="410"/>
      <c r="DJ25" s="393">
        <v>14</v>
      </c>
      <c r="DK25" s="394" t="e">
        <f t="shared" si="24"/>
        <v>#VALUE!</v>
      </c>
      <c r="DL25" s="394" t="e">
        <f t="shared" si="25"/>
        <v>#VALUE!</v>
      </c>
      <c r="DM25" s="395" t="e">
        <f t="shared" si="6"/>
        <v>#VALUE!</v>
      </c>
      <c r="DN25"/>
      <c r="DO25" s="75"/>
    </row>
    <row r="26" spans="1:119" ht="15.75" customHeight="1" x14ac:dyDescent="0.25">
      <c r="A26" s="247" t="s">
        <v>570</v>
      </c>
      <c r="B26" s="12"/>
      <c r="C26" s="408"/>
      <c r="D26" s="12"/>
      <c r="E26" s="408"/>
      <c r="F26" s="12"/>
      <c r="G26" s="408"/>
      <c r="H26" s="12"/>
      <c r="I26" s="408"/>
      <c r="J26" s="12"/>
      <c r="K26" s="408"/>
      <c r="L26" s="12"/>
      <c r="M26" s="408"/>
      <c r="N26" s="12"/>
      <c r="O26" s="408"/>
      <c r="P26" s="12"/>
      <c r="Q26" s="408"/>
      <c r="R26" s="12"/>
      <c r="S26" s="408"/>
      <c r="T26" s="12"/>
      <c r="U26" s="408"/>
      <c r="AW26" s="403"/>
      <c r="AX26" s="368">
        <f t="shared" si="7"/>
        <v>14</v>
      </c>
      <c r="AY26" s="393">
        <v>15</v>
      </c>
      <c r="AZ26" s="394" t="e">
        <f t="shared" si="8"/>
        <v>#VALUE!</v>
      </c>
      <c r="BA26" s="394" t="e">
        <f t="shared" si="9"/>
        <v>#VALUE!</v>
      </c>
      <c r="BB26" s="395" t="e">
        <f t="shared" si="0"/>
        <v>#VALUE!</v>
      </c>
      <c r="BC26"/>
      <c r="BD26" s="75"/>
      <c r="BE26" s="403"/>
      <c r="BF26" s="393">
        <v>15</v>
      </c>
      <c r="BG26" s="394" t="e">
        <f t="shared" si="29"/>
        <v>#VALUE!</v>
      </c>
      <c r="BH26" s="400" t="e">
        <f t="shared" si="26"/>
        <v>#VALUE!</v>
      </c>
      <c r="BI26" s="395" t="e">
        <f t="shared" si="30"/>
        <v>#VALUE!</v>
      </c>
      <c r="BJ26"/>
      <c r="BK26" s="75"/>
      <c r="BL26" s="410"/>
      <c r="BM26" s="393">
        <v>15</v>
      </c>
      <c r="BN26" s="394" t="e">
        <f t="shared" si="27"/>
        <v>#VALUE!</v>
      </c>
      <c r="BO26" s="394" t="e">
        <f t="shared" si="28"/>
        <v>#VALUE!</v>
      </c>
      <c r="BP26" s="372" t="e">
        <f t="shared" si="10"/>
        <v>#VALUE!</v>
      </c>
      <c r="BQ26"/>
      <c r="BR26" s="75"/>
      <c r="BS26" s="410"/>
      <c r="BT26" s="393">
        <v>15</v>
      </c>
      <c r="BU26" s="394" t="e">
        <f t="shared" si="11"/>
        <v>#VALUE!</v>
      </c>
      <c r="BV26" s="394" t="e">
        <f t="shared" si="12"/>
        <v>#VALUE!</v>
      </c>
      <c r="BW26" s="395" t="e">
        <f t="shared" si="13"/>
        <v>#VALUE!</v>
      </c>
      <c r="BX26"/>
      <c r="BY26" s="75"/>
      <c r="BZ26" s="410"/>
      <c r="CA26" s="393">
        <v>15</v>
      </c>
      <c r="CB26" s="394" t="e">
        <f t="shared" si="14"/>
        <v>#VALUE!</v>
      </c>
      <c r="CC26" s="394" t="e">
        <f t="shared" si="15"/>
        <v>#VALUE!</v>
      </c>
      <c r="CD26" s="395" t="e">
        <f t="shared" si="1"/>
        <v>#VALUE!</v>
      </c>
      <c r="CE26"/>
      <c r="CF26" s="75"/>
      <c r="CG26" s="410"/>
      <c r="CH26" s="393">
        <v>15</v>
      </c>
      <c r="CI26" s="394" t="e">
        <f t="shared" si="16"/>
        <v>#VALUE!</v>
      </c>
      <c r="CJ26" s="394" t="e">
        <f t="shared" si="17"/>
        <v>#VALUE!</v>
      </c>
      <c r="CK26" s="395" t="e">
        <f t="shared" si="2"/>
        <v>#VALUE!</v>
      </c>
      <c r="CL26"/>
      <c r="CM26" s="75"/>
      <c r="CN26" s="410"/>
      <c r="CO26" s="393">
        <v>15</v>
      </c>
      <c r="CP26" s="394" t="e">
        <f t="shared" si="18"/>
        <v>#VALUE!</v>
      </c>
      <c r="CQ26" s="394" t="e">
        <f t="shared" si="19"/>
        <v>#VALUE!</v>
      </c>
      <c r="CR26" s="395" t="e">
        <f t="shared" si="3"/>
        <v>#VALUE!</v>
      </c>
      <c r="CS26"/>
      <c r="CT26" s="75"/>
      <c r="CU26" s="410"/>
      <c r="CV26" s="393">
        <v>15</v>
      </c>
      <c r="CW26" s="394" t="e">
        <f t="shared" si="20"/>
        <v>#VALUE!</v>
      </c>
      <c r="CX26" s="394" t="e">
        <f t="shared" si="21"/>
        <v>#VALUE!</v>
      </c>
      <c r="CY26" s="395" t="e">
        <f t="shared" si="4"/>
        <v>#VALUE!</v>
      </c>
      <c r="CZ26"/>
      <c r="DA26" s="75"/>
      <c r="DB26" s="410"/>
      <c r="DC26" s="393">
        <v>15</v>
      </c>
      <c r="DD26" s="394" t="e">
        <f t="shared" si="22"/>
        <v>#VALUE!</v>
      </c>
      <c r="DE26" s="394" t="e">
        <f t="shared" si="23"/>
        <v>#VALUE!</v>
      </c>
      <c r="DF26" s="395" t="e">
        <f t="shared" si="5"/>
        <v>#VALUE!</v>
      </c>
      <c r="DG26"/>
      <c r="DH26" s="75"/>
      <c r="DI26" s="410"/>
      <c r="DJ26" s="393">
        <v>15</v>
      </c>
      <c r="DK26" s="394" t="e">
        <f t="shared" si="24"/>
        <v>#VALUE!</v>
      </c>
      <c r="DL26" s="394" t="e">
        <f t="shared" si="25"/>
        <v>#VALUE!</v>
      </c>
      <c r="DM26" s="395" t="e">
        <f t="shared" si="6"/>
        <v>#VALUE!</v>
      </c>
      <c r="DN26"/>
      <c r="DO26" s="75"/>
    </row>
    <row r="27" spans="1:119" ht="15.75" customHeight="1" x14ac:dyDescent="0.35">
      <c r="A27" s="247" t="s">
        <v>10</v>
      </c>
      <c r="B27" s="413" t="str">
        <f>+IFERROR(VLOOKUP(B26,'References Assumptions'!$A$165:$B$168,2,FALSE),"N/A")</f>
        <v>N/A</v>
      </c>
      <c r="C27" s="408"/>
      <c r="D27" s="413" t="str">
        <f>+IFERROR(VLOOKUP(D26,'References Assumptions'!$A$165:$B$168,2,FALSE),"N/A")</f>
        <v>N/A</v>
      </c>
      <c r="E27" s="408"/>
      <c r="F27" s="413" t="str">
        <f>+IFERROR(VLOOKUP(F26,'References Assumptions'!$A$165:$B$168,2,FALSE),"N/A")</f>
        <v>N/A</v>
      </c>
      <c r="G27" s="408"/>
      <c r="H27" s="413" t="str">
        <f>+IFERROR(VLOOKUP(H26,'References Assumptions'!$A$165:$B$168,2,FALSE),"N/A")</f>
        <v>N/A</v>
      </c>
      <c r="I27" s="408"/>
      <c r="J27" s="413" t="str">
        <f>+IFERROR(VLOOKUP(J26,'References Assumptions'!$A$165:$B$168,2,FALSE),"N/A")</f>
        <v>N/A</v>
      </c>
      <c r="K27" s="408"/>
      <c r="L27" s="413" t="str">
        <f>+IFERROR(VLOOKUP(L26,'References Assumptions'!$A$165:$B$168,2,FALSE),"N/A")</f>
        <v>N/A</v>
      </c>
      <c r="M27" s="408"/>
      <c r="N27" s="413" t="str">
        <f>+IFERROR(VLOOKUP(N26,'References Assumptions'!$A$165:$B$168,2,FALSE),"N/A")</f>
        <v>N/A</v>
      </c>
      <c r="O27" s="408"/>
      <c r="P27" s="413" t="str">
        <f>+IFERROR(VLOOKUP(P26,'References Assumptions'!$A$165:$B$168,2,FALSE),"N/A")</f>
        <v>N/A</v>
      </c>
      <c r="Q27" s="408"/>
      <c r="R27" s="413" t="str">
        <f>+IFERROR(VLOOKUP(R26,'References Assumptions'!$A$165:$B$168,2,FALSE),"N/A")</f>
        <v>N/A</v>
      </c>
      <c r="S27" s="408"/>
      <c r="T27" s="413" t="str">
        <f>+IFERROR(VLOOKUP(T26,'References Assumptions'!$A$165:$B$168,2,FALSE),"N/A")</f>
        <v>N/A</v>
      </c>
      <c r="U27" s="408"/>
      <c r="AW27" s="403"/>
      <c r="AX27" s="368">
        <f t="shared" ref="AX27:AX41" si="31">AY27-1</f>
        <v>15</v>
      </c>
      <c r="AY27" s="393">
        <v>16</v>
      </c>
      <c r="AZ27" s="394" t="e">
        <f t="shared" ref="AZ27:AZ41" si="32">AZ26-(AZ26*$AZ$10)</f>
        <v>#VALUE!</v>
      </c>
      <c r="BA27" s="394" t="e">
        <f t="shared" ref="BA27:BA41" si="33">(AZ26*$AZ$10)</f>
        <v>#VALUE!</v>
      </c>
      <c r="BB27" s="395" t="e">
        <f t="shared" ref="BB27:BB41" si="34">+BA27/$AZ$9</f>
        <v>#VALUE!</v>
      </c>
      <c r="BC27"/>
      <c r="BD27" s="75"/>
      <c r="BE27" s="403"/>
      <c r="BF27" s="393">
        <v>16</v>
      </c>
      <c r="BG27" s="394" t="e">
        <f t="shared" ref="BG27:BG41" si="35">BG26-(BG26*$BG$10)</f>
        <v>#VALUE!</v>
      </c>
      <c r="BH27" s="400" t="e">
        <f t="shared" ref="BH27:BH41" si="36">$BG26*$BG$10</f>
        <v>#VALUE!</v>
      </c>
      <c r="BI27" s="395" t="e">
        <f t="shared" ref="BI27:BI41" si="37">+BH27/$BG$9</f>
        <v>#VALUE!</v>
      </c>
      <c r="BJ27"/>
      <c r="BK27" s="75"/>
      <c r="BL27" s="410"/>
      <c r="BM27" s="393">
        <v>16</v>
      </c>
      <c r="BN27" s="394" t="e">
        <f t="shared" ref="BN27:BN41" si="38">BN26-(BN26*$BN$10)</f>
        <v>#VALUE!</v>
      </c>
      <c r="BO27" s="394" t="e">
        <f t="shared" ref="BO27:BO41" si="39">BN26*$BN$10</f>
        <v>#VALUE!</v>
      </c>
      <c r="BP27" s="372" t="e">
        <f t="shared" si="10"/>
        <v>#VALUE!</v>
      </c>
      <c r="BQ27"/>
      <c r="BR27" s="75"/>
      <c r="BS27" s="410"/>
      <c r="BT27" s="393">
        <v>16</v>
      </c>
      <c r="BU27" s="394" t="e">
        <f t="shared" ref="BU27:BU41" si="40">BU26-(BU26*$BU$10)</f>
        <v>#VALUE!</v>
      </c>
      <c r="BV27" s="394" t="e">
        <f t="shared" ref="BV27:BV41" si="41">(BU26*$BU$10)</f>
        <v>#VALUE!</v>
      </c>
      <c r="BW27" s="395" t="e">
        <f t="shared" ref="BW27:BW41" si="42">+BV27/$BU$9</f>
        <v>#VALUE!</v>
      </c>
      <c r="BX27"/>
      <c r="BY27" s="75"/>
      <c r="BZ27" s="410"/>
      <c r="CA27" s="393">
        <v>16</v>
      </c>
      <c r="CB27" s="394" t="e">
        <f t="shared" ref="CB27:CB41" si="43">CB26-(CB26*$CB$10)</f>
        <v>#VALUE!</v>
      </c>
      <c r="CC27" s="394" t="e">
        <f t="shared" ref="CC27:CC41" si="44">(CB26*$CB$10)</f>
        <v>#VALUE!</v>
      </c>
      <c r="CD27" s="395" t="e">
        <f t="shared" ref="CD27:CD41" si="45">+CC27/$CB$9</f>
        <v>#VALUE!</v>
      </c>
      <c r="CE27"/>
      <c r="CF27" s="75"/>
      <c r="CG27" s="410"/>
      <c r="CH27" s="393">
        <v>16</v>
      </c>
      <c r="CI27" s="394" t="e">
        <f t="shared" ref="CI27:CI41" si="46">CI26-(CI26*$CI$10)</f>
        <v>#VALUE!</v>
      </c>
      <c r="CJ27" s="394" t="e">
        <f t="shared" ref="CJ27:CJ41" si="47">(CI26*$CI$10)</f>
        <v>#VALUE!</v>
      </c>
      <c r="CK27" s="395" t="e">
        <f t="shared" ref="CK27:CK41" si="48">+CJ27/$CI$9</f>
        <v>#VALUE!</v>
      </c>
      <c r="CL27"/>
      <c r="CM27" s="75"/>
      <c r="CN27" s="410"/>
      <c r="CO27" s="393">
        <v>16</v>
      </c>
      <c r="CP27" s="394" t="e">
        <f t="shared" ref="CP27:CP41" si="49">CP26-(CP26*$CP$10)</f>
        <v>#VALUE!</v>
      </c>
      <c r="CQ27" s="394" t="e">
        <f t="shared" ref="CQ27:CQ41" si="50">(CP26*$CP$10)</f>
        <v>#VALUE!</v>
      </c>
      <c r="CR27" s="395" t="e">
        <f t="shared" ref="CR27:CR41" si="51">+CQ27/$CP$9</f>
        <v>#VALUE!</v>
      </c>
      <c r="CS27"/>
      <c r="CT27" s="75"/>
      <c r="CU27" s="410"/>
      <c r="CV27" s="393">
        <v>16</v>
      </c>
      <c r="CW27" s="394" t="e">
        <f t="shared" ref="CW27:CW41" si="52">CW26-(CW26*$CW$10)</f>
        <v>#VALUE!</v>
      </c>
      <c r="CX27" s="394" t="e">
        <f t="shared" ref="CX27:CX41" si="53">(CW26*$CW$10)</f>
        <v>#VALUE!</v>
      </c>
      <c r="CY27" s="395" t="e">
        <f t="shared" ref="CY27:CY41" si="54">+CX27/$CW$9</f>
        <v>#VALUE!</v>
      </c>
      <c r="CZ27"/>
      <c r="DA27" s="75"/>
      <c r="DB27" s="410"/>
      <c r="DC27" s="393">
        <v>16</v>
      </c>
      <c r="DD27" s="394" t="e">
        <f t="shared" ref="DD27:DD41" si="55">DD26-(DD26*$DD$10)</f>
        <v>#VALUE!</v>
      </c>
      <c r="DE27" s="394" t="e">
        <f t="shared" ref="DE27:DE41" si="56">(DD26*$DD$10)</f>
        <v>#VALUE!</v>
      </c>
      <c r="DF27" s="395" t="e">
        <f t="shared" ref="DF27:DF41" si="57">+DE27/$DD$9</f>
        <v>#VALUE!</v>
      </c>
      <c r="DG27"/>
      <c r="DH27" s="75"/>
      <c r="DI27" s="410"/>
      <c r="DJ27" s="393">
        <v>16</v>
      </c>
      <c r="DK27" s="394" t="e">
        <f t="shared" ref="DK27:DK41" si="58">DK26-(DK26*$DK$10)</f>
        <v>#VALUE!</v>
      </c>
      <c r="DL27" s="394" t="e">
        <f t="shared" ref="DL27:DL41" si="59">(DK26*$DK$10)</f>
        <v>#VALUE!</v>
      </c>
      <c r="DM27" s="395" t="e">
        <f t="shared" ref="DM27:DM41" si="60">+DL27/$DK$9</f>
        <v>#VALUE!</v>
      </c>
      <c r="DN27"/>
      <c r="DO27" s="75"/>
    </row>
    <row r="28" spans="1:119" ht="15.75" customHeight="1" x14ac:dyDescent="0.25">
      <c r="A28" s="247" t="s">
        <v>929</v>
      </c>
      <c r="B28" s="12"/>
      <c r="C28" s="408"/>
      <c r="D28" s="12"/>
      <c r="E28" s="408"/>
      <c r="F28" s="12"/>
      <c r="G28" s="408"/>
      <c r="H28" s="12"/>
      <c r="I28" s="408"/>
      <c r="J28" s="12"/>
      <c r="K28" s="408"/>
      <c r="L28" s="12"/>
      <c r="M28" s="408"/>
      <c r="N28" s="12"/>
      <c r="O28" s="408"/>
      <c r="P28" s="12"/>
      <c r="Q28" s="408"/>
      <c r="R28" s="12"/>
      <c r="S28" s="408"/>
      <c r="T28" s="12"/>
      <c r="U28" s="408"/>
      <c r="AW28" s="403"/>
      <c r="AX28" s="368">
        <f t="shared" si="31"/>
        <v>16</v>
      </c>
      <c r="AY28" s="393">
        <v>17</v>
      </c>
      <c r="AZ28" s="394" t="e">
        <f t="shared" si="32"/>
        <v>#VALUE!</v>
      </c>
      <c r="BA28" s="394" t="e">
        <f t="shared" si="33"/>
        <v>#VALUE!</v>
      </c>
      <c r="BB28" s="395" t="e">
        <f t="shared" si="34"/>
        <v>#VALUE!</v>
      </c>
      <c r="BC28"/>
      <c r="BD28" s="75"/>
      <c r="BE28" s="96"/>
      <c r="BF28" s="393">
        <v>17</v>
      </c>
      <c r="BG28" s="394" t="e">
        <f t="shared" si="35"/>
        <v>#VALUE!</v>
      </c>
      <c r="BH28" s="400" t="e">
        <f t="shared" si="36"/>
        <v>#VALUE!</v>
      </c>
      <c r="BI28" s="395" t="e">
        <f t="shared" si="37"/>
        <v>#VALUE!</v>
      </c>
      <c r="BJ28"/>
      <c r="BK28" s="75"/>
      <c r="BL28" s="368"/>
      <c r="BM28" s="393">
        <v>17</v>
      </c>
      <c r="BN28" s="394" t="e">
        <f t="shared" si="38"/>
        <v>#VALUE!</v>
      </c>
      <c r="BO28" s="394" t="e">
        <f t="shared" si="39"/>
        <v>#VALUE!</v>
      </c>
      <c r="BP28" s="372" t="e">
        <f t="shared" si="10"/>
        <v>#VALUE!</v>
      </c>
      <c r="BQ28"/>
      <c r="BR28" s="75"/>
      <c r="BS28" s="368"/>
      <c r="BT28" s="393">
        <v>17</v>
      </c>
      <c r="BU28" s="394" t="e">
        <f t="shared" si="40"/>
        <v>#VALUE!</v>
      </c>
      <c r="BV28" s="394" t="e">
        <f t="shared" si="41"/>
        <v>#VALUE!</v>
      </c>
      <c r="BW28" s="395" t="e">
        <f t="shared" si="42"/>
        <v>#VALUE!</v>
      </c>
      <c r="BX28"/>
      <c r="BY28" s="75"/>
      <c r="BZ28" s="368"/>
      <c r="CA28" s="393">
        <v>17</v>
      </c>
      <c r="CB28" s="394" t="e">
        <f t="shared" si="43"/>
        <v>#VALUE!</v>
      </c>
      <c r="CC28" s="394" t="e">
        <f t="shared" si="44"/>
        <v>#VALUE!</v>
      </c>
      <c r="CD28" s="395" t="e">
        <f t="shared" si="45"/>
        <v>#VALUE!</v>
      </c>
      <c r="CE28"/>
      <c r="CF28" s="75"/>
      <c r="CG28" s="368"/>
      <c r="CH28" s="393">
        <v>17</v>
      </c>
      <c r="CI28" s="394" t="e">
        <f t="shared" si="46"/>
        <v>#VALUE!</v>
      </c>
      <c r="CJ28" s="394" t="e">
        <f t="shared" si="47"/>
        <v>#VALUE!</v>
      </c>
      <c r="CK28" s="395" t="e">
        <f t="shared" si="48"/>
        <v>#VALUE!</v>
      </c>
      <c r="CL28"/>
      <c r="CM28" s="75"/>
      <c r="CN28" s="368"/>
      <c r="CO28" s="393">
        <v>17</v>
      </c>
      <c r="CP28" s="394" t="e">
        <f t="shared" si="49"/>
        <v>#VALUE!</v>
      </c>
      <c r="CQ28" s="394" t="e">
        <f t="shared" si="50"/>
        <v>#VALUE!</v>
      </c>
      <c r="CR28" s="395" t="e">
        <f t="shared" si="51"/>
        <v>#VALUE!</v>
      </c>
      <c r="CS28"/>
      <c r="CT28" s="75"/>
      <c r="CU28" s="368"/>
      <c r="CV28" s="393">
        <v>17</v>
      </c>
      <c r="CW28" s="394" t="e">
        <f t="shared" si="52"/>
        <v>#VALUE!</v>
      </c>
      <c r="CX28" s="394" t="e">
        <f t="shared" si="53"/>
        <v>#VALUE!</v>
      </c>
      <c r="CY28" s="395" t="e">
        <f t="shared" si="54"/>
        <v>#VALUE!</v>
      </c>
      <c r="CZ28"/>
      <c r="DA28" s="75"/>
      <c r="DB28" s="368"/>
      <c r="DC28" s="393">
        <v>17</v>
      </c>
      <c r="DD28" s="394" t="e">
        <f t="shared" si="55"/>
        <v>#VALUE!</v>
      </c>
      <c r="DE28" s="394" t="e">
        <f t="shared" si="56"/>
        <v>#VALUE!</v>
      </c>
      <c r="DF28" s="395" t="e">
        <f t="shared" si="57"/>
        <v>#VALUE!</v>
      </c>
      <c r="DG28"/>
      <c r="DH28" s="75"/>
      <c r="DI28" s="368"/>
      <c r="DJ28" s="393">
        <v>17</v>
      </c>
      <c r="DK28" s="394" t="e">
        <f t="shared" si="58"/>
        <v>#VALUE!</v>
      </c>
      <c r="DL28" s="394" t="e">
        <f t="shared" si="59"/>
        <v>#VALUE!</v>
      </c>
      <c r="DM28" s="395" t="e">
        <f t="shared" si="60"/>
        <v>#VALUE!</v>
      </c>
      <c r="DN28"/>
      <c r="DO28" s="75"/>
    </row>
    <row r="29" spans="1:119" ht="15.75" customHeight="1" x14ac:dyDescent="0.25">
      <c r="A29" s="1103" t="s">
        <v>912</v>
      </c>
      <c r="B29" s="1104" t="str">
        <f>+IFERROR(VLOOKUP(B28,'References Assumptions'!$A$171:$B$175,2,FALSE),"N/A")</f>
        <v>N/A</v>
      </c>
      <c r="C29" s="1087"/>
      <c r="D29" s="1104" t="str">
        <f>+IFERROR(VLOOKUP(D28,'References Assumptions'!$A$171:$B$175,2,FALSE),"N/A")</f>
        <v>N/A</v>
      </c>
      <c r="E29" s="1087"/>
      <c r="F29" s="1104" t="str">
        <f>+IFERROR(VLOOKUP(F28,'References Assumptions'!$A$171:$B$175,2,FALSE),"N/A")</f>
        <v>N/A</v>
      </c>
      <c r="G29" s="1087"/>
      <c r="H29" s="1104" t="str">
        <f>+IFERROR(VLOOKUP(H28,'References Assumptions'!$A$171:$B$175,2,FALSE),"N/A")</f>
        <v>N/A</v>
      </c>
      <c r="I29" s="1087"/>
      <c r="J29" s="1104" t="str">
        <f>+IFERROR(VLOOKUP(J28,'References Assumptions'!$A$171:$B$175,2,FALSE),"N/A")</f>
        <v>N/A</v>
      </c>
      <c r="K29" s="1087"/>
      <c r="L29" s="1104" t="str">
        <f>+IFERROR(VLOOKUP(L28,'References Assumptions'!$A$171:$B$175,2,FALSE),"N/A")</f>
        <v>N/A</v>
      </c>
      <c r="M29" s="1087"/>
      <c r="N29" s="1104" t="str">
        <f>+IFERROR(VLOOKUP(N28,'References Assumptions'!$A$171:$B$175,2,FALSE),"N/A")</f>
        <v>N/A</v>
      </c>
      <c r="O29" s="1087"/>
      <c r="P29" s="1104" t="str">
        <f>+IFERROR(VLOOKUP(P28,'References Assumptions'!$A$171:$B$175,2,FALSE),"N/A")</f>
        <v>N/A</v>
      </c>
      <c r="Q29" s="1087"/>
      <c r="R29" s="1104" t="str">
        <f>+IFERROR(VLOOKUP(R28,'References Assumptions'!$A$171:$B$175,2,FALSE),"N/A")</f>
        <v>N/A</v>
      </c>
      <c r="S29" s="1087"/>
      <c r="T29" s="1104" t="str">
        <f>+IFERROR(VLOOKUP(T28,'References Assumptions'!$A$171:$B$175,2,FALSE),"N/A")</f>
        <v>N/A</v>
      </c>
      <c r="U29" s="1087"/>
      <c r="AW29" s="96"/>
      <c r="AX29" s="368">
        <f t="shared" si="31"/>
        <v>17</v>
      </c>
      <c r="AY29" s="393">
        <v>18</v>
      </c>
      <c r="AZ29" s="394" t="e">
        <f t="shared" si="32"/>
        <v>#VALUE!</v>
      </c>
      <c r="BA29" s="394" t="e">
        <f t="shared" si="33"/>
        <v>#VALUE!</v>
      </c>
      <c r="BB29" s="395" t="e">
        <f t="shared" si="34"/>
        <v>#VALUE!</v>
      </c>
      <c r="BC29"/>
      <c r="BD29" s="367"/>
      <c r="BE29" s="96"/>
      <c r="BF29" s="393">
        <v>18</v>
      </c>
      <c r="BG29" s="394" t="e">
        <f t="shared" si="35"/>
        <v>#VALUE!</v>
      </c>
      <c r="BH29" s="400" t="e">
        <f t="shared" si="36"/>
        <v>#VALUE!</v>
      </c>
      <c r="BI29" s="395" t="e">
        <f t="shared" si="37"/>
        <v>#VALUE!</v>
      </c>
      <c r="BJ29"/>
      <c r="BK29" s="367"/>
      <c r="BL29" s="368"/>
      <c r="BM29" s="393">
        <v>18</v>
      </c>
      <c r="BN29" s="394" t="e">
        <f t="shared" si="38"/>
        <v>#VALUE!</v>
      </c>
      <c r="BO29" s="394" t="e">
        <f t="shared" si="39"/>
        <v>#VALUE!</v>
      </c>
      <c r="BP29" s="372" t="e">
        <f t="shared" si="10"/>
        <v>#VALUE!</v>
      </c>
      <c r="BQ29"/>
      <c r="BR29" s="367"/>
      <c r="BS29" s="368"/>
      <c r="BT29" s="393">
        <v>18</v>
      </c>
      <c r="BU29" s="394" t="e">
        <f t="shared" si="40"/>
        <v>#VALUE!</v>
      </c>
      <c r="BV29" s="394" t="e">
        <f t="shared" si="41"/>
        <v>#VALUE!</v>
      </c>
      <c r="BW29" s="395" t="e">
        <f t="shared" si="42"/>
        <v>#VALUE!</v>
      </c>
      <c r="BX29"/>
      <c r="BY29" s="367"/>
      <c r="BZ29" s="368"/>
      <c r="CA29" s="393">
        <v>18</v>
      </c>
      <c r="CB29" s="394" t="e">
        <f t="shared" si="43"/>
        <v>#VALUE!</v>
      </c>
      <c r="CC29" s="394" t="e">
        <f t="shared" si="44"/>
        <v>#VALUE!</v>
      </c>
      <c r="CD29" s="395" t="e">
        <f t="shared" si="45"/>
        <v>#VALUE!</v>
      </c>
      <c r="CE29"/>
      <c r="CF29" s="367"/>
      <c r="CG29" s="368"/>
      <c r="CH29" s="393">
        <v>18</v>
      </c>
      <c r="CI29" s="394" t="e">
        <f t="shared" si="46"/>
        <v>#VALUE!</v>
      </c>
      <c r="CJ29" s="394" t="e">
        <f t="shared" si="47"/>
        <v>#VALUE!</v>
      </c>
      <c r="CK29" s="395" t="e">
        <f t="shared" si="48"/>
        <v>#VALUE!</v>
      </c>
      <c r="CL29"/>
      <c r="CM29" s="367"/>
      <c r="CN29" s="368"/>
      <c r="CO29" s="393">
        <v>18</v>
      </c>
      <c r="CP29" s="394" t="e">
        <f t="shared" si="49"/>
        <v>#VALUE!</v>
      </c>
      <c r="CQ29" s="394" t="e">
        <f t="shared" si="50"/>
        <v>#VALUE!</v>
      </c>
      <c r="CR29" s="395" t="e">
        <f t="shared" si="51"/>
        <v>#VALUE!</v>
      </c>
      <c r="CS29"/>
      <c r="CT29" s="367"/>
      <c r="CU29" s="368"/>
      <c r="CV29" s="393">
        <v>18</v>
      </c>
      <c r="CW29" s="394" t="e">
        <f t="shared" si="52"/>
        <v>#VALUE!</v>
      </c>
      <c r="CX29" s="394" t="e">
        <f t="shared" si="53"/>
        <v>#VALUE!</v>
      </c>
      <c r="CY29" s="395" t="e">
        <f t="shared" si="54"/>
        <v>#VALUE!</v>
      </c>
      <c r="CZ29"/>
      <c r="DA29" s="367"/>
      <c r="DB29" s="368"/>
      <c r="DC29" s="393">
        <v>18</v>
      </c>
      <c r="DD29" s="394" t="e">
        <f t="shared" si="55"/>
        <v>#VALUE!</v>
      </c>
      <c r="DE29" s="394" t="e">
        <f t="shared" si="56"/>
        <v>#VALUE!</v>
      </c>
      <c r="DF29" s="395" t="e">
        <f t="shared" si="57"/>
        <v>#VALUE!</v>
      </c>
      <c r="DG29"/>
      <c r="DH29" s="367"/>
      <c r="DI29" s="368"/>
      <c r="DJ29" s="393">
        <v>18</v>
      </c>
      <c r="DK29" s="394" t="e">
        <f t="shared" si="58"/>
        <v>#VALUE!</v>
      </c>
      <c r="DL29" s="394" t="e">
        <f t="shared" si="59"/>
        <v>#VALUE!</v>
      </c>
      <c r="DM29" s="395" t="e">
        <f t="shared" si="60"/>
        <v>#VALUE!</v>
      </c>
      <c r="DN29"/>
      <c r="DO29" s="367"/>
    </row>
    <row r="30" spans="1:119" ht="15.75" customHeight="1" thickBot="1" x14ac:dyDescent="0.3">
      <c r="A30" s="273"/>
      <c r="B30" s="229"/>
      <c r="C30" s="350"/>
      <c r="D30" s="421"/>
      <c r="E30" s="350"/>
      <c r="F30" s="421"/>
      <c r="G30" s="350"/>
      <c r="H30" s="421"/>
      <c r="I30" s="350"/>
      <c r="J30" s="421"/>
      <c r="K30" s="350"/>
      <c r="L30" s="421"/>
      <c r="M30" s="350"/>
      <c r="N30" s="421"/>
      <c r="O30" s="350"/>
      <c r="P30" s="421"/>
      <c r="Q30" s="350"/>
      <c r="R30" s="421"/>
      <c r="S30" s="350"/>
      <c r="T30" s="421"/>
      <c r="U30" s="350"/>
      <c r="AW30" s="96"/>
      <c r="AX30" s="368">
        <f t="shared" si="31"/>
        <v>18</v>
      </c>
      <c r="AY30" s="393">
        <v>19</v>
      </c>
      <c r="AZ30" s="394" t="e">
        <f t="shared" si="32"/>
        <v>#VALUE!</v>
      </c>
      <c r="BA30" s="394" t="e">
        <f t="shared" si="33"/>
        <v>#VALUE!</v>
      </c>
      <c r="BB30" s="395" t="e">
        <f t="shared" si="34"/>
        <v>#VALUE!</v>
      </c>
      <c r="BC30"/>
      <c r="BD30" s="367"/>
      <c r="BE30" s="96"/>
      <c r="BF30" s="393">
        <v>19</v>
      </c>
      <c r="BG30" s="394" t="e">
        <f t="shared" si="35"/>
        <v>#VALUE!</v>
      </c>
      <c r="BH30" s="400" t="e">
        <f t="shared" si="36"/>
        <v>#VALUE!</v>
      </c>
      <c r="BI30" s="395" t="e">
        <f t="shared" si="37"/>
        <v>#VALUE!</v>
      </c>
      <c r="BJ30"/>
      <c r="BK30" s="367"/>
      <c r="BL30" s="368"/>
      <c r="BM30" s="393">
        <v>19</v>
      </c>
      <c r="BN30" s="394" t="e">
        <f t="shared" si="38"/>
        <v>#VALUE!</v>
      </c>
      <c r="BO30" s="394" t="e">
        <f t="shared" si="39"/>
        <v>#VALUE!</v>
      </c>
      <c r="BP30" s="372" t="e">
        <f t="shared" si="10"/>
        <v>#VALUE!</v>
      </c>
      <c r="BQ30"/>
      <c r="BR30" s="367"/>
      <c r="BS30" s="368"/>
      <c r="BT30" s="393">
        <v>19</v>
      </c>
      <c r="BU30" s="394" t="e">
        <f t="shared" si="40"/>
        <v>#VALUE!</v>
      </c>
      <c r="BV30" s="394" t="e">
        <f t="shared" si="41"/>
        <v>#VALUE!</v>
      </c>
      <c r="BW30" s="395" t="e">
        <f t="shared" si="42"/>
        <v>#VALUE!</v>
      </c>
      <c r="BX30"/>
      <c r="BY30" s="367"/>
      <c r="BZ30" s="368"/>
      <c r="CA30" s="393">
        <v>19</v>
      </c>
      <c r="CB30" s="394" t="e">
        <f t="shared" si="43"/>
        <v>#VALUE!</v>
      </c>
      <c r="CC30" s="394" t="e">
        <f t="shared" si="44"/>
        <v>#VALUE!</v>
      </c>
      <c r="CD30" s="395" t="e">
        <f t="shared" si="45"/>
        <v>#VALUE!</v>
      </c>
      <c r="CE30"/>
      <c r="CF30" s="367"/>
      <c r="CG30" s="368"/>
      <c r="CH30" s="393">
        <v>19</v>
      </c>
      <c r="CI30" s="394" t="e">
        <f t="shared" si="46"/>
        <v>#VALUE!</v>
      </c>
      <c r="CJ30" s="394" t="e">
        <f t="shared" si="47"/>
        <v>#VALUE!</v>
      </c>
      <c r="CK30" s="395" t="e">
        <f t="shared" si="48"/>
        <v>#VALUE!</v>
      </c>
      <c r="CL30"/>
      <c r="CM30" s="367"/>
      <c r="CN30" s="368"/>
      <c r="CO30" s="393">
        <v>19</v>
      </c>
      <c r="CP30" s="394" t="e">
        <f t="shared" si="49"/>
        <v>#VALUE!</v>
      </c>
      <c r="CQ30" s="394" t="e">
        <f t="shared" si="50"/>
        <v>#VALUE!</v>
      </c>
      <c r="CR30" s="395" t="e">
        <f t="shared" si="51"/>
        <v>#VALUE!</v>
      </c>
      <c r="CS30"/>
      <c r="CT30" s="367"/>
      <c r="CU30" s="368"/>
      <c r="CV30" s="393">
        <v>19</v>
      </c>
      <c r="CW30" s="394" t="e">
        <f t="shared" si="52"/>
        <v>#VALUE!</v>
      </c>
      <c r="CX30" s="394" t="e">
        <f t="shared" si="53"/>
        <v>#VALUE!</v>
      </c>
      <c r="CY30" s="395" t="e">
        <f t="shared" si="54"/>
        <v>#VALUE!</v>
      </c>
      <c r="CZ30"/>
      <c r="DA30" s="367"/>
      <c r="DB30" s="368"/>
      <c r="DC30" s="393">
        <v>19</v>
      </c>
      <c r="DD30" s="394" t="e">
        <f t="shared" si="55"/>
        <v>#VALUE!</v>
      </c>
      <c r="DE30" s="394" t="e">
        <f t="shared" si="56"/>
        <v>#VALUE!</v>
      </c>
      <c r="DF30" s="395" t="e">
        <f t="shared" si="57"/>
        <v>#VALUE!</v>
      </c>
      <c r="DG30"/>
      <c r="DH30" s="367"/>
      <c r="DI30" s="368"/>
      <c r="DJ30" s="393">
        <v>19</v>
      </c>
      <c r="DK30" s="394" t="e">
        <f t="shared" si="58"/>
        <v>#VALUE!</v>
      </c>
      <c r="DL30" s="394" t="e">
        <f t="shared" si="59"/>
        <v>#VALUE!</v>
      </c>
      <c r="DM30" s="395" t="e">
        <f t="shared" si="60"/>
        <v>#VALUE!</v>
      </c>
      <c r="DN30"/>
      <c r="DO30" s="367"/>
    </row>
    <row r="31" spans="1:119" ht="15.75" customHeight="1" thickBot="1" x14ac:dyDescent="0.3">
      <c r="A31" s="1300" t="s">
        <v>282</v>
      </c>
      <c r="B31" s="1301"/>
      <c r="C31" s="1301"/>
      <c r="D31" s="1301"/>
      <c r="E31" s="1301"/>
      <c r="F31" s="1301"/>
      <c r="G31" s="1301"/>
      <c r="H31" s="1301"/>
      <c r="I31" s="1301"/>
      <c r="J31" s="1301"/>
      <c r="K31" s="1301"/>
      <c r="L31" s="1301"/>
      <c r="M31" s="1301"/>
      <c r="N31" s="1301"/>
      <c r="O31" s="1301"/>
      <c r="P31" s="1301"/>
      <c r="Q31" s="1301"/>
      <c r="R31" s="1301"/>
      <c r="S31" s="1301"/>
      <c r="T31" s="1301"/>
      <c r="U31" s="1302"/>
      <c r="AW31" s="96"/>
      <c r="AX31" s="368">
        <f t="shared" si="31"/>
        <v>19</v>
      </c>
      <c r="AY31" s="393">
        <v>20</v>
      </c>
      <c r="AZ31" s="394" t="e">
        <f t="shared" si="32"/>
        <v>#VALUE!</v>
      </c>
      <c r="BA31" s="394" t="e">
        <f t="shared" si="33"/>
        <v>#VALUE!</v>
      </c>
      <c r="BB31" s="395" t="e">
        <f t="shared" si="34"/>
        <v>#VALUE!</v>
      </c>
      <c r="BC31"/>
      <c r="BD31" s="367"/>
      <c r="BE31" s="96"/>
      <c r="BF31" s="393">
        <v>20</v>
      </c>
      <c r="BG31" s="394" t="e">
        <f t="shared" si="35"/>
        <v>#VALUE!</v>
      </c>
      <c r="BH31" s="400" t="e">
        <f t="shared" si="36"/>
        <v>#VALUE!</v>
      </c>
      <c r="BI31" s="395" t="e">
        <f t="shared" si="37"/>
        <v>#VALUE!</v>
      </c>
      <c r="BJ31"/>
      <c r="BK31" s="367"/>
      <c r="BL31" s="368"/>
      <c r="BM31" s="393">
        <v>20</v>
      </c>
      <c r="BN31" s="394" t="e">
        <f t="shared" si="38"/>
        <v>#VALUE!</v>
      </c>
      <c r="BO31" s="394" t="e">
        <f t="shared" si="39"/>
        <v>#VALUE!</v>
      </c>
      <c r="BP31" s="372" t="e">
        <f t="shared" si="10"/>
        <v>#VALUE!</v>
      </c>
      <c r="BQ31"/>
      <c r="BR31" s="367"/>
      <c r="BS31" s="368"/>
      <c r="BT31" s="393">
        <v>20</v>
      </c>
      <c r="BU31" s="394" t="e">
        <f t="shared" si="40"/>
        <v>#VALUE!</v>
      </c>
      <c r="BV31" s="394" t="e">
        <f t="shared" si="41"/>
        <v>#VALUE!</v>
      </c>
      <c r="BW31" s="395" t="e">
        <f t="shared" si="42"/>
        <v>#VALUE!</v>
      </c>
      <c r="BX31"/>
      <c r="BY31" s="367"/>
      <c r="BZ31" s="368"/>
      <c r="CA31" s="393">
        <v>20</v>
      </c>
      <c r="CB31" s="394" t="e">
        <f t="shared" si="43"/>
        <v>#VALUE!</v>
      </c>
      <c r="CC31" s="394" t="e">
        <f t="shared" si="44"/>
        <v>#VALUE!</v>
      </c>
      <c r="CD31" s="395" t="e">
        <f t="shared" si="45"/>
        <v>#VALUE!</v>
      </c>
      <c r="CE31"/>
      <c r="CF31" s="367"/>
      <c r="CG31" s="368"/>
      <c r="CH31" s="393">
        <v>20</v>
      </c>
      <c r="CI31" s="394" t="e">
        <f t="shared" si="46"/>
        <v>#VALUE!</v>
      </c>
      <c r="CJ31" s="394" t="e">
        <f t="shared" si="47"/>
        <v>#VALUE!</v>
      </c>
      <c r="CK31" s="395" t="e">
        <f t="shared" si="48"/>
        <v>#VALUE!</v>
      </c>
      <c r="CL31"/>
      <c r="CM31" s="367"/>
      <c r="CN31" s="368"/>
      <c r="CO31" s="393">
        <v>20</v>
      </c>
      <c r="CP31" s="394" t="e">
        <f t="shared" si="49"/>
        <v>#VALUE!</v>
      </c>
      <c r="CQ31" s="394" t="e">
        <f t="shared" si="50"/>
        <v>#VALUE!</v>
      </c>
      <c r="CR31" s="395" t="e">
        <f t="shared" si="51"/>
        <v>#VALUE!</v>
      </c>
      <c r="CS31"/>
      <c r="CT31" s="367"/>
      <c r="CU31" s="368"/>
      <c r="CV31" s="393">
        <v>20</v>
      </c>
      <c r="CW31" s="394" t="e">
        <f t="shared" si="52"/>
        <v>#VALUE!</v>
      </c>
      <c r="CX31" s="394" t="e">
        <f t="shared" si="53"/>
        <v>#VALUE!</v>
      </c>
      <c r="CY31" s="395" t="e">
        <f t="shared" si="54"/>
        <v>#VALUE!</v>
      </c>
      <c r="CZ31"/>
      <c r="DA31" s="367"/>
      <c r="DB31" s="368"/>
      <c r="DC31" s="393">
        <v>20</v>
      </c>
      <c r="DD31" s="394" t="e">
        <f t="shared" si="55"/>
        <v>#VALUE!</v>
      </c>
      <c r="DE31" s="394" t="e">
        <f t="shared" si="56"/>
        <v>#VALUE!</v>
      </c>
      <c r="DF31" s="395" t="e">
        <f t="shared" si="57"/>
        <v>#VALUE!</v>
      </c>
      <c r="DG31"/>
      <c r="DH31" s="367"/>
      <c r="DI31" s="368"/>
      <c r="DJ31" s="393">
        <v>20</v>
      </c>
      <c r="DK31" s="394" t="e">
        <f t="shared" si="58"/>
        <v>#VALUE!</v>
      </c>
      <c r="DL31" s="394" t="e">
        <f t="shared" si="59"/>
        <v>#VALUE!</v>
      </c>
      <c r="DM31" s="395" t="e">
        <f t="shared" si="60"/>
        <v>#VALUE!</v>
      </c>
      <c r="DN31"/>
      <c r="DO31" s="367"/>
    </row>
    <row r="32" spans="1:119" ht="15.75" customHeight="1" x14ac:dyDescent="0.35">
      <c r="A32" s="270" t="s">
        <v>519</v>
      </c>
      <c r="B32" s="449" t="str">
        <f>+IFERROR(B20*landfill_uncertainty*C_to_CH4_conversion*CH4_in_landfill_gas*B$27*$AU$11*SUM($BB$12:$BB$16)*'Landfill Disposal Worst-case'!B$21,"N/A")</f>
        <v>N/A</v>
      </c>
      <c r="C32" s="414"/>
      <c r="D32" s="449" t="str">
        <f>+IFERROR(D20*landfill_uncertainty*C_to_CH4_conversion*CH4_in_landfill_gas*D$27*$AU$11*SUM($BI$12:$BI$16)*'Landfill Disposal Worst-case'!D$21,"N/A")</f>
        <v>N/A</v>
      </c>
      <c r="E32" s="414"/>
      <c r="F32" s="449" t="str">
        <f>+IFERROR(F20*landfill_uncertainty*C_to_CH4_conversion*CH4_in_landfill_gas*F$27*$AU$11*SUM($BP$12:$BP$16)*'Landfill Disposal Worst-case'!F$21,"N/A")</f>
        <v>N/A</v>
      </c>
      <c r="G32" s="414"/>
      <c r="H32" s="449" t="str">
        <f>+IFERROR(H20*landfill_uncertainty*C_to_CH4_conversion*CH4_in_landfill_gas*H$27*$AU$11*SUM($BW$12:$BW$16)*'Landfill Disposal Worst-case'!H$21,"N/A")</f>
        <v>N/A</v>
      </c>
      <c r="I32" s="414"/>
      <c r="J32" s="449" t="str">
        <f>+IFERROR(J20*landfill_uncertainty*C_to_CH4_conversion*CH4_in_landfill_gas*J$27*$AU$11*SUM($CD$12:$CD$16)*'Landfill Disposal Worst-case'!J$21,"N/A")</f>
        <v>N/A</v>
      </c>
      <c r="K32" s="414"/>
      <c r="L32" s="449" t="str">
        <f>+IFERROR(L20*landfill_uncertainty*C_to_CH4_conversion*CH4_in_landfill_gas*L$27*$AU$11*SUM($CK$12:$CK$16)*'Landfill Disposal Worst-case'!L$21,"N/A")</f>
        <v>N/A</v>
      </c>
      <c r="M32" s="414"/>
      <c r="N32" s="449" t="str">
        <f>+IFERROR(N20*landfill_uncertainty*C_to_CH4_conversion*CH4_in_landfill_gas*N$27*$AU$11*SUM($CR$12:$CR$16)*'Landfill Disposal Worst-case'!N$21,"N/A")</f>
        <v>N/A</v>
      </c>
      <c r="O32" s="414"/>
      <c r="P32" s="449" t="str">
        <f>+IFERROR(P20*landfill_uncertainty*C_to_CH4_conversion*CH4_in_landfill_gas*P$27*$AU$11*SUM($CY$12:$CY$16)*'Landfill Disposal Worst-case'!P$21,"N/A")</f>
        <v>N/A</v>
      </c>
      <c r="Q32" s="414"/>
      <c r="R32" s="449" t="str">
        <f>+IFERROR(R20*landfill_uncertainty*C_to_CH4_conversion*CH4_in_landfill_gas*R$27*$AU$11*SUM($DF$12:$DF$16)*'Landfill Disposal Worst-case'!R$21,"N/A")</f>
        <v>N/A</v>
      </c>
      <c r="S32" s="414"/>
      <c r="T32" s="449" t="str">
        <f>+IFERROR(T20*landfill_uncertainty*C_to_CH4_conversion*CH4_in_landfill_gas*T$27*$AU$11*SUM($DM$12:$DM$16)*'Landfill Disposal Worst-case'!T$21,"N/A")</f>
        <v>N/A</v>
      </c>
      <c r="U32" s="414"/>
      <c r="AW32" s="96"/>
      <c r="AX32" s="368">
        <f t="shared" si="31"/>
        <v>20</v>
      </c>
      <c r="AY32" s="393">
        <v>21</v>
      </c>
      <c r="AZ32" s="394" t="e">
        <f t="shared" si="32"/>
        <v>#VALUE!</v>
      </c>
      <c r="BA32" s="394" t="e">
        <f t="shared" si="33"/>
        <v>#VALUE!</v>
      </c>
      <c r="BB32" s="395" t="e">
        <f t="shared" si="34"/>
        <v>#VALUE!</v>
      </c>
      <c r="BD32" s="367"/>
      <c r="BE32" s="96"/>
      <c r="BF32" s="393">
        <v>21</v>
      </c>
      <c r="BG32" s="394" t="e">
        <f t="shared" si="35"/>
        <v>#VALUE!</v>
      </c>
      <c r="BH32" s="400" t="e">
        <f t="shared" si="36"/>
        <v>#VALUE!</v>
      </c>
      <c r="BI32" s="395" t="e">
        <f t="shared" si="37"/>
        <v>#VALUE!</v>
      </c>
      <c r="BK32" s="367"/>
      <c r="BL32" s="368"/>
      <c r="BM32" s="393">
        <v>21</v>
      </c>
      <c r="BN32" s="394" t="e">
        <f t="shared" si="38"/>
        <v>#VALUE!</v>
      </c>
      <c r="BO32" s="394" t="e">
        <f t="shared" si="39"/>
        <v>#VALUE!</v>
      </c>
      <c r="BP32" s="372" t="e">
        <f t="shared" si="10"/>
        <v>#VALUE!</v>
      </c>
      <c r="BR32" s="367"/>
      <c r="BS32" s="368"/>
      <c r="BT32" s="393">
        <v>21</v>
      </c>
      <c r="BU32" s="394" t="e">
        <f t="shared" si="40"/>
        <v>#VALUE!</v>
      </c>
      <c r="BV32" s="394" t="e">
        <f t="shared" si="41"/>
        <v>#VALUE!</v>
      </c>
      <c r="BW32" s="395" t="e">
        <f t="shared" si="42"/>
        <v>#VALUE!</v>
      </c>
      <c r="BY32" s="367"/>
      <c r="BZ32" s="368"/>
      <c r="CA32" s="393">
        <v>21</v>
      </c>
      <c r="CB32" s="394" t="e">
        <f t="shared" si="43"/>
        <v>#VALUE!</v>
      </c>
      <c r="CC32" s="394" t="e">
        <f t="shared" si="44"/>
        <v>#VALUE!</v>
      </c>
      <c r="CD32" s="395" t="e">
        <f t="shared" si="45"/>
        <v>#VALUE!</v>
      </c>
      <c r="CF32" s="367"/>
      <c r="CG32" s="368"/>
      <c r="CH32" s="393">
        <v>21</v>
      </c>
      <c r="CI32" s="394" t="e">
        <f t="shared" si="46"/>
        <v>#VALUE!</v>
      </c>
      <c r="CJ32" s="394" t="e">
        <f t="shared" si="47"/>
        <v>#VALUE!</v>
      </c>
      <c r="CK32" s="395" t="e">
        <f t="shared" si="48"/>
        <v>#VALUE!</v>
      </c>
      <c r="CM32" s="367"/>
      <c r="CN32" s="368"/>
      <c r="CO32" s="393">
        <v>21</v>
      </c>
      <c r="CP32" s="394" t="e">
        <f t="shared" si="49"/>
        <v>#VALUE!</v>
      </c>
      <c r="CQ32" s="394" t="e">
        <f t="shared" si="50"/>
        <v>#VALUE!</v>
      </c>
      <c r="CR32" s="395" t="e">
        <f t="shared" si="51"/>
        <v>#VALUE!</v>
      </c>
      <c r="CT32" s="367"/>
      <c r="CU32" s="368"/>
      <c r="CV32" s="393">
        <v>21</v>
      </c>
      <c r="CW32" s="394" t="e">
        <f t="shared" si="52"/>
        <v>#VALUE!</v>
      </c>
      <c r="CX32" s="394" t="e">
        <f t="shared" si="53"/>
        <v>#VALUE!</v>
      </c>
      <c r="CY32" s="395" t="e">
        <f t="shared" si="54"/>
        <v>#VALUE!</v>
      </c>
      <c r="DA32" s="367"/>
      <c r="DB32" s="368"/>
      <c r="DC32" s="393">
        <v>21</v>
      </c>
      <c r="DD32" s="394" t="e">
        <f t="shared" si="55"/>
        <v>#VALUE!</v>
      </c>
      <c r="DE32" s="394" t="e">
        <f t="shared" si="56"/>
        <v>#VALUE!</v>
      </c>
      <c r="DF32" s="395" t="e">
        <f t="shared" si="57"/>
        <v>#VALUE!</v>
      </c>
      <c r="DH32" s="367"/>
      <c r="DI32" s="368"/>
      <c r="DJ32" s="393">
        <v>21</v>
      </c>
      <c r="DK32" s="394" t="e">
        <f t="shared" si="58"/>
        <v>#VALUE!</v>
      </c>
      <c r="DL32" s="394" t="e">
        <f t="shared" si="59"/>
        <v>#VALUE!</v>
      </c>
      <c r="DM32" s="395" t="e">
        <f t="shared" si="60"/>
        <v>#VALUE!</v>
      </c>
      <c r="DO32" s="367"/>
    </row>
    <row r="33" spans="1:119" ht="15.75" customHeight="1" x14ac:dyDescent="0.35">
      <c r="A33" s="245" t="s">
        <v>520</v>
      </c>
      <c r="B33" s="450" t="str">
        <f>+IFERROR(B20*landfill_uncertainty*C_to_CH4_conversion*CH4_in_landfill_gas*B$27*$AU$12*SUM($BB$17:$BB$21)*'Landfill Disposal Worst-case'!B$21,"N/A")</f>
        <v>N/A</v>
      </c>
      <c r="C33" s="416"/>
      <c r="D33" s="450" t="str">
        <f>+IFERROR(D20*landfill_uncertainty*C_to_CH4_conversion*CH4_in_landfill_gas*D$27*$AU$12*SUM($BI$17:$BI$21)*'Landfill Disposal Worst-case'!D$21,"N/A")</f>
        <v>N/A</v>
      </c>
      <c r="E33" s="416"/>
      <c r="F33" s="450" t="str">
        <f>+IFERROR(F20*landfill_uncertainty*C_to_CH4_conversion*CH4_in_landfill_gas*F$27*$AU$12*SUM($BP$17:$BP$21)*'Landfill Disposal Worst-case'!F$21,"N/A")</f>
        <v>N/A</v>
      </c>
      <c r="G33" s="416"/>
      <c r="H33" s="450" t="str">
        <f>+IFERROR(H20*landfill_uncertainty*C_to_CH4_conversion*CH4_in_landfill_gas*H$27*$AU$12*SUM($BW$17:$BW$21)*'Landfill Disposal Worst-case'!H$21,"N/A")</f>
        <v>N/A</v>
      </c>
      <c r="I33" s="416"/>
      <c r="J33" s="450" t="str">
        <f>+IFERROR(J20*landfill_uncertainty*C_to_CH4_conversion*CH4_in_landfill_gas*J$27*$AU$12*SUM($CD$17:$CD$21)*'Landfill Disposal Worst-case'!J$21,"N/A")</f>
        <v>N/A</v>
      </c>
      <c r="K33" s="416"/>
      <c r="L33" s="450" t="str">
        <f>+IFERROR(L20*landfill_uncertainty*C_to_CH4_conversion*CH4_in_landfill_gas*L$27*$AU$12*SUM($CK$17:$CK$21)*'Landfill Disposal Worst-case'!L$21,"N/A")</f>
        <v>N/A</v>
      </c>
      <c r="M33" s="416"/>
      <c r="N33" s="450" t="str">
        <f>+IFERROR(N20*landfill_uncertainty*C_to_CH4_conversion*CH4_in_landfill_gas*N$27*$AU$12*SUM($CR$17:$CR$21)*'Landfill Disposal Worst-case'!N$21,"N/A")</f>
        <v>N/A</v>
      </c>
      <c r="O33" s="416"/>
      <c r="P33" s="450" t="str">
        <f>+IFERROR(P20*landfill_uncertainty*C_to_CH4_conversion*CH4_in_landfill_gas*P$27*$AU$12*SUM($CY$17:$CY$21)*'Landfill Disposal Worst-case'!P$21,"N/A")</f>
        <v>N/A</v>
      </c>
      <c r="Q33" s="416"/>
      <c r="R33" s="450" t="str">
        <f>+IFERROR(R20*landfill_uncertainty*C_to_CH4_conversion*CH4_in_landfill_gas*R$27*$AU$12*SUM($DF$17:$DF$21)*'Landfill Disposal Worst-case'!R$21,"N/A")</f>
        <v>N/A</v>
      </c>
      <c r="S33" s="416"/>
      <c r="T33" s="450" t="str">
        <f>+IFERROR(T20*landfill_uncertainty*C_to_CH4_conversion*CH4_in_landfill_gas*T$27*$AU$12*SUM($DM$17:$DM$21)*'Landfill Disposal Worst-case'!T$21,"N/A")</f>
        <v>N/A</v>
      </c>
      <c r="U33" s="416"/>
      <c r="AW33" s="96"/>
      <c r="AX33" s="368">
        <f t="shared" si="31"/>
        <v>21</v>
      </c>
      <c r="AY33" s="393">
        <v>22</v>
      </c>
      <c r="AZ33" s="394" t="e">
        <f t="shared" si="32"/>
        <v>#VALUE!</v>
      </c>
      <c r="BA33" s="394" t="e">
        <f t="shared" si="33"/>
        <v>#VALUE!</v>
      </c>
      <c r="BB33" s="395" t="e">
        <f t="shared" si="34"/>
        <v>#VALUE!</v>
      </c>
      <c r="BD33" s="367"/>
      <c r="BE33" s="96"/>
      <c r="BF33" s="393">
        <v>22</v>
      </c>
      <c r="BG33" s="394" t="e">
        <f t="shared" si="35"/>
        <v>#VALUE!</v>
      </c>
      <c r="BH33" s="400" t="e">
        <f t="shared" si="36"/>
        <v>#VALUE!</v>
      </c>
      <c r="BI33" s="395" t="e">
        <f t="shared" si="37"/>
        <v>#VALUE!</v>
      </c>
      <c r="BK33" s="367"/>
      <c r="BL33" s="368"/>
      <c r="BM33" s="393">
        <v>22</v>
      </c>
      <c r="BN33" s="394" t="e">
        <f t="shared" si="38"/>
        <v>#VALUE!</v>
      </c>
      <c r="BO33" s="394" t="e">
        <f t="shared" si="39"/>
        <v>#VALUE!</v>
      </c>
      <c r="BP33" s="372" t="e">
        <f t="shared" si="10"/>
        <v>#VALUE!</v>
      </c>
      <c r="BR33" s="367"/>
      <c r="BS33" s="368"/>
      <c r="BT33" s="393">
        <v>22</v>
      </c>
      <c r="BU33" s="394" t="e">
        <f t="shared" si="40"/>
        <v>#VALUE!</v>
      </c>
      <c r="BV33" s="394" t="e">
        <f t="shared" si="41"/>
        <v>#VALUE!</v>
      </c>
      <c r="BW33" s="395" t="e">
        <f t="shared" si="42"/>
        <v>#VALUE!</v>
      </c>
      <c r="BY33" s="367"/>
      <c r="BZ33" s="368"/>
      <c r="CA33" s="393">
        <v>22</v>
      </c>
      <c r="CB33" s="394" t="e">
        <f t="shared" si="43"/>
        <v>#VALUE!</v>
      </c>
      <c r="CC33" s="394" t="e">
        <f t="shared" si="44"/>
        <v>#VALUE!</v>
      </c>
      <c r="CD33" s="395" t="e">
        <f t="shared" si="45"/>
        <v>#VALUE!</v>
      </c>
      <c r="CF33" s="367"/>
      <c r="CG33" s="368"/>
      <c r="CH33" s="393">
        <v>22</v>
      </c>
      <c r="CI33" s="394" t="e">
        <f t="shared" si="46"/>
        <v>#VALUE!</v>
      </c>
      <c r="CJ33" s="394" t="e">
        <f t="shared" si="47"/>
        <v>#VALUE!</v>
      </c>
      <c r="CK33" s="395" t="e">
        <f t="shared" si="48"/>
        <v>#VALUE!</v>
      </c>
      <c r="CM33" s="367"/>
      <c r="CN33" s="368"/>
      <c r="CO33" s="393">
        <v>22</v>
      </c>
      <c r="CP33" s="394" t="e">
        <f t="shared" si="49"/>
        <v>#VALUE!</v>
      </c>
      <c r="CQ33" s="394" t="e">
        <f t="shared" si="50"/>
        <v>#VALUE!</v>
      </c>
      <c r="CR33" s="395" t="e">
        <f t="shared" si="51"/>
        <v>#VALUE!</v>
      </c>
      <c r="CT33" s="367"/>
      <c r="CU33" s="368"/>
      <c r="CV33" s="393">
        <v>22</v>
      </c>
      <c r="CW33" s="394" t="e">
        <f t="shared" si="52"/>
        <v>#VALUE!</v>
      </c>
      <c r="CX33" s="394" t="e">
        <f t="shared" si="53"/>
        <v>#VALUE!</v>
      </c>
      <c r="CY33" s="395" t="e">
        <f t="shared" si="54"/>
        <v>#VALUE!</v>
      </c>
      <c r="DA33" s="367"/>
      <c r="DB33" s="368"/>
      <c r="DC33" s="393">
        <v>22</v>
      </c>
      <c r="DD33" s="394" t="e">
        <f t="shared" si="55"/>
        <v>#VALUE!</v>
      </c>
      <c r="DE33" s="394" t="e">
        <f t="shared" si="56"/>
        <v>#VALUE!</v>
      </c>
      <c r="DF33" s="395" t="e">
        <f t="shared" si="57"/>
        <v>#VALUE!</v>
      </c>
      <c r="DH33" s="367"/>
      <c r="DI33" s="368"/>
      <c r="DJ33" s="393">
        <v>22</v>
      </c>
      <c r="DK33" s="394" t="e">
        <f t="shared" si="58"/>
        <v>#VALUE!</v>
      </c>
      <c r="DL33" s="394" t="e">
        <f t="shared" si="59"/>
        <v>#VALUE!</v>
      </c>
      <c r="DM33" s="395" t="e">
        <f t="shared" si="60"/>
        <v>#VALUE!</v>
      </c>
      <c r="DO33" s="367"/>
    </row>
    <row r="34" spans="1:119" ht="15.75" customHeight="1" x14ac:dyDescent="0.35">
      <c r="A34" s="245" t="s">
        <v>521</v>
      </c>
      <c r="B34" s="450" t="str">
        <f>+IFERROR(B20*landfill_uncertainty*C_to_CH4_conversion*CH4_in_landfill_gas*B$27*$AU$13*SUM($BB$22:$BB$26)*'Landfill Disposal Worst-case'!B$21,"N/A")</f>
        <v>N/A</v>
      </c>
      <c r="C34" s="416"/>
      <c r="D34" s="450" t="str">
        <f>+IFERROR(D20*landfill_uncertainty*C_to_CH4_conversion*CH4_in_landfill_gas*D$27*$AU$13*SUM($BI$22:$BI$26)*'Landfill Disposal Worst-case'!D$21,"N/A")</f>
        <v>N/A</v>
      </c>
      <c r="E34" s="416"/>
      <c r="F34" s="450" t="str">
        <f>+IFERROR(F20*landfill_uncertainty*C_to_CH4_conversion*CH4_in_landfill_gas*F$27*$AU$13*SUM($BP$22:$BP$26)*'Landfill Disposal Worst-case'!F$21,"N/A")</f>
        <v>N/A</v>
      </c>
      <c r="G34" s="416"/>
      <c r="H34" s="450" t="str">
        <f>+IFERROR(H20*landfill_uncertainty*C_to_CH4_conversion*CH4_in_landfill_gas*H$27*$AU$13*SUM($BW$22:$BW$26)*'Landfill Disposal Worst-case'!H$21,"N/A")</f>
        <v>N/A</v>
      </c>
      <c r="I34" s="416"/>
      <c r="J34" s="450" t="str">
        <f>+IFERROR(J20*landfill_uncertainty*C_to_CH4_conversion*CH4_in_landfill_gas*J$27*$AU$13*SUM($CD$22:$CD$26)*'Landfill Disposal Worst-case'!J$21,"N/A")</f>
        <v>N/A</v>
      </c>
      <c r="K34" s="416"/>
      <c r="L34" s="450" t="str">
        <f>+IFERROR(L20*landfill_uncertainty*C_to_CH4_conversion*CH4_in_landfill_gas*L$27*$AU$13*SUM($CK$22:$CK$26)*'Landfill Disposal Worst-case'!L$21,"N/A")</f>
        <v>N/A</v>
      </c>
      <c r="M34" s="416"/>
      <c r="N34" s="450" t="str">
        <f>+IFERROR(N20*landfill_uncertainty*C_to_CH4_conversion*CH4_in_landfill_gas*N$27*$AU$13*SUM($CR$22:$CR$26)*'Landfill Disposal Worst-case'!N$21,"N/A")</f>
        <v>N/A</v>
      </c>
      <c r="O34" s="416"/>
      <c r="P34" s="450" t="str">
        <f>+IFERROR(P20*landfill_uncertainty*C_to_CH4_conversion*CH4_in_landfill_gas*P$27*$AU$13*SUM($CY$22:$CY$26)*'Landfill Disposal Worst-case'!P$21,"N/A")</f>
        <v>N/A</v>
      </c>
      <c r="Q34" s="416"/>
      <c r="R34" s="450" t="str">
        <f>+IFERROR(R20*landfill_uncertainty*C_to_CH4_conversion*CH4_in_landfill_gas*R$27*$AU$13*SUM($DF$22:$DF$26)*'Landfill Disposal Worst-case'!R$21,"N/A")</f>
        <v>N/A</v>
      </c>
      <c r="S34" s="416"/>
      <c r="T34" s="450" t="str">
        <f>+IFERROR(T20*landfill_uncertainty*C_to_CH4_conversion*CH4_in_landfill_gas*T$27*$AU$13*SUM($DM$22:$DM$26)*'Landfill Disposal Worst-case'!T$21,"N/A")</f>
        <v>N/A</v>
      </c>
      <c r="U34" s="416"/>
      <c r="AW34" s="96"/>
      <c r="AX34" s="368">
        <f t="shared" si="31"/>
        <v>22</v>
      </c>
      <c r="AY34" s="393">
        <v>23</v>
      </c>
      <c r="AZ34" s="394" t="e">
        <f t="shared" si="32"/>
        <v>#VALUE!</v>
      </c>
      <c r="BA34" s="394" t="e">
        <f t="shared" si="33"/>
        <v>#VALUE!</v>
      </c>
      <c r="BB34" s="395" t="e">
        <f t="shared" si="34"/>
        <v>#VALUE!</v>
      </c>
      <c r="BD34" s="367"/>
      <c r="BE34" s="96"/>
      <c r="BF34" s="393">
        <v>23</v>
      </c>
      <c r="BG34" s="394" t="e">
        <f t="shared" si="35"/>
        <v>#VALUE!</v>
      </c>
      <c r="BH34" s="400" t="e">
        <f t="shared" si="36"/>
        <v>#VALUE!</v>
      </c>
      <c r="BI34" s="395" t="e">
        <f t="shared" si="37"/>
        <v>#VALUE!</v>
      </c>
      <c r="BK34" s="367"/>
      <c r="BL34" s="368"/>
      <c r="BM34" s="393">
        <v>23</v>
      </c>
      <c r="BN34" s="394" t="e">
        <f t="shared" si="38"/>
        <v>#VALUE!</v>
      </c>
      <c r="BO34" s="394" t="e">
        <f t="shared" si="39"/>
        <v>#VALUE!</v>
      </c>
      <c r="BP34" s="372" t="e">
        <f t="shared" si="10"/>
        <v>#VALUE!</v>
      </c>
      <c r="BR34" s="367"/>
      <c r="BS34" s="368"/>
      <c r="BT34" s="393">
        <v>23</v>
      </c>
      <c r="BU34" s="394" t="e">
        <f t="shared" si="40"/>
        <v>#VALUE!</v>
      </c>
      <c r="BV34" s="394" t="e">
        <f t="shared" si="41"/>
        <v>#VALUE!</v>
      </c>
      <c r="BW34" s="395" t="e">
        <f t="shared" si="42"/>
        <v>#VALUE!</v>
      </c>
      <c r="BY34" s="367"/>
      <c r="BZ34" s="368"/>
      <c r="CA34" s="393">
        <v>23</v>
      </c>
      <c r="CB34" s="394" t="e">
        <f t="shared" si="43"/>
        <v>#VALUE!</v>
      </c>
      <c r="CC34" s="394" t="e">
        <f t="shared" si="44"/>
        <v>#VALUE!</v>
      </c>
      <c r="CD34" s="395" t="e">
        <f t="shared" si="45"/>
        <v>#VALUE!</v>
      </c>
      <c r="CF34" s="367"/>
      <c r="CG34" s="368"/>
      <c r="CH34" s="393">
        <v>23</v>
      </c>
      <c r="CI34" s="394" t="e">
        <f t="shared" si="46"/>
        <v>#VALUE!</v>
      </c>
      <c r="CJ34" s="394" t="e">
        <f t="shared" si="47"/>
        <v>#VALUE!</v>
      </c>
      <c r="CK34" s="395" t="e">
        <f t="shared" si="48"/>
        <v>#VALUE!</v>
      </c>
      <c r="CM34" s="367"/>
      <c r="CN34" s="368"/>
      <c r="CO34" s="393">
        <v>23</v>
      </c>
      <c r="CP34" s="394" t="e">
        <f t="shared" si="49"/>
        <v>#VALUE!</v>
      </c>
      <c r="CQ34" s="394" t="e">
        <f t="shared" si="50"/>
        <v>#VALUE!</v>
      </c>
      <c r="CR34" s="395" t="e">
        <f t="shared" si="51"/>
        <v>#VALUE!</v>
      </c>
      <c r="CT34" s="367"/>
      <c r="CU34" s="368"/>
      <c r="CV34" s="393">
        <v>23</v>
      </c>
      <c r="CW34" s="394" t="e">
        <f t="shared" si="52"/>
        <v>#VALUE!</v>
      </c>
      <c r="CX34" s="394" t="e">
        <f t="shared" si="53"/>
        <v>#VALUE!</v>
      </c>
      <c r="CY34" s="395" t="e">
        <f t="shared" si="54"/>
        <v>#VALUE!</v>
      </c>
      <c r="DA34" s="367"/>
      <c r="DB34" s="368"/>
      <c r="DC34" s="393">
        <v>23</v>
      </c>
      <c r="DD34" s="394" t="e">
        <f t="shared" si="55"/>
        <v>#VALUE!</v>
      </c>
      <c r="DE34" s="394" t="e">
        <f t="shared" si="56"/>
        <v>#VALUE!</v>
      </c>
      <c r="DF34" s="395" t="e">
        <f t="shared" si="57"/>
        <v>#VALUE!</v>
      </c>
      <c r="DH34" s="367"/>
      <c r="DI34" s="368"/>
      <c r="DJ34" s="393">
        <v>23</v>
      </c>
      <c r="DK34" s="394" t="e">
        <f t="shared" si="58"/>
        <v>#VALUE!</v>
      </c>
      <c r="DL34" s="394" t="e">
        <f t="shared" si="59"/>
        <v>#VALUE!</v>
      </c>
      <c r="DM34" s="395" t="e">
        <f t="shared" si="60"/>
        <v>#VALUE!</v>
      </c>
      <c r="DO34" s="367"/>
    </row>
    <row r="35" spans="1:119" ht="15.75" customHeight="1" x14ac:dyDescent="0.35">
      <c r="A35" s="245" t="s">
        <v>428</v>
      </c>
      <c r="B35" s="450" t="str">
        <f>+IFERROR(B$20*landfill_uncertainty*$AU$14*(1-B$23)*C_to_CH4_conversion*CH4_in_landfill_gas*B$27*$AU$14*(SUM($BB$27:$BB$41))*B$21,"N/A")</f>
        <v>N/A</v>
      </c>
      <c r="C35" s="416"/>
      <c r="D35" s="450" t="str">
        <f>+IFERROR(D$20*landfill_uncertainty*$AU$14*(1-D$23)*C_to_CH4_conversion*CH4_in_landfill_gas*D$27*$AU$14*(SUM($BI$27:$BI$41))*D$21,"N/A")</f>
        <v>N/A</v>
      </c>
      <c r="E35" s="416"/>
      <c r="F35" s="450" t="str">
        <f>+IFERROR(F$20*landfill_uncertainty*$AU$14*(1-F$23)*C_to_CH4_conversion*CH4_in_landfill_gas*F$27*$AU$14*(SUM($BP$27:$BP$41))*F$21,"N/A")</f>
        <v>N/A</v>
      </c>
      <c r="G35" s="416"/>
      <c r="H35" s="450" t="str">
        <f>+IFERROR(H$20*landfill_uncertainty*$AU$14*(1-H$23)*C_to_CH4_conversion*CH4_in_landfill_gas*H$27*$AU$14*(SUM($BW$27:$BW$41))*H$21,"N/A")</f>
        <v>N/A</v>
      </c>
      <c r="I35" s="416"/>
      <c r="J35" s="450" t="str">
        <f>+IFERROR(J$20*landfill_uncertainty*$AU$14*(1-J$23)*C_to_CH4_conversion*CH4_in_landfill_gas*J$27*$AU$14*(SUM($CD$27:$CD$41))*J$21,"N/A")</f>
        <v>N/A</v>
      </c>
      <c r="K35" s="416"/>
      <c r="L35" s="450" t="str">
        <f>+IFERROR(L$20*landfill_uncertainty*$AU$14*(1-L$23)*C_to_CH4_conversion*CH4_in_landfill_gas*L$27*$AU$14*(SUM($CK$27:$CK$41))*L$21,"N/A")</f>
        <v>N/A</v>
      </c>
      <c r="M35" s="416"/>
      <c r="N35" s="450" t="str">
        <f>+IFERROR(N$20*landfill_uncertainty*$AU$14*(1-N$23)*C_to_CH4_conversion*CH4_in_landfill_gas*N$27*$AU$14*(SUM($CR$27:$CR$41))*N$21,"N/A")</f>
        <v>N/A</v>
      </c>
      <c r="O35" s="416"/>
      <c r="P35" s="450" t="str">
        <f>+IFERROR(P$20*landfill_uncertainty*$AU$14*(1-P$23)*C_to_CH4_conversion*CH4_in_landfill_gas*P$27*$AU$14*(SUM($CY$27:$CY$41))*P$21,"N/A")</f>
        <v>N/A</v>
      </c>
      <c r="Q35" s="416"/>
      <c r="R35" s="450" t="str">
        <f>+IFERROR(R$20*landfill_uncertainty*$AU$14*(1-R$23)*C_to_CH4_conversion*CH4_in_landfill_gas*R$27*$AU$14*(SUM($DF$27:$DF$41))*R$21,"N/A")</f>
        <v>N/A</v>
      </c>
      <c r="S35" s="416"/>
      <c r="T35" s="450" t="str">
        <f>+IFERROR(T$20*landfill_uncertainty*$AU$14*(1-T$23)*C_to_CH4_conversion*CH4_in_landfill_gas*T$27*$AU$14*(SUM($DM$27:$DM$41))*T$21,"N/A")</f>
        <v>N/A</v>
      </c>
      <c r="U35" s="416"/>
      <c r="AW35" s="96"/>
      <c r="AX35" s="368">
        <f t="shared" si="31"/>
        <v>23</v>
      </c>
      <c r="AY35" s="393">
        <v>24</v>
      </c>
      <c r="AZ35" s="394" t="e">
        <f t="shared" si="32"/>
        <v>#VALUE!</v>
      </c>
      <c r="BA35" s="394" t="e">
        <f t="shared" si="33"/>
        <v>#VALUE!</v>
      </c>
      <c r="BB35" s="395" t="e">
        <f t="shared" si="34"/>
        <v>#VALUE!</v>
      </c>
      <c r="BD35" s="367"/>
      <c r="BE35" s="96"/>
      <c r="BF35" s="393">
        <v>24</v>
      </c>
      <c r="BG35" s="394" t="e">
        <f t="shared" si="35"/>
        <v>#VALUE!</v>
      </c>
      <c r="BH35" s="400" t="e">
        <f t="shared" si="36"/>
        <v>#VALUE!</v>
      </c>
      <c r="BI35" s="395" t="e">
        <f t="shared" si="37"/>
        <v>#VALUE!</v>
      </c>
      <c r="BK35" s="367"/>
      <c r="BL35" s="368"/>
      <c r="BM35" s="393">
        <v>24</v>
      </c>
      <c r="BN35" s="394" t="e">
        <f t="shared" si="38"/>
        <v>#VALUE!</v>
      </c>
      <c r="BO35" s="394" t="e">
        <f t="shared" si="39"/>
        <v>#VALUE!</v>
      </c>
      <c r="BP35" s="372" t="e">
        <f t="shared" si="10"/>
        <v>#VALUE!</v>
      </c>
      <c r="BR35" s="367"/>
      <c r="BS35" s="368"/>
      <c r="BT35" s="393">
        <v>24</v>
      </c>
      <c r="BU35" s="394" t="e">
        <f t="shared" si="40"/>
        <v>#VALUE!</v>
      </c>
      <c r="BV35" s="394" t="e">
        <f t="shared" si="41"/>
        <v>#VALUE!</v>
      </c>
      <c r="BW35" s="395" t="e">
        <f t="shared" si="42"/>
        <v>#VALUE!</v>
      </c>
      <c r="BY35" s="367"/>
      <c r="BZ35" s="368"/>
      <c r="CA35" s="393">
        <v>24</v>
      </c>
      <c r="CB35" s="394" t="e">
        <f t="shared" si="43"/>
        <v>#VALUE!</v>
      </c>
      <c r="CC35" s="394" t="e">
        <f t="shared" si="44"/>
        <v>#VALUE!</v>
      </c>
      <c r="CD35" s="395" t="e">
        <f t="shared" si="45"/>
        <v>#VALUE!</v>
      </c>
      <c r="CF35" s="367"/>
      <c r="CG35" s="368"/>
      <c r="CH35" s="393">
        <v>24</v>
      </c>
      <c r="CI35" s="394" t="e">
        <f t="shared" si="46"/>
        <v>#VALUE!</v>
      </c>
      <c r="CJ35" s="394" t="e">
        <f t="shared" si="47"/>
        <v>#VALUE!</v>
      </c>
      <c r="CK35" s="395" t="e">
        <f t="shared" si="48"/>
        <v>#VALUE!</v>
      </c>
      <c r="CM35" s="367"/>
      <c r="CN35" s="368"/>
      <c r="CO35" s="393">
        <v>24</v>
      </c>
      <c r="CP35" s="394" t="e">
        <f t="shared" si="49"/>
        <v>#VALUE!</v>
      </c>
      <c r="CQ35" s="394" t="e">
        <f t="shared" si="50"/>
        <v>#VALUE!</v>
      </c>
      <c r="CR35" s="395" t="e">
        <f t="shared" si="51"/>
        <v>#VALUE!</v>
      </c>
      <c r="CT35" s="367"/>
      <c r="CU35" s="368"/>
      <c r="CV35" s="393">
        <v>24</v>
      </c>
      <c r="CW35" s="394" t="e">
        <f t="shared" si="52"/>
        <v>#VALUE!</v>
      </c>
      <c r="CX35" s="394" t="e">
        <f t="shared" si="53"/>
        <v>#VALUE!</v>
      </c>
      <c r="CY35" s="395" t="e">
        <f t="shared" si="54"/>
        <v>#VALUE!</v>
      </c>
      <c r="DA35" s="367"/>
      <c r="DB35" s="368"/>
      <c r="DC35" s="393">
        <v>24</v>
      </c>
      <c r="DD35" s="394" t="e">
        <f t="shared" si="55"/>
        <v>#VALUE!</v>
      </c>
      <c r="DE35" s="394" t="e">
        <f t="shared" si="56"/>
        <v>#VALUE!</v>
      </c>
      <c r="DF35" s="395" t="e">
        <f t="shared" si="57"/>
        <v>#VALUE!</v>
      </c>
      <c r="DH35" s="367"/>
      <c r="DI35" s="368"/>
      <c r="DJ35" s="393">
        <v>24</v>
      </c>
      <c r="DK35" s="394" t="e">
        <f t="shared" si="58"/>
        <v>#VALUE!</v>
      </c>
      <c r="DL35" s="394" t="e">
        <f t="shared" si="59"/>
        <v>#VALUE!</v>
      </c>
      <c r="DM35" s="395" t="e">
        <f t="shared" si="60"/>
        <v>#VALUE!</v>
      </c>
      <c r="DO35" s="367"/>
    </row>
    <row r="36" spans="1:119" ht="15.75" customHeight="1" x14ac:dyDescent="0.35">
      <c r="A36" s="245" t="s">
        <v>11</v>
      </c>
      <c r="B36" s="450" t="str">
        <f>+IFERROR(B$20*landfill_uncertainty*C_to_CH4_conversion*CH4_in_landfill_gas*B$27*B$21*(($AS$11*SUM($BB$12:$BB$16)+($AS$12*SUM($BB$17:$BB$21)+($AS$13*SUM($BB$22:$BB$26))+($AS$14*SUM($BB$27:$BB$41)))*fugitive_methane_combustion_IPCC)),"N/A")</f>
        <v>N/A</v>
      </c>
      <c r="C36" s="416"/>
      <c r="D36" s="450" t="str">
        <f>+IFERROR(D$20*landfill_uncertainty*C_to_CH4_conversion*CH4_in_landfill_gas*D$27*D$21*(($AS$11*SUM($BI$12:$BI$16)+($AS$12*SUM($BI$17:$BI$21)+($AS$13*SUM($BI$22:$BI$26))+($AS$14*SUM($BI$27:$BI$41)))*fugitive_methane_combustion_IPCC)),"N/A")</f>
        <v>N/A</v>
      </c>
      <c r="E36" s="416"/>
      <c r="F36" s="450" t="str">
        <f>+IFERROR(F$20*landfill_uncertainty*C_to_CH4_conversion*CH4_in_landfill_gas*F$27*F$21*(($AS$11*SUM($BP$12:$BP$16)+($AS$12*SUM($BP$17:$BP$21)+($AS$13*SUM($BP$22:$BP$26))+($AS$14*SUM($BP$27:$BP$41)))*fugitive_methane_combustion_IPCC)),"N/A")</f>
        <v>N/A</v>
      </c>
      <c r="G36" s="416"/>
      <c r="H36" s="450" t="str">
        <f>+IFERROR(H$20*landfill_uncertainty*C_to_CH4_conversion*CH4_in_landfill_gas*H$27*H$21*(($AS$11*SUM($BW$12:$BW$16)+($AS$12*SUM($BW$17:$BW$21)+($AS$13*SUM($BW$22:$BW$26))+($AS$14*SUM($BW$27:$BW$41)))*fugitive_methane_combustion_IPCC)),"N/A")</f>
        <v>N/A</v>
      </c>
      <c r="I36" s="416"/>
      <c r="J36" s="450" t="str">
        <f>+IFERROR(J$20*landfill_uncertainty*C_to_CH4_conversion*CH4_in_landfill_gas*J$27*J$21*(($AS$11*SUM($CD$12:$CD$16)+($AS$12*SUM($CD$17:$CD$21)+($AS$13*SUM($CD$22:$CD$26))+($AS$14*SUM($CD$27:$CD$41)))*fugitive_methane_combustion_IPCC)),"N/A")</f>
        <v>N/A</v>
      </c>
      <c r="K36" s="416"/>
      <c r="L36" s="450" t="str">
        <f>+IFERROR(L$20*landfill_uncertainty*C_to_CH4_conversion*CH4_in_landfill_gas*L$27*L$21*(($AS$11*SUM($CK$12:$CK$16)+($AS$12*SUM($CK$17:$CK$21)+($AS$13*SUM($CK$22:$CK$26))+($AS$14*SUM($CK$27:$CK$41)))*fugitive_methane_combustion_IPCC)),"N/A")</f>
        <v>N/A</v>
      </c>
      <c r="M36" s="416"/>
      <c r="N36" s="450" t="str">
        <f>+IFERROR(N$20*landfill_uncertainty*C_to_CH4_conversion*CH4_in_landfill_gas*N$27*N$21*(($AS$11*SUM($CR$12:$CR$16)+($AS$12*SUM($CR$17:$CR$21)+($AS$13*SUM($CR$22:$CR$26))+($AS$14*SUM($CR$27:$CR$41)))*fugitive_methane_combustion_IPCC)),"N/A")</f>
        <v>N/A</v>
      </c>
      <c r="O36" s="416"/>
      <c r="P36" s="450" t="str">
        <f>+IFERROR(P$20*landfill_uncertainty*C_to_CH4_conversion*CH4_in_landfill_gas*P$27*P$21*(($AS$11*SUM($CY$12:$CY$16)+($AS$12*SUM($CY$17:$CY$21)+($AS$13*SUM($CY$22:$CY$26))+($AS$14*SUM($CY$27:$CY$41)))*fugitive_methane_combustion_IPCC)),"N/A")</f>
        <v>N/A</v>
      </c>
      <c r="Q36" s="416"/>
      <c r="R36" s="450" t="str">
        <f>+IFERROR(R$20*landfill_uncertainty*C_to_CH4_conversion*CH4_in_landfill_gas*R$27*R$21*(($AS$11*SUM($DF$12:$DF$16)+($AS$12*SUM($DF$17:$DF$21)+($AS$13*SUM($DF$22:$DF$26))+($AS$14*SUM($DF$27:$DF$41)))*fugitive_methane_combustion_IPCC)),"N/A")</f>
        <v>N/A</v>
      </c>
      <c r="S36" s="416"/>
      <c r="T36" s="450" t="str">
        <f>+IFERROR(T$20*landfill_uncertainty*C_to_CH4_conversion*CH4_in_landfill_gas*T$27*T$21*(($AS$11*SUM($DM$12:$DM$16)+($AS$12*SUM($DM$17:$DM$21)+($AS$13*SUM($DM$22:$DM$26))+($AS$14*SUM($DM$27:$DM$41)))*fugitive_methane_combustion_IPCC)),"N/A")</f>
        <v>N/A</v>
      </c>
      <c r="U36" s="416"/>
      <c r="AW36" s="96"/>
      <c r="AX36" s="368">
        <f t="shared" si="31"/>
        <v>24</v>
      </c>
      <c r="AY36" s="393">
        <v>25</v>
      </c>
      <c r="AZ36" s="394" t="e">
        <f t="shared" si="32"/>
        <v>#VALUE!</v>
      </c>
      <c r="BA36" s="394" t="e">
        <f t="shared" si="33"/>
        <v>#VALUE!</v>
      </c>
      <c r="BB36" s="395" t="e">
        <f t="shared" si="34"/>
        <v>#VALUE!</v>
      </c>
      <c r="BD36" s="367"/>
      <c r="BE36" s="96"/>
      <c r="BF36" s="393">
        <v>25</v>
      </c>
      <c r="BG36" s="394" t="e">
        <f t="shared" si="35"/>
        <v>#VALUE!</v>
      </c>
      <c r="BH36" s="400" t="e">
        <f t="shared" si="36"/>
        <v>#VALUE!</v>
      </c>
      <c r="BI36" s="395" t="e">
        <f t="shared" si="37"/>
        <v>#VALUE!</v>
      </c>
      <c r="BK36" s="367"/>
      <c r="BL36" s="368"/>
      <c r="BM36" s="393">
        <v>25</v>
      </c>
      <c r="BN36" s="394" t="e">
        <f t="shared" si="38"/>
        <v>#VALUE!</v>
      </c>
      <c r="BO36" s="394" t="e">
        <f t="shared" si="39"/>
        <v>#VALUE!</v>
      </c>
      <c r="BP36" s="372" t="e">
        <f t="shared" si="10"/>
        <v>#VALUE!</v>
      </c>
      <c r="BR36" s="367"/>
      <c r="BS36" s="368"/>
      <c r="BT36" s="393">
        <v>25</v>
      </c>
      <c r="BU36" s="394" t="e">
        <f t="shared" si="40"/>
        <v>#VALUE!</v>
      </c>
      <c r="BV36" s="394" t="e">
        <f t="shared" si="41"/>
        <v>#VALUE!</v>
      </c>
      <c r="BW36" s="395" t="e">
        <f t="shared" si="42"/>
        <v>#VALUE!</v>
      </c>
      <c r="BY36" s="367"/>
      <c r="BZ36" s="368"/>
      <c r="CA36" s="393">
        <v>25</v>
      </c>
      <c r="CB36" s="394" t="e">
        <f t="shared" si="43"/>
        <v>#VALUE!</v>
      </c>
      <c r="CC36" s="394" t="e">
        <f t="shared" si="44"/>
        <v>#VALUE!</v>
      </c>
      <c r="CD36" s="395" t="e">
        <f t="shared" si="45"/>
        <v>#VALUE!</v>
      </c>
      <c r="CF36" s="367"/>
      <c r="CG36" s="368"/>
      <c r="CH36" s="393">
        <v>25</v>
      </c>
      <c r="CI36" s="394" t="e">
        <f t="shared" si="46"/>
        <v>#VALUE!</v>
      </c>
      <c r="CJ36" s="394" t="e">
        <f t="shared" si="47"/>
        <v>#VALUE!</v>
      </c>
      <c r="CK36" s="395" t="e">
        <f t="shared" si="48"/>
        <v>#VALUE!</v>
      </c>
      <c r="CM36" s="367"/>
      <c r="CN36" s="368"/>
      <c r="CO36" s="393">
        <v>25</v>
      </c>
      <c r="CP36" s="394" t="e">
        <f t="shared" si="49"/>
        <v>#VALUE!</v>
      </c>
      <c r="CQ36" s="394" t="e">
        <f t="shared" si="50"/>
        <v>#VALUE!</v>
      </c>
      <c r="CR36" s="395" t="e">
        <f t="shared" si="51"/>
        <v>#VALUE!</v>
      </c>
      <c r="CT36" s="367"/>
      <c r="CU36" s="368"/>
      <c r="CV36" s="393">
        <v>25</v>
      </c>
      <c r="CW36" s="394" t="e">
        <f t="shared" si="52"/>
        <v>#VALUE!</v>
      </c>
      <c r="CX36" s="394" t="e">
        <f t="shared" si="53"/>
        <v>#VALUE!</v>
      </c>
      <c r="CY36" s="395" t="e">
        <f t="shared" si="54"/>
        <v>#VALUE!</v>
      </c>
      <c r="DA36" s="367"/>
      <c r="DB36" s="368"/>
      <c r="DC36" s="393">
        <v>25</v>
      </c>
      <c r="DD36" s="394" t="e">
        <f t="shared" si="55"/>
        <v>#VALUE!</v>
      </c>
      <c r="DE36" s="394" t="e">
        <f t="shared" si="56"/>
        <v>#VALUE!</v>
      </c>
      <c r="DF36" s="395" t="e">
        <f t="shared" si="57"/>
        <v>#VALUE!</v>
      </c>
      <c r="DH36" s="367"/>
      <c r="DI36" s="368"/>
      <c r="DJ36" s="393">
        <v>25</v>
      </c>
      <c r="DK36" s="394" t="e">
        <f t="shared" si="58"/>
        <v>#VALUE!</v>
      </c>
      <c r="DL36" s="394" t="e">
        <f t="shared" si="59"/>
        <v>#VALUE!</v>
      </c>
      <c r="DM36" s="395" t="e">
        <f t="shared" si="60"/>
        <v>#VALUE!</v>
      </c>
      <c r="DO36" s="367"/>
    </row>
    <row r="37" spans="1:119" ht="15.75" customHeight="1" x14ac:dyDescent="0.3">
      <c r="A37" s="417" t="s">
        <v>337</v>
      </c>
      <c r="B37" s="418">
        <f>SUM(B32:B36)*CO2E_of_CH4_ClimateReg</f>
        <v>0</v>
      </c>
      <c r="C37" s="419"/>
      <c r="D37" s="420">
        <f>SUM(D32:D36)*CO2E_of_CH4_ClimateReg</f>
        <v>0</v>
      </c>
      <c r="E37" s="419"/>
      <c r="F37" s="420">
        <f>SUM(F32:F36)*CO2E_of_CH4_ClimateReg</f>
        <v>0</v>
      </c>
      <c r="G37" s="419"/>
      <c r="H37" s="420">
        <f>SUM(H32:H36)*CO2E_of_CH4_ClimateReg</f>
        <v>0</v>
      </c>
      <c r="I37" s="419"/>
      <c r="J37" s="420">
        <f>SUM(J32:J36)*CO2E_of_CH4_ClimateReg</f>
        <v>0</v>
      </c>
      <c r="K37" s="419"/>
      <c r="L37" s="420">
        <f>SUM(L32:L36)*CO2E_of_CH4_ClimateReg</f>
        <v>0</v>
      </c>
      <c r="M37" s="419"/>
      <c r="N37" s="420">
        <f>SUM(N32:N36)*CO2E_of_CH4_ClimateReg</f>
        <v>0</v>
      </c>
      <c r="O37" s="419"/>
      <c r="P37" s="420">
        <f>SUM(P32:P36)*CO2E_of_CH4_ClimateReg</f>
        <v>0</v>
      </c>
      <c r="Q37" s="419"/>
      <c r="R37" s="420">
        <f>SUM(R32:R36)*CO2E_of_CH4_ClimateReg</f>
        <v>0</v>
      </c>
      <c r="S37" s="419"/>
      <c r="T37" s="420">
        <f>SUM(T32:T36)*CO2E_of_CH4_ClimateReg</f>
        <v>0</v>
      </c>
      <c r="U37" s="419"/>
      <c r="AU37" s="130"/>
      <c r="AV37"/>
      <c r="AW37" s="96"/>
      <c r="AX37" s="368">
        <f t="shared" si="31"/>
        <v>25</v>
      </c>
      <c r="AY37" s="393">
        <v>26</v>
      </c>
      <c r="AZ37" s="394" t="e">
        <f t="shared" si="32"/>
        <v>#VALUE!</v>
      </c>
      <c r="BA37" s="394" t="e">
        <f t="shared" si="33"/>
        <v>#VALUE!</v>
      </c>
      <c r="BB37" s="395" t="e">
        <f t="shared" si="34"/>
        <v>#VALUE!</v>
      </c>
      <c r="BD37" s="367"/>
      <c r="BE37" s="96"/>
      <c r="BF37" s="393">
        <v>26</v>
      </c>
      <c r="BG37" s="394" t="e">
        <f t="shared" si="35"/>
        <v>#VALUE!</v>
      </c>
      <c r="BH37" s="400" t="e">
        <f t="shared" si="36"/>
        <v>#VALUE!</v>
      </c>
      <c r="BI37" s="395" t="e">
        <f t="shared" si="37"/>
        <v>#VALUE!</v>
      </c>
      <c r="BK37" s="367"/>
      <c r="BL37" s="368"/>
      <c r="BM37" s="393">
        <v>26</v>
      </c>
      <c r="BN37" s="394" t="e">
        <f t="shared" si="38"/>
        <v>#VALUE!</v>
      </c>
      <c r="BO37" s="394" t="e">
        <f t="shared" si="39"/>
        <v>#VALUE!</v>
      </c>
      <c r="BP37" s="372" t="e">
        <f t="shared" si="10"/>
        <v>#VALUE!</v>
      </c>
      <c r="BR37" s="367"/>
      <c r="BS37" s="368"/>
      <c r="BT37" s="393">
        <v>26</v>
      </c>
      <c r="BU37" s="394" t="e">
        <f t="shared" si="40"/>
        <v>#VALUE!</v>
      </c>
      <c r="BV37" s="394" t="e">
        <f t="shared" si="41"/>
        <v>#VALUE!</v>
      </c>
      <c r="BW37" s="395" t="e">
        <f t="shared" si="42"/>
        <v>#VALUE!</v>
      </c>
      <c r="BY37" s="367"/>
      <c r="BZ37" s="368"/>
      <c r="CA37" s="393">
        <v>26</v>
      </c>
      <c r="CB37" s="394" t="e">
        <f t="shared" si="43"/>
        <v>#VALUE!</v>
      </c>
      <c r="CC37" s="394" t="e">
        <f t="shared" si="44"/>
        <v>#VALUE!</v>
      </c>
      <c r="CD37" s="395" t="e">
        <f t="shared" si="45"/>
        <v>#VALUE!</v>
      </c>
      <c r="CF37" s="367"/>
      <c r="CG37" s="368"/>
      <c r="CH37" s="393">
        <v>26</v>
      </c>
      <c r="CI37" s="394" t="e">
        <f t="shared" si="46"/>
        <v>#VALUE!</v>
      </c>
      <c r="CJ37" s="394" t="e">
        <f t="shared" si="47"/>
        <v>#VALUE!</v>
      </c>
      <c r="CK37" s="395" t="e">
        <f t="shared" si="48"/>
        <v>#VALUE!</v>
      </c>
      <c r="CM37" s="367"/>
      <c r="CN37" s="368"/>
      <c r="CO37" s="393">
        <v>26</v>
      </c>
      <c r="CP37" s="394" t="e">
        <f t="shared" si="49"/>
        <v>#VALUE!</v>
      </c>
      <c r="CQ37" s="394" t="e">
        <f t="shared" si="50"/>
        <v>#VALUE!</v>
      </c>
      <c r="CR37" s="395" t="e">
        <f t="shared" si="51"/>
        <v>#VALUE!</v>
      </c>
      <c r="CT37" s="367"/>
      <c r="CU37" s="368"/>
      <c r="CV37" s="393">
        <v>26</v>
      </c>
      <c r="CW37" s="394" t="e">
        <f t="shared" si="52"/>
        <v>#VALUE!</v>
      </c>
      <c r="CX37" s="394" t="e">
        <f t="shared" si="53"/>
        <v>#VALUE!</v>
      </c>
      <c r="CY37" s="395" t="e">
        <f t="shared" si="54"/>
        <v>#VALUE!</v>
      </c>
      <c r="DA37" s="367"/>
      <c r="DB37" s="368"/>
      <c r="DC37" s="393">
        <v>26</v>
      </c>
      <c r="DD37" s="394" t="e">
        <f t="shared" si="55"/>
        <v>#VALUE!</v>
      </c>
      <c r="DE37" s="394" t="e">
        <f t="shared" si="56"/>
        <v>#VALUE!</v>
      </c>
      <c r="DF37" s="395" t="e">
        <f t="shared" si="57"/>
        <v>#VALUE!</v>
      </c>
      <c r="DH37" s="367"/>
      <c r="DI37" s="368"/>
      <c r="DJ37" s="393">
        <v>26</v>
      </c>
      <c r="DK37" s="394" t="e">
        <f t="shared" si="58"/>
        <v>#VALUE!</v>
      </c>
      <c r="DL37" s="394" t="e">
        <f t="shared" si="59"/>
        <v>#VALUE!</v>
      </c>
      <c r="DM37" s="395" t="e">
        <f t="shared" si="60"/>
        <v>#VALUE!</v>
      </c>
      <c r="DO37" s="367"/>
    </row>
    <row r="38" spans="1:119" ht="15.75" customHeight="1" thickBot="1" x14ac:dyDescent="0.3">
      <c r="A38" s="273"/>
      <c r="B38" s="229"/>
      <c r="C38" s="350"/>
      <c r="D38" s="421"/>
      <c r="E38" s="350"/>
      <c r="F38" s="421"/>
      <c r="G38" s="350"/>
      <c r="H38" s="421"/>
      <c r="I38" s="350"/>
      <c r="J38" s="421"/>
      <c r="K38" s="350"/>
      <c r="L38" s="421"/>
      <c r="M38" s="350"/>
      <c r="N38" s="421"/>
      <c r="O38" s="350"/>
      <c r="P38" s="421"/>
      <c r="Q38" s="350"/>
      <c r="R38" s="421"/>
      <c r="S38" s="350"/>
      <c r="T38" s="421"/>
      <c r="U38" s="350"/>
      <c r="AS38" s="386">
        <v>1</v>
      </c>
      <c r="AT38" t="s">
        <v>413</v>
      </c>
      <c r="AU38"/>
      <c r="AV38"/>
      <c r="AW38" s="96"/>
      <c r="AX38" s="368">
        <f t="shared" si="31"/>
        <v>26</v>
      </c>
      <c r="AY38" s="393">
        <v>27</v>
      </c>
      <c r="AZ38" s="394" t="e">
        <f t="shared" si="32"/>
        <v>#VALUE!</v>
      </c>
      <c r="BA38" s="394" t="e">
        <f t="shared" si="33"/>
        <v>#VALUE!</v>
      </c>
      <c r="BB38" s="395" t="e">
        <f t="shared" si="34"/>
        <v>#VALUE!</v>
      </c>
      <c r="BD38" s="367"/>
      <c r="BE38" s="96"/>
      <c r="BF38" s="393">
        <v>27</v>
      </c>
      <c r="BG38" s="394" t="e">
        <f t="shared" si="35"/>
        <v>#VALUE!</v>
      </c>
      <c r="BH38" s="400" t="e">
        <f t="shared" si="36"/>
        <v>#VALUE!</v>
      </c>
      <c r="BI38" s="395" t="e">
        <f t="shared" si="37"/>
        <v>#VALUE!</v>
      </c>
      <c r="BK38" s="367"/>
      <c r="BL38" s="368"/>
      <c r="BM38" s="393">
        <v>27</v>
      </c>
      <c r="BN38" s="394" t="e">
        <f t="shared" si="38"/>
        <v>#VALUE!</v>
      </c>
      <c r="BO38" s="394" t="e">
        <f t="shared" si="39"/>
        <v>#VALUE!</v>
      </c>
      <c r="BP38" s="372" t="e">
        <f t="shared" si="10"/>
        <v>#VALUE!</v>
      </c>
      <c r="BR38" s="367"/>
      <c r="BS38" s="368"/>
      <c r="BT38" s="393">
        <v>27</v>
      </c>
      <c r="BU38" s="394" t="e">
        <f t="shared" si="40"/>
        <v>#VALUE!</v>
      </c>
      <c r="BV38" s="394" t="e">
        <f t="shared" si="41"/>
        <v>#VALUE!</v>
      </c>
      <c r="BW38" s="395" t="e">
        <f t="shared" si="42"/>
        <v>#VALUE!</v>
      </c>
      <c r="BY38" s="367"/>
      <c r="BZ38" s="368"/>
      <c r="CA38" s="393">
        <v>27</v>
      </c>
      <c r="CB38" s="394" t="e">
        <f t="shared" si="43"/>
        <v>#VALUE!</v>
      </c>
      <c r="CC38" s="394" t="e">
        <f t="shared" si="44"/>
        <v>#VALUE!</v>
      </c>
      <c r="CD38" s="395" t="e">
        <f t="shared" si="45"/>
        <v>#VALUE!</v>
      </c>
      <c r="CF38" s="367"/>
      <c r="CG38" s="368"/>
      <c r="CH38" s="393">
        <v>27</v>
      </c>
      <c r="CI38" s="394" t="e">
        <f t="shared" si="46"/>
        <v>#VALUE!</v>
      </c>
      <c r="CJ38" s="394" t="e">
        <f t="shared" si="47"/>
        <v>#VALUE!</v>
      </c>
      <c r="CK38" s="395" t="e">
        <f t="shared" si="48"/>
        <v>#VALUE!</v>
      </c>
      <c r="CM38" s="367"/>
      <c r="CN38" s="368"/>
      <c r="CO38" s="393">
        <v>27</v>
      </c>
      <c r="CP38" s="394" t="e">
        <f t="shared" si="49"/>
        <v>#VALUE!</v>
      </c>
      <c r="CQ38" s="394" t="e">
        <f t="shared" si="50"/>
        <v>#VALUE!</v>
      </c>
      <c r="CR38" s="395" t="e">
        <f t="shared" si="51"/>
        <v>#VALUE!</v>
      </c>
      <c r="CT38" s="367"/>
      <c r="CU38" s="368"/>
      <c r="CV38" s="393">
        <v>27</v>
      </c>
      <c r="CW38" s="394" t="e">
        <f t="shared" si="52"/>
        <v>#VALUE!</v>
      </c>
      <c r="CX38" s="394" t="e">
        <f t="shared" si="53"/>
        <v>#VALUE!</v>
      </c>
      <c r="CY38" s="395" t="e">
        <f t="shared" si="54"/>
        <v>#VALUE!</v>
      </c>
      <c r="DA38" s="367"/>
      <c r="DB38" s="368"/>
      <c r="DC38" s="393">
        <v>27</v>
      </c>
      <c r="DD38" s="394" t="e">
        <f t="shared" si="55"/>
        <v>#VALUE!</v>
      </c>
      <c r="DE38" s="394" t="e">
        <f t="shared" si="56"/>
        <v>#VALUE!</v>
      </c>
      <c r="DF38" s="395" t="e">
        <f t="shared" si="57"/>
        <v>#VALUE!</v>
      </c>
      <c r="DH38" s="367"/>
      <c r="DI38" s="368"/>
      <c r="DJ38" s="393">
        <v>27</v>
      </c>
      <c r="DK38" s="394" t="e">
        <f t="shared" si="58"/>
        <v>#VALUE!</v>
      </c>
      <c r="DL38" s="394" t="e">
        <f t="shared" si="59"/>
        <v>#VALUE!</v>
      </c>
      <c r="DM38" s="395" t="e">
        <f t="shared" si="60"/>
        <v>#VALUE!</v>
      </c>
      <c r="DO38" s="367"/>
    </row>
    <row r="39" spans="1:119" ht="15.75" customHeight="1" thickBot="1" x14ac:dyDescent="0.3">
      <c r="A39" s="1300" t="s">
        <v>202</v>
      </c>
      <c r="B39" s="1301"/>
      <c r="C39" s="1301"/>
      <c r="D39" s="1301"/>
      <c r="E39" s="1301"/>
      <c r="F39" s="1301"/>
      <c r="G39" s="1301"/>
      <c r="H39" s="1301"/>
      <c r="I39" s="1301"/>
      <c r="J39" s="1301"/>
      <c r="K39" s="1301"/>
      <c r="L39" s="1301"/>
      <c r="M39" s="1301"/>
      <c r="N39" s="1301"/>
      <c r="O39" s="1301"/>
      <c r="P39" s="1301"/>
      <c r="Q39" s="1301"/>
      <c r="R39" s="1301"/>
      <c r="S39" s="1301"/>
      <c r="T39" s="1301"/>
      <c r="U39" s="1302"/>
      <c r="AT39" t="s">
        <v>414</v>
      </c>
      <c r="AU39"/>
      <c r="AV39"/>
      <c r="AW39" s="96"/>
      <c r="AX39" s="368">
        <f t="shared" si="31"/>
        <v>27</v>
      </c>
      <c r="AY39" s="393">
        <v>28</v>
      </c>
      <c r="AZ39" s="394" t="e">
        <f t="shared" si="32"/>
        <v>#VALUE!</v>
      </c>
      <c r="BA39" s="394" t="e">
        <f t="shared" si="33"/>
        <v>#VALUE!</v>
      </c>
      <c r="BB39" s="395" t="e">
        <f t="shared" si="34"/>
        <v>#VALUE!</v>
      </c>
      <c r="BD39" s="367"/>
      <c r="BE39" s="96"/>
      <c r="BF39" s="393">
        <v>28</v>
      </c>
      <c r="BG39" s="394" t="e">
        <f t="shared" si="35"/>
        <v>#VALUE!</v>
      </c>
      <c r="BH39" s="400" t="e">
        <f t="shared" si="36"/>
        <v>#VALUE!</v>
      </c>
      <c r="BI39" s="395" t="e">
        <f t="shared" si="37"/>
        <v>#VALUE!</v>
      </c>
      <c r="BK39" s="367"/>
      <c r="BL39" s="368"/>
      <c r="BM39" s="393">
        <v>28</v>
      </c>
      <c r="BN39" s="394" t="e">
        <f t="shared" si="38"/>
        <v>#VALUE!</v>
      </c>
      <c r="BO39" s="394" t="e">
        <f t="shared" si="39"/>
        <v>#VALUE!</v>
      </c>
      <c r="BP39" s="372" t="e">
        <f t="shared" si="10"/>
        <v>#VALUE!</v>
      </c>
      <c r="BR39" s="367"/>
      <c r="BS39" s="368"/>
      <c r="BT39" s="393">
        <v>28</v>
      </c>
      <c r="BU39" s="394" t="e">
        <f t="shared" si="40"/>
        <v>#VALUE!</v>
      </c>
      <c r="BV39" s="394" t="e">
        <f t="shared" si="41"/>
        <v>#VALUE!</v>
      </c>
      <c r="BW39" s="395" t="e">
        <f t="shared" si="42"/>
        <v>#VALUE!</v>
      </c>
      <c r="BY39" s="367"/>
      <c r="BZ39" s="368"/>
      <c r="CA39" s="393">
        <v>28</v>
      </c>
      <c r="CB39" s="394" t="e">
        <f t="shared" si="43"/>
        <v>#VALUE!</v>
      </c>
      <c r="CC39" s="394" t="e">
        <f t="shared" si="44"/>
        <v>#VALUE!</v>
      </c>
      <c r="CD39" s="395" t="e">
        <f t="shared" si="45"/>
        <v>#VALUE!</v>
      </c>
      <c r="CF39" s="367"/>
      <c r="CG39" s="368"/>
      <c r="CH39" s="393">
        <v>28</v>
      </c>
      <c r="CI39" s="394" t="e">
        <f t="shared" si="46"/>
        <v>#VALUE!</v>
      </c>
      <c r="CJ39" s="394" t="e">
        <f t="shared" si="47"/>
        <v>#VALUE!</v>
      </c>
      <c r="CK39" s="395" t="e">
        <f t="shared" si="48"/>
        <v>#VALUE!</v>
      </c>
      <c r="CM39" s="367"/>
      <c r="CN39" s="368"/>
      <c r="CO39" s="393">
        <v>28</v>
      </c>
      <c r="CP39" s="394" t="e">
        <f t="shared" si="49"/>
        <v>#VALUE!</v>
      </c>
      <c r="CQ39" s="394" t="e">
        <f t="shared" si="50"/>
        <v>#VALUE!</v>
      </c>
      <c r="CR39" s="395" t="e">
        <f t="shared" si="51"/>
        <v>#VALUE!</v>
      </c>
      <c r="CT39" s="367"/>
      <c r="CU39" s="368"/>
      <c r="CV39" s="393">
        <v>28</v>
      </c>
      <c r="CW39" s="394" t="e">
        <f t="shared" si="52"/>
        <v>#VALUE!</v>
      </c>
      <c r="CX39" s="394" t="e">
        <f t="shared" si="53"/>
        <v>#VALUE!</v>
      </c>
      <c r="CY39" s="395" t="e">
        <f t="shared" si="54"/>
        <v>#VALUE!</v>
      </c>
      <c r="DA39" s="367"/>
      <c r="DB39" s="368"/>
      <c r="DC39" s="393">
        <v>28</v>
      </c>
      <c r="DD39" s="394" t="e">
        <f t="shared" si="55"/>
        <v>#VALUE!</v>
      </c>
      <c r="DE39" s="394" t="e">
        <f t="shared" si="56"/>
        <v>#VALUE!</v>
      </c>
      <c r="DF39" s="395" t="e">
        <f t="shared" si="57"/>
        <v>#VALUE!</v>
      </c>
      <c r="DH39" s="367"/>
      <c r="DI39" s="368"/>
      <c r="DJ39" s="393">
        <v>28</v>
      </c>
      <c r="DK39" s="394" t="e">
        <f t="shared" si="58"/>
        <v>#VALUE!</v>
      </c>
      <c r="DL39" s="394" t="e">
        <f t="shared" si="59"/>
        <v>#VALUE!</v>
      </c>
      <c r="DM39" s="395" t="e">
        <f t="shared" si="60"/>
        <v>#VALUE!</v>
      </c>
      <c r="DO39" s="367"/>
    </row>
    <row r="40" spans="1:119" ht="15.75" customHeight="1" x14ac:dyDescent="0.35">
      <c r="A40" s="67" t="s">
        <v>857</v>
      </c>
      <c r="B40" s="422">
        <f>IFERROR(+IF(B19/B17&lt;Cut_off_between_low_and_high_C_N,B15*B17*n2o_landfill*N_to_N2O_conversion,0),"N/A")</f>
        <v>0</v>
      </c>
      <c r="C40" s="452"/>
      <c r="D40" s="422">
        <f>IFERROR(+IF(D19/D17&lt;Cut_off_between_low_and_high_C_N,D15*D17*n2o_landfill*N_to_N2O_conversion,0),"N/A")</f>
        <v>0</v>
      </c>
      <c r="E40" s="423"/>
      <c r="F40" s="422">
        <f>IFERROR(+IF(F19/F17&lt;Cut_off_between_low_and_high_C_N,F15*F17*n2o_landfill*N_to_N2O_conversion,0),"N/A")</f>
        <v>0</v>
      </c>
      <c r="G40" s="423"/>
      <c r="H40" s="422">
        <f>IFERROR(+IF(H19/H17&lt;Cut_off_between_low_and_high_C_N,H15*H17*n2o_landfill*N_to_N2O_conversion,0),"N/A")</f>
        <v>0</v>
      </c>
      <c r="I40" s="423"/>
      <c r="J40" s="422">
        <f>IFERROR(+IF(J19/J17&lt;Cut_off_between_low_and_high_C_N,J15*J17*n2o_landfill*N_to_N2O_conversion,0),"N/A")</f>
        <v>0</v>
      </c>
      <c r="K40" s="423"/>
      <c r="L40" s="422">
        <f>IFERROR(+IF(L19/L17&lt;Cut_off_between_low_and_high_C_N,L15*L17*n2o_landfill*N_to_N2O_conversion,0),"N/A")</f>
        <v>0</v>
      </c>
      <c r="M40" s="423"/>
      <c r="N40" s="422">
        <f>IFERROR(+IF(N19/N17&lt;Cut_off_between_low_and_high_C_N,N15*N17*n2o_landfill*N_to_N2O_conversion,0),"N/A")</f>
        <v>0</v>
      </c>
      <c r="O40" s="423"/>
      <c r="P40" s="422">
        <f>IFERROR(+IF(P19/P17&lt;Cut_off_between_low_and_high_C_N,P15*P17*n2o_landfill*N_to_N2O_conversion,0),"N/A")</f>
        <v>0</v>
      </c>
      <c r="Q40" s="423"/>
      <c r="R40" s="422">
        <f>IFERROR(+IF(R19/R17&lt;Cut_off_between_low_and_high_C_N,R15*R17*n2o_landfill*N_to_N2O_conversion,0),"N/A")</f>
        <v>0</v>
      </c>
      <c r="S40" s="423"/>
      <c r="T40" s="422">
        <f>IFERROR(+IF(T19/T17&lt;Cut_off_between_low_and_high_C_N,T15*T17*n2o_landfill*N_to_N2O_conversion,0),"N/A")</f>
        <v>0</v>
      </c>
      <c r="U40" s="423"/>
      <c r="AS40" t="s">
        <v>415</v>
      </c>
      <c r="AU40"/>
      <c r="AV40"/>
      <c r="AW40" s="96"/>
      <c r="AX40" s="368">
        <f t="shared" si="31"/>
        <v>28</v>
      </c>
      <c r="AY40" s="393">
        <v>29</v>
      </c>
      <c r="AZ40" s="394" t="e">
        <f t="shared" si="32"/>
        <v>#VALUE!</v>
      </c>
      <c r="BA40" s="394" t="e">
        <f t="shared" si="33"/>
        <v>#VALUE!</v>
      </c>
      <c r="BB40" s="395" t="e">
        <f t="shared" si="34"/>
        <v>#VALUE!</v>
      </c>
      <c r="BD40" s="367"/>
      <c r="BE40" s="96"/>
      <c r="BF40" s="393">
        <v>29</v>
      </c>
      <c r="BG40" s="394" t="e">
        <f t="shared" si="35"/>
        <v>#VALUE!</v>
      </c>
      <c r="BH40" s="400" t="e">
        <f t="shared" si="36"/>
        <v>#VALUE!</v>
      </c>
      <c r="BI40" s="395" t="e">
        <f t="shared" si="37"/>
        <v>#VALUE!</v>
      </c>
      <c r="BK40" s="367"/>
      <c r="BL40" s="368"/>
      <c r="BM40" s="393">
        <v>29</v>
      </c>
      <c r="BN40" s="394" t="e">
        <f t="shared" si="38"/>
        <v>#VALUE!</v>
      </c>
      <c r="BO40" s="394" t="e">
        <f t="shared" si="39"/>
        <v>#VALUE!</v>
      </c>
      <c r="BP40" s="372" t="e">
        <f t="shared" si="10"/>
        <v>#VALUE!</v>
      </c>
      <c r="BR40" s="367"/>
      <c r="BS40" s="368"/>
      <c r="BT40" s="393">
        <v>29</v>
      </c>
      <c r="BU40" s="394" t="e">
        <f t="shared" si="40"/>
        <v>#VALUE!</v>
      </c>
      <c r="BV40" s="394" t="e">
        <f t="shared" si="41"/>
        <v>#VALUE!</v>
      </c>
      <c r="BW40" s="395" t="e">
        <f t="shared" si="42"/>
        <v>#VALUE!</v>
      </c>
      <c r="BY40" s="367"/>
      <c r="BZ40" s="368"/>
      <c r="CA40" s="393">
        <v>29</v>
      </c>
      <c r="CB40" s="394" t="e">
        <f t="shared" si="43"/>
        <v>#VALUE!</v>
      </c>
      <c r="CC40" s="394" t="e">
        <f t="shared" si="44"/>
        <v>#VALUE!</v>
      </c>
      <c r="CD40" s="395" t="e">
        <f t="shared" si="45"/>
        <v>#VALUE!</v>
      </c>
      <c r="CF40" s="367"/>
      <c r="CG40" s="368"/>
      <c r="CH40" s="393">
        <v>29</v>
      </c>
      <c r="CI40" s="394" t="e">
        <f t="shared" si="46"/>
        <v>#VALUE!</v>
      </c>
      <c r="CJ40" s="394" t="e">
        <f t="shared" si="47"/>
        <v>#VALUE!</v>
      </c>
      <c r="CK40" s="395" t="e">
        <f t="shared" si="48"/>
        <v>#VALUE!</v>
      </c>
      <c r="CM40" s="367"/>
      <c r="CN40" s="368"/>
      <c r="CO40" s="393">
        <v>29</v>
      </c>
      <c r="CP40" s="394" t="e">
        <f t="shared" si="49"/>
        <v>#VALUE!</v>
      </c>
      <c r="CQ40" s="394" t="e">
        <f t="shared" si="50"/>
        <v>#VALUE!</v>
      </c>
      <c r="CR40" s="395" t="e">
        <f t="shared" si="51"/>
        <v>#VALUE!</v>
      </c>
      <c r="CT40" s="367"/>
      <c r="CU40" s="368"/>
      <c r="CV40" s="393">
        <v>29</v>
      </c>
      <c r="CW40" s="394" t="e">
        <f t="shared" si="52"/>
        <v>#VALUE!</v>
      </c>
      <c r="CX40" s="394" t="e">
        <f t="shared" si="53"/>
        <v>#VALUE!</v>
      </c>
      <c r="CY40" s="395" t="e">
        <f t="shared" si="54"/>
        <v>#VALUE!</v>
      </c>
      <c r="DA40" s="367"/>
      <c r="DB40" s="368"/>
      <c r="DC40" s="393">
        <v>29</v>
      </c>
      <c r="DD40" s="394" t="e">
        <f t="shared" si="55"/>
        <v>#VALUE!</v>
      </c>
      <c r="DE40" s="394" t="e">
        <f t="shared" si="56"/>
        <v>#VALUE!</v>
      </c>
      <c r="DF40" s="395" t="e">
        <f t="shared" si="57"/>
        <v>#VALUE!</v>
      </c>
      <c r="DH40" s="367"/>
      <c r="DI40" s="368"/>
      <c r="DJ40" s="393">
        <v>29</v>
      </c>
      <c r="DK40" s="394" t="e">
        <f t="shared" si="58"/>
        <v>#VALUE!</v>
      </c>
      <c r="DL40" s="394" t="e">
        <f t="shared" si="59"/>
        <v>#VALUE!</v>
      </c>
      <c r="DM40" s="395" t="e">
        <f t="shared" si="60"/>
        <v>#VALUE!</v>
      </c>
      <c r="DO40" s="367"/>
    </row>
    <row r="41" spans="1:119" ht="15.75" customHeight="1" thickBot="1" x14ac:dyDescent="0.35">
      <c r="A41" s="417" t="s">
        <v>12</v>
      </c>
      <c r="B41" s="453">
        <f>+B40*CO2E_of_N2O_Climate_Reg</f>
        <v>0</v>
      </c>
      <c r="C41" s="433"/>
      <c r="D41" s="432">
        <f>+D40*CO2E_of_N2O_Climate_Reg</f>
        <v>0</v>
      </c>
      <c r="E41" s="433"/>
      <c r="F41" s="432">
        <f>+F40*CO2E_of_N2O_Climate_Reg</f>
        <v>0</v>
      </c>
      <c r="G41" s="433"/>
      <c r="H41" s="432">
        <f>+H40*CO2E_of_N2O_Climate_Reg</f>
        <v>0</v>
      </c>
      <c r="I41" s="433"/>
      <c r="J41" s="432">
        <f>+J40*CO2E_of_N2O_Climate_Reg</f>
        <v>0</v>
      </c>
      <c r="K41" s="433"/>
      <c r="L41" s="432">
        <f>+L40*CO2E_of_N2O_Climate_Reg</f>
        <v>0</v>
      </c>
      <c r="M41" s="433"/>
      <c r="N41" s="432">
        <f>+N40*CO2E_of_N2O_Climate_Reg</f>
        <v>0</v>
      </c>
      <c r="O41" s="433"/>
      <c r="P41" s="432">
        <f>+P40*CO2E_of_N2O_Climate_Reg</f>
        <v>0</v>
      </c>
      <c r="Q41" s="433"/>
      <c r="R41" s="432">
        <f>+R40*CO2E_of_N2O_Climate_Reg</f>
        <v>0</v>
      </c>
      <c r="S41" s="433"/>
      <c r="T41" s="432">
        <f>+T40*CO2E_of_N2O_Climate_Reg</f>
        <v>0</v>
      </c>
      <c r="U41" s="433"/>
      <c r="AS41" t="s">
        <v>416</v>
      </c>
      <c r="AU41"/>
      <c r="AV41"/>
      <c r="AW41" s="96"/>
      <c r="AX41" s="424">
        <f t="shared" si="31"/>
        <v>29</v>
      </c>
      <c r="AY41" s="425">
        <v>30</v>
      </c>
      <c r="AZ41" s="426" t="e">
        <f t="shared" si="32"/>
        <v>#VALUE!</v>
      </c>
      <c r="BA41" s="426" t="e">
        <f t="shared" si="33"/>
        <v>#VALUE!</v>
      </c>
      <c r="BB41" s="427" t="e">
        <f t="shared" si="34"/>
        <v>#VALUE!</v>
      </c>
      <c r="BC41" s="428"/>
      <c r="BD41" s="429"/>
      <c r="BE41" s="430"/>
      <c r="BF41" s="425">
        <v>30</v>
      </c>
      <c r="BG41" s="426" t="e">
        <f t="shared" si="35"/>
        <v>#VALUE!</v>
      </c>
      <c r="BH41" s="431" t="e">
        <f t="shared" si="36"/>
        <v>#VALUE!</v>
      </c>
      <c r="BI41" s="427" t="e">
        <f t="shared" si="37"/>
        <v>#VALUE!</v>
      </c>
      <c r="BJ41" s="428"/>
      <c r="BK41" s="429"/>
      <c r="BL41" s="424"/>
      <c r="BM41" s="425">
        <v>30</v>
      </c>
      <c r="BN41" s="426" t="e">
        <f t="shared" si="38"/>
        <v>#VALUE!</v>
      </c>
      <c r="BO41" s="426" t="e">
        <f t="shared" si="39"/>
        <v>#VALUE!</v>
      </c>
      <c r="BP41" s="610" t="e">
        <f t="shared" si="10"/>
        <v>#VALUE!</v>
      </c>
      <c r="BQ41" s="428"/>
      <c r="BR41" s="429"/>
      <c r="BS41" s="424"/>
      <c r="BT41" s="425">
        <v>30</v>
      </c>
      <c r="BU41" s="426" t="e">
        <f t="shared" si="40"/>
        <v>#VALUE!</v>
      </c>
      <c r="BV41" s="426" t="e">
        <f t="shared" si="41"/>
        <v>#VALUE!</v>
      </c>
      <c r="BW41" s="427" t="e">
        <f t="shared" si="42"/>
        <v>#VALUE!</v>
      </c>
      <c r="BX41" s="428"/>
      <c r="BY41" s="429"/>
      <c r="BZ41" s="424"/>
      <c r="CA41" s="425">
        <v>30</v>
      </c>
      <c r="CB41" s="426" t="e">
        <f t="shared" si="43"/>
        <v>#VALUE!</v>
      </c>
      <c r="CC41" s="426" t="e">
        <f t="shared" si="44"/>
        <v>#VALUE!</v>
      </c>
      <c r="CD41" s="427" t="e">
        <f t="shared" si="45"/>
        <v>#VALUE!</v>
      </c>
      <c r="CE41" s="428"/>
      <c r="CF41" s="429"/>
      <c r="CG41" s="424"/>
      <c r="CH41" s="425">
        <v>30</v>
      </c>
      <c r="CI41" s="426" t="e">
        <f t="shared" si="46"/>
        <v>#VALUE!</v>
      </c>
      <c r="CJ41" s="426" t="e">
        <f t="shared" si="47"/>
        <v>#VALUE!</v>
      </c>
      <c r="CK41" s="427" t="e">
        <f t="shared" si="48"/>
        <v>#VALUE!</v>
      </c>
      <c r="CL41" s="428"/>
      <c r="CM41" s="429"/>
      <c r="CN41" s="424"/>
      <c r="CO41" s="425">
        <v>30</v>
      </c>
      <c r="CP41" s="426" t="e">
        <f t="shared" si="49"/>
        <v>#VALUE!</v>
      </c>
      <c r="CQ41" s="426" t="e">
        <f t="shared" si="50"/>
        <v>#VALUE!</v>
      </c>
      <c r="CR41" s="427" t="e">
        <f t="shared" si="51"/>
        <v>#VALUE!</v>
      </c>
      <c r="CS41" s="428"/>
      <c r="CT41" s="429"/>
      <c r="CU41" s="424"/>
      <c r="CV41" s="425">
        <v>30</v>
      </c>
      <c r="CW41" s="426" t="e">
        <f t="shared" si="52"/>
        <v>#VALUE!</v>
      </c>
      <c r="CX41" s="426" t="e">
        <f t="shared" si="53"/>
        <v>#VALUE!</v>
      </c>
      <c r="CY41" s="427" t="e">
        <f t="shared" si="54"/>
        <v>#VALUE!</v>
      </c>
      <c r="CZ41" s="428"/>
      <c r="DA41" s="429"/>
      <c r="DB41" s="424"/>
      <c r="DC41" s="425">
        <v>30</v>
      </c>
      <c r="DD41" s="426" t="e">
        <f t="shared" si="55"/>
        <v>#VALUE!</v>
      </c>
      <c r="DE41" s="426" t="e">
        <f t="shared" si="56"/>
        <v>#VALUE!</v>
      </c>
      <c r="DF41" s="427" t="e">
        <f t="shared" si="57"/>
        <v>#VALUE!</v>
      </c>
      <c r="DG41" s="428"/>
      <c r="DH41" s="429"/>
      <c r="DI41" s="424"/>
      <c r="DJ41" s="425">
        <v>30</v>
      </c>
      <c r="DK41" s="426" t="e">
        <f t="shared" si="58"/>
        <v>#VALUE!</v>
      </c>
      <c r="DL41" s="426" t="e">
        <f t="shared" si="59"/>
        <v>#VALUE!</v>
      </c>
      <c r="DM41" s="427" t="e">
        <f t="shared" si="60"/>
        <v>#VALUE!</v>
      </c>
      <c r="DN41" s="428"/>
      <c r="DO41" s="429"/>
    </row>
    <row r="42" spans="1:119" ht="15.75" customHeight="1" thickBot="1" x14ac:dyDescent="0.3">
      <c r="A42" s="277"/>
      <c r="B42" s="337"/>
      <c r="C42" s="302"/>
      <c r="D42" s="434"/>
      <c r="E42" s="302"/>
      <c r="F42" s="434"/>
      <c r="G42" s="302"/>
      <c r="H42" s="434"/>
      <c r="I42" s="302"/>
      <c r="J42" s="434"/>
      <c r="K42" s="302"/>
      <c r="L42" s="434"/>
      <c r="M42" s="302"/>
      <c r="N42" s="434"/>
      <c r="O42" s="302"/>
      <c r="P42" s="434"/>
      <c r="Q42" s="302"/>
      <c r="R42" s="434"/>
      <c r="S42" s="302"/>
      <c r="T42" s="434"/>
      <c r="U42" s="302"/>
      <c r="AS42" t="s">
        <v>420</v>
      </c>
      <c r="AU42"/>
      <c r="AV42"/>
      <c r="AW42" s="96"/>
    </row>
    <row r="43" spans="1:119" ht="15.75" customHeight="1" thickBot="1" x14ac:dyDescent="0.3">
      <c r="A43" s="1300" t="s">
        <v>235</v>
      </c>
      <c r="B43" s="1301"/>
      <c r="C43" s="1301"/>
      <c r="D43" s="1301"/>
      <c r="E43" s="1301"/>
      <c r="F43" s="1301"/>
      <c r="G43" s="1301"/>
      <c r="H43" s="1301"/>
      <c r="I43" s="1301"/>
      <c r="J43" s="1301"/>
      <c r="K43" s="1301"/>
      <c r="L43" s="1301"/>
      <c r="M43" s="1301"/>
      <c r="N43" s="1301"/>
      <c r="O43" s="1301"/>
      <c r="P43" s="1301"/>
      <c r="Q43" s="1301"/>
      <c r="R43" s="1301"/>
      <c r="S43" s="1301"/>
      <c r="T43" s="1301"/>
      <c r="U43" s="1302"/>
      <c r="AS43" t="s">
        <v>422</v>
      </c>
      <c r="AU43" s="105"/>
      <c r="AV43"/>
      <c r="AW43" s="96"/>
      <c r="AX43" s="96"/>
      <c r="AY43" s="96"/>
    </row>
    <row r="44" spans="1:119" ht="15.75" customHeight="1" x14ac:dyDescent="0.3">
      <c r="A44" s="241" t="s">
        <v>858</v>
      </c>
      <c r="B44" s="454" t="e">
        <f>+-B20*(1-B27)*C_to_CO2_conversion</f>
        <v>#VALUE!</v>
      </c>
      <c r="C44" s="455"/>
      <c r="D44" s="454" t="e">
        <f>+-D20*(1-D27)*C_to_CO2_conversion</f>
        <v>#VALUE!</v>
      </c>
      <c r="E44" s="436"/>
      <c r="F44" s="454" t="e">
        <f>+-F20*(1-F27)*C_to_CO2_conversion</f>
        <v>#VALUE!</v>
      </c>
      <c r="G44" s="436"/>
      <c r="H44" s="454" t="e">
        <f>+-H20*(1-H27)*C_to_CO2_conversion</f>
        <v>#VALUE!</v>
      </c>
      <c r="I44" s="436"/>
      <c r="J44" s="454" t="e">
        <f>+-J20*(1-J27)*C_to_CO2_conversion</f>
        <v>#VALUE!</v>
      </c>
      <c r="K44" s="436"/>
      <c r="L44" s="454" t="e">
        <f>+-L20*(1-L27)*C_to_CO2_conversion</f>
        <v>#VALUE!</v>
      </c>
      <c r="M44" s="436"/>
      <c r="N44" s="454" t="e">
        <f>+-N20*(1-N27)*C_to_CO2_conversion</f>
        <v>#VALUE!</v>
      </c>
      <c r="O44" s="436"/>
      <c r="P44" s="454" t="e">
        <f>+-P20*(1-P27)*C_to_CO2_conversion</f>
        <v>#VALUE!</v>
      </c>
      <c r="Q44" s="436"/>
      <c r="R44" s="454" t="e">
        <f>+-R20*(1-R27)*C_to_CO2_conversion</f>
        <v>#VALUE!</v>
      </c>
      <c r="S44" s="436"/>
      <c r="T44" s="454" t="e">
        <f>+-T20*(1-T27)*C_to_CO2_conversion</f>
        <v>#VALUE!</v>
      </c>
      <c r="U44" s="436"/>
      <c r="AV44"/>
    </row>
    <row r="45" spans="1:119" ht="15.75" customHeight="1" thickBot="1" x14ac:dyDescent="0.3">
      <c r="A45" s="456"/>
      <c r="B45" s="344"/>
      <c r="C45" s="281"/>
      <c r="D45" s="437"/>
      <c r="E45" s="433"/>
      <c r="F45" s="437"/>
      <c r="G45" s="433"/>
      <c r="H45" s="437"/>
      <c r="I45" s="433"/>
      <c r="J45" s="437"/>
      <c r="K45" s="433"/>
      <c r="L45" s="437"/>
      <c r="M45" s="433"/>
      <c r="N45" s="437"/>
      <c r="O45" s="433"/>
      <c r="P45" s="437"/>
      <c r="Q45" s="433"/>
      <c r="R45" s="437"/>
      <c r="S45" s="433"/>
      <c r="T45" s="437"/>
      <c r="U45" s="433"/>
      <c r="AV45"/>
    </row>
    <row r="46" spans="1:119" ht="15.75" customHeight="1" thickBot="1" x14ac:dyDescent="0.3">
      <c r="A46" s="1300" t="s">
        <v>155</v>
      </c>
      <c r="B46" s="1301"/>
      <c r="C46" s="1301"/>
      <c r="D46" s="1301"/>
      <c r="E46" s="1301"/>
      <c r="F46" s="1301"/>
      <c r="G46" s="1301"/>
      <c r="H46" s="1301"/>
      <c r="I46" s="1301"/>
      <c r="J46" s="1301"/>
      <c r="K46" s="1301"/>
      <c r="L46" s="1301"/>
      <c r="M46" s="1301"/>
      <c r="N46" s="1301"/>
      <c r="O46" s="1301"/>
      <c r="P46" s="1301"/>
      <c r="Q46" s="1301"/>
      <c r="R46" s="1301"/>
      <c r="S46" s="1301"/>
      <c r="T46" s="1301"/>
      <c r="U46" s="1302"/>
      <c r="AV46"/>
    </row>
    <row r="47" spans="1:119" ht="15.75" customHeight="1" x14ac:dyDescent="0.25">
      <c r="A47" s="457" t="s">
        <v>284</v>
      </c>
      <c r="B47" s="467" t="str">
        <f>+IFERROR(B$20*landfill_uncertainty*C_to_CH4_conversion*CH4_in_landfill_gas*B$27*B$21*(($AS$11*SUM($BB$12:$BB$16))+($AS$12*SUM($BB$17:$BB$21))+($AS$13*SUM($BB$22:$BB$26))+($AS$14*SUM($BB$27:$BB$41)))*B$25*btu_value_methane_epa_2004*Conversion_of_BtU_to_kWh*Net_capacity_factor_EPA_2006*Mg_kg/density_of_CH4_at_STP,"N/A")</f>
        <v>N/A</v>
      </c>
      <c r="C47" s="458"/>
      <c r="D47" s="467" t="str">
        <f>+IFERROR(D$20*landfill_uncertainty*C_to_CH4_conversion*CH4_in_landfill_gas*D$27*D$21*(($AS$11*SUM($BI$12:$BI$16))+($AS$12*SUM($BI$17:$BI$21))+($AS$13*SUM($BI$22:$BI$26))+($AS$14*SUM($BI$27:$BI$41)))*D$25*btu_value_methane_epa_2004*Conversion_of_BtU_to_kWh*Net_capacity_factor_EPA_2006*Mg_kg/density_of_CH4_at_STP,"N/A")</f>
        <v>N/A</v>
      </c>
      <c r="E47" s="438"/>
      <c r="F47" s="467" t="str">
        <f>+IFERROR(F$20*landfill_uncertainty*C_to_CH4_conversion*CH4_in_landfill_gas*F$27*F$21*(($AS$11*SUM($BP$12:$BP$16))+($AS$12*SUM($BP$17:$BP$21))+($AS$13*SUM($BP$22:$BP$26))+($AS$14*SUM($BP$27:$BP$41)))*F$25*btu_value_methane_epa_2004*Conversion_of_BtU_to_kWh*Net_capacity_factor_EPA_2006*Mg_kg/density_of_CH4_at_STP,"N/A")</f>
        <v>N/A</v>
      </c>
      <c r="G47" s="438"/>
      <c r="H47" s="467" t="str">
        <f>+IFERROR(H$20*landfill_uncertainty*C_to_CH4_conversion*CH4_in_landfill_gas*H$27*H$21*(($AS$11*SUM($BW$12:$BW$16))+($AS$12*SUM($BW$17:$BW$21))+($AS$13*SUM($BW$22:$BW$26))+($AS$14*SUM($BW$27:$BW$41)))*H$25*btu_value_methane_epa_2004*Conversion_of_BtU_to_kWh*Net_capacity_factor_EPA_2006*Mg_kg/density_of_CH4_at_STP,"N/A")</f>
        <v>N/A</v>
      </c>
      <c r="I47" s="438"/>
      <c r="J47" s="467" t="str">
        <f>+IFERROR(J$20*landfill_uncertainty*C_to_CH4_conversion*CH4_in_landfill_gas*J$27*J$21*(($AS$11*SUM($CD$12:$CD$16))+($AS$12*SUM($CD$17:$CD$21))+($AS$13*SUM($CD$22:$CD$26))+($AS$14*SUM($CD$27:$CD$41)))*J$25*btu_value_methane_epa_2004*Conversion_of_BtU_to_kWh*Net_capacity_factor_EPA_2006*Mg_kg/density_of_CH4_at_STP,"N/A")</f>
        <v>N/A</v>
      </c>
      <c r="K47" s="438"/>
      <c r="L47" s="467" t="str">
        <f>+IFERROR(L$20*landfill_uncertainty*C_to_CH4_conversion*CH4_in_landfill_gas*L$27*L$21*(($AS$11*SUM($CK$12:$CK$16))+($AS$12*SUM($CK$17:$CK$21))+($AS$13*SUM($CK$22:$CK$26))+($AS$14*SUM($CK$27:$CK$41)))*L$25*btu_value_methane_epa_2004*Conversion_of_BtU_to_kWh*Net_capacity_factor_EPA_2006*Mg_kg/density_of_CH4_at_STP,"N/A")</f>
        <v>N/A</v>
      </c>
      <c r="M47" s="438"/>
      <c r="N47" s="467" t="str">
        <f>+IFERROR(N$20*landfill_uncertainty*C_to_CH4_conversion*CH4_in_landfill_gas*N$27*N$21*(($AS$11*SUM($CR$12:$CR$16))+($AS$12*SUM($CR$17:$CR$21))+($AS$13*SUM($CR$22:$CR$26))+($AS$14*SUM($CR$27:$CR$41)))*N$25*btu_value_methane_epa_2004*Conversion_of_BtU_to_kWh*Net_capacity_factor_EPA_2006*Mg_kg/density_of_CH4_at_STP,"N/A")</f>
        <v>N/A</v>
      </c>
      <c r="O47" s="438"/>
      <c r="P47" s="467" t="str">
        <f>+IFERROR(P$20*landfill_uncertainty*C_to_CH4_conversion*CH4_in_landfill_gas*P$27*P$21*(($AS$11*SUM($CY$12:$CY$16))+($AS$12*SUM($CY$17:$CY$21))+($AS$13*SUM($CY$22:$CY$26))+($AS$14*SUM($CY$27:$CY$41)))*P$25*btu_value_methane_epa_2004*Conversion_of_BtU_to_kWh*Net_capacity_factor_EPA_2006*Mg_kg/density_of_CH4_at_STP,"N/A")</f>
        <v>N/A</v>
      </c>
      <c r="Q47" s="438"/>
      <c r="R47" s="467" t="str">
        <f>+IFERROR(R$20*landfill_uncertainty*C_to_CH4_conversion*CH4_in_landfill_gas*R$27*R$21*(($AS$11*SUM($DF$12:$DF$16))+($AS$12*SUM($DF$17:$DF$21))+($AS$13*SUM($DF$22:$DF$26))+($AS$14*SUM($DF$27:$DF$41)))*R$25*btu_value_methane_epa_2004*Conversion_of_BtU_to_kWh*Net_capacity_factor_EPA_2006*Mg_kg/density_of_CH4_at_STP,"N/A")</f>
        <v>N/A</v>
      </c>
      <c r="S47" s="438"/>
      <c r="T47" s="467" t="str">
        <f>+IFERROR(T$20*landfill_uncertainty*C_to_CH4_conversion*CH4_in_landfill_gas*T$27*T$21*(($AS$11*SUM($DM$12:$DM$16))+($AS$12*SUM($DM$17:$DM$21))+($AS$13*SUM($DM$22:$DM$26))+($AS$14*SUM($DM$27:$DM$41)))*T$25*btu_value_methane_epa_2004*Conversion_of_BtU_to_kWh*Net_capacity_factor_EPA_2006*Mg_kg/density_of_CH4_at_STP,"N/A")</f>
        <v>N/A</v>
      </c>
      <c r="U47" s="438"/>
      <c r="AV47"/>
    </row>
    <row r="48" spans="1:119" ht="15.75" customHeight="1" x14ac:dyDescent="0.3">
      <c r="A48" s="168" t="s">
        <v>16</v>
      </c>
      <c r="B48" s="252" t="e">
        <f>-B47*GHG_emissions_factors_by_province/1000000</f>
        <v>#VALUE!</v>
      </c>
      <c r="C48" s="276"/>
      <c r="D48" s="236" t="e">
        <f>-D47*GHG_emissions_factors_by_province/1000000</f>
        <v>#VALUE!</v>
      </c>
      <c r="E48" s="276"/>
      <c r="F48" s="236" t="e">
        <f>-F47*GHG_emissions_factors_by_province/1000000</f>
        <v>#VALUE!</v>
      </c>
      <c r="G48" s="276"/>
      <c r="H48" s="236" t="e">
        <f>-H47*GHG_emissions_factors_by_province/1000000</f>
        <v>#VALUE!</v>
      </c>
      <c r="I48" s="276"/>
      <c r="J48" s="236" t="e">
        <f>-J47*GHG_emissions_factors_by_province/1000000</f>
        <v>#VALUE!</v>
      </c>
      <c r="K48" s="276"/>
      <c r="L48" s="236" t="e">
        <f>-L47*GHG_emissions_factors_by_province/1000000</f>
        <v>#VALUE!</v>
      </c>
      <c r="M48" s="276"/>
      <c r="N48" s="236" t="e">
        <f>-N47*GHG_emissions_factors_by_province/1000000</f>
        <v>#VALUE!</v>
      </c>
      <c r="O48" s="276"/>
      <c r="P48" s="236" t="e">
        <f>-P47*GHG_emissions_factors_by_province/1000000</f>
        <v>#VALUE!</v>
      </c>
      <c r="Q48" s="276"/>
      <c r="R48" s="236" t="e">
        <f>-R47*GHG_emissions_factors_by_province/1000000</f>
        <v>#VALUE!</v>
      </c>
      <c r="S48" s="276"/>
      <c r="T48" s="236" t="e">
        <f>-T47*GHG_emissions_factors_by_province/1000000</f>
        <v>#VALUE!</v>
      </c>
      <c r="U48" s="276"/>
      <c r="AV48"/>
    </row>
    <row r="49" spans="1:67" ht="15.75" customHeight="1" x14ac:dyDescent="0.3">
      <c r="A49" s="417" t="s">
        <v>81</v>
      </c>
      <c r="B49" s="418" t="e">
        <f>+B$20*landfill_uncertainty*CH4_in_landfill_gas*B$27*B$21*($AS$11*SUM($BB$12:$BB$16)+($AS$12*SUM($BB$17:$BB$21))+($AS$13*SUM($BB$22:$BB$26))+($AS$14*SUM($BB$27:$BB$41)))*(1-methane_fugitive_during_combustion_IPCC)*C_to_CO2_conversion</f>
        <v>#VALUE!</v>
      </c>
      <c r="C49" s="433"/>
      <c r="D49" s="420" t="e">
        <f>+D$20*landfill_uncertainty*CH4_in_landfill_gas*D$27*D$21*($AS$11*SUM($BI$12:$BI$16)+($AS$12*SUM($BI$17:$BI$21))+($AS$13*SUM($BI$22:$BI$26))+($AS$14*SUM($BI$27:$BI$41)))*(1-methane_fugitive_during_combustion_IPCC)*C_to_CO2_conversion</f>
        <v>#VALUE!</v>
      </c>
      <c r="E49" s="433"/>
      <c r="F49" s="420" t="e">
        <f>+F$20*landfill_uncertainty*CH4_in_landfill_gas*F$27*F$21*($AS$11*SUM($BP$12:$BP$16)+($AS$12*SUM($BP$17:$BP$21))+($AS$13*SUM($BP$22:$BP$26))+($AS$14*SUM($BP$27:$BP$41)))*(1-methane_fugitive_during_combustion_IPCC)*C_to_CO2_conversion</f>
        <v>#VALUE!</v>
      </c>
      <c r="G49" s="433"/>
      <c r="H49" s="420" t="e">
        <f>+H$20*landfill_uncertainty*CH4_in_landfill_gas*H$27*H$21*($AS$11*SUM($BW$12:$BW$16)+($AS$12*SUM($BW$17:$BW$21))+($AS$13*SUM($BW$22:$BW$26))+($AS$14*SUM($BW$27:$BW$41)))*(1-methane_fugitive_during_combustion_IPCC)*C_to_CO2_conversion</f>
        <v>#VALUE!</v>
      </c>
      <c r="I49" s="433"/>
      <c r="J49" s="420" t="e">
        <f>+J$20*landfill_uncertainty*CH4_in_landfill_gas*J$27*J$21*($AS$11*SUM($CD$12:$CD$16)+($AS$12*SUM($CD$17:$CD$21))+($AS$13*SUM($CD$22:$CD$26))+($AS$14*SUM($CD$27:$CD$41)))*(1-methane_fugitive_during_combustion_IPCC)*C_to_CO2_conversion</f>
        <v>#VALUE!</v>
      </c>
      <c r="K49" s="433"/>
      <c r="L49" s="420" t="e">
        <f>+L$20*landfill_uncertainty*CH4_in_landfill_gas*L$27*L$21*($AS$11*SUM($CK$12:$CK$16)+($AS$12*SUM($CK$17:$CK$21))+($AS$13*SUM($CK$22:$CK$26))+($AS$14*SUM($CK$27:$CK$41)))*(1-methane_fugitive_during_combustion_IPCC)*C_to_CO2_conversion</f>
        <v>#VALUE!</v>
      </c>
      <c r="M49" s="433"/>
      <c r="N49" s="420" t="e">
        <f>+N$20*landfill_uncertainty*CH4_in_landfill_gas*N$27*N$21*($AS$11*SUM($CR$12:$CR$16)+($AS$12*SUM($CR$17:$CR$21))+($AS$13*SUM($CR$22:$CR$26))+($AS$14*SUM($CR$27:$CR$41)))*(1-methane_fugitive_during_combustion_IPCC)*C_to_CO2_conversion</f>
        <v>#VALUE!</v>
      </c>
      <c r="O49" s="433"/>
      <c r="P49" s="420" t="e">
        <f>+P$20*landfill_uncertainty*CH4_in_landfill_gas*P$27*P$21*($AS$11*SUM($CY$12:$CY$16)+($AS$12*SUM($CY$17:$CY$21))+($AS$13*SUM($CY$22:$CY$26))+($AS$14*SUM($CY$27:$CY$41)))*(1-methane_fugitive_during_combustion_IPCC)*C_to_CO2_conversion</f>
        <v>#VALUE!</v>
      </c>
      <c r="Q49" s="433"/>
      <c r="R49" s="420" t="e">
        <f>+R$20*landfill_uncertainty*CH4_in_landfill_gas*R$27*R$21*($AS$11*SUM($DF$12:$DF$16)+($AS$12*SUM($DF$17:$DF$21))+($AS$13*SUM($DF$22:$DF$26))+($AS$14*SUM($DF$27:$DF$41)))*(1-methane_fugitive_during_combustion_IPCC)*C_to_CO2_conversion</f>
        <v>#VALUE!</v>
      </c>
      <c r="S49" s="433"/>
      <c r="T49" s="420" t="e">
        <f>+T$20*landfill_uncertainty*CH4_in_landfill_gas*T$27*T$21*($AS$11*SUM($DM$12:$DM$16)+($AS$12*SUM($DM$17:$DM$21))+($AS$13*SUM($DM$22:$DM$26))+($AS$14*SUM($DM$27:$DM$41)))*(1-methane_fugitive_during_combustion_IPCC)*C_to_CO2_conversion</f>
        <v>#VALUE!</v>
      </c>
      <c r="U49" s="433"/>
      <c r="AV49"/>
    </row>
    <row r="50" spans="1:67" ht="15.75" customHeight="1" thickBot="1" x14ac:dyDescent="0.3">
      <c r="A50" s="277"/>
      <c r="B50" s="337"/>
      <c r="C50" s="302"/>
      <c r="D50" s="434"/>
      <c r="E50" s="302"/>
      <c r="F50" s="434"/>
      <c r="G50" s="302"/>
      <c r="H50" s="434"/>
      <c r="I50" s="302"/>
      <c r="J50" s="434"/>
      <c r="K50" s="302"/>
      <c r="L50" s="434"/>
      <c r="M50" s="302"/>
      <c r="N50" s="434"/>
      <c r="O50" s="302"/>
      <c r="P50" s="434"/>
      <c r="Q50" s="302"/>
      <c r="R50" s="434"/>
      <c r="S50" s="302"/>
      <c r="T50" s="434"/>
      <c r="U50" s="302"/>
      <c r="AV50"/>
    </row>
    <row r="51" spans="1:67" ht="15.75" customHeight="1" thickBot="1" x14ac:dyDescent="0.3">
      <c r="A51" s="1300"/>
      <c r="B51" s="1301"/>
      <c r="C51" s="1301"/>
      <c r="D51" s="1301"/>
      <c r="E51" s="1301"/>
      <c r="F51" s="1301"/>
      <c r="G51" s="1301"/>
      <c r="H51" s="1301"/>
      <c r="I51" s="1301"/>
      <c r="J51" s="1301"/>
      <c r="K51" s="1301"/>
      <c r="L51" s="1301"/>
      <c r="M51" s="1301"/>
      <c r="N51" s="1301"/>
      <c r="O51" s="1301"/>
      <c r="P51" s="1301"/>
      <c r="Q51" s="1301"/>
      <c r="R51" s="1301"/>
      <c r="S51" s="1301"/>
      <c r="T51" s="1301"/>
      <c r="U51" s="1302"/>
      <c r="AV51"/>
    </row>
    <row r="52" spans="1:67" ht="15.75" customHeight="1" thickBot="1" x14ac:dyDescent="0.3">
      <c r="A52" s="254" t="s">
        <v>44</v>
      </c>
      <c r="B52" s="282" t="e">
        <f>(B37+B41+B44+B48)*days_yr</f>
        <v>#VALUE!</v>
      </c>
      <c r="C52" s="440"/>
      <c r="D52" s="282" t="e">
        <f>(D37+D41+D44+D48)*days_yr</f>
        <v>#VALUE!</v>
      </c>
      <c r="E52" s="440"/>
      <c r="F52" s="282" t="e">
        <f>(F37+F41+F44+F48)*days_yr</f>
        <v>#VALUE!</v>
      </c>
      <c r="G52" s="439"/>
      <c r="H52" s="282" t="e">
        <f>(H37+H41+H44+H48)*days_yr</f>
        <v>#VALUE!</v>
      </c>
      <c r="I52" s="439"/>
      <c r="J52" s="282" t="e">
        <f>(J37+J41+J44+J48)*days_yr</f>
        <v>#VALUE!</v>
      </c>
      <c r="K52" s="439"/>
      <c r="L52" s="282" t="e">
        <f>(L37+L41+L44+L48)*days_yr</f>
        <v>#VALUE!</v>
      </c>
      <c r="M52" s="439"/>
      <c r="N52" s="282" t="e">
        <f>(N37+N41+N44+N48)*days_yr</f>
        <v>#VALUE!</v>
      </c>
      <c r="O52" s="439"/>
      <c r="P52" s="282" t="e">
        <f>(P37+P41+P44+P48)*days_yr</f>
        <v>#VALUE!</v>
      </c>
      <c r="Q52" s="439"/>
      <c r="R52" s="282" t="e">
        <f>(R37+R41+R44+R48)*days_yr</f>
        <v>#VALUE!</v>
      </c>
      <c r="S52" s="439"/>
      <c r="T52" s="282" t="e">
        <f>(T37+T41+T44+T48)*days_yr</f>
        <v>#VALUE!</v>
      </c>
      <c r="U52" s="440"/>
      <c r="AV52"/>
    </row>
    <row r="53" spans="1:67" ht="15.75" customHeight="1" x14ac:dyDescent="0.25">
      <c r="A53" s="161" t="s">
        <v>228</v>
      </c>
      <c r="B53" s="137" t="e">
        <f>(B37+B41+B44)*days_yr</f>
        <v>#VALUE!</v>
      </c>
      <c r="C53" s="305"/>
      <c r="D53" s="137" t="e">
        <f>(D37+D41+D44)*days_yr</f>
        <v>#VALUE!</v>
      </c>
      <c r="E53" s="305"/>
      <c r="F53" s="137" t="e">
        <f>(F37+F41+F44)*days_yr</f>
        <v>#VALUE!</v>
      </c>
      <c r="G53" s="96"/>
      <c r="H53" s="137" t="e">
        <f>(H37+H41+H44)*days_yr</f>
        <v>#VALUE!</v>
      </c>
      <c r="I53" s="96"/>
      <c r="J53" s="137" t="e">
        <f>(J37+J41+J44)*days_yr</f>
        <v>#VALUE!</v>
      </c>
      <c r="K53" s="96"/>
      <c r="L53" s="137" t="e">
        <f>(L37+L41+L44)*days_yr</f>
        <v>#VALUE!</v>
      </c>
      <c r="M53" s="96"/>
      <c r="N53" s="137" t="e">
        <f>(N37+N41+N44)*days_yr</f>
        <v>#VALUE!</v>
      </c>
      <c r="O53" s="96"/>
      <c r="P53" s="137" t="e">
        <f>(P37+P41+P44)*days_yr</f>
        <v>#VALUE!</v>
      </c>
      <c r="Q53" s="96"/>
      <c r="R53" s="137" t="e">
        <f>(R37+R41+R44)*days_yr</f>
        <v>#VALUE!</v>
      </c>
      <c r="S53" s="96"/>
      <c r="T53" s="137" t="e">
        <f>(T37+T41+T44)*days_yr</f>
        <v>#VALUE!</v>
      </c>
      <c r="U53" s="305"/>
      <c r="AV53"/>
    </row>
    <row r="54" spans="1:67" ht="18.75" customHeight="1" x14ac:dyDescent="0.25">
      <c r="A54" s="168" t="s">
        <v>229</v>
      </c>
      <c r="B54" s="138" t="e">
        <f>B48*days_yr</f>
        <v>#VALUE!</v>
      </c>
      <c r="C54" s="305"/>
      <c r="D54" s="138" t="e">
        <f>D48*days_yr</f>
        <v>#VALUE!</v>
      </c>
      <c r="E54" s="305"/>
      <c r="F54" s="138" t="e">
        <f>F48*days_yr</f>
        <v>#VALUE!</v>
      </c>
      <c r="G54" s="96"/>
      <c r="H54" s="138" t="e">
        <f>H48*days_yr</f>
        <v>#VALUE!</v>
      </c>
      <c r="I54" s="96"/>
      <c r="J54" s="138" t="e">
        <f>J48*days_yr</f>
        <v>#VALUE!</v>
      </c>
      <c r="K54" s="96"/>
      <c r="L54" s="138" t="e">
        <f>L48*days_yr</f>
        <v>#VALUE!</v>
      </c>
      <c r="M54" s="96"/>
      <c r="N54" s="138" t="e">
        <f>N48*days_yr</f>
        <v>#VALUE!</v>
      </c>
      <c r="O54" s="96"/>
      <c r="P54" s="138" t="e">
        <f>P48*days_yr</f>
        <v>#VALUE!</v>
      </c>
      <c r="Q54" s="96"/>
      <c r="R54" s="138" t="e">
        <f>R48*days_yr</f>
        <v>#VALUE!</v>
      </c>
      <c r="S54" s="96"/>
      <c r="T54" s="138" t="e">
        <f>T48*days_yr</f>
        <v>#VALUE!</v>
      </c>
      <c r="U54" s="305"/>
      <c r="AV54"/>
    </row>
    <row r="55" spans="1:67" ht="15.75" customHeight="1" x14ac:dyDescent="0.25">
      <c r="A55" s="168" t="s">
        <v>207</v>
      </c>
      <c r="B55" s="138" t="e">
        <f>B53+B54</f>
        <v>#VALUE!</v>
      </c>
      <c r="C55" s="442"/>
      <c r="D55" s="138" t="e">
        <f>D53+D54</f>
        <v>#VALUE!</v>
      </c>
      <c r="E55" s="442"/>
      <c r="F55" s="138" t="e">
        <f>F53+F54</f>
        <v>#VALUE!</v>
      </c>
      <c r="G55" s="441"/>
      <c r="H55" s="138" t="e">
        <f>H53+H54</f>
        <v>#VALUE!</v>
      </c>
      <c r="I55" s="441"/>
      <c r="J55" s="138" t="e">
        <f>J53+J54</f>
        <v>#VALUE!</v>
      </c>
      <c r="K55" s="441"/>
      <c r="L55" s="138" t="e">
        <f>L53+L54</f>
        <v>#VALUE!</v>
      </c>
      <c r="M55" s="441"/>
      <c r="N55" s="138" t="e">
        <f>N53+N54</f>
        <v>#VALUE!</v>
      </c>
      <c r="O55" s="441"/>
      <c r="P55" s="138" t="e">
        <f>P53+P54</f>
        <v>#VALUE!</v>
      </c>
      <c r="Q55" s="441"/>
      <c r="R55" s="138" t="e">
        <f>R53+R54</f>
        <v>#VALUE!</v>
      </c>
      <c r="S55" s="441"/>
      <c r="T55" s="138" t="e">
        <f>T53+T54</f>
        <v>#VALUE!</v>
      </c>
      <c r="U55" s="442"/>
      <c r="AT55" s="105"/>
      <c r="AU55" s="130"/>
      <c r="AV55"/>
      <c r="AW55" s="96"/>
      <c r="AX55" s="96"/>
      <c r="AY55" s="96"/>
    </row>
    <row r="56" spans="1:67" ht="15.75" customHeight="1" x14ac:dyDescent="0.25">
      <c r="A56" s="168" t="s">
        <v>230</v>
      </c>
      <c r="B56" s="138">
        <v>0</v>
      </c>
      <c r="C56" s="305"/>
      <c r="D56" s="138">
        <v>0</v>
      </c>
      <c r="E56" s="305"/>
      <c r="F56" s="138">
        <v>0</v>
      </c>
      <c r="G56" s="96"/>
      <c r="H56" s="138">
        <v>0</v>
      </c>
      <c r="I56" s="96"/>
      <c r="J56" s="138">
        <v>0</v>
      </c>
      <c r="K56" s="96"/>
      <c r="L56" s="138">
        <v>0</v>
      </c>
      <c r="M56" s="96"/>
      <c r="N56" s="138">
        <v>0</v>
      </c>
      <c r="O56" s="96"/>
      <c r="P56" s="138">
        <v>0</v>
      </c>
      <c r="Q56" s="96"/>
      <c r="R56" s="138">
        <v>0</v>
      </c>
      <c r="S56" s="96"/>
      <c r="T56" s="138">
        <v>0</v>
      </c>
      <c r="U56" s="305"/>
      <c r="AU56" s="130"/>
      <c r="AV56"/>
      <c r="AW56" s="96"/>
      <c r="AX56" s="96"/>
      <c r="AY56" s="96"/>
    </row>
    <row r="57" spans="1:67" ht="15.75" customHeight="1" thickBot="1" x14ac:dyDescent="0.3">
      <c r="A57" s="169" t="s">
        <v>325</v>
      </c>
      <c r="B57" s="140" t="e">
        <f>+B49*days_yr</f>
        <v>#VALUE!</v>
      </c>
      <c r="C57" s="351"/>
      <c r="D57" s="140" t="e">
        <f>+D49*days_yr</f>
        <v>#VALUE!</v>
      </c>
      <c r="E57" s="351"/>
      <c r="F57" s="140" t="e">
        <f>+F49*days_yr</f>
        <v>#VALUE!</v>
      </c>
      <c r="G57" s="430"/>
      <c r="H57" s="140" t="e">
        <f>+H49*days_yr</f>
        <v>#VALUE!</v>
      </c>
      <c r="I57" s="430"/>
      <c r="J57" s="140" t="e">
        <f>+J49*days_yr</f>
        <v>#VALUE!</v>
      </c>
      <c r="K57" s="430"/>
      <c r="L57" s="140" t="e">
        <f>+L49*days_yr</f>
        <v>#VALUE!</v>
      </c>
      <c r="M57" s="430"/>
      <c r="N57" s="140" t="e">
        <f>+N49*days_yr</f>
        <v>#VALUE!</v>
      </c>
      <c r="O57" s="430"/>
      <c r="P57" s="140" t="e">
        <f>+P49*days_yr</f>
        <v>#VALUE!</v>
      </c>
      <c r="Q57" s="430"/>
      <c r="R57" s="140" t="e">
        <f>+R49*days_yr</f>
        <v>#VALUE!</v>
      </c>
      <c r="S57" s="430"/>
      <c r="T57" s="140" t="e">
        <f>+T49*days_yr</f>
        <v>#VALUE!</v>
      </c>
      <c r="U57" s="351"/>
      <c r="AU57" s="130"/>
      <c r="AV57"/>
      <c r="AW57" s="96"/>
      <c r="AX57" s="96"/>
      <c r="AY57" s="96"/>
    </row>
    <row r="58" spans="1:67" ht="15.75" customHeight="1" x14ac:dyDescent="0.25">
      <c r="AU58" s="96"/>
      <c r="AV58"/>
      <c r="AW58" s="96"/>
      <c r="AX58" s="96"/>
      <c r="AY58" s="96"/>
    </row>
    <row r="59" spans="1:67" ht="15.75" customHeight="1" x14ac:dyDescent="0.25">
      <c r="AU59" s="96"/>
      <c r="AV59"/>
      <c r="AW59" s="96"/>
      <c r="AX59" s="96"/>
      <c r="AY59" s="96"/>
    </row>
    <row r="60" spans="1:67" x14ac:dyDescent="0.25">
      <c r="A60" s="96"/>
      <c r="B60" s="444"/>
      <c r="C60" s="96"/>
      <c r="D60" s="96" t="s">
        <v>412</v>
      </c>
      <c r="AU60" s="96"/>
      <c r="AV60"/>
      <c r="AW60" s="96"/>
      <c r="AX60" s="96"/>
      <c r="AY60" s="96"/>
    </row>
    <row r="61" spans="1:67" s="105" customFormat="1" ht="18" x14ac:dyDescent="0.25">
      <c r="A61" s="176" t="s">
        <v>97</v>
      </c>
      <c r="B61" s="155"/>
      <c r="AU61" s="96"/>
      <c r="AV61"/>
      <c r="AW61" s="96"/>
      <c r="AX61" s="96"/>
      <c r="AY61" s="96"/>
      <c r="AZ61" s="355"/>
      <c r="BA61" s="355"/>
      <c r="BB61" s="355"/>
      <c r="BC61" s="355"/>
      <c r="BD61" s="355"/>
      <c r="BE61" s="355"/>
      <c r="BF61" s="355"/>
      <c r="BG61" s="355"/>
      <c r="BH61" s="355"/>
      <c r="BI61" s="355"/>
      <c r="BJ61" s="355"/>
      <c r="BK61" s="355"/>
      <c r="BL61" s="355"/>
      <c r="BM61" s="355"/>
      <c r="BN61" s="355"/>
      <c r="BO61" s="355"/>
    </row>
    <row r="62" spans="1:67" s="105" customFormat="1" ht="54.75" customHeight="1" x14ac:dyDescent="0.25">
      <c r="A62" s="1335" t="s">
        <v>33</v>
      </c>
      <c r="B62" s="1336"/>
      <c r="C62" s="1336"/>
      <c r="AV62"/>
    </row>
    <row r="63" spans="1:67" s="105" customFormat="1" ht="15.75" customHeight="1" x14ac:dyDescent="0.25">
      <c r="A63" s="1035" t="s">
        <v>107</v>
      </c>
      <c r="B63" s="1036"/>
      <c r="C63" s="1036"/>
      <c r="AV63"/>
    </row>
    <row r="64" spans="1:67" s="96" customFormat="1" ht="15" x14ac:dyDescent="0.25">
      <c r="B64" s="1234" t="s">
        <v>110</v>
      </c>
      <c r="C64" s="1235"/>
      <c r="D64" s="1235"/>
      <c r="E64" s="1236"/>
      <c r="AU64" s="105"/>
      <c r="AV64"/>
      <c r="AW64" s="105"/>
      <c r="AX64" s="105"/>
      <c r="AY64" s="105"/>
      <c r="AZ64" s="105"/>
      <c r="BA64" s="105"/>
      <c r="BB64" s="105"/>
      <c r="BC64" s="105"/>
      <c r="BD64" s="105"/>
      <c r="BE64" s="105"/>
      <c r="BF64" s="105"/>
      <c r="BG64" s="105"/>
      <c r="BH64" s="105"/>
      <c r="BI64" s="105"/>
      <c r="BJ64" s="105"/>
      <c r="BK64" s="105"/>
      <c r="BL64" s="105"/>
      <c r="BM64" s="105"/>
      <c r="BN64" s="105"/>
      <c r="BO64" s="105"/>
    </row>
    <row r="65" spans="1:67" x14ac:dyDescent="0.25">
      <c r="A65" s="96"/>
      <c r="B65" s="1231" t="s">
        <v>31</v>
      </c>
      <c r="C65" s="1232"/>
      <c r="D65" s="1233"/>
      <c r="E65" s="563">
        <v>0</v>
      </c>
      <c r="AU65" s="96"/>
      <c r="AV65"/>
      <c r="AW65" s="96"/>
      <c r="AX65" s="96"/>
      <c r="AY65" s="96"/>
      <c r="AZ65" s="96"/>
      <c r="BA65" s="96"/>
      <c r="BB65" s="96"/>
      <c r="BC65" s="96"/>
      <c r="BD65" s="96"/>
      <c r="BE65" s="96"/>
      <c r="BF65" s="96"/>
      <c r="BG65" s="96"/>
      <c r="BH65" s="96"/>
      <c r="BI65" s="96"/>
      <c r="BJ65" s="96"/>
      <c r="BK65" s="96"/>
      <c r="BL65" s="96"/>
      <c r="BM65" s="96"/>
      <c r="BN65" s="96"/>
      <c r="BO65" s="96"/>
    </row>
    <row r="66" spans="1:67" x14ac:dyDescent="0.25">
      <c r="A66" s="96"/>
      <c r="B66" s="1231" t="s">
        <v>32</v>
      </c>
      <c r="C66" s="1232"/>
      <c r="D66" s="1233"/>
      <c r="E66" s="564">
        <v>0</v>
      </c>
      <c r="AU66" s="96"/>
      <c r="AV66"/>
      <c r="AW66" s="96"/>
      <c r="AX66" s="96"/>
      <c r="AY66" s="96"/>
    </row>
    <row r="67" spans="1:67" x14ac:dyDescent="0.25">
      <c r="A67" s="96"/>
      <c r="B67" s="1231" t="s">
        <v>615</v>
      </c>
      <c r="C67" s="1232"/>
      <c r="D67" s="1233"/>
      <c r="E67" s="565">
        <v>0</v>
      </c>
      <c r="AU67" s="96"/>
      <c r="AV67"/>
      <c r="AW67" s="96"/>
      <c r="AX67" s="96"/>
      <c r="AY67" s="96"/>
    </row>
    <row r="68" spans="1:67" x14ac:dyDescent="0.25">
      <c r="A68" s="96"/>
      <c r="B68" s="1231" t="s">
        <v>70</v>
      </c>
      <c r="C68" s="1232"/>
      <c r="D68" s="1233"/>
      <c r="E68" s="566">
        <v>0</v>
      </c>
      <c r="AU68" s="96"/>
      <c r="AV68"/>
      <c r="AW68" s="96"/>
      <c r="AX68" s="96"/>
      <c r="AY68" s="96"/>
    </row>
    <row r="69" spans="1:67" x14ac:dyDescent="0.25">
      <c r="A69" s="96"/>
      <c r="B69" s="1231" t="s">
        <v>550</v>
      </c>
      <c r="C69" s="1232"/>
      <c r="D69" s="1233"/>
      <c r="E69" s="567">
        <v>0</v>
      </c>
      <c r="AU69" s="96"/>
      <c r="AV69"/>
      <c r="AW69" s="96"/>
      <c r="AX69" s="96"/>
      <c r="AY69" s="96"/>
    </row>
    <row r="70" spans="1:67" x14ac:dyDescent="0.25">
      <c r="A70" s="96"/>
      <c r="B70" s="1231" t="s">
        <v>610</v>
      </c>
      <c r="C70" s="1232"/>
      <c r="D70" s="1233"/>
      <c r="E70" s="227">
        <v>0</v>
      </c>
      <c r="AU70" s="96"/>
      <c r="AV70"/>
      <c r="AW70" s="96"/>
      <c r="AX70" s="96"/>
      <c r="AY70" s="96"/>
    </row>
    <row r="71" spans="1:67" x14ac:dyDescent="0.25">
      <c r="A71" s="96"/>
      <c r="B71" s="96"/>
      <c r="C71" s="96"/>
      <c r="D71" s="96"/>
      <c r="AU71" s="96"/>
      <c r="AV71"/>
      <c r="AW71" s="96"/>
      <c r="AX71" s="96"/>
      <c r="AY71" s="96"/>
    </row>
    <row r="72" spans="1:67" x14ac:dyDescent="0.25">
      <c r="A72" s="96"/>
      <c r="B72" s="96"/>
      <c r="C72" s="96"/>
      <c r="D72" s="96"/>
      <c r="AU72" s="96"/>
      <c r="AV72"/>
      <c r="AW72" s="96"/>
      <c r="AX72" s="96"/>
      <c r="AY72" s="96"/>
    </row>
    <row r="73" spans="1:67" x14ac:dyDescent="0.25">
      <c r="A73" s="96"/>
      <c r="B73" s="96"/>
      <c r="C73" s="96"/>
      <c r="D73" s="96"/>
      <c r="AU73" s="96"/>
      <c r="AV73"/>
      <c r="AW73" s="96"/>
      <c r="AX73" s="96"/>
      <c r="AY73" s="96"/>
    </row>
    <row r="74" spans="1:67" x14ac:dyDescent="0.25">
      <c r="A74" s="96"/>
      <c r="B74" s="96"/>
      <c r="C74" s="96"/>
      <c r="D74" s="96"/>
      <c r="AU74" s="96"/>
      <c r="AV74"/>
      <c r="AW74" s="96"/>
      <c r="AX74" s="96"/>
      <c r="AY74" s="96"/>
    </row>
    <row r="75" spans="1:67" x14ac:dyDescent="0.25">
      <c r="A75" s="96"/>
      <c r="B75" s="96"/>
      <c r="C75" s="96"/>
      <c r="D75" s="96"/>
      <c r="AU75" s="96"/>
      <c r="AV75"/>
      <c r="AW75" s="96"/>
      <c r="AX75" s="96"/>
      <c r="AY75" s="96"/>
    </row>
    <row r="76" spans="1:67" x14ac:dyDescent="0.25">
      <c r="A76" s="96"/>
      <c r="B76" s="96"/>
      <c r="C76" s="96"/>
      <c r="D76" s="96"/>
      <c r="AU76" s="96"/>
      <c r="AV76"/>
      <c r="AW76" s="96"/>
      <c r="AX76" s="96"/>
      <c r="AY76" s="96"/>
    </row>
    <row r="77" spans="1:67" x14ac:dyDescent="0.25">
      <c r="A77" s="96"/>
      <c r="B77" s="96"/>
      <c r="C77" s="96"/>
      <c r="D77" s="96"/>
      <c r="AU77" s="96"/>
      <c r="AV77"/>
      <c r="AW77" s="96"/>
      <c r="AX77" s="96"/>
      <c r="AY77" s="96"/>
    </row>
    <row r="78" spans="1:67" x14ac:dyDescent="0.25">
      <c r="A78" s="96"/>
      <c r="B78" s="96"/>
      <c r="C78" s="96"/>
      <c r="D78" s="96"/>
      <c r="AU78" s="96"/>
      <c r="AV78"/>
      <c r="AW78" s="96"/>
      <c r="AX78" s="96"/>
      <c r="AY78" s="96"/>
    </row>
    <row r="79" spans="1:67" x14ac:dyDescent="0.25">
      <c r="A79" s="96"/>
      <c r="B79" s="96"/>
      <c r="C79" s="96"/>
      <c r="D79" s="96"/>
      <c r="AU79" s="96"/>
      <c r="AV79"/>
      <c r="AW79" s="96"/>
      <c r="AX79" s="96"/>
      <c r="AY79" s="96"/>
    </row>
    <row r="80" spans="1:67" x14ac:dyDescent="0.25">
      <c r="A80" s="96"/>
      <c r="C80" s="459"/>
      <c r="AU80" s="96"/>
      <c r="AV80"/>
      <c r="AW80" s="96"/>
      <c r="AX80" s="96"/>
      <c r="AY80" s="96"/>
    </row>
    <row r="81" spans="1:51" x14ac:dyDescent="0.25">
      <c r="A81" s="96"/>
      <c r="C81" s="459"/>
      <c r="AU81" s="96"/>
      <c r="AV81"/>
      <c r="AW81" s="96"/>
      <c r="AX81" s="96"/>
      <c r="AY81" s="96"/>
    </row>
    <row r="82" spans="1:51" x14ac:dyDescent="0.25">
      <c r="A82" s="96"/>
      <c r="C82" s="460"/>
      <c r="AU82" s="96"/>
      <c r="AV82"/>
      <c r="AW82" s="96"/>
      <c r="AX82" s="96"/>
      <c r="AY82" s="96"/>
    </row>
    <row r="83" spans="1:51" x14ac:dyDescent="0.25">
      <c r="A83" s="96"/>
      <c r="C83" s="460"/>
      <c r="AU83" s="96"/>
      <c r="AV83"/>
      <c r="AW83" s="96"/>
      <c r="AX83" s="96"/>
      <c r="AY83" s="96"/>
    </row>
    <row r="84" spans="1:51" x14ac:dyDescent="0.25">
      <c r="A84" s="96"/>
      <c r="C84" s="460"/>
      <c r="AU84" s="96"/>
      <c r="AV84"/>
      <c r="AW84" s="96"/>
      <c r="AX84" s="96"/>
      <c r="AY84" s="96"/>
    </row>
    <row r="85" spans="1:51" x14ac:dyDescent="0.25">
      <c r="A85" s="96"/>
      <c r="B85" s="96"/>
      <c r="C85" s="96"/>
      <c r="D85" s="96"/>
      <c r="AU85" s="96"/>
      <c r="AV85"/>
      <c r="AW85" s="96"/>
      <c r="AX85" s="96"/>
      <c r="AY85" s="96"/>
    </row>
    <row r="86" spans="1:51" x14ac:dyDescent="0.25">
      <c r="A86" s="96"/>
      <c r="B86" s="96"/>
      <c r="C86" s="96"/>
      <c r="D86" s="96"/>
      <c r="AU86" s="96"/>
      <c r="AV86"/>
      <c r="AW86" s="96"/>
      <c r="AX86" s="96"/>
      <c r="AY86" s="96"/>
    </row>
    <row r="87" spans="1:51" x14ac:dyDescent="0.25">
      <c r="A87" s="96"/>
      <c r="B87" s="96"/>
      <c r="C87" s="96"/>
      <c r="D87" s="96"/>
      <c r="AU87" s="96"/>
      <c r="AV87"/>
      <c r="AW87" s="96"/>
      <c r="AX87" s="96"/>
      <c r="AY87" s="96"/>
    </row>
    <row r="88" spans="1:51" x14ac:dyDescent="0.25">
      <c r="A88" s="96"/>
      <c r="B88" s="96"/>
      <c r="C88" s="96"/>
      <c r="D88" s="96"/>
      <c r="AU88" s="96"/>
      <c r="AV88"/>
      <c r="AW88" s="96"/>
      <c r="AX88" s="96"/>
      <c r="AY88" s="96"/>
    </row>
    <row r="89" spans="1:51" x14ac:dyDescent="0.25">
      <c r="A89" s="96"/>
      <c r="B89" s="96"/>
      <c r="C89" s="96"/>
      <c r="D89" s="96"/>
      <c r="AU89" s="96"/>
      <c r="AV89"/>
      <c r="AW89" s="96"/>
      <c r="AX89" s="96"/>
      <c r="AY89" s="96"/>
    </row>
    <row r="90" spans="1:51" x14ac:dyDescent="0.25">
      <c r="A90" s="96"/>
      <c r="B90" s="96"/>
      <c r="C90" s="96"/>
      <c r="D90" s="96"/>
      <c r="AU90" s="96"/>
      <c r="AV90"/>
      <c r="AW90" s="96"/>
      <c r="AX90" s="96"/>
      <c r="AY90" s="96"/>
    </row>
    <row r="91" spans="1:51" x14ac:dyDescent="0.25">
      <c r="A91" s="96"/>
      <c r="B91" s="96"/>
      <c r="C91" s="96"/>
      <c r="D91" s="96"/>
      <c r="AU91" s="96"/>
      <c r="AV91"/>
      <c r="AW91" s="96"/>
      <c r="AX91" s="96"/>
      <c r="AY91" s="96"/>
    </row>
    <row r="92" spans="1:51" x14ac:dyDescent="0.25">
      <c r="A92" s="96"/>
      <c r="B92" s="96"/>
      <c r="C92" s="96"/>
      <c r="D92" s="96"/>
      <c r="AU92" s="96"/>
      <c r="AV92"/>
      <c r="AW92" s="96"/>
      <c r="AX92" s="96"/>
      <c r="AY92" s="96"/>
    </row>
    <row r="93" spans="1:51" x14ac:dyDescent="0.25">
      <c r="A93" s="96"/>
      <c r="B93" s="96"/>
      <c r="C93" s="96"/>
      <c r="D93" s="96"/>
      <c r="AU93" s="96"/>
      <c r="AV93"/>
      <c r="AW93" s="96"/>
      <c r="AX93" s="96"/>
      <c r="AY93" s="96"/>
    </row>
    <row r="94" spans="1:51" x14ac:dyDescent="0.25">
      <c r="A94" s="96"/>
      <c r="B94" s="96"/>
      <c r="C94" s="96"/>
      <c r="D94" s="96"/>
      <c r="AU94" s="96"/>
      <c r="AV94"/>
      <c r="AW94" s="96"/>
      <c r="AX94" s="96"/>
      <c r="AY94" s="96"/>
    </row>
    <row r="95" spans="1:51" x14ac:dyDescent="0.25">
      <c r="A95" s="96"/>
      <c r="B95" s="96"/>
      <c r="C95" s="96"/>
      <c r="D95" s="96"/>
      <c r="AU95" s="96"/>
      <c r="AV95"/>
      <c r="AW95" s="96"/>
      <c r="AX95" s="96"/>
      <c r="AY95" s="96"/>
    </row>
    <row r="96" spans="1:51" x14ac:dyDescent="0.25">
      <c r="A96" s="96"/>
      <c r="B96" s="96"/>
      <c r="C96" s="96"/>
      <c r="D96" s="96"/>
      <c r="AU96" s="96"/>
      <c r="AV96"/>
      <c r="AW96" s="96"/>
      <c r="AX96" s="96"/>
      <c r="AY96" s="96"/>
    </row>
    <row r="97" spans="1:51" x14ac:dyDescent="0.25">
      <c r="A97" s="96"/>
      <c r="B97" s="96"/>
      <c r="C97" s="96"/>
      <c r="D97" s="96"/>
      <c r="AU97" s="96"/>
      <c r="AV97"/>
      <c r="AW97" s="96"/>
      <c r="AX97" s="96"/>
      <c r="AY97" s="96"/>
    </row>
    <row r="98" spans="1:51" x14ac:dyDescent="0.25">
      <c r="A98" s="96"/>
      <c r="B98" s="96"/>
      <c r="C98" s="96"/>
      <c r="D98" s="96"/>
      <c r="AU98" s="96"/>
      <c r="AV98"/>
      <c r="AW98" s="96"/>
      <c r="AX98" s="96"/>
      <c r="AY98" s="96"/>
    </row>
    <row r="99" spans="1:51" x14ac:dyDescent="0.25">
      <c r="A99" s="96"/>
      <c r="B99" s="96"/>
      <c r="C99" s="96"/>
      <c r="D99" s="96"/>
      <c r="AU99" s="96"/>
      <c r="AV99"/>
      <c r="AW99" s="96"/>
      <c r="AX99" s="96"/>
      <c r="AY99" s="96"/>
    </row>
    <row r="100" spans="1:51" x14ac:dyDescent="0.25">
      <c r="A100" s="96"/>
      <c r="B100" s="96"/>
      <c r="C100" s="96"/>
      <c r="D100" s="96"/>
      <c r="AU100" s="96"/>
      <c r="AV100"/>
      <c r="AW100" s="96"/>
      <c r="AX100" s="96"/>
      <c r="AY100" s="96"/>
    </row>
    <row r="101" spans="1:51" x14ac:dyDescent="0.25">
      <c r="A101" s="96"/>
      <c r="B101" s="96"/>
      <c r="C101" s="96"/>
      <c r="D101" s="96"/>
      <c r="AU101" s="96"/>
      <c r="AV101"/>
      <c r="AW101" s="96"/>
      <c r="AX101" s="96"/>
      <c r="AY101" s="96"/>
    </row>
    <row r="102" spans="1:51" x14ac:dyDescent="0.25">
      <c r="A102" s="96"/>
      <c r="B102" s="96"/>
      <c r="C102" s="96"/>
      <c r="D102" s="96"/>
      <c r="AU102" s="96"/>
      <c r="AV102"/>
      <c r="AW102" s="96"/>
      <c r="AX102" s="96"/>
      <c r="AY102" s="96"/>
    </row>
    <row r="103" spans="1:51" x14ac:dyDescent="0.25">
      <c r="A103" s="96"/>
      <c r="B103" s="96"/>
      <c r="C103" s="96"/>
      <c r="D103" s="96"/>
      <c r="AU103" s="96"/>
      <c r="AV103"/>
      <c r="AW103" s="96"/>
      <c r="AX103" s="96"/>
      <c r="AY103" s="96"/>
    </row>
    <row r="104" spans="1:51" x14ac:dyDescent="0.25">
      <c r="A104" s="96"/>
      <c r="B104" s="96"/>
      <c r="C104" s="96"/>
      <c r="D104" s="96"/>
      <c r="AU104" s="96"/>
      <c r="AV104"/>
      <c r="AW104" s="96"/>
      <c r="AX104" s="96"/>
      <c r="AY104" s="96"/>
    </row>
    <row r="105" spans="1:51" x14ac:dyDescent="0.25">
      <c r="A105" s="96"/>
      <c r="B105" s="96"/>
      <c r="C105" s="96"/>
      <c r="D105" s="96"/>
      <c r="AU105" s="96"/>
      <c r="AV105"/>
      <c r="AW105" s="96"/>
      <c r="AX105" s="96"/>
      <c r="AY105" s="96"/>
    </row>
    <row r="106" spans="1:51" x14ac:dyDescent="0.25">
      <c r="A106" s="96"/>
      <c r="B106" s="96"/>
      <c r="C106" s="96"/>
      <c r="D106" s="96"/>
      <c r="AU106" s="96"/>
      <c r="AV106"/>
      <c r="AW106" s="96"/>
      <c r="AX106" s="96"/>
      <c r="AY106" s="96"/>
    </row>
    <row r="107" spans="1:51" x14ac:dyDescent="0.25">
      <c r="A107" s="96"/>
      <c r="B107" s="96"/>
      <c r="C107" s="96"/>
      <c r="D107" s="96"/>
      <c r="AU107" s="96"/>
      <c r="AV107"/>
      <c r="AW107" s="96"/>
      <c r="AX107" s="96"/>
      <c r="AY107" s="96"/>
    </row>
    <row r="108" spans="1:51" x14ac:dyDescent="0.25">
      <c r="A108" s="96"/>
      <c r="B108" s="96"/>
      <c r="C108" s="96"/>
      <c r="D108" s="96"/>
      <c r="AU108" s="96"/>
      <c r="AV108"/>
      <c r="AW108" s="96"/>
      <c r="AX108" s="96"/>
      <c r="AY108" s="96"/>
    </row>
    <row r="109" spans="1:51" x14ac:dyDescent="0.25">
      <c r="A109" s="96"/>
      <c r="B109" s="96"/>
      <c r="C109" s="96"/>
      <c r="D109" s="96"/>
      <c r="AU109" s="96"/>
      <c r="AV109"/>
      <c r="AW109" s="96"/>
      <c r="AX109" s="96"/>
      <c r="AY109" s="96"/>
    </row>
    <row r="110" spans="1:51" x14ac:dyDescent="0.25">
      <c r="A110" s="96"/>
      <c r="B110" s="96"/>
      <c r="C110" s="96"/>
      <c r="D110" s="96"/>
      <c r="AU110" s="96"/>
      <c r="AV110"/>
      <c r="AW110" s="96"/>
      <c r="AX110" s="96"/>
      <c r="AY110" s="96"/>
    </row>
    <row r="111" spans="1:51" x14ac:dyDescent="0.25">
      <c r="A111" s="96"/>
      <c r="B111" s="96"/>
      <c r="C111" s="96"/>
      <c r="D111" s="96"/>
      <c r="AU111" s="96"/>
      <c r="AV111"/>
      <c r="AW111" s="96"/>
      <c r="AX111" s="96"/>
      <c r="AY111" s="96"/>
    </row>
    <row r="112" spans="1:51" x14ac:dyDescent="0.25">
      <c r="A112" s="96"/>
      <c r="B112" s="96"/>
      <c r="C112" s="96"/>
      <c r="D112" s="96"/>
      <c r="AU112" s="96"/>
      <c r="AV112"/>
      <c r="AW112" s="96"/>
      <c r="AX112" s="96"/>
      <c r="AY112" s="96"/>
    </row>
    <row r="113" spans="1:51" x14ac:dyDescent="0.25">
      <c r="A113" s="96"/>
      <c r="B113" s="96"/>
      <c r="C113" s="96"/>
      <c r="D113" s="96"/>
      <c r="AU113" s="96"/>
      <c r="AV113"/>
      <c r="AW113" s="96"/>
      <c r="AX113" s="96"/>
      <c r="AY113" s="96"/>
    </row>
    <row r="114" spans="1:51" x14ac:dyDescent="0.25">
      <c r="A114" s="96"/>
      <c r="B114" s="96"/>
      <c r="C114" s="96"/>
      <c r="D114" s="96"/>
      <c r="AU114" s="96"/>
      <c r="AV114"/>
      <c r="AW114" s="96"/>
      <c r="AX114" s="96"/>
      <c r="AY114" s="96"/>
    </row>
    <row r="115" spans="1:51" x14ac:dyDescent="0.25">
      <c r="A115" s="96"/>
      <c r="B115" s="96"/>
      <c r="C115" s="96"/>
      <c r="D115" s="96"/>
      <c r="AU115" s="96"/>
      <c r="AV115"/>
      <c r="AW115" s="96"/>
      <c r="AX115" s="96"/>
      <c r="AY115" s="96"/>
    </row>
    <row r="116" spans="1:51" x14ac:dyDescent="0.25">
      <c r="A116" s="96"/>
      <c r="B116" s="96"/>
      <c r="C116" s="96"/>
      <c r="D116" s="96"/>
      <c r="AU116" s="96"/>
      <c r="AV116"/>
      <c r="AW116" s="96"/>
      <c r="AX116" s="96"/>
      <c r="AY116" s="96"/>
    </row>
    <row r="117" spans="1:51" x14ac:dyDescent="0.25">
      <c r="A117" s="96"/>
      <c r="B117" s="96"/>
      <c r="C117" s="96"/>
      <c r="D117" s="96"/>
      <c r="AU117" s="96"/>
      <c r="AV117"/>
      <c r="AW117" s="96"/>
      <c r="AX117" s="96"/>
      <c r="AY117" s="96"/>
    </row>
    <row r="118" spans="1:51" x14ac:dyDescent="0.25">
      <c r="A118" s="96"/>
      <c r="B118" s="96"/>
      <c r="C118" s="96"/>
      <c r="D118" s="96"/>
      <c r="AU118" s="96"/>
      <c r="AV118"/>
      <c r="AW118" s="96"/>
      <c r="AX118" s="96"/>
      <c r="AY118" s="96"/>
    </row>
    <row r="119" spans="1:51" x14ac:dyDescent="0.25">
      <c r="A119" s="96"/>
      <c r="B119" s="96"/>
      <c r="C119" s="96"/>
      <c r="D119" s="96"/>
      <c r="AU119" s="96"/>
      <c r="AV119" s="96"/>
      <c r="AW119" s="96"/>
      <c r="AX119" s="96"/>
      <c r="AY119" s="96"/>
    </row>
    <row r="120" spans="1:51" x14ac:dyDescent="0.25">
      <c r="A120" s="96"/>
      <c r="B120" s="96"/>
      <c r="C120" s="96"/>
      <c r="D120" s="96"/>
      <c r="AU120" s="96"/>
      <c r="AV120" s="96"/>
      <c r="AW120" s="96"/>
      <c r="AX120" s="96"/>
      <c r="AY120" s="96"/>
    </row>
    <row r="121" spans="1:51" x14ac:dyDescent="0.25">
      <c r="A121" s="96"/>
      <c r="B121" s="96"/>
      <c r="C121" s="96"/>
      <c r="D121" s="96"/>
      <c r="AU121" s="96"/>
      <c r="AV121" s="96"/>
      <c r="AW121" s="96"/>
      <c r="AX121" s="96"/>
      <c r="AY121" s="96"/>
    </row>
    <row r="122" spans="1:51" x14ac:dyDescent="0.25">
      <c r="A122" s="96"/>
      <c r="B122" s="96"/>
      <c r="C122" s="96"/>
      <c r="D122" s="96"/>
      <c r="AU122" s="96"/>
      <c r="AV122" s="96"/>
      <c r="AW122" s="96"/>
      <c r="AX122" s="96"/>
      <c r="AY122" s="96"/>
    </row>
    <row r="123" spans="1:51" x14ac:dyDescent="0.25">
      <c r="A123" s="96"/>
      <c r="B123" s="96"/>
      <c r="C123" s="96"/>
      <c r="D123" s="96"/>
      <c r="AU123" s="96"/>
      <c r="AV123" s="96"/>
      <c r="AW123" s="96"/>
      <c r="AX123" s="96"/>
      <c r="AY123" s="96"/>
    </row>
    <row r="124" spans="1:51" x14ac:dyDescent="0.25">
      <c r="A124" s="96"/>
      <c r="B124" s="96"/>
      <c r="C124" s="96"/>
      <c r="D124" s="96"/>
      <c r="AU124" s="96"/>
      <c r="AV124" s="96"/>
      <c r="AW124" s="96"/>
      <c r="AX124" s="96"/>
      <c r="AY124" s="96"/>
    </row>
    <row r="125" spans="1:51" x14ac:dyDescent="0.25">
      <c r="A125" s="96"/>
      <c r="B125" s="96"/>
      <c r="C125" s="96"/>
      <c r="D125" s="96"/>
      <c r="AU125" s="96"/>
      <c r="AV125" s="96"/>
      <c r="AW125" s="96"/>
      <c r="AX125" s="96"/>
      <c r="AY125" s="96"/>
    </row>
    <row r="126" spans="1:51" x14ac:dyDescent="0.25">
      <c r="A126" s="96"/>
      <c r="B126" s="96"/>
      <c r="C126" s="96"/>
      <c r="D126" s="96"/>
      <c r="E126" s="96"/>
      <c r="F126" s="96"/>
      <c r="G126" s="96"/>
      <c r="H126" s="96"/>
      <c r="I126" s="96"/>
      <c r="AU126" s="96"/>
      <c r="AV126" s="96"/>
      <c r="AW126" s="96"/>
      <c r="AX126" s="96"/>
      <c r="AY126" s="96"/>
    </row>
  </sheetData>
  <sheetProtection algorithmName="SHA-512" hashValue="HXQJOaWZ0kSg+PMXGYWRfkbu8FULX3lmC4+8nw9kRU3/jRsecBSLXbmblPZfnmdZT1HOjVLdQxHyMczo8WgPaQ==" saltValue="c8zZaesUNRxIVngkkxiR0w==" spinCount="100000" sheet="1" objects="1" scenarios="1"/>
  <mergeCells count="35">
    <mergeCell ref="P10:Q10"/>
    <mergeCell ref="R10:S10"/>
    <mergeCell ref="R9:S9"/>
    <mergeCell ref="H9:I9"/>
    <mergeCell ref="J9:K9"/>
    <mergeCell ref="L9:M9"/>
    <mergeCell ref="N9:O9"/>
    <mergeCell ref="P9:Q9"/>
    <mergeCell ref="A62:C62"/>
    <mergeCell ref="B64:E64"/>
    <mergeCell ref="T10:U10"/>
    <mergeCell ref="A12:U12"/>
    <mergeCell ref="A9:A10"/>
    <mergeCell ref="B9:C9"/>
    <mergeCell ref="D9:E9"/>
    <mergeCell ref="F9:G9"/>
    <mergeCell ref="T9:U9"/>
    <mergeCell ref="B10:C10"/>
    <mergeCell ref="D10:E10"/>
    <mergeCell ref="F10:G10"/>
    <mergeCell ref="H10:I10"/>
    <mergeCell ref="J10:K10"/>
    <mergeCell ref="L10:M10"/>
    <mergeCell ref="N10:O10"/>
    <mergeCell ref="A31:U31"/>
    <mergeCell ref="A39:U39"/>
    <mergeCell ref="A43:U43"/>
    <mergeCell ref="A46:U46"/>
    <mergeCell ref="A51:U51"/>
    <mergeCell ref="B70:D70"/>
    <mergeCell ref="B65:D65"/>
    <mergeCell ref="B66:D66"/>
    <mergeCell ref="B67:D67"/>
    <mergeCell ref="B68:D68"/>
    <mergeCell ref="B69:D69"/>
  </mergeCells>
  <dataValidations count="4">
    <dataValidation type="list" allowBlank="1" showInputMessage="1" showErrorMessage="1" sqref="H22 J22 L22 N22 P22 B22 F22 R22 D22 T22" xr:uid="{00000000-0002-0000-1300-000000000000}">
      <formula1>Landfill_cover_quality</formula1>
    </dataValidation>
    <dataValidation type="list" allowBlank="1" showInputMessage="1" showErrorMessage="1" sqref="B16 R16 D16 F16 H16 J16 L16 N16 P16 T16" xr:uid="{00000000-0002-0000-1300-000001000000}">
      <formula1>Yes_No</formula1>
    </dataValidation>
    <dataValidation type="list" allowBlank="1" showInputMessage="1" showErrorMessage="1" sqref="B28 N28 P28 R28 D28 F28 H28 J28 L28 T28" xr:uid="{00000000-0002-0000-1300-000002000000}">
      <formula1>Landfill_climate</formula1>
    </dataValidation>
    <dataValidation type="list" allowBlank="1" showInputMessage="1" showErrorMessage="1" sqref="R26 P26 N26 L26 J26 H26 F26 D26 B26 T26" xr:uid="{00000000-0002-0000-1300-000003000000}">
      <formula1>Select_DOCf</formula1>
    </dataValidation>
  </dataValidations>
  <pageMargins left="0.7" right="0.7" top="0.75" bottom="0.75" header="0.3" footer="0.3"/>
  <pageSetup scale="6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pageSetUpPr fitToPage="1"/>
  </sheetPr>
  <dimension ref="A1:DO126"/>
  <sheetViews>
    <sheetView workbookViewId="0"/>
  </sheetViews>
  <sheetFormatPr defaultColWidth="9.140625" defaultRowHeight="15.75" x14ac:dyDescent="0.25"/>
  <cols>
    <col min="1" max="1" width="98.85546875" style="355" customWidth="1"/>
    <col min="2" max="2" width="19.42578125" style="355" customWidth="1"/>
    <col min="3" max="3" width="15.42578125" style="355" customWidth="1"/>
    <col min="4" max="4" width="19.42578125" style="355" customWidth="1"/>
    <col min="5" max="5" width="15.42578125" style="355" customWidth="1"/>
    <col min="6" max="6" width="17.42578125" style="355" customWidth="1"/>
    <col min="7" max="7" width="15.42578125" style="355" customWidth="1"/>
    <col min="8" max="8" width="19.42578125" style="355" customWidth="1"/>
    <col min="9" max="9" width="15.42578125" style="355" customWidth="1"/>
    <col min="10" max="10" width="19.42578125" style="355" customWidth="1"/>
    <col min="11" max="11" width="15.42578125" style="355" customWidth="1"/>
    <col min="12" max="12" width="19.42578125" style="355" customWidth="1"/>
    <col min="13" max="13" width="15.42578125" style="355" customWidth="1"/>
    <col min="14" max="14" width="19.42578125" style="355" customWidth="1"/>
    <col min="15" max="15" width="15.42578125" style="355" customWidth="1"/>
    <col min="16" max="16" width="19.42578125" style="355" customWidth="1"/>
    <col min="17" max="17" width="15.42578125" style="355" customWidth="1"/>
    <col min="18" max="18" width="19.42578125" style="355" customWidth="1"/>
    <col min="19" max="19" width="15.42578125" style="355" customWidth="1"/>
    <col min="20" max="20" width="19.42578125" style="355" customWidth="1"/>
    <col min="21" max="21" width="15.42578125" style="355" customWidth="1"/>
    <col min="22" max="41" width="9.140625" style="355"/>
    <col min="42" max="42" width="10.42578125" style="355" bestFit="1" customWidth="1"/>
    <col min="43" max="44" width="9.140625" style="355"/>
    <col min="45" max="45" width="14" style="355" customWidth="1"/>
    <col min="46" max="46" width="14.42578125" style="355" customWidth="1"/>
    <col min="47" max="49" width="9.140625" style="355"/>
    <col min="50" max="50" width="21.85546875" style="355" bestFit="1" customWidth="1"/>
    <col min="51" max="51" width="17.85546875" style="355" customWidth="1"/>
    <col min="52" max="52" width="11.85546875" style="355" customWidth="1"/>
    <col min="53" max="53" width="13" style="355" customWidth="1"/>
    <col min="54" max="54" width="10.140625" style="355" customWidth="1"/>
    <col min="55" max="55" width="12" style="355" customWidth="1"/>
    <col min="56" max="57" width="9.140625" style="355"/>
    <col min="58" max="58" width="17.85546875" style="355" bestFit="1" customWidth="1"/>
    <col min="59" max="65" width="9.140625" style="355"/>
    <col min="66" max="66" width="10.85546875" style="355" customWidth="1"/>
    <col min="67" max="72" width="9.140625" style="355"/>
    <col min="73" max="73" width="10.42578125" style="355" customWidth="1"/>
    <col min="74" max="16384" width="9.140625" style="355"/>
  </cols>
  <sheetData>
    <row r="1" spans="1:119" ht="29.25" customHeight="1" x14ac:dyDescent="0.25">
      <c r="E1" s="356"/>
      <c r="F1" s="356"/>
      <c r="AX1" s="357" t="s">
        <v>449</v>
      </c>
      <c r="AY1" s="358">
        <f>+'Amount and Destination'!$O$30-'Amount and Destination'!$O$9-'Scenarios Data'!$P$10</f>
        <v>37585.096819999999</v>
      </c>
      <c r="AZ1" s="359" t="s">
        <v>372</v>
      </c>
      <c r="BA1" s="360">
        <f>+AY1/Mg_ton</f>
        <v>34106.258457350268</v>
      </c>
      <c r="BB1" s="361" t="s">
        <v>394</v>
      </c>
      <c r="BC1" s="362"/>
      <c r="BD1" s="363"/>
      <c r="BE1" t="s">
        <v>451</v>
      </c>
      <c r="BF1" s="364"/>
      <c r="BG1" s="359" t="s">
        <v>372</v>
      </c>
      <c r="BH1" s="360">
        <f>+BF1/Mg_ton</f>
        <v>0</v>
      </c>
      <c r="BI1" s="361" t="s">
        <v>394</v>
      </c>
      <c r="BJ1" s="362"/>
      <c r="BK1" s="363"/>
      <c r="BL1" s="357" t="s">
        <v>452</v>
      </c>
      <c r="BM1" s="364"/>
      <c r="BN1" s="359" t="s">
        <v>372</v>
      </c>
      <c r="BO1" s="360">
        <f>+BM1/Mg_ton</f>
        <v>0</v>
      </c>
      <c r="BP1" s="361" t="s">
        <v>394</v>
      </c>
      <c r="BQ1" s="362"/>
      <c r="BR1" s="363"/>
      <c r="BS1" s="357" t="s">
        <v>453</v>
      </c>
      <c r="BT1" s="364"/>
      <c r="BU1" s="359" t="s">
        <v>372</v>
      </c>
      <c r="BV1" s="360">
        <f>+BT1/Mg_ton</f>
        <v>0</v>
      </c>
      <c r="BW1" s="361" t="s">
        <v>394</v>
      </c>
      <c r="BX1" s="362"/>
      <c r="BY1" s="363"/>
      <c r="BZ1" s="357" t="s">
        <v>454</v>
      </c>
      <c r="CA1" s="364"/>
      <c r="CB1" s="359" t="s">
        <v>372</v>
      </c>
      <c r="CC1" s="360">
        <f>+CA1/Mg_ton</f>
        <v>0</v>
      </c>
      <c r="CD1" s="361" t="s">
        <v>394</v>
      </c>
      <c r="CE1" s="362"/>
      <c r="CF1" s="363"/>
      <c r="CG1" s="357" t="s">
        <v>455</v>
      </c>
      <c r="CH1" s="364"/>
      <c r="CI1" s="359" t="s">
        <v>372</v>
      </c>
      <c r="CJ1" s="360">
        <f>+CH1/Mg_ton</f>
        <v>0</v>
      </c>
      <c r="CK1" s="361" t="s">
        <v>394</v>
      </c>
      <c r="CL1" s="362"/>
      <c r="CM1" s="363"/>
      <c r="CN1" s="357" t="s">
        <v>456</v>
      </c>
      <c r="CO1" s="364"/>
      <c r="CP1" s="359" t="s">
        <v>372</v>
      </c>
      <c r="CQ1" s="360">
        <f>+CO1/Mg_ton</f>
        <v>0</v>
      </c>
      <c r="CR1" s="361" t="s">
        <v>394</v>
      </c>
      <c r="CS1" s="362"/>
      <c r="CT1" s="363"/>
      <c r="CU1" s="357" t="s">
        <v>457</v>
      </c>
      <c r="CV1" s="364"/>
      <c r="CW1" s="359" t="s">
        <v>372</v>
      </c>
      <c r="CX1" s="360">
        <f>+CV1/Mg_ton</f>
        <v>0</v>
      </c>
      <c r="CY1" s="361" t="s">
        <v>394</v>
      </c>
      <c r="CZ1" s="362"/>
      <c r="DA1" s="363"/>
      <c r="DB1" s="357" t="s">
        <v>458</v>
      </c>
      <c r="DC1" s="364"/>
      <c r="DD1" s="359" t="s">
        <v>372</v>
      </c>
      <c r="DE1" s="360">
        <f>+DC1/Mg_ton</f>
        <v>0</v>
      </c>
      <c r="DF1" s="361" t="s">
        <v>394</v>
      </c>
      <c r="DG1" s="362"/>
      <c r="DH1" s="363"/>
      <c r="DI1" s="357" t="s">
        <v>459</v>
      </c>
      <c r="DJ1" s="364"/>
      <c r="DK1" s="359" t="s">
        <v>372</v>
      </c>
      <c r="DL1" s="360">
        <f>+DJ1/Mg_ton</f>
        <v>0</v>
      </c>
      <c r="DM1" s="361" t="s">
        <v>394</v>
      </c>
      <c r="DN1" s="362"/>
      <c r="DO1" s="363"/>
    </row>
    <row r="2" spans="1:119" x14ac:dyDescent="0.25">
      <c r="AS2" s="905" t="s">
        <v>503</v>
      </c>
      <c r="AX2" s="74"/>
      <c r="AY2" s="365"/>
      <c r="AZ2" s="183"/>
      <c r="BA2" s="366" t="e">
        <f>+B52/BA1</f>
        <v>#VALUE!</v>
      </c>
      <c r="BB2" s="96" t="s">
        <v>433</v>
      </c>
      <c r="BD2" s="367"/>
      <c r="BE2" s="74"/>
      <c r="BF2" s="365"/>
      <c r="BG2" s="183"/>
      <c r="BH2" s="366" t="e">
        <f>D52/BH1</f>
        <v>#VALUE!</v>
      </c>
      <c r="BI2" s="96" t="s">
        <v>433</v>
      </c>
      <c r="BK2" s="367"/>
      <c r="BL2" s="74"/>
      <c r="BM2" s="365"/>
      <c r="BN2" s="183"/>
      <c r="BO2" s="366" t="e">
        <f>+F52/BO1</f>
        <v>#VALUE!</v>
      </c>
      <c r="BP2" s="96" t="s">
        <v>433</v>
      </c>
      <c r="BR2" s="367"/>
      <c r="BS2" s="74"/>
      <c r="BT2" s="365"/>
      <c r="BU2" s="183"/>
      <c r="BV2" s="366" t="e">
        <f>+H52/BV1</f>
        <v>#VALUE!</v>
      </c>
      <c r="BW2" s="96" t="s">
        <v>433</v>
      </c>
      <c r="BY2" s="367"/>
      <c r="BZ2" s="74"/>
      <c r="CA2" s="365"/>
      <c r="CB2" s="183"/>
      <c r="CC2" s="366" t="e">
        <f>+J52/CC1</f>
        <v>#VALUE!</v>
      </c>
      <c r="CD2" s="96" t="s">
        <v>433</v>
      </c>
      <c r="CF2" s="367"/>
      <c r="CG2" s="74"/>
      <c r="CH2" s="365"/>
      <c r="CI2" s="183"/>
      <c r="CJ2" s="366" t="e">
        <f>+L52/CJ1</f>
        <v>#VALUE!</v>
      </c>
      <c r="CK2" s="96" t="s">
        <v>433</v>
      </c>
      <c r="CM2" s="367"/>
      <c r="CN2" s="74"/>
      <c r="CO2" s="365"/>
      <c r="CP2" s="183"/>
      <c r="CQ2" s="366" t="e">
        <f>+N52/CQ1</f>
        <v>#VALUE!</v>
      </c>
      <c r="CR2" s="96" t="s">
        <v>433</v>
      </c>
      <c r="CT2" s="367"/>
      <c r="CU2" s="74"/>
      <c r="CV2" s="365"/>
      <c r="CW2" s="183"/>
      <c r="CX2" s="366" t="e">
        <f>+P52/CX1</f>
        <v>#VALUE!</v>
      </c>
      <c r="CY2" s="96" t="s">
        <v>433</v>
      </c>
      <c r="DA2" s="367"/>
      <c r="DB2" s="74"/>
      <c r="DC2" s="365"/>
      <c r="DD2" s="183"/>
      <c r="DE2" s="366" t="e">
        <f>+R52/DE1</f>
        <v>#VALUE!</v>
      </c>
      <c r="DF2" s="96" t="s">
        <v>433</v>
      </c>
      <c r="DH2" s="367"/>
      <c r="DI2" s="74"/>
      <c r="DJ2" s="365"/>
      <c r="DK2" s="183"/>
      <c r="DL2" s="366" t="e">
        <f>T52/DL1</f>
        <v>#VALUE!</v>
      </c>
      <c r="DM2" s="96" t="s">
        <v>433</v>
      </c>
      <c r="DO2" s="367"/>
    </row>
    <row r="3" spans="1:119" x14ac:dyDescent="0.25">
      <c r="E3" s="356"/>
      <c r="F3" s="356"/>
      <c r="AS3" s="905" t="s">
        <v>504</v>
      </c>
      <c r="AU3" s="183"/>
      <c r="AV3" s="183"/>
      <c r="AW3" s="96"/>
      <c r="AX3" s="368"/>
      <c r="BB3"/>
      <c r="BD3" s="367"/>
      <c r="BE3" s="96"/>
      <c r="BF3"/>
      <c r="BG3"/>
      <c r="BH3"/>
      <c r="BI3"/>
      <c r="BK3" s="367"/>
      <c r="BL3" s="368"/>
      <c r="BM3"/>
      <c r="BN3"/>
      <c r="BO3"/>
      <c r="BP3"/>
      <c r="BR3" s="367"/>
      <c r="BS3" s="368"/>
      <c r="BT3"/>
      <c r="BU3"/>
      <c r="BV3"/>
      <c r="BW3"/>
      <c r="BY3" s="367"/>
      <c r="BZ3" s="368"/>
      <c r="CA3"/>
      <c r="CB3"/>
      <c r="CC3"/>
      <c r="CD3"/>
      <c r="CF3" s="367"/>
      <c r="CG3" s="368"/>
      <c r="CH3"/>
      <c r="CI3"/>
      <c r="CJ3"/>
      <c r="CK3"/>
      <c r="CM3" s="367"/>
      <c r="CN3" s="368"/>
      <c r="CO3"/>
      <c r="CP3"/>
      <c r="CQ3"/>
      <c r="CR3"/>
      <c r="CT3" s="367"/>
      <c r="CU3" s="368"/>
      <c r="CV3"/>
      <c r="CW3"/>
      <c r="CX3"/>
      <c r="CY3"/>
      <c r="DA3" s="367"/>
      <c r="DB3" s="368"/>
      <c r="DC3"/>
      <c r="DD3"/>
      <c r="DE3"/>
      <c r="DF3"/>
      <c r="DH3" s="367"/>
      <c r="DI3" s="368"/>
      <c r="DJ3"/>
      <c r="DK3"/>
      <c r="DL3"/>
      <c r="DM3"/>
      <c r="DO3" s="367"/>
    </row>
    <row r="4" spans="1:119" ht="23.25" x14ac:dyDescent="0.35">
      <c r="A4" s="369"/>
      <c r="E4" s="356"/>
      <c r="F4" s="356"/>
      <c r="AS4" s="905" t="s">
        <v>505</v>
      </c>
      <c r="AX4" s="74" t="s">
        <v>507</v>
      </c>
      <c r="AY4" s="370">
        <v>3</v>
      </c>
      <c r="AZ4" t="s">
        <v>419</v>
      </c>
      <c r="BA4" s="371" t="e">
        <f>AZ9*(1-AZ10)^AY4</f>
        <v>#VALUE!</v>
      </c>
      <c r="BB4" s="372" t="e">
        <f>+BA5/AZ9</f>
        <v>#VALUE!</v>
      </c>
      <c r="BC4" s="372"/>
      <c r="BD4" s="373"/>
      <c r="BE4" t="s">
        <v>507</v>
      </c>
      <c r="BF4" s="370">
        <v>3</v>
      </c>
      <c r="BG4" t="s">
        <v>419</v>
      </c>
      <c r="BH4" s="371" t="e">
        <f>BG9*(1-BG10)^BF4</f>
        <v>#VALUE!</v>
      </c>
      <c r="BI4" s="372" t="e">
        <f>+BH5/BG9</f>
        <v>#VALUE!</v>
      </c>
      <c r="BJ4" s="372"/>
      <c r="BK4" s="373"/>
      <c r="BL4" s="74" t="s">
        <v>507</v>
      </c>
      <c r="BM4" s="370">
        <v>3</v>
      </c>
      <c r="BN4" t="s">
        <v>419</v>
      </c>
      <c r="BO4" s="371" t="e">
        <f>BN9*(1-BN10)^BM4</f>
        <v>#VALUE!</v>
      </c>
      <c r="BP4" s="372" t="e">
        <f>+BO5/BN9</f>
        <v>#VALUE!</v>
      </c>
      <c r="BQ4"/>
      <c r="BR4" s="75" t="s">
        <v>431</v>
      </c>
      <c r="BS4" s="74" t="s">
        <v>507</v>
      </c>
      <c r="BT4" s="370">
        <v>3</v>
      </c>
      <c r="BU4" t="s">
        <v>419</v>
      </c>
      <c r="BV4" s="371" t="e">
        <f>BU9*(1-BU10)^BT4</f>
        <v>#VALUE!</v>
      </c>
      <c r="BW4" s="372" t="e">
        <f>+BV5/BU9</f>
        <v>#VALUE!</v>
      </c>
      <c r="BX4" s="372"/>
      <c r="BY4" s="373"/>
      <c r="BZ4" s="74" t="s">
        <v>507</v>
      </c>
      <c r="CA4" s="370">
        <v>3</v>
      </c>
      <c r="CB4" t="s">
        <v>419</v>
      </c>
      <c r="CC4" s="371" t="e">
        <f>CB9*(1-CB10)^CA4</f>
        <v>#VALUE!</v>
      </c>
      <c r="CD4" s="372" t="e">
        <f>+CC5/CB9</f>
        <v>#VALUE!</v>
      </c>
      <c r="CE4" s="372"/>
      <c r="CF4" s="373"/>
      <c r="CG4" s="74" t="s">
        <v>507</v>
      </c>
      <c r="CH4" s="370">
        <v>3</v>
      </c>
      <c r="CI4" t="s">
        <v>419</v>
      </c>
      <c r="CJ4" s="371" t="e">
        <f>CI9*(1-CI10)^CH4</f>
        <v>#VALUE!</v>
      </c>
      <c r="CK4" s="372" t="e">
        <f>+CJ5/CI9</f>
        <v>#VALUE!</v>
      </c>
      <c r="CL4" s="372"/>
      <c r="CM4" s="373"/>
      <c r="CN4" s="74" t="s">
        <v>507</v>
      </c>
      <c r="CO4" s="370">
        <v>3</v>
      </c>
      <c r="CP4" t="s">
        <v>419</v>
      </c>
      <c r="CQ4" s="371" t="e">
        <f>CP9*(1-CP10)^CO4</f>
        <v>#VALUE!</v>
      </c>
      <c r="CR4" s="372" t="e">
        <f>+CQ5/CP9</f>
        <v>#VALUE!</v>
      </c>
      <c r="CS4" s="372"/>
      <c r="CT4" s="373"/>
      <c r="CU4" s="74" t="s">
        <v>507</v>
      </c>
      <c r="CV4" s="370">
        <v>3</v>
      </c>
      <c r="CW4" t="s">
        <v>419</v>
      </c>
      <c r="CX4" s="371" t="e">
        <f>CW9*(1-CW10)^CV4</f>
        <v>#VALUE!</v>
      </c>
      <c r="CY4" s="372" t="e">
        <f>+CX5/CW9</f>
        <v>#VALUE!</v>
      </c>
      <c r="CZ4" s="372"/>
      <c r="DA4" s="373"/>
      <c r="DB4" s="74" t="s">
        <v>507</v>
      </c>
      <c r="DC4" s="370">
        <v>3</v>
      </c>
      <c r="DD4" t="s">
        <v>419</v>
      </c>
      <c r="DE4" s="371" t="e">
        <f>DD9*(1-DD10)^DC4</f>
        <v>#VALUE!</v>
      </c>
      <c r="DF4" s="372" t="e">
        <f>+DE5/DD9</f>
        <v>#VALUE!</v>
      </c>
      <c r="DG4" s="372"/>
      <c r="DH4" s="373"/>
      <c r="DI4" s="74" t="s">
        <v>507</v>
      </c>
      <c r="DJ4" s="370">
        <v>3</v>
      </c>
      <c r="DK4" t="s">
        <v>419</v>
      </c>
      <c r="DL4" s="371" t="e">
        <f>DK9*(1-DK10)^DJ4</f>
        <v>#VALUE!</v>
      </c>
      <c r="DM4" s="372" t="e">
        <f>+DL5/DK9</f>
        <v>#VALUE!</v>
      </c>
      <c r="DN4" s="372"/>
      <c r="DO4" s="373"/>
    </row>
    <row r="5" spans="1:119" ht="23.25" x14ac:dyDescent="0.35">
      <c r="A5" s="369"/>
      <c r="E5" s="356"/>
      <c r="F5" s="356"/>
      <c r="AO5"/>
      <c r="AS5" s="905" t="s">
        <v>506</v>
      </c>
      <c r="AX5" s="74" t="s">
        <v>508</v>
      </c>
      <c r="AY5">
        <f>AY4</f>
        <v>3</v>
      </c>
      <c r="AZ5" t="s">
        <v>419</v>
      </c>
      <c r="BA5" s="374" t="e">
        <f>AZ9-BA4</f>
        <v>#VALUE!</v>
      </c>
      <c r="BB5"/>
      <c r="BC5" s="372"/>
      <c r="BD5" s="373"/>
      <c r="BE5" t="s">
        <v>508</v>
      </c>
      <c r="BF5">
        <f>BF4</f>
        <v>3</v>
      </c>
      <c r="BG5" t="s">
        <v>419</v>
      </c>
      <c r="BH5" s="374" t="e">
        <f>BG9-BH4</f>
        <v>#VALUE!</v>
      </c>
      <c r="BI5"/>
      <c r="BJ5" s="372"/>
      <c r="BK5" s="373"/>
      <c r="BL5" s="74" t="s">
        <v>508</v>
      </c>
      <c r="BM5">
        <f>BM4</f>
        <v>3</v>
      </c>
      <c r="BN5" t="s">
        <v>419</v>
      </c>
      <c r="BO5" s="374" t="e">
        <f>BN9-BO4</f>
        <v>#VALUE!</v>
      </c>
      <c r="BP5"/>
      <c r="BQ5"/>
      <c r="BR5" s="373" t="e">
        <f>+BI11*SUM(BP12:BP13)</f>
        <v>#VALUE!</v>
      </c>
      <c r="BS5" s="74" t="s">
        <v>508</v>
      </c>
      <c r="BT5">
        <f>BT4</f>
        <v>3</v>
      </c>
      <c r="BU5" t="s">
        <v>419</v>
      </c>
      <c r="BV5" s="374" t="e">
        <f>BU9-BV4</f>
        <v>#VALUE!</v>
      </c>
      <c r="BW5"/>
      <c r="BX5" s="372"/>
      <c r="BY5" s="373"/>
      <c r="BZ5" s="74" t="s">
        <v>508</v>
      </c>
      <c r="CA5">
        <f>CA4</f>
        <v>3</v>
      </c>
      <c r="CB5" t="s">
        <v>419</v>
      </c>
      <c r="CC5" s="374" t="e">
        <f>CB9-CC4</f>
        <v>#VALUE!</v>
      </c>
      <c r="CD5"/>
      <c r="CE5" s="372"/>
      <c r="CF5" s="373"/>
      <c r="CG5" s="74" t="s">
        <v>508</v>
      </c>
      <c r="CH5">
        <f>CH4</f>
        <v>3</v>
      </c>
      <c r="CI5" t="s">
        <v>419</v>
      </c>
      <c r="CJ5" s="374" t="e">
        <f>CI9-CJ4</f>
        <v>#VALUE!</v>
      </c>
      <c r="CK5"/>
      <c r="CL5" s="372"/>
      <c r="CM5" s="373"/>
      <c r="CN5" s="74" t="s">
        <v>508</v>
      </c>
      <c r="CO5">
        <f>CO4</f>
        <v>3</v>
      </c>
      <c r="CP5" t="s">
        <v>419</v>
      </c>
      <c r="CQ5" s="374" t="e">
        <f>CP9-CQ4</f>
        <v>#VALUE!</v>
      </c>
      <c r="CR5"/>
      <c r="CS5" s="372"/>
      <c r="CT5" s="373"/>
      <c r="CU5" s="74" t="s">
        <v>508</v>
      </c>
      <c r="CV5">
        <f>CV4</f>
        <v>3</v>
      </c>
      <c r="CW5" t="s">
        <v>419</v>
      </c>
      <c r="CX5" s="374" t="e">
        <f>CW9-CX4</f>
        <v>#VALUE!</v>
      </c>
      <c r="CY5"/>
      <c r="CZ5" s="372"/>
      <c r="DA5" s="373"/>
      <c r="DB5" s="74" t="s">
        <v>508</v>
      </c>
      <c r="DC5">
        <f>DC4</f>
        <v>3</v>
      </c>
      <c r="DD5" t="s">
        <v>419</v>
      </c>
      <c r="DE5" s="374" t="e">
        <f>DD9-DE4</f>
        <v>#VALUE!</v>
      </c>
      <c r="DF5"/>
      <c r="DG5" s="372"/>
      <c r="DH5" s="373"/>
      <c r="DI5" s="74" t="s">
        <v>508</v>
      </c>
      <c r="DJ5">
        <f>DJ4</f>
        <v>3</v>
      </c>
      <c r="DK5" t="s">
        <v>419</v>
      </c>
      <c r="DL5" s="374" t="e">
        <f>DK9-DL4</f>
        <v>#VALUE!</v>
      </c>
      <c r="DM5"/>
      <c r="DN5" s="372"/>
      <c r="DO5" s="373"/>
    </row>
    <row r="6" spans="1:119" ht="23.25" x14ac:dyDescent="0.35">
      <c r="A6" s="369"/>
      <c r="E6" s="356"/>
      <c r="F6" s="356"/>
      <c r="AO6"/>
      <c r="AU6" s="130"/>
      <c r="AV6" s="130"/>
      <c r="AW6" s="96"/>
      <c r="AX6" s="74" t="str">
        <f>CONCATENATE("Tons decayed in year ",(AY4),":")</f>
        <v>Tons decayed in year 3:</v>
      </c>
      <c r="AY6"/>
      <c r="AZ6"/>
      <c r="BA6" s="371" t="e">
        <f>$AZ$10*(AZ9*(1-AZ10)^(AY4-AS38))</f>
        <v>#VALUE!</v>
      </c>
      <c r="BB6"/>
      <c r="BC6" s="372"/>
      <c r="BD6" s="373"/>
      <c r="BE6" t="str">
        <f>CONCATENATE("Tons decayed in year ",(BF4),":")</f>
        <v>Tons decayed in year 3:</v>
      </c>
      <c r="BF6"/>
      <c r="BG6"/>
      <c r="BH6" s="371" t="e">
        <f>$AZ$10*(BG9*(1-BG10)^(BF4-AZ37))</f>
        <v>#VALUE!</v>
      </c>
      <c r="BI6"/>
      <c r="BJ6" s="372"/>
      <c r="BK6" s="373"/>
      <c r="BL6" s="74" t="str">
        <f>CONCATENATE("Tons decayed in year ",(BM4),":")</f>
        <v>Tons decayed in year 3:</v>
      </c>
      <c r="BM6"/>
      <c r="BN6"/>
      <c r="BO6" s="371" t="e">
        <f>$AZ$10*(BN9*(1-BN10)^(BM4-BG37))</f>
        <v>#VALUE!</v>
      </c>
      <c r="BP6"/>
      <c r="BQ6"/>
      <c r="BR6" s="373" t="e">
        <f>+BI12*SUM(BP14:BP15)</f>
        <v>#VALUE!</v>
      </c>
      <c r="BS6" s="74" t="str">
        <f>CONCATENATE("Tons decayed in year ",(BT4),":")</f>
        <v>Tons decayed in year 3:</v>
      </c>
      <c r="BT6"/>
      <c r="BU6"/>
      <c r="BV6" s="371" t="e">
        <f>$AZ$10*(BU9*(1-BU10)^(BT4-BN37))</f>
        <v>#VALUE!</v>
      </c>
      <c r="BW6"/>
      <c r="BX6" s="372"/>
      <c r="BY6" s="373"/>
      <c r="BZ6" s="74" t="str">
        <f>CONCATENATE("Tons decayed in year ",(CA4),":")</f>
        <v>Tons decayed in year 3:</v>
      </c>
      <c r="CA6"/>
      <c r="CB6"/>
      <c r="CC6" s="371" t="e">
        <f>$AZ$10*(CB9*(1-CB10)^(CA4-BU37))</f>
        <v>#VALUE!</v>
      </c>
      <c r="CD6"/>
      <c r="CE6" s="372"/>
      <c r="CF6" s="373"/>
      <c r="CG6" s="74" t="str">
        <f>CONCATENATE("Tons decayed in year ",(CH4),":")</f>
        <v>Tons decayed in year 3:</v>
      </c>
      <c r="CH6"/>
      <c r="CI6"/>
      <c r="CJ6" s="371" t="e">
        <f>$AZ$10*(CI9*(1-CI10)^(CH4-CB37))</f>
        <v>#VALUE!</v>
      </c>
      <c r="CK6"/>
      <c r="CL6" s="372"/>
      <c r="CM6" s="373"/>
      <c r="CN6" s="74" t="str">
        <f>CONCATENATE("Tons decayed in year ",(CO4),":")</f>
        <v>Tons decayed in year 3:</v>
      </c>
      <c r="CO6"/>
      <c r="CP6"/>
      <c r="CQ6" s="371" t="e">
        <f>$AZ$10*(CP9*(1-CP10)^(CO4-CI37))</f>
        <v>#VALUE!</v>
      </c>
      <c r="CR6"/>
      <c r="CS6" s="372"/>
      <c r="CT6" s="373"/>
      <c r="CU6" s="74" t="str">
        <f>CONCATENATE("Tons decayed in year ",(CV4),":")</f>
        <v>Tons decayed in year 3:</v>
      </c>
      <c r="CV6"/>
      <c r="CW6"/>
      <c r="CX6" s="371" t="e">
        <f>$AZ$10*(CW9*(1-CW10)^(CV4-CP37))</f>
        <v>#VALUE!</v>
      </c>
      <c r="CY6"/>
      <c r="CZ6" s="372"/>
      <c r="DA6" s="373"/>
      <c r="DB6" s="74" t="str">
        <f>CONCATENATE("Tons decayed in year ",(DC4),":")</f>
        <v>Tons decayed in year 3:</v>
      </c>
      <c r="DC6"/>
      <c r="DD6"/>
      <c r="DE6" s="371" t="e">
        <f>$AZ$10*(DD9*(1-DD10)^(DC4-CW37))</f>
        <v>#VALUE!</v>
      </c>
      <c r="DF6"/>
      <c r="DG6" s="372"/>
      <c r="DH6" s="373"/>
      <c r="DI6" s="74" t="str">
        <f>CONCATENATE("Tons decayed in year ",(DJ4),":")</f>
        <v>Tons decayed in year 3:</v>
      </c>
      <c r="DJ6"/>
      <c r="DK6"/>
      <c r="DL6" s="371" t="e">
        <f>$AZ$10*(DK9*(1-DK10)^(DJ4-DD37))</f>
        <v>#VALUE!</v>
      </c>
      <c r="DM6"/>
      <c r="DN6" s="372"/>
      <c r="DO6" s="373"/>
    </row>
    <row r="7" spans="1:119" ht="23.25" x14ac:dyDescent="0.35">
      <c r="A7" s="369"/>
      <c r="B7" s="375"/>
      <c r="C7" s="375"/>
      <c r="D7" s="375"/>
      <c r="E7" s="356"/>
      <c r="F7" s="356"/>
      <c r="AO7"/>
      <c r="AR7" t="s">
        <v>434</v>
      </c>
      <c r="AS7">
        <v>0.36</v>
      </c>
      <c r="AT7" t="s">
        <v>435</v>
      </c>
      <c r="AX7" s="376">
        <v>100</v>
      </c>
      <c r="AY7" t="s">
        <v>427</v>
      </c>
      <c r="AZ7"/>
      <c r="BC7" s="372"/>
      <c r="BD7" s="373"/>
      <c r="BE7" s="377">
        <v>100</v>
      </c>
      <c r="BF7" t="s">
        <v>427</v>
      </c>
      <c r="BG7"/>
      <c r="BJ7" s="372"/>
      <c r="BK7" s="373"/>
      <c r="BL7" s="376">
        <v>100</v>
      </c>
      <c r="BM7" t="s">
        <v>427</v>
      </c>
      <c r="BN7"/>
      <c r="BQ7"/>
      <c r="BR7" s="373" t="e">
        <f>+BI13*SUM(BP16:BP25)</f>
        <v>#VALUE!</v>
      </c>
      <c r="BS7" s="376">
        <v>100</v>
      </c>
      <c r="BT7" t="s">
        <v>427</v>
      </c>
      <c r="BU7"/>
      <c r="BX7" s="372"/>
      <c r="BY7" s="373"/>
      <c r="BZ7" s="376">
        <v>100</v>
      </c>
      <c r="CA7" t="s">
        <v>427</v>
      </c>
      <c r="CB7"/>
      <c r="CE7" s="372"/>
      <c r="CF7" s="373"/>
      <c r="CG7" s="376">
        <v>100</v>
      </c>
      <c r="CH7" t="s">
        <v>427</v>
      </c>
      <c r="CI7"/>
      <c r="CL7" s="372"/>
      <c r="CM7" s="373"/>
      <c r="CN7" s="376">
        <v>100</v>
      </c>
      <c r="CO7" t="s">
        <v>427</v>
      </c>
      <c r="CP7"/>
      <c r="CS7" s="372"/>
      <c r="CT7" s="373"/>
      <c r="CU7" s="376">
        <v>100</v>
      </c>
      <c r="CV7" t="s">
        <v>427</v>
      </c>
      <c r="CW7"/>
      <c r="CZ7" s="372"/>
      <c r="DA7" s="373"/>
      <c r="DB7" s="376">
        <v>100</v>
      </c>
      <c r="DC7" t="s">
        <v>427</v>
      </c>
      <c r="DD7"/>
      <c r="DG7" s="372"/>
      <c r="DH7" s="373"/>
      <c r="DI7" s="376">
        <v>100</v>
      </c>
      <c r="DJ7" t="s">
        <v>427</v>
      </c>
      <c r="DK7"/>
      <c r="DN7" s="372"/>
      <c r="DO7" s="373"/>
    </row>
    <row r="8" spans="1:119" ht="24" thickBot="1" x14ac:dyDescent="0.4">
      <c r="A8" s="369"/>
      <c r="B8" s="375"/>
      <c r="C8" s="375"/>
      <c r="D8" s="375"/>
      <c r="E8" s="356"/>
      <c r="F8" s="356"/>
      <c r="AO8"/>
      <c r="AX8" s="368"/>
      <c r="AY8"/>
      <c r="AZ8" s="886" t="s">
        <v>98</v>
      </c>
      <c r="BA8" t="s">
        <v>418</v>
      </c>
      <c r="BC8" s="372"/>
      <c r="BD8" s="373"/>
      <c r="BE8" s="96"/>
      <c r="BF8"/>
      <c r="BG8" s="886" t="s">
        <v>98</v>
      </c>
      <c r="BH8" t="s">
        <v>418</v>
      </c>
      <c r="BJ8" s="372"/>
      <c r="BK8" s="373"/>
      <c r="BL8" s="368"/>
      <c r="BM8"/>
      <c r="BN8" s="886" t="s">
        <v>98</v>
      </c>
      <c r="BO8" t="s">
        <v>418</v>
      </c>
      <c r="BQ8"/>
      <c r="BR8" s="373" t="e">
        <f>+BI14*SUM(BP26:BP41)</f>
        <v>#VALUE!</v>
      </c>
      <c r="BS8" s="368"/>
      <c r="BT8"/>
      <c r="BU8" s="886" t="s">
        <v>98</v>
      </c>
      <c r="BV8" t="s">
        <v>418</v>
      </c>
      <c r="BX8" s="372"/>
      <c r="BY8" s="373"/>
      <c r="BZ8" s="368"/>
      <c r="CA8"/>
      <c r="CB8" s="886" t="s">
        <v>98</v>
      </c>
      <c r="CC8" t="s">
        <v>418</v>
      </c>
      <c r="CE8" s="372"/>
      <c r="CF8" s="373"/>
      <c r="CG8" s="368"/>
      <c r="CH8"/>
      <c r="CI8" s="886" t="s">
        <v>98</v>
      </c>
      <c r="CJ8" t="s">
        <v>418</v>
      </c>
      <c r="CL8" s="372"/>
      <c r="CM8" s="373"/>
      <c r="CN8" s="368"/>
      <c r="CO8"/>
      <c r="CP8" s="886" t="s">
        <v>98</v>
      </c>
      <c r="CQ8" t="s">
        <v>418</v>
      </c>
      <c r="CS8" s="372"/>
      <c r="CT8" s="373"/>
      <c r="CU8" s="368"/>
      <c r="CV8"/>
      <c r="CW8" s="886" t="s">
        <v>98</v>
      </c>
      <c r="CX8" t="s">
        <v>418</v>
      </c>
      <c r="CZ8" s="372"/>
      <c r="DA8" s="373"/>
      <c r="DB8" s="368"/>
      <c r="DC8"/>
      <c r="DD8" s="886" t="s">
        <v>98</v>
      </c>
      <c r="DE8" t="s">
        <v>418</v>
      </c>
      <c r="DG8" s="372"/>
      <c r="DH8" s="373"/>
      <c r="DI8" s="368"/>
      <c r="DJ8"/>
      <c r="DK8" s="886" t="s">
        <v>98</v>
      </c>
      <c r="DL8" t="s">
        <v>418</v>
      </c>
      <c r="DN8" s="372"/>
      <c r="DO8" s="373"/>
    </row>
    <row r="9" spans="1:119" ht="15.75" customHeight="1" x14ac:dyDescent="0.25">
      <c r="A9" s="1318" t="s">
        <v>602</v>
      </c>
      <c r="B9" s="1293" t="s">
        <v>449</v>
      </c>
      <c r="C9" s="1294"/>
      <c r="D9" s="1293" t="s">
        <v>451</v>
      </c>
      <c r="E9" s="1294"/>
      <c r="F9" s="1293" t="s">
        <v>452</v>
      </c>
      <c r="G9" s="1294"/>
      <c r="H9" s="1293" t="s">
        <v>453</v>
      </c>
      <c r="I9" s="1294"/>
      <c r="J9" s="1293" t="s">
        <v>454</v>
      </c>
      <c r="K9" s="1294"/>
      <c r="L9" s="1293" t="s">
        <v>455</v>
      </c>
      <c r="M9" s="1294"/>
      <c r="N9" s="1293" t="s">
        <v>456</v>
      </c>
      <c r="O9" s="1294"/>
      <c r="P9" s="1293" t="s">
        <v>457</v>
      </c>
      <c r="Q9" s="1294"/>
      <c r="R9" s="1293" t="s">
        <v>458</v>
      </c>
      <c r="S9" s="1294"/>
      <c r="T9" s="1293" t="s">
        <v>459</v>
      </c>
      <c r="U9" s="1294"/>
      <c r="AO9"/>
      <c r="AS9" s="378" t="s">
        <v>499</v>
      </c>
      <c r="AT9" s="379"/>
      <c r="AU9" s="96"/>
      <c r="AX9" s="368"/>
      <c r="AY9" t="s">
        <v>417</v>
      </c>
      <c r="AZ9" s="380">
        <v>100</v>
      </c>
      <c r="BA9"/>
      <c r="BB9"/>
      <c r="BC9" s="372"/>
      <c r="BD9" s="373"/>
      <c r="BE9" s="96"/>
      <c r="BF9" t="s">
        <v>417</v>
      </c>
      <c r="BG9" s="380">
        <v>100</v>
      </c>
      <c r="BH9"/>
      <c r="BI9"/>
      <c r="BJ9" s="372"/>
      <c r="BK9" s="373"/>
      <c r="BL9" s="368"/>
      <c r="BM9" t="s">
        <v>417</v>
      </c>
      <c r="BN9" s="380">
        <v>100</v>
      </c>
      <c r="BO9"/>
      <c r="BP9"/>
      <c r="BQ9" s="381" t="s">
        <v>443</v>
      </c>
      <c r="BR9" s="382" t="e">
        <f>SUM(BR5:BR8)</f>
        <v>#VALUE!</v>
      </c>
      <c r="BS9" s="368"/>
      <c r="BT9" t="s">
        <v>417</v>
      </c>
      <c r="BU9" s="380">
        <v>100</v>
      </c>
      <c r="BV9"/>
      <c r="BW9"/>
      <c r="BX9" s="372"/>
      <c r="BY9" s="373"/>
      <c r="BZ9" s="368"/>
      <c r="CA9" t="s">
        <v>417</v>
      </c>
      <c r="CB9" s="380">
        <v>100</v>
      </c>
      <c r="CC9"/>
      <c r="CD9"/>
      <c r="CE9" s="372"/>
      <c r="CF9" s="373"/>
      <c r="CG9" s="368"/>
      <c r="CH9" t="s">
        <v>417</v>
      </c>
      <c r="CI9" s="380">
        <v>100</v>
      </c>
      <c r="CJ9"/>
      <c r="CK9"/>
      <c r="CL9" s="372"/>
      <c r="CM9" s="373"/>
      <c r="CN9" s="368"/>
      <c r="CO9" t="s">
        <v>417</v>
      </c>
      <c r="CP9" s="380">
        <v>100</v>
      </c>
      <c r="CQ9"/>
      <c r="CR9"/>
      <c r="CS9" s="372"/>
      <c r="CT9" s="373"/>
      <c r="CU9" s="368"/>
      <c r="CV9" t="s">
        <v>417</v>
      </c>
      <c r="CW9" s="380">
        <v>100</v>
      </c>
      <c r="CX9"/>
      <c r="CY9"/>
      <c r="CZ9" s="372"/>
      <c r="DA9" s="373"/>
      <c r="DB9" s="368"/>
      <c r="DC9" t="s">
        <v>417</v>
      </c>
      <c r="DD9" s="380">
        <v>100</v>
      </c>
      <c r="DE9"/>
      <c r="DF9"/>
      <c r="DG9" s="372"/>
      <c r="DH9" s="373"/>
      <c r="DI9" s="368"/>
      <c r="DJ9" t="s">
        <v>417</v>
      </c>
      <c r="DK9" s="380">
        <v>100</v>
      </c>
      <c r="DL9"/>
      <c r="DM9"/>
      <c r="DN9" s="372"/>
      <c r="DO9" s="373"/>
    </row>
    <row r="10" spans="1:119" ht="15.75" customHeight="1" thickBot="1" x14ac:dyDescent="0.3">
      <c r="A10" s="1319"/>
      <c r="B10" s="1330" t="str">
        <f>'Scenarios Data'!$B$1</f>
        <v>Landfill</v>
      </c>
      <c r="C10" s="1331"/>
      <c r="D10" s="1328" t="str">
        <f>'Scenarios Data'!$B$33</f>
        <v>Co-digestion</v>
      </c>
      <c r="E10" s="1329"/>
      <c r="F10" s="1328">
        <f>'Scenarios Data'!$B$65</f>
        <v>0</v>
      </c>
      <c r="G10" s="1329"/>
      <c r="H10" s="1328">
        <f>'Scenarios Data'!$B$97</f>
        <v>0</v>
      </c>
      <c r="I10" s="1329"/>
      <c r="J10" s="1328">
        <f>'Scenarios Data'!$B$129</f>
        <v>0</v>
      </c>
      <c r="K10" s="1329"/>
      <c r="L10" s="1328">
        <f>'Scenarios Data'!$B$161</f>
        <v>0</v>
      </c>
      <c r="M10" s="1329"/>
      <c r="N10" s="1328" t="str">
        <f>'Scenarios Data'!$B$193</f>
        <v xml:space="preserve"> </v>
      </c>
      <c r="O10" s="1329"/>
      <c r="P10" s="1328">
        <f>'Scenarios Data'!$B$225</f>
        <v>0</v>
      </c>
      <c r="Q10" s="1329"/>
      <c r="R10" s="1328">
        <f>'Scenarios Data'!$B$257</f>
        <v>0</v>
      </c>
      <c r="S10" s="1329"/>
      <c r="T10" s="1328">
        <f>'Scenarios Data'!$B$289</f>
        <v>0</v>
      </c>
      <c r="U10" s="1329"/>
      <c r="AO10" s="381" t="s">
        <v>443</v>
      </c>
      <c r="AS10" s="905" t="s">
        <v>432</v>
      </c>
      <c r="AT10" s="383" t="s">
        <v>426</v>
      </c>
      <c r="AU10" s="905" t="s">
        <v>431</v>
      </c>
      <c r="AV10"/>
      <c r="AX10" s="368"/>
      <c r="AY10" t="s">
        <v>421</v>
      </c>
      <c r="AZ10" s="384" t="str">
        <f>$B$29</f>
        <v>N/A</v>
      </c>
      <c r="BA10"/>
      <c r="BB10"/>
      <c r="BC10" s="372"/>
      <c r="BD10" s="373"/>
      <c r="BE10" s="96"/>
      <c r="BF10" t="s">
        <v>421</v>
      </c>
      <c r="BG10" s="384" t="str">
        <f>$D$29</f>
        <v>N/A</v>
      </c>
      <c r="BH10"/>
      <c r="BI10"/>
      <c r="BJ10" s="372"/>
      <c r="BK10" s="373"/>
      <c r="BL10" s="368"/>
      <c r="BM10" t="s">
        <v>421</v>
      </c>
      <c r="BN10" s="384" t="str">
        <f>$F$29</f>
        <v>N/A</v>
      </c>
      <c r="BO10"/>
      <c r="BP10"/>
      <c r="BQ10" s="381" t="s">
        <v>442</v>
      </c>
      <c r="BR10" s="385" t="e">
        <f>1-BR9</f>
        <v>#VALUE!</v>
      </c>
      <c r="BS10" s="368"/>
      <c r="BT10" t="s">
        <v>421</v>
      </c>
      <c r="BU10" s="384" t="str">
        <f>$H$29</f>
        <v>N/A</v>
      </c>
      <c r="BV10"/>
      <c r="BW10"/>
      <c r="BX10" s="372"/>
      <c r="BY10" s="373"/>
      <c r="BZ10" s="368"/>
      <c r="CA10" t="s">
        <v>421</v>
      </c>
      <c r="CB10" s="384" t="str">
        <f>$J$29</f>
        <v>N/A</v>
      </c>
      <c r="CC10"/>
      <c r="CD10"/>
      <c r="CE10" s="372"/>
      <c r="CF10" s="373"/>
      <c r="CG10" s="368"/>
      <c r="CH10" t="s">
        <v>421</v>
      </c>
      <c r="CI10" s="384" t="str">
        <f>$L$29</f>
        <v>N/A</v>
      </c>
      <c r="CJ10"/>
      <c r="CK10"/>
      <c r="CL10" s="372"/>
      <c r="CM10" s="373"/>
      <c r="CN10" s="368"/>
      <c r="CO10" t="s">
        <v>421</v>
      </c>
      <c r="CP10" s="384" t="str">
        <f>$N$29</f>
        <v>N/A</v>
      </c>
      <c r="CQ10"/>
      <c r="CR10"/>
      <c r="CS10" s="372"/>
      <c r="CT10" s="373"/>
      <c r="CU10" s="368"/>
      <c r="CV10" t="s">
        <v>421</v>
      </c>
      <c r="CW10" s="384" t="str">
        <f>$P$29</f>
        <v>N/A</v>
      </c>
      <c r="CX10"/>
      <c r="CY10"/>
      <c r="CZ10" s="372"/>
      <c r="DA10" s="373"/>
      <c r="DB10" s="368"/>
      <c r="DC10" t="s">
        <v>421</v>
      </c>
      <c r="DD10" s="384" t="str">
        <f>$R$29</f>
        <v>N/A</v>
      </c>
      <c r="DE10"/>
      <c r="DF10"/>
      <c r="DG10" s="372"/>
      <c r="DH10" s="373"/>
      <c r="DI10" s="368"/>
      <c r="DJ10" t="s">
        <v>421</v>
      </c>
      <c r="DK10" s="384" t="str">
        <f>$T$29</f>
        <v>N/A</v>
      </c>
      <c r="DL10"/>
      <c r="DM10"/>
      <c r="DN10" s="372"/>
      <c r="DO10" s="373"/>
    </row>
    <row r="11" spans="1:119" ht="48" customHeight="1" thickBot="1" x14ac:dyDescent="0.3">
      <c r="A11" s="145" t="s">
        <v>104</v>
      </c>
      <c r="B11" s="186" t="s">
        <v>105</v>
      </c>
      <c r="C11" s="147" t="s">
        <v>103</v>
      </c>
      <c r="D11" s="186" t="s">
        <v>105</v>
      </c>
      <c r="E11" s="147" t="s">
        <v>103</v>
      </c>
      <c r="F11" s="186" t="s">
        <v>105</v>
      </c>
      <c r="G11" s="147" t="s">
        <v>103</v>
      </c>
      <c r="H11" s="186" t="s">
        <v>105</v>
      </c>
      <c r="I11" s="147" t="s">
        <v>103</v>
      </c>
      <c r="J11" s="186" t="s">
        <v>105</v>
      </c>
      <c r="K11" s="147" t="s">
        <v>103</v>
      </c>
      <c r="L11" s="186" t="s">
        <v>105</v>
      </c>
      <c r="M11" s="147" t="s">
        <v>103</v>
      </c>
      <c r="N11" s="186" t="s">
        <v>105</v>
      </c>
      <c r="O11" s="147" t="s">
        <v>103</v>
      </c>
      <c r="P11" s="186" t="s">
        <v>105</v>
      </c>
      <c r="Q11" s="147" t="s">
        <v>103</v>
      </c>
      <c r="R11" s="186" t="s">
        <v>105</v>
      </c>
      <c r="S11" s="147" t="s">
        <v>103</v>
      </c>
      <c r="T11" s="186" t="s">
        <v>105</v>
      </c>
      <c r="U11" s="147" t="s">
        <v>103</v>
      </c>
      <c r="AO11" s="381" t="s">
        <v>442</v>
      </c>
      <c r="AP11" s="386" t="s">
        <v>505</v>
      </c>
      <c r="AS11" s="387">
        <v>0</v>
      </c>
      <c r="AT11" s="388" t="s">
        <v>511</v>
      </c>
      <c r="AU11" s="389">
        <f>1-AS11</f>
        <v>1</v>
      </c>
      <c r="AV11" s="390"/>
      <c r="AX11" s="368"/>
      <c r="AY11" s="391" t="s">
        <v>423</v>
      </c>
      <c r="AZ11" s="391" t="s">
        <v>424</v>
      </c>
      <c r="BA11" s="391" t="s">
        <v>425</v>
      </c>
      <c r="BB11"/>
      <c r="BC11" s="372"/>
      <c r="BD11" s="373"/>
      <c r="BE11" s="96"/>
      <c r="BF11" s="391" t="s">
        <v>423</v>
      </c>
      <c r="BG11" s="391" t="s">
        <v>424</v>
      </c>
      <c r="BH11" s="391" t="s">
        <v>425</v>
      </c>
      <c r="BI11"/>
      <c r="BJ11" s="372"/>
      <c r="BK11" s="373"/>
      <c r="BL11" s="368"/>
      <c r="BM11" s="391" t="s">
        <v>423</v>
      </c>
      <c r="BN11" s="391" t="s">
        <v>424</v>
      </c>
      <c r="BO11" s="391" t="s">
        <v>425</v>
      </c>
      <c r="BP11"/>
      <c r="BQ11"/>
      <c r="BR11" s="75"/>
      <c r="BS11" s="368"/>
      <c r="BT11" s="391" t="s">
        <v>423</v>
      </c>
      <c r="BU11" s="391" t="s">
        <v>424</v>
      </c>
      <c r="BV11" s="391" t="s">
        <v>425</v>
      </c>
      <c r="BW11"/>
      <c r="BX11"/>
      <c r="BY11" s="75"/>
      <c r="BZ11" s="368"/>
      <c r="CA11" s="391" t="s">
        <v>423</v>
      </c>
      <c r="CB11" s="391" t="s">
        <v>424</v>
      </c>
      <c r="CC11" s="391" t="s">
        <v>425</v>
      </c>
      <c r="CD11"/>
      <c r="CE11"/>
      <c r="CF11" s="75"/>
      <c r="CG11" s="368"/>
      <c r="CH11" s="391" t="s">
        <v>423</v>
      </c>
      <c r="CI11" s="391" t="s">
        <v>424</v>
      </c>
      <c r="CJ11" s="391" t="s">
        <v>425</v>
      </c>
      <c r="CK11"/>
      <c r="CL11"/>
      <c r="CM11" s="75"/>
      <c r="CN11" s="368"/>
      <c r="CO11" s="391" t="s">
        <v>423</v>
      </c>
      <c r="CP11" s="391" t="s">
        <v>424</v>
      </c>
      <c r="CQ11" s="391" t="s">
        <v>425</v>
      </c>
      <c r="CR11"/>
      <c r="CS11"/>
      <c r="CT11" s="75"/>
      <c r="CU11" s="368"/>
      <c r="CV11" s="391" t="s">
        <v>423</v>
      </c>
      <c r="CW11" s="391" t="s">
        <v>424</v>
      </c>
      <c r="CX11" s="391" t="s">
        <v>425</v>
      </c>
      <c r="CY11"/>
      <c r="CZ11"/>
      <c r="DA11" s="75"/>
      <c r="DB11" s="368"/>
      <c r="DC11" s="391" t="s">
        <v>423</v>
      </c>
      <c r="DD11" s="391" t="s">
        <v>424</v>
      </c>
      <c r="DE11" s="391" t="s">
        <v>425</v>
      </c>
      <c r="DF11"/>
      <c r="DG11"/>
      <c r="DH11" s="75"/>
      <c r="DI11" s="368"/>
      <c r="DJ11" s="391" t="s">
        <v>423</v>
      </c>
      <c r="DK11" s="391" t="s">
        <v>424</v>
      </c>
      <c r="DL11" s="391" t="s">
        <v>425</v>
      </c>
      <c r="DM11"/>
      <c r="DN11"/>
      <c r="DO11" s="75"/>
    </row>
    <row r="12" spans="1:119" ht="15.75" customHeight="1" thickBot="1" x14ac:dyDescent="0.3">
      <c r="A12" s="1300" t="s">
        <v>928</v>
      </c>
      <c r="B12" s="1301"/>
      <c r="C12" s="1301"/>
      <c r="D12" s="1301"/>
      <c r="E12" s="1301"/>
      <c r="F12" s="1301"/>
      <c r="G12" s="1301"/>
      <c r="H12" s="1301"/>
      <c r="I12" s="1301"/>
      <c r="J12" s="1301"/>
      <c r="K12" s="1301"/>
      <c r="L12" s="1301"/>
      <c r="M12" s="1301"/>
      <c r="N12" s="1301"/>
      <c r="O12" s="1301"/>
      <c r="P12" s="1301"/>
      <c r="Q12" s="1301"/>
      <c r="R12" s="1301"/>
      <c r="S12" s="1301"/>
      <c r="T12" s="1301"/>
      <c r="U12" s="1302"/>
      <c r="AP12" s="386" t="s">
        <v>431</v>
      </c>
      <c r="AS12" s="387">
        <v>0.5</v>
      </c>
      <c r="AT12" s="392" t="s">
        <v>512</v>
      </c>
      <c r="AU12" s="389">
        <f>1-AS12</f>
        <v>0.5</v>
      </c>
      <c r="AV12" s="390"/>
      <c r="AW12" s="96"/>
      <c r="AX12" s="368">
        <f>AY12-1</f>
        <v>0</v>
      </c>
      <c r="AY12" s="393">
        <v>1</v>
      </c>
      <c r="AZ12" s="394" t="e">
        <f>AZ9-(AZ9*$AZ$10)</f>
        <v>#VALUE!</v>
      </c>
      <c r="BA12" s="394" t="e">
        <f>(AZ9*$AZ$10)</f>
        <v>#VALUE!</v>
      </c>
      <c r="BB12" s="395" t="e">
        <f t="shared" ref="BB12:BB26" si="0">+BA12/$AZ$9</f>
        <v>#VALUE!</v>
      </c>
      <c r="BC12" s="886"/>
      <c r="BD12" s="75"/>
      <c r="BE12" s="96"/>
      <c r="BF12" s="393">
        <v>1</v>
      </c>
      <c r="BG12" s="394" t="e">
        <f>BG9-(BG9*$BG$10)</f>
        <v>#VALUE!</v>
      </c>
      <c r="BH12" s="394" t="e">
        <f>BG9*$BG$10</f>
        <v>#VALUE!</v>
      </c>
      <c r="BI12" s="395" t="e">
        <f>+BH12/$BG$9</f>
        <v>#VALUE!</v>
      </c>
      <c r="BJ12" s="886"/>
      <c r="BK12" s="75"/>
      <c r="BL12" s="368"/>
      <c r="BM12" s="393">
        <v>1</v>
      </c>
      <c r="BN12" s="394" t="e">
        <f>BN9-(BN9*$BN$10)</f>
        <v>#VALUE!</v>
      </c>
      <c r="BO12" s="394" t="e">
        <f>BN9*BN10</f>
        <v>#VALUE!</v>
      </c>
      <c r="BP12" s="395" t="e">
        <f>BO12/$BN$9</f>
        <v>#VALUE!</v>
      </c>
      <c r="BQ12" s="886"/>
      <c r="BR12" s="75"/>
      <c r="BS12" s="368"/>
      <c r="BT12" s="393">
        <v>1</v>
      </c>
      <c r="BU12" s="394" t="e">
        <f>BU9-(BU9*$BU$10)</f>
        <v>#VALUE!</v>
      </c>
      <c r="BV12" s="394" t="e">
        <f>BU9*$BU$10</f>
        <v>#VALUE!</v>
      </c>
      <c r="BW12" s="395" t="e">
        <f>+BV12/$BU$9</f>
        <v>#VALUE!</v>
      </c>
      <c r="BX12" s="886"/>
      <c r="BY12" s="75"/>
      <c r="BZ12" s="368"/>
      <c r="CA12" s="393">
        <v>1</v>
      </c>
      <c r="CB12" s="394" t="e">
        <f>CB9-(CB9*$CB$10)</f>
        <v>#VALUE!</v>
      </c>
      <c r="CC12" s="394" t="e">
        <f>CB9*$CB$10</f>
        <v>#VALUE!</v>
      </c>
      <c r="CD12" s="395" t="e">
        <f t="shared" ref="CD12:CD26" si="1">+CC12/$CB$9</f>
        <v>#VALUE!</v>
      </c>
      <c r="CE12" s="886"/>
      <c r="CF12" s="75"/>
      <c r="CG12" s="368"/>
      <c r="CH12" s="393">
        <v>1</v>
      </c>
      <c r="CI12" s="394" t="e">
        <f>CI9-(CI9*$CI$10)</f>
        <v>#VALUE!</v>
      </c>
      <c r="CJ12" s="394" t="e">
        <f>CI9*$CI$10</f>
        <v>#VALUE!</v>
      </c>
      <c r="CK12" s="395" t="e">
        <f t="shared" ref="CK12:CK26" si="2">+CJ12/$CI$9</f>
        <v>#VALUE!</v>
      </c>
      <c r="CL12" s="886"/>
      <c r="CM12" s="75"/>
      <c r="CN12" s="368"/>
      <c r="CO12" s="393">
        <v>1</v>
      </c>
      <c r="CP12" s="394" t="e">
        <f>CP9-(CP9*$CP$10)</f>
        <v>#VALUE!</v>
      </c>
      <c r="CQ12" s="394" t="e">
        <f>CP9*$CP$10</f>
        <v>#VALUE!</v>
      </c>
      <c r="CR12" s="395" t="e">
        <f t="shared" ref="CR12:CR26" si="3">+CQ12/$CP$9</f>
        <v>#VALUE!</v>
      </c>
      <c r="CS12" s="886"/>
      <c r="CT12" s="75"/>
      <c r="CU12" s="368"/>
      <c r="CV12" s="393">
        <v>1</v>
      </c>
      <c r="CW12" s="394" t="e">
        <f>CW9-(CW9*$CW$10)</f>
        <v>#VALUE!</v>
      </c>
      <c r="CX12" s="394" t="e">
        <f>CW9*$CW$10</f>
        <v>#VALUE!</v>
      </c>
      <c r="CY12" s="395" t="e">
        <f t="shared" ref="CY12:CY26" si="4">+CX12/$CW$9</f>
        <v>#VALUE!</v>
      </c>
      <c r="CZ12" s="886"/>
      <c r="DA12" s="75"/>
      <c r="DB12" s="368"/>
      <c r="DC12" s="393">
        <v>1</v>
      </c>
      <c r="DD12" s="394" t="e">
        <f>DD9-(DD9*$DD$10)</f>
        <v>#VALUE!</v>
      </c>
      <c r="DE12" s="394" t="e">
        <f>DD9*$DD$10</f>
        <v>#VALUE!</v>
      </c>
      <c r="DF12" s="395" t="e">
        <f t="shared" ref="DF12:DF26" si="5">+DE12/$DD$9</f>
        <v>#VALUE!</v>
      </c>
      <c r="DG12" s="886"/>
      <c r="DH12" s="75"/>
      <c r="DI12" s="368"/>
      <c r="DJ12" s="393">
        <v>1</v>
      </c>
      <c r="DK12" s="394" t="e">
        <f>DK9-(DK9*$DK$10)</f>
        <v>#VALUE!</v>
      </c>
      <c r="DL12" s="394" t="e">
        <f>DK9*$DK$10</f>
        <v>#VALUE!</v>
      </c>
      <c r="DM12" s="395" t="e">
        <f t="shared" ref="DM12:DM26" si="6">+DL12/$DK$9</f>
        <v>#VALUE!</v>
      </c>
      <c r="DN12" s="886"/>
      <c r="DO12" s="75"/>
    </row>
    <row r="13" spans="1:119" ht="15.75" customHeight="1" x14ac:dyDescent="0.25">
      <c r="A13" s="397" t="s">
        <v>247</v>
      </c>
      <c r="B13" s="354">
        <f>+'Amount and Destination'!AH6/days_yr</f>
        <v>0</v>
      </c>
      <c r="C13" s="398"/>
      <c r="D13" s="354">
        <f>+'Amount and Destination'!AH35/days_yr</f>
        <v>0</v>
      </c>
      <c r="E13" s="398"/>
      <c r="F13" s="354">
        <f>+'Amount and Destination'!AH64/days_yr</f>
        <v>0</v>
      </c>
      <c r="G13" s="398"/>
      <c r="H13" s="354">
        <f>+'Amount and Destination'!AH93/days_yr</f>
        <v>0</v>
      </c>
      <c r="I13" s="398"/>
      <c r="J13" s="354">
        <f>+'Amount and Destination'!AH122/days_yr</f>
        <v>0</v>
      </c>
      <c r="K13" s="398"/>
      <c r="L13" s="354">
        <f>+'Amount and Destination'!AH151/days_yr</f>
        <v>0</v>
      </c>
      <c r="M13" s="398"/>
      <c r="N13" s="354">
        <f>+'Amount and Destination'!AH180/days_yr</f>
        <v>0</v>
      </c>
      <c r="O13" s="398"/>
      <c r="P13" s="354">
        <f>+'Amount and Destination'!AH209/days_yr</f>
        <v>0</v>
      </c>
      <c r="Q13" s="398"/>
      <c r="R13" s="354">
        <f>+'Amount and Destination'!AH238/days_yr</f>
        <v>0</v>
      </c>
      <c r="S13" s="398"/>
      <c r="T13" s="354">
        <f>+'Amount and Destination'!AH267/days_yr</f>
        <v>0</v>
      </c>
      <c r="U13" s="398"/>
      <c r="AN13" s="355">
        <v>12</v>
      </c>
      <c r="AP13" s="399" t="e">
        <f>+$AU$25*BB$12</f>
        <v>#VALUE!</v>
      </c>
      <c r="AS13" s="387">
        <v>0.75</v>
      </c>
      <c r="AT13" s="392" t="s">
        <v>513</v>
      </c>
      <c r="AU13" s="389">
        <f>1-AS13</f>
        <v>0.25</v>
      </c>
      <c r="AV13" s="390"/>
      <c r="AW13" s="96"/>
      <c r="AX13" s="368">
        <f t="shared" ref="AX13:AX26" si="7">AY13-1</f>
        <v>1</v>
      </c>
      <c r="AY13" s="393">
        <v>2</v>
      </c>
      <c r="AZ13" s="394" t="e">
        <f t="shared" ref="AZ13:AZ26" si="8">AZ12-(AZ12*$AZ$10)</f>
        <v>#VALUE!</v>
      </c>
      <c r="BA13" s="394" t="e">
        <f t="shared" ref="BA13:BA26" si="9">(AZ12*$AZ$10)</f>
        <v>#VALUE!</v>
      </c>
      <c r="BB13" s="395" t="e">
        <f t="shared" si="0"/>
        <v>#VALUE!</v>
      </c>
      <c r="BC13"/>
      <c r="BD13" s="75"/>
      <c r="BE13" s="96"/>
      <c r="BF13" s="393">
        <v>2</v>
      </c>
      <c r="BG13" s="394" t="e">
        <f>BG12-(BG12*$BG$10)</f>
        <v>#VALUE!</v>
      </c>
      <c r="BH13" s="400" t="e">
        <f>$BG12*$BG$10</f>
        <v>#VALUE!</v>
      </c>
      <c r="BI13" s="395" t="e">
        <f>+BH13/$BG$9</f>
        <v>#VALUE!</v>
      </c>
      <c r="BJ13"/>
      <c r="BK13" s="75"/>
      <c r="BL13" s="368"/>
      <c r="BM13" s="393">
        <v>2</v>
      </c>
      <c r="BN13" s="394" t="e">
        <f>BN12-(BN12*$BN$10)</f>
        <v>#VALUE!</v>
      </c>
      <c r="BO13" s="394" t="e">
        <f>BN12*$BN$10</f>
        <v>#VALUE!</v>
      </c>
      <c r="BP13" s="395" t="e">
        <f t="shared" ref="BP13:BP41" si="10">BO13/$BN$9</f>
        <v>#VALUE!</v>
      </c>
      <c r="BQ13"/>
      <c r="BR13" s="75"/>
      <c r="BS13" s="368"/>
      <c r="BT13" s="393">
        <v>2</v>
      </c>
      <c r="BU13" s="394" t="e">
        <f t="shared" ref="BU13:BU26" si="11">BU12-(BU12*$BU$10)</f>
        <v>#VALUE!</v>
      </c>
      <c r="BV13" s="394" t="e">
        <f t="shared" ref="BV13:BV26" si="12">(BU12*$BU$10)</f>
        <v>#VALUE!</v>
      </c>
      <c r="BW13" s="395" t="e">
        <f t="shared" ref="BW13:BW26" si="13">+BV13/$BU$9</f>
        <v>#VALUE!</v>
      </c>
      <c r="BX13"/>
      <c r="BY13" s="75"/>
      <c r="BZ13" s="368"/>
      <c r="CA13" s="393">
        <v>2</v>
      </c>
      <c r="CB13" s="394" t="e">
        <f t="shared" ref="CB13:CB26" si="14">CB12-(CB12*$CB$10)</f>
        <v>#VALUE!</v>
      </c>
      <c r="CC13" s="394" t="e">
        <f t="shared" ref="CC13:CC26" si="15">(CB12*$CB$10)</f>
        <v>#VALUE!</v>
      </c>
      <c r="CD13" s="395" t="e">
        <f t="shared" si="1"/>
        <v>#VALUE!</v>
      </c>
      <c r="CE13"/>
      <c r="CF13" s="75"/>
      <c r="CG13" s="368"/>
      <c r="CH13" s="393">
        <v>2</v>
      </c>
      <c r="CI13" s="394" t="e">
        <f t="shared" ref="CI13:CI26" si="16">CI12-(CI12*$CI$10)</f>
        <v>#VALUE!</v>
      </c>
      <c r="CJ13" s="394" t="e">
        <f t="shared" ref="CJ13:CJ26" si="17">(CI12*$CI$10)</f>
        <v>#VALUE!</v>
      </c>
      <c r="CK13" s="395" t="e">
        <f t="shared" si="2"/>
        <v>#VALUE!</v>
      </c>
      <c r="CL13"/>
      <c r="CM13" s="75"/>
      <c r="CN13" s="368"/>
      <c r="CO13" s="393">
        <v>2</v>
      </c>
      <c r="CP13" s="394" t="e">
        <f t="shared" ref="CP13:CP26" si="18">CP12-(CP12*$CP$10)</f>
        <v>#VALUE!</v>
      </c>
      <c r="CQ13" s="394" t="e">
        <f t="shared" ref="CQ13:CQ26" si="19">(CP12*$CP$10)</f>
        <v>#VALUE!</v>
      </c>
      <c r="CR13" s="395" t="e">
        <f t="shared" si="3"/>
        <v>#VALUE!</v>
      </c>
      <c r="CS13"/>
      <c r="CT13" s="75"/>
      <c r="CU13" s="368"/>
      <c r="CV13" s="393">
        <v>2</v>
      </c>
      <c r="CW13" s="394" t="e">
        <f t="shared" ref="CW13:CW26" si="20">CW12-(CW12*$CW$10)</f>
        <v>#VALUE!</v>
      </c>
      <c r="CX13" s="394" t="e">
        <f t="shared" ref="CX13:CX26" si="21">(CW12*$CW$10)</f>
        <v>#VALUE!</v>
      </c>
      <c r="CY13" s="395" t="e">
        <f t="shared" si="4"/>
        <v>#VALUE!</v>
      </c>
      <c r="CZ13"/>
      <c r="DA13" s="75"/>
      <c r="DB13" s="368"/>
      <c r="DC13" s="393">
        <v>2</v>
      </c>
      <c r="DD13" s="394" t="e">
        <f t="shared" ref="DD13:DD26" si="22">DD12-(DD12*$DD$10)</f>
        <v>#VALUE!</v>
      </c>
      <c r="DE13" s="394" t="e">
        <f t="shared" ref="DE13:DE26" si="23">(DD12*$DD$10)</f>
        <v>#VALUE!</v>
      </c>
      <c r="DF13" s="395" t="e">
        <f t="shared" si="5"/>
        <v>#VALUE!</v>
      </c>
      <c r="DG13"/>
      <c r="DH13" s="75"/>
      <c r="DI13" s="368"/>
      <c r="DJ13" s="393">
        <v>2</v>
      </c>
      <c r="DK13" s="394" t="e">
        <f t="shared" ref="DK13:DK26" si="24">DK12-(DK12*$DK$10)</f>
        <v>#VALUE!</v>
      </c>
      <c r="DL13" s="394" t="e">
        <f t="shared" ref="DL13:DL26" si="25">(DK12*$DK$10)</f>
        <v>#VALUE!</v>
      </c>
      <c r="DM13" s="395" t="e">
        <f t="shared" si="6"/>
        <v>#VALUE!</v>
      </c>
      <c r="DN13"/>
      <c r="DO13" s="75"/>
    </row>
    <row r="14" spans="1:119" ht="15.75" customHeight="1" x14ac:dyDescent="0.25">
      <c r="A14" s="315" t="s">
        <v>170</v>
      </c>
      <c r="B14" s="889">
        <f>Mean_solids</f>
        <v>7.1999999999999995E-2</v>
      </c>
      <c r="C14" s="401"/>
      <c r="D14" s="889">
        <f>Mean_solids</f>
        <v>7.1999999999999995E-2</v>
      </c>
      <c r="E14" s="401"/>
      <c r="F14" s="889">
        <f>Mean_solids</f>
        <v>7.1999999999999995E-2</v>
      </c>
      <c r="G14" s="401"/>
      <c r="H14" s="889">
        <f>Mean_solids</f>
        <v>7.1999999999999995E-2</v>
      </c>
      <c r="I14" s="401"/>
      <c r="J14" s="889">
        <f>Mean_solids</f>
        <v>7.1999999999999995E-2</v>
      </c>
      <c r="K14" s="401"/>
      <c r="L14" s="889">
        <f>Mean_solids</f>
        <v>7.1999999999999995E-2</v>
      </c>
      <c r="M14" s="401"/>
      <c r="N14" s="889">
        <f>Mean_solids</f>
        <v>7.1999999999999995E-2</v>
      </c>
      <c r="O14" s="401"/>
      <c r="P14" s="889">
        <f>Mean_solids</f>
        <v>7.1999999999999995E-2</v>
      </c>
      <c r="Q14" s="401"/>
      <c r="R14" s="889">
        <f>Mean_solids</f>
        <v>7.1999999999999995E-2</v>
      </c>
      <c r="S14" s="401"/>
      <c r="T14" s="889">
        <f>Mean_solids</f>
        <v>7.1999999999999995E-2</v>
      </c>
      <c r="U14" s="401"/>
      <c r="AN14" s="461" t="s">
        <v>522</v>
      </c>
      <c r="AP14" s="399" t="e">
        <f>+$AU$26*SUM(BB$13:BB$14)</f>
        <v>#VALUE!</v>
      </c>
      <c r="AS14" s="387">
        <v>0.9</v>
      </c>
      <c r="AT14" s="388" t="s">
        <v>429</v>
      </c>
      <c r="AU14" s="389">
        <f>1-AS14</f>
        <v>9.9999999999999978E-2</v>
      </c>
      <c r="AV14" s="390"/>
      <c r="AW14" s="96"/>
      <c r="AX14" s="368">
        <f t="shared" si="7"/>
        <v>2</v>
      </c>
      <c r="AY14" s="393">
        <v>3</v>
      </c>
      <c r="AZ14" s="394" t="e">
        <f t="shared" si="8"/>
        <v>#VALUE!</v>
      </c>
      <c r="BA14" s="394" t="e">
        <f t="shared" si="9"/>
        <v>#VALUE!</v>
      </c>
      <c r="BB14" s="395" t="e">
        <f t="shared" si="0"/>
        <v>#VALUE!</v>
      </c>
      <c r="BC14"/>
      <c r="BD14" s="75"/>
      <c r="BE14" s="96"/>
      <c r="BF14" s="393">
        <v>3</v>
      </c>
      <c r="BG14" s="394" t="e">
        <f>BG13-(BG13*$BG$10)</f>
        <v>#VALUE!</v>
      </c>
      <c r="BH14" s="400" t="e">
        <f t="shared" ref="BH14:BH26" si="26">$BG13*$BG$10</f>
        <v>#VALUE!</v>
      </c>
      <c r="BI14" s="395" t="e">
        <f>+BH14/$BG$9</f>
        <v>#VALUE!</v>
      </c>
      <c r="BJ14"/>
      <c r="BK14" s="75"/>
      <c r="BL14" s="368"/>
      <c r="BM14" s="393">
        <v>3</v>
      </c>
      <c r="BN14" s="394" t="e">
        <f t="shared" ref="BN14:BN26" si="27">BN13-(BN13*$BN$10)</f>
        <v>#VALUE!</v>
      </c>
      <c r="BO14" s="394" t="e">
        <f t="shared" ref="BO14:BO26" si="28">BN13*$BN$10</f>
        <v>#VALUE!</v>
      </c>
      <c r="BP14" s="395" t="e">
        <f t="shared" si="10"/>
        <v>#VALUE!</v>
      </c>
      <c r="BQ14"/>
      <c r="BR14" s="75"/>
      <c r="BS14" s="368"/>
      <c r="BT14" s="393">
        <v>3</v>
      </c>
      <c r="BU14" s="394" t="e">
        <f t="shared" si="11"/>
        <v>#VALUE!</v>
      </c>
      <c r="BV14" s="394" t="e">
        <f t="shared" si="12"/>
        <v>#VALUE!</v>
      </c>
      <c r="BW14" s="395" t="e">
        <f t="shared" si="13"/>
        <v>#VALUE!</v>
      </c>
      <c r="BX14"/>
      <c r="BY14" s="75"/>
      <c r="BZ14" s="368"/>
      <c r="CA14" s="393">
        <v>3</v>
      </c>
      <c r="CB14" s="394" t="e">
        <f t="shared" si="14"/>
        <v>#VALUE!</v>
      </c>
      <c r="CC14" s="394" t="e">
        <f t="shared" si="15"/>
        <v>#VALUE!</v>
      </c>
      <c r="CD14" s="395" t="e">
        <f t="shared" si="1"/>
        <v>#VALUE!</v>
      </c>
      <c r="CE14"/>
      <c r="CF14" s="75"/>
      <c r="CG14" s="368"/>
      <c r="CH14" s="393">
        <v>3</v>
      </c>
      <c r="CI14" s="394" t="e">
        <f t="shared" si="16"/>
        <v>#VALUE!</v>
      </c>
      <c r="CJ14" s="394" t="e">
        <f t="shared" si="17"/>
        <v>#VALUE!</v>
      </c>
      <c r="CK14" s="395" t="e">
        <f t="shared" si="2"/>
        <v>#VALUE!</v>
      </c>
      <c r="CL14"/>
      <c r="CM14" s="75"/>
      <c r="CN14" s="368"/>
      <c r="CO14" s="393">
        <v>3</v>
      </c>
      <c r="CP14" s="394" t="e">
        <f t="shared" si="18"/>
        <v>#VALUE!</v>
      </c>
      <c r="CQ14" s="394" t="e">
        <f t="shared" si="19"/>
        <v>#VALUE!</v>
      </c>
      <c r="CR14" s="395" t="e">
        <f t="shared" si="3"/>
        <v>#VALUE!</v>
      </c>
      <c r="CS14"/>
      <c r="CT14" s="75"/>
      <c r="CU14" s="368"/>
      <c r="CV14" s="393">
        <v>3</v>
      </c>
      <c r="CW14" s="394" t="e">
        <f t="shared" si="20"/>
        <v>#VALUE!</v>
      </c>
      <c r="CX14" s="394" t="e">
        <f t="shared" si="21"/>
        <v>#VALUE!</v>
      </c>
      <c r="CY14" s="395" t="e">
        <f t="shared" si="4"/>
        <v>#VALUE!</v>
      </c>
      <c r="CZ14"/>
      <c r="DA14" s="75"/>
      <c r="DB14" s="368"/>
      <c r="DC14" s="393">
        <v>3</v>
      </c>
      <c r="DD14" s="394" t="e">
        <f t="shared" si="22"/>
        <v>#VALUE!</v>
      </c>
      <c r="DE14" s="394" t="e">
        <f t="shared" si="23"/>
        <v>#VALUE!</v>
      </c>
      <c r="DF14" s="395" t="e">
        <f t="shared" si="5"/>
        <v>#VALUE!</v>
      </c>
      <c r="DG14"/>
      <c r="DH14" s="75"/>
      <c r="DI14" s="368"/>
      <c r="DJ14" s="393">
        <v>3</v>
      </c>
      <c r="DK14" s="394" t="e">
        <f t="shared" si="24"/>
        <v>#VALUE!</v>
      </c>
      <c r="DL14" s="394" t="e">
        <f t="shared" si="25"/>
        <v>#VALUE!</v>
      </c>
      <c r="DM14" s="395" t="e">
        <f t="shared" si="6"/>
        <v>#VALUE!</v>
      </c>
      <c r="DN14"/>
      <c r="DO14" s="75"/>
    </row>
    <row r="15" spans="1:119" ht="15.75" customHeight="1" x14ac:dyDescent="0.25">
      <c r="A15" s="308" t="s">
        <v>187</v>
      </c>
      <c r="B15" s="265">
        <f>+B13*B14</f>
        <v>0</v>
      </c>
      <c r="C15" s="232"/>
      <c r="D15" s="265">
        <f>+D13*D14</f>
        <v>0</v>
      </c>
      <c r="E15" s="232"/>
      <c r="F15" s="265">
        <f>+F13*F14</f>
        <v>0</v>
      </c>
      <c r="G15" s="232"/>
      <c r="H15" s="265">
        <f>+H13*H14</f>
        <v>0</v>
      </c>
      <c r="I15" s="232"/>
      <c r="J15" s="265">
        <f>+J13*J14</f>
        <v>0</v>
      </c>
      <c r="K15" s="232"/>
      <c r="L15" s="265">
        <f>+L13*L14</f>
        <v>0</v>
      </c>
      <c r="M15" s="232"/>
      <c r="N15" s="265">
        <f>+N13*N14</f>
        <v>0</v>
      </c>
      <c r="O15" s="232"/>
      <c r="P15" s="265">
        <f>+P13*P14</f>
        <v>0</v>
      </c>
      <c r="Q15" s="232"/>
      <c r="R15" s="265">
        <f>+R13*R14</f>
        <v>0</v>
      </c>
      <c r="S15" s="232"/>
      <c r="T15" s="265">
        <f>+T13*T14</f>
        <v>0</v>
      </c>
      <c r="U15" s="232"/>
      <c r="AN15" s="461" t="s">
        <v>523</v>
      </c>
      <c r="AP15" s="399" t="e">
        <f>+$AU$28*SUM(BB$15:BB$25)</f>
        <v>#VALUE!</v>
      </c>
      <c r="AS15" s="402"/>
      <c r="AT15" s="402"/>
      <c r="AU15" s="403"/>
      <c r="AV15"/>
      <c r="AW15" s="96"/>
      <c r="AX15" s="368">
        <f t="shared" si="7"/>
        <v>3</v>
      </c>
      <c r="AY15" s="393">
        <v>4</v>
      </c>
      <c r="AZ15" s="394" t="e">
        <f t="shared" si="8"/>
        <v>#VALUE!</v>
      </c>
      <c r="BA15" s="394" t="e">
        <f t="shared" si="9"/>
        <v>#VALUE!</v>
      </c>
      <c r="BB15" s="395" t="e">
        <f t="shared" si="0"/>
        <v>#VALUE!</v>
      </c>
      <c r="BC15"/>
      <c r="BD15" s="75"/>
      <c r="BE15" s="96"/>
      <c r="BF15" s="393">
        <v>4</v>
      </c>
      <c r="BG15" s="394" t="e">
        <f t="shared" ref="BG15:BG26" si="29">BG14-(BG14*$BG$10)</f>
        <v>#VALUE!</v>
      </c>
      <c r="BH15" s="400" t="e">
        <f t="shared" si="26"/>
        <v>#VALUE!</v>
      </c>
      <c r="BI15" s="395" t="e">
        <f t="shared" ref="BI15:BI26" si="30">+BH15/$BG$9</f>
        <v>#VALUE!</v>
      </c>
      <c r="BJ15"/>
      <c r="BK15" s="75"/>
      <c r="BL15" s="368"/>
      <c r="BM15" s="393">
        <v>4</v>
      </c>
      <c r="BN15" s="394" t="e">
        <f t="shared" si="27"/>
        <v>#VALUE!</v>
      </c>
      <c r="BO15" s="394" t="e">
        <f t="shared" si="28"/>
        <v>#VALUE!</v>
      </c>
      <c r="BP15" s="395" t="e">
        <f t="shared" si="10"/>
        <v>#VALUE!</v>
      </c>
      <c r="BQ15"/>
      <c r="BR15" s="75"/>
      <c r="BS15" s="368"/>
      <c r="BT15" s="393">
        <v>4</v>
      </c>
      <c r="BU15" s="394" t="e">
        <f t="shared" si="11"/>
        <v>#VALUE!</v>
      </c>
      <c r="BV15" s="394" t="e">
        <f t="shared" si="12"/>
        <v>#VALUE!</v>
      </c>
      <c r="BW15" s="395" t="e">
        <f t="shared" si="13"/>
        <v>#VALUE!</v>
      </c>
      <c r="BX15"/>
      <c r="BY15" s="75"/>
      <c r="BZ15" s="368"/>
      <c r="CA15" s="393">
        <v>4</v>
      </c>
      <c r="CB15" s="394" t="e">
        <f t="shared" si="14"/>
        <v>#VALUE!</v>
      </c>
      <c r="CC15" s="394" t="e">
        <f t="shared" si="15"/>
        <v>#VALUE!</v>
      </c>
      <c r="CD15" s="395" t="e">
        <f t="shared" si="1"/>
        <v>#VALUE!</v>
      </c>
      <c r="CE15"/>
      <c r="CF15" s="75"/>
      <c r="CG15" s="368"/>
      <c r="CH15" s="393">
        <v>4</v>
      </c>
      <c r="CI15" s="394" t="e">
        <f t="shared" si="16"/>
        <v>#VALUE!</v>
      </c>
      <c r="CJ15" s="394" t="e">
        <f t="shared" si="17"/>
        <v>#VALUE!</v>
      </c>
      <c r="CK15" s="395" t="e">
        <f t="shared" si="2"/>
        <v>#VALUE!</v>
      </c>
      <c r="CL15"/>
      <c r="CM15" s="75"/>
      <c r="CN15" s="368"/>
      <c r="CO15" s="393">
        <v>4</v>
      </c>
      <c r="CP15" s="394" t="e">
        <f t="shared" si="18"/>
        <v>#VALUE!</v>
      </c>
      <c r="CQ15" s="394" t="e">
        <f t="shared" si="19"/>
        <v>#VALUE!</v>
      </c>
      <c r="CR15" s="395" t="e">
        <f t="shared" si="3"/>
        <v>#VALUE!</v>
      </c>
      <c r="CS15"/>
      <c r="CT15" s="75"/>
      <c r="CU15" s="368"/>
      <c r="CV15" s="393">
        <v>4</v>
      </c>
      <c r="CW15" s="394" t="e">
        <f t="shared" si="20"/>
        <v>#VALUE!</v>
      </c>
      <c r="CX15" s="394" t="e">
        <f t="shared" si="21"/>
        <v>#VALUE!</v>
      </c>
      <c r="CY15" s="395" t="e">
        <f t="shared" si="4"/>
        <v>#VALUE!</v>
      </c>
      <c r="CZ15"/>
      <c r="DA15" s="75"/>
      <c r="DB15" s="368"/>
      <c r="DC15" s="393">
        <v>4</v>
      </c>
      <c r="DD15" s="394" t="e">
        <f t="shared" si="22"/>
        <v>#VALUE!</v>
      </c>
      <c r="DE15" s="394" t="e">
        <f t="shared" si="23"/>
        <v>#VALUE!</v>
      </c>
      <c r="DF15" s="395" t="e">
        <f t="shared" si="5"/>
        <v>#VALUE!</v>
      </c>
      <c r="DG15"/>
      <c r="DH15" s="75"/>
      <c r="DI15" s="368"/>
      <c r="DJ15" s="393">
        <v>4</v>
      </c>
      <c r="DK15" s="394" t="e">
        <f t="shared" si="24"/>
        <v>#VALUE!</v>
      </c>
      <c r="DL15" s="394" t="e">
        <f t="shared" si="25"/>
        <v>#VALUE!</v>
      </c>
      <c r="DM15" s="395" t="e">
        <f t="shared" si="6"/>
        <v>#VALUE!</v>
      </c>
      <c r="DN15"/>
      <c r="DO15" s="75"/>
    </row>
    <row r="16" spans="1:119" ht="15.75" customHeight="1" x14ac:dyDescent="0.25">
      <c r="A16" s="247" t="s">
        <v>941</v>
      </c>
      <c r="B16" s="11"/>
      <c r="C16" s="232"/>
      <c r="D16" s="11"/>
      <c r="E16" s="232"/>
      <c r="F16" s="11"/>
      <c r="G16" s="232"/>
      <c r="H16" s="11"/>
      <c r="I16" s="232"/>
      <c r="J16" s="11"/>
      <c r="K16" s="232"/>
      <c r="L16" s="11"/>
      <c r="M16" s="232"/>
      <c r="N16" s="11"/>
      <c r="O16" s="232"/>
      <c r="P16" s="11"/>
      <c r="Q16" s="232"/>
      <c r="R16" s="11"/>
      <c r="S16" s="232"/>
      <c r="T16" s="11"/>
      <c r="U16" s="232"/>
      <c r="AN16" s="461" t="s">
        <v>524</v>
      </c>
      <c r="AP16" s="399" t="e">
        <f>+$AU$29*SUM(BB$26:BB$41)</f>
        <v>#VALUE!</v>
      </c>
      <c r="AW16" s="96"/>
      <c r="AX16" s="368">
        <f t="shared" si="7"/>
        <v>4</v>
      </c>
      <c r="AY16" s="393">
        <v>5</v>
      </c>
      <c r="AZ16" s="394" t="e">
        <f t="shared" si="8"/>
        <v>#VALUE!</v>
      </c>
      <c r="BA16" s="394" t="e">
        <f t="shared" si="9"/>
        <v>#VALUE!</v>
      </c>
      <c r="BB16" s="395" t="e">
        <f t="shared" si="0"/>
        <v>#VALUE!</v>
      </c>
      <c r="BC16"/>
      <c r="BD16" s="75"/>
      <c r="BE16" s="96"/>
      <c r="BF16" s="393">
        <v>5</v>
      </c>
      <c r="BG16" s="394" t="e">
        <f t="shared" si="29"/>
        <v>#VALUE!</v>
      </c>
      <c r="BH16" s="400" t="e">
        <f t="shared" si="26"/>
        <v>#VALUE!</v>
      </c>
      <c r="BI16" s="395" t="e">
        <f t="shared" si="30"/>
        <v>#VALUE!</v>
      </c>
      <c r="BJ16"/>
      <c r="BK16" s="75"/>
      <c r="BL16" s="368"/>
      <c r="BM16" s="393">
        <v>5</v>
      </c>
      <c r="BN16" s="394" t="e">
        <f t="shared" si="27"/>
        <v>#VALUE!</v>
      </c>
      <c r="BO16" s="394" t="e">
        <f t="shared" si="28"/>
        <v>#VALUE!</v>
      </c>
      <c r="BP16" s="395" t="e">
        <f t="shared" si="10"/>
        <v>#VALUE!</v>
      </c>
      <c r="BQ16"/>
      <c r="BR16" s="75"/>
      <c r="BS16" s="368"/>
      <c r="BT16" s="393">
        <v>5</v>
      </c>
      <c r="BU16" s="394" t="e">
        <f t="shared" si="11"/>
        <v>#VALUE!</v>
      </c>
      <c r="BV16" s="394" t="e">
        <f t="shared" si="12"/>
        <v>#VALUE!</v>
      </c>
      <c r="BW16" s="395" t="e">
        <f t="shared" si="13"/>
        <v>#VALUE!</v>
      </c>
      <c r="BX16"/>
      <c r="BY16" s="75"/>
      <c r="BZ16" s="368"/>
      <c r="CA16" s="393">
        <v>5</v>
      </c>
      <c r="CB16" s="394" t="e">
        <f t="shared" si="14"/>
        <v>#VALUE!</v>
      </c>
      <c r="CC16" s="394" t="e">
        <f t="shared" si="15"/>
        <v>#VALUE!</v>
      </c>
      <c r="CD16" s="395" t="e">
        <f t="shared" si="1"/>
        <v>#VALUE!</v>
      </c>
      <c r="CE16"/>
      <c r="CF16" s="75"/>
      <c r="CG16" s="368"/>
      <c r="CH16" s="393">
        <v>5</v>
      </c>
      <c r="CI16" s="394" t="e">
        <f t="shared" si="16"/>
        <v>#VALUE!</v>
      </c>
      <c r="CJ16" s="394" t="e">
        <f t="shared" si="17"/>
        <v>#VALUE!</v>
      </c>
      <c r="CK16" s="395" t="e">
        <f t="shared" si="2"/>
        <v>#VALUE!</v>
      </c>
      <c r="CL16"/>
      <c r="CM16" s="75"/>
      <c r="CN16" s="368"/>
      <c r="CO16" s="393">
        <v>5</v>
      </c>
      <c r="CP16" s="394" t="e">
        <f t="shared" si="18"/>
        <v>#VALUE!</v>
      </c>
      <c r="CQ16" s="394" t="e">
        <f t="shared" si="19"/>
        <v>#VALUE!</v>
      </c>
      <c r="CR16" s="395" t="e">
        <f t="shared" si="3"/>
        <v>#VALUE!</v>
      </c>
      <c r="CS16"/>
      <c r="CT16" s="75"/>
      <c r="CU16" s="368"/>
      <c r="CV16" s="393">
        <v>5</v>
      </c>
      <c r="CW16" s="394" t="e">
        <f t="shared" si="20"/>
        <v>#VALUE!</v>
      </c>
      <c r="CX16" s="394" t="e">
        <f t="shared" si="21"/>
        <v>#VALUE!</v>
      </c>
      <c r="CY16" s="395" t="e">
        <f t="shared" si="4"/>
        <v>#VALUE!</v>
      </c>
      <c r="CZ16"/>
      <c r="DA16" s="75"/>
      <c r="DB16" s="368"/>
      <c r="DC16" s="393">
        <v>5</v>
      </c>
      <c r="DD16" s="394" t="e">
        <f t="shared" si="22"/>
        <v>#VALUE!</v>
      </c>
      <c r="DE16" s="394" t="e">
        <f t="shared" si="23"/>
        <v>#VALUE!</v>
      </c>
      <c r="DF16" s="395" t="e">
        <f t="shared" si="5"/>
        <v>#VALUE!</v>
      </c>
      <c r="DG16"/>
      <c r="DH16" s="75"/>
      <c r="DI16" s="368"/>
      <c r="DJ16" s="393">
        <v>5</v>
      </c>
      <c r="DK16" s="394" t="e">
        <f t="shared" si="24"/>
        <v>#VALUE!</v>
      </c>
      <c r="DL16" s="394" t="e">
        <f t="shared" si="25"/>
        <v>#VALUE!</v>
      </c>
      <c r="DM16" s="395" t="e">
        <f t="shared" si="6"/>
        <v>#VALUE!</v>
      </c>
      <c r="DN16"/>
      <c r="DO16" s="75"/>
    </row>
    <row r="17" spans="1:119" ht="15.75" customHeight="1" x14ac:dyDescent="0.25">
      <c r="A17" s="315" t="s">
        <v>264</v>
      </c>
      <c r="B17" s="889">
        <f>Analyses!$I$5</f>
        <v>2.5000000000000001E-2</v>
      </c>
      <c r="C17" s="190">
        <f>+IF(B16='References Assumptions'!$C$340, Total_N_untreated, total_N_digested)</f>
        <v>0.05</v>
      </c>
      <c r="D17" s="889">
        <f>Analyses!$I$5</f>
        <v>2.5000000000000001E-2</v>
      </c>
      <c r="E17" s="190">
        <f>+IF(D16='References Assumptions'!$C$340, Total_N_untreated, total_N_digested)</f>
        <v>0.05</v>
      </c>
      <c r="F17" s="889">
        <f>Analyses!$I$5</f>
        <v>2.5000000000000001E-2</v>
      </c>
      <c r="G17" s="190">
        <f>+IF(F16='References Assumptions'!$C$340, Total_N_untreated, total_N_digested)</f>
        <v>0.05</v>
      </c>
      <c r="H17" s="889">
        <f>Analyses!$I$5</f>
        <v>2.5000000000000001E-2</v>
      </c>
      <c r="I17" s="190">
        <f>+IF(H16='References Assumptions'!$C$340, Total_N_untreated, total_N_digested)</f>
        <v>0.05</v>
      </c>
      <c r="J17" s="889">
        <f>Analyses!$I$5</f>
        <v>2.5000000000000001E-2</v>
      </c>
      <c r="K17" s="190">
        <f>+IF(J16='References Assumptions'!$C$340, Total_N_untreated, total_N_digested)</f>
        <v>0.05</v>
      </c>
      <c r="L17" s="889">
        <f>Analyses!$I$5</f>
        <v>2.5000000000000001E-2</v>
      </c>
      <c r="M17" s="190">
        <f>+IF(L16='References Assumptions'!$C$340, Total_N_untreated, total_N_digested)</f>
        <v>0.05</v>
      </c>
      <c r="N17" s="889">
        <f>Analyses!$I$5</f>
        <v>2.5000000000000001E-2</v>
      </c>
      <c r="O17" s="190">
        <f>+IF(N16='References Assumptions'!$C$340, Total_N_untreated, total_N_digested)</f>
        <v>0.05</v>
      </c>
      <c r="P17" s="889">
        <f>Analyses!$I$5</f>
        <v>2.5000000000000001E-2</v>
      </c>
      <c r="Q17" s="190">
        <f>+IF(P16='References Assumptions'!$C$340, Total_N_untreated, total_N_digested)</f>
        <v>0.05</v>
      </c>
      <c r="R17" s="889">
        <f>Analyses!$I$5</f>
        <v>2.5000000000000001E-2</v>
      </c>
      <c r="S17" s="190">
        <f>+IF(R16='References Assumptions'!$C$340, Total_N_untreated, total_N_digested)</f>
        <v>0.05</v>
      </c>
      <c r="T17" s="889">
        <f>Analyses!$I$5</f>
        <v>2.5000000000000001E-2</v>
      </c>
      <c r="U17" s="190">
        <f>+IF(T16='References Assumptions'!$C$340, Total_N_untreated, total_N_digested)</f>
        <v>0.05</v>
      </c>
      <c r="AP17" s="405" t="e">
        <f>SUM(AP$13:AP$16)</f>
        <v>#VALUE!</v>
      </c>
      <c r="AW17" s="96"/>
      <c r="AX17" s="368">
        <f t="shared" si="7"/>
        <v>5</v>
      </c>
      <c r="AY17" s="393">
        <v>6</v>
      </c>
      <c r="AZ17" s="394" t="e">
        <f t="shared" si="8"/>
        <v>#VALUE!</v>
      </c>
      <c r="BA17" s="394" t="e">
        <f t="shared" si="9"/>
        <v>#VALUE!</v>
      </c>
      <c r="BB17" s="395" t="e">
        <f t="shared" si="0"/>
        <v>#VALUE!</v>
      </c>
      <c r="BC17"/>
      <c r="BD17" s="75"/>
      <c r="BE17" s="96"/>
      <c r="BF17" s="393">
        <v>6</v>
      </c>
      <c r="BG17" s="394" t="e">
        <f t="shared" si="29"/>
        <v>#VALUE!</v>
      </c>
      <c r="BH17" s="400" t="e">
        <f t="shared" si="26"/>
        <v>#VALUE!</v>
      </c>
      <c r="BI17" s="395" t="e">
        <f t="shared" si="30"/>
        <v>#VALUE!</v>
      </c>
      <c r="BJ17"/>
      <c r="BK17" s="75"/>
      <c r="BL17" s="368"/>
      <c r="BM17" s="393">
        <v>6</v>
      </c>
      <c r="BN17" s="394" t="e">
        <f t="shared" si="27"/>
        <v>#VALUE!</v>
      </c>
      <c r="BO17" s="394" t="e">
        <f t="shared" si="28"/>
        <v>#VALUE!</v>
      </c>
      <c r="BP17" s="395" t="e">
        <f t="shared" si="10"/>
        <v>#VALUE!</v>
      </c>
      <c r="BQ17"/>
      <c r="BR17" s="75"/>
      <c r="BS17" s="368"/>
      <c r="BT17" s="393">
        <v>6</v>
      </c>
      <c r="BU17" s="394" t="e">
        <f t="shared" si="11"/>
        <v>#VALUE!</v>
      </c>
      <c r="BV17" s="394" t="e">
        <f t="shared" si="12"/>
        <v>#VALUE!</v>
      </c>
      <c r="BW17" s="395" t="e">
        <f t="shared" si="13"/>
        <v>#VALUE!</v>
      </c>
      <c r="BX17"/>
      <c r="BY17" s="75"/>
      <c r="BZ17" s="368"/>
      <c r="CA17" s="393">
        <v>6</v>
      </c>
      <c r="CB17" s="394" t="e">
        <f t="shared" si="14"/>
        <v>#VALUE!</v>
      </c>
      <c r="CC17" s="394" t="e">
        <f t="shared" si="15"/>
        <v>#VALUE!</v>
      </c>
      <c r="CD17" s="395" t="e">
        <f t="shared" si="1"/>
        <v>#VALUE!</v>
      </c>
      <c r="CE17"/>
      <c r="CF17" s="75"/>
      <c r="CG17" s="368"/>
      <c r="CH17" s="393">
        <v>6</v>
      </c>
      <c r="CI17" s="394" t="e">
        <f t="shared" si="16"/>
        <v>#VALUE!</v>
      </c>
      <c r="CJ17" s="394" t="e">
        <f t="shared" si="17"/>
        <v>#VALUE!</v>
      </c>
      <c r="CK17" s="395" t="e">
        <f t="shared" si="2"/>
        <v>#VALUE!</v>
      </c>
      <c r="CL17"/>
      <c r="CM17" s="75"/>
      <c r="CN17" s="368"/>
      <c r="CO17" s="393">
        <v>6</v>
      </c>
      <c r="CP17" s="394" t="e">
        <f t="shared" si="18"/>
        <v>#VALUE!</v>
      </c>
      <c r="CQ17" s="394" t="e">
        <f t="shared" si="19"/>
        <v>#VALUE!</v>
      </c>
      <c r="CR17" s="395" t="e">
        <f t="shared" si="3"/>
        <v>#VALUE!</v>
      </c>
      <c r="CS17"/>
      <c r="CT17" s="75"/>
      <c r="CU17" s="368"/>
      <c r="CV17" s="393">
        <v>6</v>
      </c>
      <c r="CW17" s="394" t="e">
        <f t="shared" si="20"/>
        <v>#VALUE!</v>
      </c>
      <c r="CX17" s="394" t="e">
        <f t="shared" si="21"/>
        <v>#VALUE!</v>
      </c>
      <c r="CY17" s="395" t="e">
        <f t="shared" si="4"/>
        <v>#VALUE!</v>
      </c>
      <c r="CZ17"/>
      <c r="DA17" s="75"/>
      <c r="DB17" s="368"/>
      <c r="DC17" s="393">
        <v>6</v>
      </c>
      <c r="DD17" s="394" t="e">
        <f t="shared" si="22"/>
        <v>#VALUE!</v>
      </c>
      <c r="DE17" s="394" t="e">
        <f t="shared" si="23"/>
        <v>#VALUE!</v>
      </c>
      <c r="DF17" s="395" t="e">
        <f t="shared" si="5"/>
        <v>#VALUE!</v>
      </c>
      <c r="DG17"/>
      <c r="DH17" s="75"/>
      <c r="DI17" s="368"/>
      <c r="DJ17" s="393">
        <v>6</v>
      </c>
      <c r="DK17" s="394" t="e">
        <f t="shared" si="24"/>
        <v>#VALUE!</v>
      </c>
      <c r="DL17" s="394" t="e">
        <f t="shared" si="25"/>
        <v>#VALUE!</v>
      </c>
      <c r="DM17" s="395" t="e">
        <f t="shared" si="6"/>
        <v>#VALUE!</v>
      </c>
      <c r="DN17"/>
      <c r="DO17" s="75"/>
    </row>
    <row r="18" spans="1:119" ht="15.75" customHeight="1" x14ac:dyDescent="0.25">
      <c r="A18" s="247" t="s">
        <v>942</v>
      </c>
      <c r="B18" s="889">
        <f>Analyses!$G$5</f>
        <v>0.94386666666666685</v>
      </c>
      <c r="C18" s="190">
        <f>+IF(B16='References Assumptions'!$C$340, TVS_untreated, TVS_digested)</f>
        <v>0.65</v>
      </c>
      <c r="D18" s="889">
        <f>Analyses!$G$5</f>
        <v>0.94386666666666685</v>
      </c>
      <c r="E18" s="190">
        <f>+IF(D16='References Assumptions'!$C$340, TVS_untreated, TVS_digested)</f>
        <v>0.65</v>
      </c>
      <c r="F18" s="889">
        <f>Analyses!$G$5</f>
        <v>0.94386666666666685</v>
      </c>
      <c r="G18" s="190">
        <f>+IF(F16='References Assumptions'!$C$340, TVS_untreated, TVS_digested)</f>
        <v>0.65</v>
      </c>
      <c r="H18" s="889">
        <f>Analyses!$G$5</f>
        <v>0.94386666666666685</v>
      </c>
      <c r="I18" s="190">
        <f>+IF(H16='References Assumptions'!$C$340, TVS_untreated, TVS_digested)</f>
        <v>0.65</v>
      </c>
      <c r="J18" s="889">
        <f>Analyses!$G$5</f>
        <v>0.94386666666666685</v>
      </c>
      <c r="K18" s="190">
        <f>+IF(J16='References Assumptions'!$C$340, TVS_untreated, TVS_digested)</f>
        <v>0.65</v>
      </c>
      <c r="L18" s="889">
        <f>Analyses!$G$5</f>
        <v>0.94386666666666685</v>
      </c>
      <c r="M18" s="190">
        <f>+IF(L16='References Assumptions'!$C$340, TVS_untreated, TVS_digested)</f>
        <v>0.65</v>
      </c>
      <c r="N18" s="889">
        <f>Analyses!$G$5</f>
        <v>0.94386666666666685</v>
      </c>
      <c r="O18" s="190">
        <f>+IF(N16='References Assumptions'!$C$340, TVS_untreated, TVS_digested)</f>
        <v>0.65</v>
      </c>
      <c r="P18" s="889">
        <f>Analyses!$G$5</f>
        <v>0.94386666666666685</v>
      </c>
      <c r="Q18" s="190">
        <f>+IF(P16='References Assumptions'!$C$340, TVS_untreated, TVS_digested)</f>
        <v>0.65</v>
      </c>
      <c r="R18" s="889">
        <f>Analyses!$G$5</f>
        <v>0.94386666666666685</v>
      </c>
      <c r="S18" s="190">
        <f>+IF(R16='References Assumptions'!$C$340, TVS_untreated, TVS_digested)</f>
        <v>0.65</v>
      </c>
      <c r="T18" s="889">
        <f>Analyses!$G$5</f>
        <v>0.94386666666666685</v>
      </c>
      <c r="U18" s="190">
        <f>+IF(T16='References Assumptions'!$C$340, TVS_untreated, TVS_digested)</f>
        <v>0.65</v>
      </c>
      <c r="AP18" s="406" t="e">
        <f>1-AP$17</f>
        <v>#VALUE!</v>
      </c>
      <c r="AW18" s="96"/>
      <c r="AX18" s="368">
        <f t="shared" si="7"/>
        <v>6</v>
      </c>
      <c r="AY18" s="393">
        <v>7</v>
      </c>
      <c r="AZ18" s="394" t="e">
        <f t="shared" si="8"/>
        <v>#VALUE!</v>
      </c>
      <c r="BA18" s="394" t="e">
        <f t="shared" si="9"/>
        <v>#VALUE!</v>
      </c>
      <c r="BB18" s="395" t="e">
        <f t="shared" si="0"/>
        <v>#VALUE!</v>
      </c>
      <c r="BC18"/>
      <c r="BD18" s="75"/>
      <c r="BE18" s="96"/>
      <c r="BF18" s="393">
        <v>7</v>
      </c>
      <c r="BG18" s="394" t="e">
        <f t="shared" si="29"/>
        <v>#VALUE!</v>
      </c>
      <c r="BH18" s="400" t="e">
        <f t="shared" si="26"/>
        <v>#VALUE!</v>
      </c>
      <c r="BI18" s="395" t="e">
        <f t="shared" si="30"/>
        <v>#VALUE!</v>
      </c>
      <c r="BJ18"/>
      <c r="BK18" s="75"/>
      <c r="BL18" s="368"/>
      <c r="BM18" s="393">
        <v>7</v>
      </c>
      <c r="BN18" s="394" t="e">
        <f t="shared" si="27"/>
        <v>#VALUE!</v>
      </c>
      <c r="BO18" s="394" t="e">
        <f t="shared" si="28"/>
        <v>#VALUE!</v>
      </c>
      <c r="BP18" s="395" t="e">
        <f t="shared" si="10"/>
        <v>#VALUE!</v>
      </c>
      <c r="BQ18"/>
      <c r="BR18" s="75"/>
      <c r="BS18" s="368"/>
      <c r="BT18" s="393">
        <v>7</v>
      </c>
      <c r="BU18" s="394" t="e">
        <f t="shared" si="11"/>
        <v>#VALUE!</v>
      </c>
      <c r="BV18" s="394" t="e">
        <f t="shared" si="12"/>
        <v>#VALUE!</v>
      </c>
      <c r="BW18" s="395" t="e">
        <f t="shared" si="13"/>
        <v>#VALUE!</v>
      </c>
      <c r="BX18"/>
      <c r="BY18" s="75"/>
      <c r="BZ18" s="368"/>
      <c r="CA18" s="393">
        <v>7</v>
      </c>
      <c r="CB18" s="394" t="e">
        <f t="shared" si="14"/>
        <v>#VALUE!</v>
      </c>
      <c r="CC18" s="394" t="e">
        <f t="shared" si="15"/>
        <v>#VALUE!</v>
      </c>
      <c r="CD18" s="395" t="e">
        <f t="shared" si="1"/>
        <v>#VALUE!</v>
      </c>
      <c r="CE18"/>
      <c r="CF18" s="75"/>
      <c r="CG18" s="368"/>
      <c r="CH18" s="393">
        <v>7</v>
      </c>
      <c r="CI18" s="394" t="e">
        <f t="shared" si="16"/>
        <v>#VALUE!</v>
      </c>
      <c r="CJ18" s="394" t="e">
        <f t="shared" si="17"/>
        <v>#VALUE!</v>
      </c>
      <c r="CK18" s="395" t="e">
        <f t="shared" si="2"/>
        <v>#VALUE!</v>
      </c>
      <c r="CL18"/>
      <c r="CM18" s="75"/>
      <c r="CN18" s="368"/>
      <c r="CO18" s="393">
        <v>7</v>
      </c>
      <c r="CP18" s="394" t="e">
        <f t="shared" si="18"/>
        <v>#VALUE!</v>
      </c>
      <c r="CQ18" s="394" t="e">
        <f t="shared" si="19"/>
        <v>#VALUE!</v>
      </c>
      <c r="CR18" s="395" t="e">
        <f t="shared" si="3"/>
        <v>#VALUE!</v>
      </c>
      <c r="CS18"/>
      <c r="CT18" s="75"/>
      <c r="CU18" s="368"/>
      <c r="CV18" s="393">
        <v>7</v>
      </c>
      <c r="CW18" s="394" t="e">
        <f t="shared" si="20"/>
        <v>#VALUE!</v>
      </c>
      <c r="CX18" s="394" t="e">
        <f t="shared" si="21"/>
        <v>#VALUE!</v>
      </c>
      <c r="CY18" s="395" t="e">
        <f t="shared" si="4"/>
        <v>#VALUE!</v>
      </c>
      <c r="CZ18"/>
      <c r="DA18" s="75"/>
      <c r="DB18" s="368"/>
      <c r="DC18" s="393">
        <v>7</v>
      </c>
      <c r="DD18" s="394" t="e">
        <f t="shared" si="22"/>
        <v>#VALUE!</v>
      </c>
      <c r="DE18" s="394" t="e">
        <f t="shared" si="23"/>
        <v>#VALUE!</v>
      </c>
      <c r="DF18" s="395" t="e">
        <f t="shared" si="5"/>
        <v>#VALUE!</v>
      </c>
      <c r="DG18"/>
      <c r="DH18" s="75"/>
      <c r="DI18" s="368"/>
      <c r="DJ18" s="393">
        <v>7</v>
      </c>
      <c r="DK18" s="394" t="e">
        <f t="shared" si="24"/>
        <v>#VALUE!</v>
      </c>
      <c r="DL18" s="394" t="e">
        <f t="shared" si="25"/>
        <v>#VALUE!</v>
      </c>
      <c r="DM18" s="395" t="e">
        <f t="shared" si="6"/>
        <v>#VALUE!</v>
      </c>
      <c r="DN18"/>
      <c r="DO18" s="75"/>
    </row>
    <row r="19" spans="1:119" ht="15.75" customHeight="1" x14ac:dyDescent="0.25">
      <c r="A19" s="247" t="s">
        <v>943</v>
      </c>
      <c r="B19" s="889">
        <f>Analyses!$H$5</f>
        <v>0.52856533333333344</v>
      </c>
      <c r="C19" s="407">
        <f>+B18*Carbon_as_a___of_TVS_compostinghandbook</f>
        <v>0.52856533333333344</v>
      </c>
      <c r="D19" s="889">
        <f>Analyses!$H$5</f>
        <v>0.52856533333333344</v>
      </c>
      <c r="E19" s="407">
        <f>+D18*Carbon_as_a___of_TVS_compostinghandbook</f>
        <v>0.52856533333333344</v>
      </c>
      <c r="F19" s="889">
        <f>Analyses!$H$5</f>
        <v>0.52856533333333344</v>
      </c>
      <c r="G19" s="407">
        <f>+F18*Carbon_as_a___of_TVS_compostinghandbook</f>
        <v>0.52856533333333344</v>
      </c>
      <c r="H19" s="889">
        <f>Analyses!$H$5</f>
        <v>0.52856533333333344</v>
      </c>
      <c r="I19" s="407">
        <f>+H18*Carbon_as_a___of_TVS_compostinghandbook</f>
        <v>0.52856533333333344</v>
      </c>
      <c r="J19" s="889">
        <f>Analyses!$H$5</f>
        <v>0.52856533333333344</v>
      </c>
      <c r="K19" s="407">
        <f>+J18*Carbon_as_a___of_TVS_compostinghandbook</f>
        <v>0.52856533333333344</v>
      </c>
      <c r="L19" s="889">
        <f>Analyses!$H$5</f>
        <v>0.52856533333333344</v>
      </c>
      <c r="M19" s="407">
        <f>+L18*Carbon_as_a___of_TVS_compostinghandbook</f>
        <v>0.52856533333333344</v>
      </c>
      <c r="N19" s="889">
        <f>Analyses!$H$5</f>
        <v>0.52856533333333344</v>
      </c>
      <c r="O19" s="407">
        <f>+N18*Carbon_as_a___of_TVS_compostinghandbook</f>
        <v>0.52856533333333344</v>
      </c>
      <c r="P19" s="889">
        <f>Analyses!$H$5</f>
        <v>0.52856533333333344</v>
      </c>
      <c r="Q19" s="407">
        <f>+P18*Carbon_as_a___of_TVS_compostinghandbook</f>
        <v>0.52856533333333344</v>
      </c>
      <c r="R19" s="889">
        <f>Analyses!$H$5</f>
        <v>0.52856533333333344</v>
      </c>
      <c r="S19" s="407">
        <f>+R18*Carbon_as_a___of_TVS_compostinghandbook</f>
        <v>0.52856533333333344</v>
      </c>
      <c r="T19" s="889">
        <f>Analyses!$H$5</f>
        <v>0.52856533333333344</v>
      </c>
      <c r="U19" s="407">
        <f>+T18*Carbon_as_a___of_TVS_compostinghandbook</f>
        <v>0.52856533333333344</v>
      </c>
      <c r="AW19" s="96"/>
      <c r="AX19" s="368">
        <f t="shared" si="7"/>
        <v>7</v>
      </c>
      <c r="AY19" s="393">
        <v>8</v>
      </c>
      <c r="AZ19" s="394" t="e">
        <f t="shared" si="8"/>
        <v>#VALUE!</v>
      </c>
      <c r="BA19" s="394" t="e">
        <f t="shared" si="9"/>
        <v>#VALUE!</v>
      </c>
      <c r="BB19" s="395" t="e">
        <f t="shared" si="0"/>
        <v>#VALUE!</v>
      </c>
      <c r="BC19"/>
      <c r="BD19" s="75"/>
      <c r="BE19" s="96"/>
      <c r="BF19" s="393">
        <v>8</v>
      </c>
      <c r="BG19" s="394" t="e">
        <f t="shared" si="29"/>
        <v>#VALUE!</v>
      </c>
      <c r="BH19" s="400" t="e">
        <f t="shared" si="26"/>
        <v>#VALUE!</v>
      </c>
      <c r="BI19" s="395" t="e">
        <f t="shared" si="30"/>
        <v>#VALUE!</v>
      </c>
      <c r="BJ19"/>
      <c r="BK19" s="75"/>
      <c r="BL19" s="368"/>
      <c r="BM19" s="393">
        <v>8</v>
      </c>
      <c r="BN19" s="394" t="e">
        <f t="shared" si="27"/>
        <v>#VALUE!</v>
      </c>
      <c r="BO19" s="394" t="e">
        <f t="shared" si="28"/>
        <v>#VALUE!</v>
      </c>
      <c r="BP19" s="395" t="e">
        <f t="shared" si="10"/>
        <v>#VALUE!</v>
      </c>
      <c r="BQ19"/>
      <c r="BR19" s="75"/>
      <c r="BS19" s="368"/>
      <c r="BT19" s="393">
        <v>8</v>
      </c>
      <c r="BU19" s="394" t="e">
        <f t="shared" si="11"/>
        <v>#VALUE!</v>
      </c>
      <c r="BV19" s="394" t="e">
        <f t="shared" si="12"/>
        <v>#VALUE!</v>
      </c>
      <c r="BW19" s="395" t="e">
        <f t="shared" si="13"/>
        <v>#VALUE!</v>
      </c>
      <c r="BX19"/>
      <c r="BY19" s="75"/>
      <c r="BZ19" s="368"/>
      <c r="CA19" s="393">
        <v>8</v>
      </c>
      <c r="CB19" s="394" t="e">
        <f t="shared" si="14"/>
        <v>#VALUE!</v>
      </c>
      <c r="CC19" s="394" t="e">
        <f t="shared" si="15"/>
        <v>#VALUE!</v>
      </c>
      <c r="CD19" s="395" t="e">
        <f t="shared" si="1"/>
        <v>#VALUE!</v>
      </c>
      <c r="CE19"/>
      <c r="CF19" s="75"/>
      <c r="CG19" s="368"/>
      <c r="CH19" s="393">
        <v>8</v>
      </c>
      <c r="CI19" s="394" t="e">
        <f t="shared" si="16"/>
        <v>#VALUE!</v>
      </c>
      <c r="CJ19" s="394" t="e">
        <f t="shared" si="17"/>
        <v>#VALUE!</v>
      </c>
      <c r="CK19" s="395" t="e">
        <f t="shared" si="2"/>
        <v>#VALUE!</v>
      </c>
      <c r="CL19"/>
      <c r="CM19" s="75"/>
      <c r="CN19" s="368"/>
      <c r="CO19" s="393">
        <v>8</v>
      </c>
      <c r="CP19" s="394" t="e">
        <f t="shared" si="18"/>
        <v>#VALUE!</v>
      </c>
      <c r="CQ19" s="394" t="e">
        <f t="shared" si="19"/>
        <v>#VALUE!</v>
      </c>
      <c r="CR19" s="395" t="e">
        <f t="shared" si="3"/>
        <v>#VALUE!</v>
      </c>
      <c r="CS19"/>
      <c r="CT19" s="75"/>
      <c r="CU19" s="368"/>
      <c r="CV19" s="393">
        <v>8</v>
      </c>
      <c r="CW19" s="394" t="e">
        <f t="shared" si="20"/>
        <v>#VALUE!</v>
      </c>
      <c r="CX19" s="394" t="e">
        <f t="shared" si="21"/>
        <v>#VALUE!</v>
      </c>
      <c r="CY19" s="395" t="e">
        <f t="shared" si="4"/>
        <v>#VALUE!</v>
      </c>
      <c r="CZ19"/>
      <c r="DA19" s="75"/>
      <c r="DB19" s="368"/>
      <c r="DC19" s="393">
        <v>8</v>
      </c>
      <c r="DD19" s="394" t="e">
        <f t="shared" si="22"/>
        <v>#VALUE!</v>
      </c>
      <c r="DE19" s="394" t="e">
        <f t="shared" si="23"/>
        <v>#VALUE!</v>
      </c>
      <c r="DF19" s="395" t="e">
        <f t="shared" si="5"/>
        <v>#VALUE!</v>
      </c>
      <c r="DG19"/>
      <c r="DH19" s="75"/>
      <c r="DI19" s="368"/>
      <c r="DJ19" s="393">
        <v>8</v>
      </c>
      <c r="DK19" s="394" t="e">
        <f t="shared" si="24"/>
        <v>#VALUE!</v>
      </c>
      <c r="DL19" s="394" t="e">
        <f t="shared" si="25"/>
        <v>#VALUE!</v>
      </c>
      <c r="DM19" s="395" t="e">
        <f t="shared" si="6"/>
        <v>#VALUE!</v>
      </c>
      <c r="DN19"/>
      <c r="DO19" s="75"/>
    </row>
    <row r="20" spans="1:119" ht="15.75" customHeight="1" x14ac:dyDescent="0.25">
      <c r="A20" s="247" t="s">
        <v>186</v>
      </c>
      <c r="B20" s="316">
        <f>+B15*B19</f>
        <v>0</v>
      </c>
      <c r="C20" s="408"/>
      <c r="D20" s="316">
        <f>+D15*D19</f>
        <v>0</v>
      </c>
      <c r="E20" s="408"/>
      <c r="F20" s="316">
        <f>+F15*F19</f>
        <v>0</v>
      </c>
      <c r="G20" s="408"/>
      <c r="H20" s="316">
        <f>+H15*H19</f>
        <v>0</v>
      </c>
      <c r="I20" s="408"/>
      <c r="J20" s="316">
        <f>+J15*J19</f>
        <v>0</v>
      </c>
      <c r="K20" s="408"/>
      <c r="L20" s="316">
        <f>+L15*L19</f>
        <v>0</v>
      </c>
      <c r="M20" s="408"/>
      <c r="N20" s="316">
        <f>+N15*N19</f>
        <v>0</v>
      </c>
      <c r="O20" s="408"/>
      <c r="P20" s="316">
        <f>+P15*P19</f>
        <v>0</v>
      </c>
      <c r="Q20" s="408"/>
      <c r="R20" s="316">
        <f>+R15*R19</f>
        <v>0</v>
      </c>
      <c r="S20" s="408"/>
      <c r="T20" s="316">
        <f>+T15*T19</f>
        <v>0</v>
      </c>
      <c r="U20" s="408"/>
      <c r="AX20" s="368">
        <f t="shared" si="7"/>
        <v>8</v>
      </c>
      <c r="AY20" s="393">
        <v>9</v>
      </c>
      <c r="AZ20" s="394" t="e">
        <f t="shared" si="8"/>
        <v>#VALUE!</v>
      </c>
      <c r="BA20" s="394" t="e">
        <f t="shared" si="9"/>
        <v>#VALUE!</v>
      </c>
      <c r="BB20" s="395" t="e">
        <f t="shared" si="0"/>
        <v>#VALUE!</v>
      </c>
      <c r="BC20"/>
      <c r="BD20" s="75"/>
      <c r="BE20" s="96"/>
      <c r="BF20" s="393">
        <v>9</v>
      </c>
      <c r="BG20" s="394" t="e">
        <f t="shared" si="29"/>
        <v>#VALUE!</v>
      </c>
      <c r="BH20" s="400" t="e">
        <f t="shared" si="26"/>
        <v>#VALUE!</v>
      </c>
      <c r="BI20" s="395" t="e">
        <f t="shared" si="30"/>
        <v>#VALUE!</v>
      </c>
      <c r="BJ20"/>
      <c r="BK20" s="75"/>
      <c r="BL20" s="368"/>
      <c r="BM20" s="393">
        <v>9</v>
      </c>
      <c r="BN20" s="394" t="e">
        <f t="shared" si="27"/>
        <v>#VALUE!</v>
      </c>
      <c r="BO20" s="394" t="e">
        <f t="shared" si="28"/>
        <v>#VALUE!</v>
      </c>
      <c r="BP20" s="395" t="e">
        <f t="shared" si="10"/>
        <v>#VALUE!</v>
      </c>
      <c r="BQ20"/>
      <c r="BR20" s="75"/>
      <c r="BS20" s="368"/>
      <c r="BT20" s="393">
        <v>9</v>
      </c>
      <c r="BU20" s="394" t="e">
        <f t="shared" si="11"/>
        <v>#VALUE!</v>
      </c>
      <c r="BV20" s="394" t="e">
        <f t="shared" si="12"/>
        <v>#VALUE!</v>
      </c>
      <c r="BW20" s="395" t="e">
        <f t="shared" si="13"/>
        <v>#VALUE!</v>
      </c>
      <c r="BX20"/>
      <c r="BY20" s="75"/>
      <c r="BZ20" s="368"/>
      <c r="CA20" s="393">
        <v>9</v>
      </c>
      <c r="CB20" s="394" t="e">
        <f t="shared" si="14"/>
        <v>#VALUE!</v>
      </c>
      <c r="CC20" s="394" t="e">
        <f t="shared" si="15"/>
        <v>#VALUE!</v>
      </c>
      <c r="CD20" s="395" t="e">
        <f t="shared" si="1"/>
        <v>#VALUE!</v>
      </c>
      <c r="CE20"/>
      <c r="CF20" s="75"/>
      <c r="CG20" s="368"/>
      <c r="CH20" s="393">
        <v>9</v>
      </c>
      <c r="CI20" s="394" t="e">
        <f t="shared" si="16"/>
        <v>#VALUE!</v>
      </c>
      <c r="CJ20" s="394" t="e">
        <f t="shared" si="17"/>
        <v>#VALUE!</v>
      </c>
      <c r="CK20" s="395" t="e">
        <f t="shared" si="2"/>
        <v>#VALUE!</v>
      </c>
      <c r="CL20"/>
      <c r="CM20" s="75"/>
      <c r="CN20" s="368"/>
      <c r="CO20" s="393">
        <v>9</v>
      </c>
      <c r="CP20" s="394" t="e">
        <f t="shared" si="18"/>
        <v>#VALUE!</v>
      </c>
      <c r="CQ20" s="394" t="e">
        <f t="shared" si="19"/>
        <v>#VALUE!</v>
      </c>
      <c r="CR20" s="395" t="e">
        <f t="shared" si="3"/>
        <v>#VALUE!</v>
      </c>
      <c r="CS20"/>
      <c r="CT20" s="75"/>
      <c r="CU20" s="368"/>
      <c r="CV20" s="393">
        <v>9</v>
      </c>
      <c r="CW20" s="394" t="e">
        <f t="shared" si="20"/>
        <v>#VALUE!</v>
      </c>
      <c r="CX20" s="394" t="e">
        <f t="shared" si="21"/>
        <v>#VALUE!</v>
      </c>
      <c r="CY20" s="395" t="e">
        <f t="shared" si="4"/>
        <v>#VALUE!</v>
      </c>
      <c r="CZ20"/>
      <c r="DA20" s="75"/>
      <c r="DB20" s="368"/>
      <c r="DC20" s="393">
        <v>9</v>
      </c>
      <c r="DD20" s="394" t="e">
        <f t="shared" si="22"/>
        <v>#VALUE!</v>
      </c>
      <c r="DE20" s="394" t="e">
        <f t="shared" si="23"/>
        <v>#VALUE!</v>
      </c>
      <c r="DF20" s="395" t="e">
        <f t="shared" si="5"/>
        <v>#VALUE!</v>
      </c>
      <c r="DG20"/>
      <c r="DH20" s="75"/>
      <c r="DI20" s="368"/>
      <c r="DJ20" s="393">
        <v>9</v>
      </c>
      <c r="DK20" s="394" t="e">
        <f t="shared" si="24"/>
        <v>#VALUE!</v>
      </c>
      <c r="DL20" s="394" t="e">
        <f t="shared" si="25"/>
        <v>#VALUE!</v>
      </c>
      <c r="DM20" s="395" t="e">
        <f t="shared" si="6"/>
        <v>#VALUE!</v>
      </c>
      <c r="DN20"/>
      <c r="DO20" s="75"/>
    </row>
    <row r="21" spans="1:119" ht="15.75" customHeight="1" x14ac:dyDescent="0.35">
      <c r="A21" s="315" t="s">
        <v>339</v>
      </c>
      <c r="B21" s="21"/>
      <c r="C21" s="409">
        <f>+methane_correction_factor_anaerobic_managed_landfills</f>
        <v>1</v>
      </c>
      <c r="D21" s="21"/>
      <c r="E21" s="409">
        <f>+methane_correction_factor_anaerobic_managed_landfills</f>
        <v>1</v>
      </c>
      <c r="F21" s="21"/>
      <c r="G21" s="409">
        <f>+methane_correction_factor_anaerobic_managed_landfills</f>
        <v>1</v>
      </c>
      <c r="H21" s="21"/>
      <c r="I21" s="409">
        <f>+methane_correction_factor_anaerobic_managed_landfills</f>
        <v>1</v>
      </c>
      <c r="J21" s="21"/>
      <c r="K21" s="409">
        <f>+methane_correction_factor_anaerobic_managed_landfills</f>
        <v>1</v>
      </c>
      <c r="L21" s="21"/>
      <c r="M21" s="409">
        <f>+methane_correction_factor_anaerobic_managed_landfills</f>
        <v>1</v>
      </c>
      <c r="N21" s="21"/>
      <c r="O21" s="409">
        <f>+methane_correction_factor_anaerobic_managed_landfills</f>
        <v>1</v>
      </c>
      <c r="P21" s="21"/>
      <c r="Q21" s="409">
        <f>+methane_correction_factor_anaerobic_managed_landfills</f>
        <v>1</v>
      </c>
      <c r="R21" s="21"/>
      <c r="S21" s="409">
        <f>+methane_correction_factor_anaerobic_managed_landfills</f>
        <v>1</v>
      </c>
      <c r="T21" s="21"/>
      <c r="U21" s="409">
        <f>+methane_correction_factor_anaerobic_managed_landfills</f>
        <v>1</v>
      </c>
      <c r="AX21" s="368">
        <f t="shared" si="7"/>
        <v>9</v>
      </c>
      <c r="AY21" s="393">
        <v>10</v>
      </c>
      <c r="AZ21" s="394" t="e">
        <f t="shared" si="8"/>
        <v>#VALUE!</v>
      </c>
      <c r="BA21" s="394" t="e">
        <f t="shared" si="9"/>
        <v>#VALUE!</v>
      </c>
      <c r="BB21" s="395" t="e">
        <f t="shared" si="0"/>
        <v>#VALUE!</v>
      </c>
      <c r="BC21"/>
      <c r="BD21" s="75"/>
      <c r="BE21" s="96"/>
      <c r="BF21" s="393">
        <v>10</v>
      </c>
      <c r="BG21" s="394" t="e">
        <f t="shared" si="29"/>
        <v>#VALUE!</v>
      </c>
      <c r="BH21" s="400" t="e">
        <f t="shared" si="26"/>
        <v>#VALUE!</v>
      </c>
      <c r="BI21" s="395" t="e">
        <f t="shared" si="30"/>
        <v>#VALUE!</v>
      </c>
      <c r="BJ21"/>
      <c r="BK21" s="75"/>
      <c r="BL21" s="368"/>
      <c r="BM21" s="393">
        <v>10</v>
      </c>
      <c r="BN21" s="394" t="e">
        <f t="shared" si="27"/>
        <v>#VALUE!</v>
      </c>
      <c r="BO21" s="394" t="e">
        <f t="shared" si="28"/>
        <v>#VALUE!</v>
      </c>
      <c r="BP21" s="395" t="e">
        <f t="shared" si="10"/>
        <v>#VALUE!</v>
      </c>
      <c r="BQ21"/>
      <c r="BR21" s="75"/>
      <c r="BS21" s="368"/>
      <c r="BT21" s="393">
        <v>10</v>
      </c>
      <c r="BU21" s="394" t="e">
        <f t="shared" si="11"/>
        <v>#VALUE!</v>
      </c>
      <c r="BV21" s="394" t="e">
        <f t="shared" si="12"/>
        <v>#VALUE!</v>
      </c>
      <c r="BW21" s="395" t="e">
        <f t="shared" si="13"/>
        <v>#VALUE!</v>
      </c>
      <c r="BX21"/>
      <c r="BY21" s="75"/>
      <c r="BZ21" s="368"/>
      <c r="CA21" s="393">
        <v>10</v>
      </c>
      <c r="CB21" s="394" t="e">
        <f t="shared" si="14"/>
        <v>#VALUE!</v>
      </c>
      <c r="CC21" s="394" t="e">
        <f t="shared" si="15"/>
        <v>#VALUE!</v>
      </c>
      <c r="CD21" s="395" t="e">
        <f t="shared" si="1"/>
        <v>#VALUE!</v>
      </c>
      <c r="CE21"/>
      <c r="CF21" s="75"/>
      <c r="CG21" s="368"/>
      <c r="CH21" s="393">
        <v>10</v>
      </c>
      <c r="CI21" s="394" t="e">
        <f t="shared" si="16"/>
        <v>#VALUE!</v>
      </c>
      <c r="CJ21" s="394" t="e">
        <f t="shared" si="17"/>
        <v>#VALUE!</v>
      </c>
      <c r="CK21" s="395" t="e">
        <f t="shared" si="2"/>
        <v>#VALUE!</v>
      </c>
      <c r="CL21"/>
      <c r="CM21" s="75"/>
      <c r="CN21" s="368"/>
      <c r="CO21" s="393">
        <v>10</v>
      </c>
      <c r="CP21" s="394" t="e">
        <f t="shared" si="18"/>
        <v>#VALUE!</v>
      </c>
      <c r="CQ21" s="394" t="e">
        <f t="shared" si="19"/>
        <v>#VALUE!</v>
      </c>
      <c r="CR21" s="395" t="e">
        <f t="shared" si="3"/>
        <v>#VALUE!</v>
      </c>
      <c r="CS21"/>
      <c r="CT21" s="75"/>
      <c r="CU21" s="368"/>
      <c r="CV21" s="393">
        <v>10</v>
      </c>
      <c r="CW21" s="394" t="e">
        <f t="shared" si="20"/>
        <v>#VALUE!</v>
      </c>
      <c r="CX21" s="394" t="e">
        <f t="shared" si="21"/>
        <v>#VALUE!</v>
      </c>
      <c r="CY21" s="395" t="e">
        <f t="shared" si="4"/>
        <v>#VALUE!</v>
      </c>
      <c r="CZ21"/>
      <c r="DA21" s="75"/>
      <c r="DB21" s="368"/>
      <c r="DC21" s="393">
        <v>10</v>
      </c>
      <c r="DD21" s="394" t="e">
        <f t="shared" si="22"/>
        <v>#VALUE!</v>
      </c>
      <c r="DE21" s="394" t="e">
        <f t="shared" si="23"/>
        <v>#VALUE!</v>
      </c>
      <c r="DF21" s="395" t="e">
        <f t="shared" si="5"/>
        <v>#VALUE!</v>
      </c>
      <c r="DG21"/>
      <c r="DH21" s="75"/>
      <c r="DI21" s="368"/>
      <c r="DJ21" s="393">
        <v>10</v>
      </c>
      <c r="DK21" s="394" t="e">
        <f t="shared" si="24"/>
        <v>#VALUE!</v>
      </c>
      <c r="DL21" s="394" t="e">
        <f t="shared" si="25"/>
        <v>#VALUE!</v>
      </c>
      <c r="DM21" s="395" t="e">
        <f t="shared" si="6"/>
        <v>#VALUE!</v>
      </c>
      <c r="DN21"/>
      <c r="DO21" s="75"/>
    </row>
    <row r="22" spans="1:119" x14ac:dyDescent="0.25">
      <c r="A22" s="247" t="s">
        <v>123</v>
      </c>
      <c r="B22" s="13"/>
      <c r="C22" s="411" t="s">
        <v>67</v>
      </c>
      <c r="D22" s="13"/>
      <c r="E22" s="411" t="s">
        <v>67</v>
      </c>
      <c r="F22" s="13"/>
      <c r="G22" s="411" t="s">
        <v>67</v>
      </c>
      <c r="H22" s="13"/>
      <c r="I22" s="411" t="s">
        <v>67</v>
      </c>
      <c r="J22" s="13"/>
      <c r="K22" s="411" t="s">
        <v>67</v>
      </c>
      <c r="L22" s="13"/>
      <c r="M22" s="411" t="s">
        <v>67</v>
      </c>
      <c r="N22" s="13"/>
      <c r="O22" s="411" t="s">
        <v>67</v>
      </c>
      <c r="P22" s="13"/>
      <c r="Q22" s="411" t="s">
        <v>67</v>
      </c>
      <c r="R22" s="13"/>
      <c r="S22" s="411" t="s">
        <v>67</v>
      </c>
      <c r="T22" s="13"/>
      <c r="U22" s="411" t="s">
        <v>67</v>
      </c>
      <c r="AX22" s="368">
        <f t="shared" si="7"/>
        <v>10</v>
      </c>
      <c r="AY22" s="393">
        <v>11</v>
      </c>
      <c r="AZ22" s="394" t="e">
        <f t="shared" si="8"/>
        <v>#VALUE!</v>
      </c>
      <c r="BA22" s="394" t="e">
        <f t="shared" si="9"/>
        <v>#VALUE!</v>
      </c>
      <c r="BB22" s="395" t="e">
        <f t="shared" si="0"/>
        <v>#VALUE!</v>
      </c>
      <c r="BC22"/>
      <c r="BD22" s="75"/>
      <c r="BE22" s="403"/>
      <c r="BF22" s="393">
        <v>11</v>
      </c>
      <c r="BG22" s="394" t="e">
        <f t="shared" si="29"/>
        <v>#VALUE!</v>
      </c>
      <c r="BH22" s="400" t="e">
        <f t="shared" si="26"/>
        <v>#VALUE!</v>
      </c>
      <c r="BI22" s="395" t="e">
        <f t="shared" si="30"/>
        <v>#VALUE!</v>
      </c>
      <c r="BJ22"/>
      <c r="BK22" s="75"/>
      <c r="BL22" s="410"/>
      <c r="BM22" s="393">
        <v>11</v>
      </c>
      <c r="BN22" s="394" t="e">
        <f t="shared" si="27"/>
        <v>#VALUE!</v>
      </c>
      <c r="BO22" s="394" t="e">
        <f t="shared" si="28"/>
        <v>#VALUE!</v>
      </c>
      <c r="BP22" s="395" t="e">
        <f t="shared" si="10"/>
        <v>#VALUE!</v>
      </c>
      <c r="BQ22"/>
      <c r="BR22" s="75"/>
      <c r="BS22" s="410"/>
      <c r="BT22" s="393">
        <v>11</v>
      </c>
      <c r="BU22" s="394" t="e">
        <f t="shared" si="11"/>
        <v>#VALUE!</v>
      </c>
      <c r="BV22" s="394" t="e">
        <f t="shared" si="12"/>
        <v>#VALUE!</v>
      </c>
      <c r="BW22" s="395" t="e">
        <f t="shared" si="13"/>
        <v>#VALUE!</v>
      </c>
      <c r="BX22"/>
      <c r="BY22" s="75"/>
      <c r="BZ22" s="410"/>
      <c r="CA22" s="393">
        <v>11</v>
      </c>
      <c r="CB22" s="394" t="e">
        <f t="shared" si="14"/>
        <v>#VALUE!</v>
      </c>
      <c r="CC22" s="394" t="e">
        <f t="shared" si="15"/>
        <v>#VALUE!</v>
      </c>
      <c r="CD22" s="395" t="e">
        <f t="shared" si="1"/>
        <v>#VALUE!</v>
      </c>
      <c r="CE22"/>
      <c r="CF22" s="75"/>
      <c r="CG22" s="410"/>
      <c r="CH22" s="393">
        <v>11</v>
      </c>
      <c r="CI22" s="394" t="e">
        <f t="shared" si="16"/>
        <v>#VALUE!</v>
      </c>
      <c r="CJ22" s="394" t="e">
        <f t="shared" si="17"/>
        <v>#VALUE!</v>
      </c>
      <c r="CK22" s="395" t="e">
        <f t="shared" si="2"/>
        <v>#VALUE!</v>
      </c>
      <c r="CL22"/>
      <c r="CM22" s="75"/>
      <c r="CN22" s="410"/>
      <c r="CO22" s="393">
        <v>11</v>
      </c>
      <c r="CP22" s="394" t="e">
        <f t="shared" si="18"/>
        <v>#VALUE!</v>
      </c>
      <c r="CQ22" s="394" t="e">
        <f t="shared" si="19"/>
        <v>#VALUE!</v>
      </c>
      <c r="CR22" s="395" t="e">
        <f t="shared" si="3"/>
        <v>#VALUE!</v>
      </c>
      <c r="CS22"/>
      <c r="CT22" s="75"/>
      <c r="CU22" s="410"/>
      <c r="CV22" s="393">
        <v>11</v>
      </c>
      <c r="CW22" s="394" t="e">
        <f t="shared" si="20"/>
        <v>#VALUE!</v>
      </c>
      <c r="CX22" s="394" t="e">
        <f t="shared" si="21"/>
        <v>#VALUE!</v>
      </c>
      <c r="CY22" s="395" t="e">
        <f t="shared" si="4"/>
        <v>#VALUE!</v>
      </c>
      <c r="CZ22"/>
      <c r="DA22" s="75"/>
      <c r="DB22" s="410"/>
      <c r="DC22" s="393">
        <v>11</v>
      </c>
      <c r="DD22" s="394" t="e">
        <f t="shared" si="22"/>
        <v>#VALUE!</v>
      </c>
      <c r="DE22" s="394" t="e">
        <f t="shared" si="23"/>
        <v>#VALUE!</v>
      </c>
      <c r="DF22" s="395" t="e">
        <f t="shared" si="5"/>
        <v>#VALUE!</v>
      </c>
      <c r="DG22"/>
      <c r="DH22" s="75"/>
      <c r="DI22" s="410"/>
      <c r="DJ22" s="393">
        <v>11</v>
      </c>
      <c r="DK22" s="394" t="e">
        <f t="shared" si="24"/>
        <v>#VALUE!</v>
      </c>
      <c r="DL22" s="394" t="e">
        <f t="shared" si="25"/>
        <v>#VALUE!</v>
      </c>
      <c r="DM22" s="395" t="e">
        <f t="shared" si="6"/>
        <v>#VALUE!</v>
      </c>
      <c r="DN22"/>
      <c r="DO22" s="75"/>
    </row>
    <row r="23" spans="1:119" ht="15.75" customHeight="1" x14ac:dyDescent="0.25">
      <c r="A23" s="306" t="s">
        <v>124</v>
      </c>
      <c r="B23" s="317">
        <f>+IF(B22='References Assumptions'!$C$336,0,IF(B22='References Assumptions'!$C$337,OX_of_methane_from_lowqual_soil_cover,OX_of_methane_from_hiqual_soil_cover))</f>
        <v>0.25</v>
      </c>
      <c r="C23" s="408"/>
      <c r="D23" s="317">
        <f>+IF(D22='References Assumptions'!$C$336,0,IF(D22='References Assumptions'!$C$337,OX_of_methane_from_lowqual_soil_cover,OX_of_methane_from_hiqual_soil_cover))</f>
        <v>0.25</v>
      </c>
      <c r="E23" s="408"/>
      <c r="F23" s="317">
        <f>+IF(F22='References Assumptions'!$C$336,0,IF(F22='References Assumptions'!$C$337,OX_of_methane_from_lowqual_soil_cover,OX_of_methane_from_hiqual_soil_cover))</f>
        <v>0.25</v>
      </c>
      <c r="G23" s="408"/>
      <c r="H23" s="317">
        <f>+IF(H22='References Assumptions'!$C$336,0,IF(H22='References Assumptions'!$C$337,OX_of_methane_from_lowqual_soil_cover,OX_of_methane_from_hiqual_soil_cover))</f>
        <v>0.25</v>
      </c>
      <c r="I23" s="408"/>
      <c r="J23" s="317">
        <f>+IF(J22='References Assumptions'!$C$336,0,IF(J22='References Assumptions'!$C$337,OX_of_methane_from_lowqual_soil_cover,OX_of_methane_from_hiqual_soil_cover))</f>
        <v>0.25</v>
      </c>
      <c r="K23" s="408"/>
      <c r="L23" s="317">
        <f>+IF(L22='References Assumptions'!$C$336,0,IF(L22='References Assumptions'!$C$337,OX_of_methane_from_lowqual_soil_cover,OX_of_methane_from_hiqual_soil_cover))</f>
        <v>0.25</v>
      </c>
      <c r="M23" s="408"/>
      <c r="N23" s="317">
        <f>+IF(N22='References Assumptions'!$C$336,0,IF(N22='References Assumptions'!$C$337,OX_of_methane_from_lowqual_soil_cover,OX_of_methane_from_hiqual_soil_cover))</f>
        <v>0.25</v>
      </c>
      <c r="O23" s="408"/>
      <c r="P23" s="317">
        <f>+IF(P22='References Assumptions'!$C$336,0,IF(P22='References Assumptions'!$C$337,OX_of_methane_from_lowqual_soil_cover,OX_of_methane_from_hiqual_soil_cover))</f>
        <v>0.25</v>
      </c>
      <c r="Q23" s="408"/>
      <c r="R23" s="317">
        <f>+IF(R22='References Assumptions'!$C$336,0,IF(R22='References Assumptions'!$C$337,OX_of_methane_from_lowqual_soil_cover,OX_of_methane_from_hiqual_soil_cover))</f>
        <v>0.25</v>
      </c>
      <c r="S23" s="408"/>
      <c r="T23" s="317">
        <f>+IF(T22='References Assumptions'!$C$336,0,IF(T22='References Assumptions'!$C$337,OX_of_methane_from_lowqual_soil_cover,OX_of_methane_from_hiqual_soil_cover))</f>
        <v>0.25</v>
      </c>
      <c r="U23" s="408"/>
      <c r="AX23" s="368">
        <f t="shared" si="7"/>
        <v>11</v>
      </c>
      <c r="AY23" s="393">
        <v>12</v>
      </c>
      <c r="AZ23" s="394" t="e">
        <f t="shared" si="8"/>
        <v>#VALUE!</v>
      </c>
      <c r="BA23" s="394" t="e">
        <f t="shared" si="9"/>
        <v>#VALUE!</v>
      </c>
      <c r="BB23" s="395" t="e">
        <f t="shared" si="0"/>
        <v>#VALUE!</v>
      </c>
      <c r="BC23"/>
      <c r="BD23" s="75"/>
      <c r="BE23" s="403"/>
      <c r="BF23" s="393">
        <v>12</v>
      </c>
      <c r="BG23" s="394" t="e">
        <f t="shared" si="29"/>
        <v>#VALUE!</v>
      </c>
      <c r="BH23" s="400" t="e">
        <f t="shared" si="26"/>
        <v>#VALUE!</v>
      </c>
      <c r="BI23" s="395" t="e">
        <f t="shared" si="30"/>
        <v>#VALUE!</v>
      </c>
      <c r="BJ23"/>
      <c r="BK23" s="75"/>
      <c r="BL23" s="410"/>
      <c r="BM23" s="393">
        <v>12</v>
      </c>
      <c r="BN23" s="394" t="e">
        <f t="shared" si="27"/>
        <v>#VALUE!</v>
      </c>
      <c r="BO23" s="394" t="e">
        <f t="shared" si="28"/>
        <v>#VALUE!</v>
      </c>
      <c r="BP23" s="395" t="e">
        <f t="shared" si="10"/>
        <v>#VALUE!</v>
      </c>
      <c r="BQ23"/>
      <c r="BR23" s="75"/>
      <c r="BS23" s="410"/>
      <c r="BT23" s="393">
        <v>12</v>
      </c>
      <c r="BU23" s="394" t="e">
        <f t="shared" si="11"/>
        <v>#VALUE!</v>
      </c>
      <c r="BV23" s="394" t="e">
        <f t="shared" si="12"/>
        <v>#VALUE!</v>
      </c>
      <c r="BW23" s="395" t="e">
        <f t="shared" si="13"/>
        <v>#VALUE!</v>
      </c>
      <c r="BX23"/>
      <c r="BY23" s="75"/>
      <c r="BZ23" s="410"/>
      <c r="CA23" s="393">
        <v>12</v>
      </c>
      <c r="CB23" s="394" t="e">
        <f t="shared" si="14"/>
        <v>#VALUE!</v>
      </c>
      <c r="CC23" s="394" t="e">
        <f t="shared" si="15"/>
        <v>#VALUE!</v>
      </c>
      <c r="CD23" s="395" t="e">
        <f t="shared" si="1"/>
        <v>#VALUE!</v>
      </c>
      <c r="CE23"/>
      <c r="CF23" s="75"/>
      <c r="CG23" s="410"/>
      <c r="CH23" s="393">
        <v>12</v>
      </c>
      <c r="CI23" s="394" t="e">
        <f t="shared" si="16"/>
        <v>#VALUE!</v>
      </c>
      <c r="CJ23" s="394" t="e">
        <f t="shared" si="17"/>
        <v>#VALUE!</v>
      </c>
      <c r="CK23" s="395" t="e">
        <f t="shared" si="2"/>
        <v>#VALUE!</v>
      </c>
      <c r="CL23"/>
      <c r="CM23" s="75"/>
      <c r="CN23" s="410"/>
      <c r="CO23" s="393">
        <v>12</v>
      </c>
      <c r="CP23" s="394" t="e">
        <f t="shared" si="18"/>
        <v>#VALUE!</v>
      </c>
      <c r="CQ23" s="394" t="e">
        <f t="shared" si="19"/>
        <v>#VALUE!</v>
      </c>
      <c r="CR23" s="395" t="e">
        <f t="shared" si="3"/>
        <v>#VALUE!</v>
      </c>
      <c r="CS23"/>
      <c r="CT23" s="75"/>
      <c r="CU23" s="410"/>
      <c r="CV23" s="393">
        <v>12</v>
      </c>
      <c r="CW23" s="394" t="e">
        <f t="shared" si="20"/>
        <v>#VALUE!</v>
      </c>
      <c r="CX23" s="394" t="e">
        <f t="shared" si="21"/>
        <v>#VALUE!</v>
      </c>
      <c r="CY23" s="395" t="e">
        <f t="shared" si="4"/>
        <v>#VALUE!</v>
      </c>
      <c r="CZ23"/>
      <c r="DA23" s="75"/>
      <c r="DB23" s="410"/>
      <c r="DC23" s="393">
        <v>12</v>
      </c>
      <c r="DD23" s="394" t="e">
        <f t="shared" si="22"/>
        <v>#VALUE!</v>
      </c>
      <c r="DE23" s="394" t="e">
        <f t="shared" si="23"/>
        <v>#VALUE!</v>
      </c>
      <c r="DF23" s="395" t="e">
        <f t="shared" si="5"/>
        <v>#VALUE!</v>
      </c>
      <c r="DG23"/>
      <c r="DH23" s="75"/>
      <c r="DI23" s="410"/>
      <c r="DJ23" s="393">
        <v>12</v>
      </c>
      <c r="DK23" s="394" t="e">
        <f t="shared" si="24"/>
        <v>#VALUE!</v>
      </c>
      <c r="DL23" s="394" t="e">
        <f t="shared" si="25"/>
        <v>#VALUE!</v>
      </c>
      <c r="DM23" s="395" t="e">
        <f t="shared" si="6"/>
        <v>#VALUE!</v>
      </c>
      <c r="DN23"/>
      <c r="DO23" s="75"/>
    </row>
    <row r="24" spans="1:119" ht="15.75" customHeight="1" x14ac:dyDescent="0.25">
      <c r="A24" s="247" t="s">
        <v>430</v>
      </c>
      <c r="B24" s="317">
        <f>+$AS$14</f>
        <v>0.9</v>
      </c>
      <c r="C24" s="408"/>
      <c r="D24" s="317">
        <f>+$AS$14</f>
        <v>0.9</v>
      </c>
      <c r="E24" s="408"/>
      <c r="F24" s="317">
        <f>+$AS$14</f>
        <v>0.9</v>
      </c>
      <c r="G24" s="408"/>
      <c r="H24" s="317">
        <f>+$AS$14</f>
        <v>0.9</v>
      </c>
      <c r="I24" s="408"/>
      <c r="J24" s="317">
        <f>+$AS$14</f>
        <v>0.9</v>
      </c>
      <c r="K24" s="408"/>
      <c r="L24" s="317">
        <f>+$AS$14</f>
        <v>0.9</v>
      </c>
      <c r="M24" s="408"/>
      <c r="N24" s="317">
        <f>+$AS$14</f>
        <v>0.9</v>
      </c>
      <c r="O24" s="408"/>
      <c r="P24" s="317">
        <f>+$AS$14</f>
        <v>0.9</v>
      </c>
      <c r="Q24" s="408"/>
      <c r="R24" s="317">
        <f>+$AS$14</f>
        <v>0.9</v>
      </c>
      <c r="S24" s="408"/>
      <c r="T24" s="317">
        <f>+$AS$14</f>
        <v>0.9</v>
      </c>
      <c r="U24" s="408"/>
      <c r="AX24" s="368">
        <f t="shared" si="7"/>
        <v>12</v>
      </c>
      <c r="AY24" s="393">
        <v>13</v>
      </c>
      <c r="AZ24" s="394" t="e">
        <f t="shared" si="8"/>
        <v>#VALUE!</v>
      </c>
      <c r="BA24" s="394" t="e">
        <f t="shared" si="9"/>
        <v>#VALUE!</v>
      </c>
      <c r="BB24" s="395" t="e">
        <f t="shared" si="0"/>
        <v>#VALUE!</v>
      </c>
      <c r="BC24"/>
      <c r="BD24" s="75"/>
      <c r="BE24" s="403"/>
      <c r="BF24" s="393">
        <v>13</v>
      </c>
      <c r="BG24" s="394" t="e">
        <f t="shared" si="29"/>
        <v>#VALUE!</v>
      </c>
      <c r="BH24" s="400" t="e">
        <f t="shared" si="26"/>
        <v>#VALUE!</v>
      </c>
      <c r="BI24" s="395" t="e">
        <f t="shared" si="30"/>
        <v>#VALUE!</v>
      </c>
      <c r="BJ24"/>
      <c r="BK24" s="75"/>
      <c r="BL24" s="410"/>
      <c r="BM24" s="393">
        <v>13</v>
      </c>
      <c r="BN24" s="394" t="e">
        <f t="shared" si="27"/>
        <v>#VALUE!</v>
      </c>
      <c r="BO24" s="394" t="e">
        <f t="shared" si="28"/>
        <v>#VALUE!</v>
      </c>
      <c r="BP24" s="395" t="e">
        <f t="shared" si="10"/>
        <v>#VALUE!</v>
      </c>
      <c r="BQ24"/>
      <c r="BR24" s="75"/>
      <c r="BS24" s="410"/>
      <c r="BT24" s="393">
        <v>13</v>
      </c>
      <c r="BU24" s="394" t="e">
        <f t="shared" si="11"/>
        <v>#VALUE!</v>
      </c>
      <c r="BV24" s="394" t="e">
        <f t="shared" si="12"/>
        <v>#VALUE!</v>
      </c>
      <c r="BW24" s="395" t="e">
        <f t="shared" si="13"/>
        <v>#VALUE!</v>
      </c>
      <c r="BX24"/>
      <c r="BY24" s="75"/>
      <c r="BZ24" s="410"/>
      <c r="CA24" s="393">
        <v>13</v>
      </c>
      <c r="CB24" s="394" t="e">
        <f t="shared" si="14"/>
        <v>#VALUE!</v>
      </c>
      <c r="CC24" s="394" t="e">
        <f t="shared" si="15"/>
        <v>#VALUE!</v>
      </c>
      <c r="CD24" s="395" t="e">
        <f t="shared" si="1"/>
        <v>#VALUE!</v>
      </c>
      <c r="CE24"/>
      <c r="CF24" s="75"/>
      <c r="CG24" s="410"/>
      <c r="CH24" s="393">
        <v>13</v>
      </c>
      <c r="CI24" s="394" t="e">
        <f t="shared" si="16"/>
        <v>#VALUE!</v>
      </c>
      <c r="CJ24" s="394" t="e">
        <f t="shared" si="17"/>
        <v>#VALUE!</v>
      </c>
      <c r="CK24" s="395" t="e">
        <f t="shared" si="2"/>
        <v>#VALUE!</v>
      </c>
      <c r="CL24"/>
      <c r="CM24" s="75"/>
      <c r="CN24" s="410"/>
      <c r="CO24" s="393">
        <v>13</v>
      </c>
      <c r="CP24" s="394" t="e">
        <f t="shared" si="18"/>
        <v>#VALUE!</v>
      </c>
      <c r="CQ24" s="394" t="e">
        <f t="shared" si="19"/>
        <v>#VALUE!</v>
      </c>
      <c r="CR24" s="395" t="e">
        <f t="shared" si="3"/>
        <v>#VALUE!</v>
      </c>
      <c r="CS24"/>
      <c r="CT24" s="75"/>
      <c r="CU24" s="410"/>
      <c r="CV24" s="393">
        <v>13</v>
      </c>
      <c r="CW24" s="394" t="e">
        <f t="shared" si="20"/>
        <v>#VALUE!</v>
      </c>
      <c r="CX24" s="394" t="e">
        <f t="shared" si="21"/>
        <v>#VALUE!</v>
      </c>
      <c r="CY24" s="395" t="e">
        <f t="shared" si="4"/>
        <v>#VALUE!</v>
      </c>
      <c r="CZ24"/>
      <c r="DA24" s="75"/>
      <c r="DB24" s="410"/>
      <c r="DC24" s="393">
        <v>13</v>
      </c>
      <c r="DD24" s="394" t="e">
        <f t="shared" si="22"/>
        <v>#VALUE!</v>
      </c>
      <c r="DE24" s="394" t="e">
        <f t="shared" si="23"/>
        <v>#VALUE!</v>
      </c>
      <c r="DF24" s="395" t="e">
        <f t="shared" si="5"/>
        <v>#VALUE!</v>
      </c>
      <c r="DG24"/>
      <c r="DH24" s="75"/>
      <c r="DI24" s="410"/>
      <c r="DJ24" s="393">
        <v>13</v>
      </c>
      <c r="DK24" s="394" t="e">
        <f t="shared" si="24"/>
        <v>#VALUE!</v>
      </c>
      <c r="DL24" s="394" t="e">
        <f t="shared" si="25"/>
        <v>#VALUE!</v>
      </c>
      <c r="DM24" s="395" t="e">
        <f t="shared" si="6"/>
        <v>#VALUE!</v>
      </c>
      <c r="DN24"/>
      <c r="DO24" s="75"/>
    </row>
    <row r="25" spans="1:119" ht="15.75" customHeight="1" x14ac:dyDescent="0.25">
      <c r="A25" s="247" t="s">
        <v>257</v>
      </c>
      <c r="B25" s="12"/>
      <c r="C25" s="412">
        <v>1</v>
      </c>
      <c r="D25" s="12"/>
      <c r="E25" s="412">
        <v>1</v>
      </c>
      <c r="F25" s="12"/>
      <c r="G25" s="412">
        <v>1</v>
      </c>
      <c r="H25" s="12"/>
      <c r="I25" s="412">
        <v>1</v>
      </c>
      <c r="J25" s="12"/>
      <c r="K25" s="412">
        <v>1</v>
      </c>
      <c r="L25" s="12"/>
      <c r="M25" s="412">
        <v>1</v>
      </c>
      <c r="N25" s="12"/>
      <c r="O25" s="412">
        <v>1</v>
      </c>
      <c r="P25" s="12"/>
      <c r="Q25" s="412">
        <v>1</v>
      </c>
      <c r="R25" s="12"/>
      <c r="S25" s="412">
        <v>1</v>
      </c>
      <c r="T25" s="12"/>
      <c r="U25" s="412">
        <v>1</v>
      </c>
      <c r="AX25" s="368">
        <f t="shared" si="7"/>
        <v>13</v>
      </c>
      <c r="AY25" s="393">
        <v>14</v>
      </c>
      <c r="AZ25" s="394" t="e">
        <f t="shared" si="8"/>
        <v>#VALUE!</v>
      </c>
      <c r="BA25" s="394" t="e">
        <f t="shared" si="9"/>
        <v>#VALUE!</v>
      </c>
      <c r="BB25" s="395" t="e">
        <f t="shared" si="0"/>
        <v>#VALUE!</v>
      </c>
      <c r="BC25"/>
      <c r="BD25" s="75"/>
      <c r="BE25" s="403"/>
      <c r="BF25" s="393">
        <v>14</v>
      </c>
      <c r="BG25" s="394" t="e">
        <f t="shared" si="29"/>
        <v>#VALUE!</v>
      </c>
      <c r="BH25" s="400" t="e">
        <f t="shared" si="26"/>
        <v>#VALUE!</v>
      </c>
      <c r="BI25" s="395" t="e">
        <f t="shared" si="30"/>
        <v>#VALUE!</v>
      </c>
      <c r="BJ25"/>
      <c r="BK25" s="75"/>
      <c r="BL25" s="410"/>
      <c r="BM25" s="393">
        <v>14</v>
      </c>
      <c r="BN25" s="394" t="e">
        <f t="shared" si="27"/>
        <v>#VALUE!</v>
      </c>
      <c r="BO25" s="394" t="e">
        <f t="shared" si="28"/>
        <v>#VALUE!</v>
      </c>
      <c r="BP25" s="395" t="e">
        <f t="shared" si="10"/>
        <v>#VALUE!</v>
      </c>
      <c r="BQ25"/>
      <c r="BR25" s="75"/>
      <c r="BS25" s="410"/>
      <c r="BT25" s="393">
        <v>14</v>
      </c>
      <c r="BU25" s="394" t="e">
        <f t="shared" si="11"/>
        <v>#VALUE!</v>
      </c>
      <c r="BV25" s="394" t="e">
        <f t="shared" si="12"/>
        <v>#VALUE!</v>
      </c>
      <c r="BW25" s="395" t="e">
        <f t="shared" si="13"/>
        <v>#VALUE!</v>
      </c>
      <c r="BX25"/>
      <c r="BY25" s="75"/>
      <c r="BZ25" s="410"/>
      <c r="CA25" s="393">
        <v>14</v>
      </c>
      <c r="CB25" s="394" t="e">
        <f t="shared" si="14"/>
        <v>#VALUE!</v>
      </c>
      <c r="CC25" s="394" t="e">
        <f t="shared" si="15"/>
        <v>#VALUE!</v>
      </c>
      <c r="CD25" s="395" t="e">
        <f t="shared" si="1"/>
        <v>#VALUE!</v>
      </c>
      <c r="CE25"/>
      <c r="CF25" s="75"/>
      <c r="CG25" s="410"/>
      <c r="CH25" s="393">
        <v>14</v>
      </c>
      <c r="CI25" s="394" t="e">
        <f t="shared" si="16"/>
        <v>#VALUE!</v>
      </c>
      <c r="CJ25" s="394" t="e">
        <f t="shared" si="17"/>
        <v>#VALUE!</v>
      </c>
      <c r="CK25" s="395" t="e">
        <f t="shared" si="2"/>
        <v>#VALUE!</v>
      </c>
      <c r="CL25"/>
      <c r="CM25" s="75"/>
      <c r="CN25" s="410"/>
      <c r="CO25" s="393">
        <v>14</v>
      </c>
      <c r="CP25" s="394" t="e">
        <f t="shared" si="18"/>
        <v>#VALUE!</v>
      </c>
      <c r="CQ25" s="394" t="e">
        <f t="shared" si="19"/>
        <v>#VALUE!</v>
      </c>
      <c r="CR25" s="395" t="e">
        <f t="shared" si="3"/>
        <v>#VALUE!</v>
      </c>
      <c r="CS25"/>
      <c r="CT25" s="75"/>
      <c r="CU25" s="410"/>
      <c r="CV25" s="393">
        <v>14</v>
      </c>
      <c r="CW25" s="394" t="e">
        <f t="shared" si="20"/>
        <v>#VALUE!</v>
      </c>
      <c r="CX25" s="394" t="e">
        <f t="shared" si="21"/>
        <v>#VALUE!</v>
      </c>
      <c r="CY25" s="395" t="e">
        <f t="shared" si="4"/>
        <v>#VALUE!</v>
      </c>
      <c r="CZ25"/>
      <c r="DA25" s="75"/>
      <c r="DB25" s="410"/>
      <c r="DC25" s="393">
        <v>14</v>
      </c>
      <c r="DD25" s="394" t="e">
        <f t="shared" si="22"/>
        <v>#VALUE!</v>
      </c>
      <c r="DE25" s="394" t="e">
        <f t="shared" si="23"/>
        <v>#VALUE!</v>
      </c>
      <c r="DF25" s="395" t="e">
        <f t="shared" si="5"/>
        <v>#VALUE!</v>
      </c>
      <c r="DG25"/>
      <c r="DH25" s="75"/>
      <c r="DI25" s="410"/>
      <c r="DJ25" s="393">
        <v>14</v>
      </c>
      <c r="DK25" s="394" t="e">
        <f t="shared" si="24"/>
        <v>#VALUE!</v>
      </c>
      <c r="DL25" s="394" t="e">
        <f t="shared" si="25"/>
        <v>#VALUE!</v>
      </c>
      <c r="DM25" s="395" t="e">
        <f t="shared" si="6"/>
        <v>#VALUE!</v>
      </c>
      <c r="DN25"/>
      <c r="DO25" s="75"/>
    </row>
    <row r="26" spans="1:119" ht="15.75" customHeight="1" x14ac:dyDescent="0.25">
      <c r="A26" s="247" t="s">
        <v>570</v>
      </c>
      <c r="B26" s="12"/>
      <c r="C26" s="408"/>
      <c r="D26" s="12"/>
      <c r="E26" s="408"/>
      <c r="F26" s="12"/>
      <c r="G26" s="408"/>
      <c r="H26" s="12"/>
      <c r="I26" s="408"/>
      <c r="J26" s="12"/>
      <c r="K26" s="408"/>
      <c r="L26" s="12"/>
      <c r="M26" s="408"/>
      <c r="N26" s="12"/>
      <c r="O26" s="408"/>
      <c r="P26" s="12"/>
      <c r="Q26" s="408"/>
      <c r="R26" s="12"/>
      <c r="S26" s="408"/>
      <c r="T26" s="12"/>
      <c r="U26" s="408"/>
      <c r="AW26" s="403"/>
      <c r="AX26" s="368">
        <f t="shared" si="7"/>
        <v>14</v>
      </c>
      <c r="AY26" s="393">
        <v>15</v>
      </c>
      <c r="AZ26" s="394" t="e">
        <f t="shared" si="8"/>
        <v>#VALUE!</v>
      </c>
      <c r="BA26" s="394" t="e">
        <f t="shared" si="9"/>
        <v>#VALUE!</v>
      </c>
      <c r="BB26" s="395" t="e">
        <f t="shared" si="0"/>
        <v>#VALUE!</v>
      </c>
      <c r="BC26"/>
      <c r="BD26" s="75"/>
      <c r="BE26" s="403"/>
      <c r="BF26" s="393">
        <v>15</v>
      </c>
      <c r="BG26" s="394" t="e">
        <f t="shared" si="29"/>
        <v>#VALUE!</v>
      </c>
      <c r="BH26" s="400" t="e">
        <f t="shared" si="26"/>
        <v>#VALUE!</v>
      </c>
      <c r="BI26" s="395" t="e">
        <f t="shared" si="30"/>
        <v>#VALUE!</v>
      </c>
      <c r="BJ26"/>
      <c r="BK26" s="75"/>
      <c r="BL26" s="410"/>
      <c r="BM26" s="393">
        <v>15</v>
      </c>
      <c r="BN26" s="394" t="e">
        <f t="shared" si="27"/>
        <v>#VALUE!</v>
      </c>
      <c r="BO26" s="394" t="e">
        <f t="shared" si="28"/>
        <v>#VALUE!</v>
      </c>
      <c r="BP26" s="395" t="e">
        <f t="shared" si="10"/>
        <v>#VALUE!</v>
      </c>
      <c r="BQ26"/>
      <c r="BR26" s="75"/>
      <c r="BS26" s="410"/>
      <c r="BT26" s="393">
        <v>15</v>
      </c>
      <c r="BU26" s="394" t="e">
        <f t="shared" si="11"/>
        <v>#VALUE!</v>
      </c>
      <c r="BV26" s="394" t="e">
        <f t="shared" si="12"/>
        <v>#VALUE!</v>
      </c>
      <c r="BW26" s="395" t="e">
        <f t="shared" si="13"/>
        <v>#VALUE!</v>
      </c>
      <c r="BX26"/>
      <c r="BY26" s="75"/>
      <c r="BZ26" s="410"/>
      <c r="CA26" s="393">
        <v>15</v>
      </c>
      <c r="CB26" s="394" t="e">
        <f t="shared" si="14"/>
        <v>#VALUE!</v>
      </c>
      <c r="CC26" s="394" t="e">
        <f t="shared" si="15"/>
        <v>#VALUE!</v>
      </c>
      <c r="CD26" s="395" t="e">
        <f t="shared" si="1"/>
        <v>#VALUE!</v>
      </c>
      <c r="CE26"/>
      <c r="CF26" s="75"/>
      <c r="CG26" s="410"/>
      <c r="CH26" s="393">
        <v>15</v>
      </c>
      <c r="CI26" s="394" t="e">
        <f t="shared" si="16"/>
        <v>#VALUE!</v>
      </c>
      <c r="CJ26" s="394" t="e">
        <f t="shared" si="17"/>
        <v>#VALUE!</v>
      </c>
      <c r="CK26" s="395" t="e">
        <f t="shared" si="2"/>
        <v>#VALUE!</v>
      </c>
      <c r="CL26"/>
      <c r="CM26" s="75"/>
      <c r="CN26" s="410"/>
      <c r="CO26" s="393">
        <v>15</v>
      </c>
      <c r="CP26" s="394" t="e">
        <f t="shared" si="18"/>
        <v>#VALUE!</v>
      </c>
      <c r="CQ26" s="394" t="e">
        <f t="shared" si="19"/>
        <v>#VALUE!</v>
      </c>
      <c r="CR26" s="395" t="e">
        <f t="shared" si="3"/>
        <v>#VALUE!</v>
      </c>
      <c r="CS26"/>
      <c r="CT26" s="75"/>
      <c r="CU26" s="410"/>
      <c r="CV26" s="393">
        <v>15</v>
      </c>
      <c r="CW26" s="394" t="e">
        <f t="shared" si="20"/>
        <v>#VALUE!</v>
      </c>
      <c r="CX26" s="394" t="e">
        <f t="shared" si="21"/>
        <v>#VALUE!</v>
      </c>
      <c r="CY26" s="395" t="e">
        <f t="shared" si="4"/>
        <v>#VALUE!</v>
      </c>
      <c r="CZ26"/>
      <c r="DA26" s="75"/>
      <c r="DB26" s="410"/>
      <c r="DC26" s="393">
        <v>15</v>
      </c>
      <c r="DD26" s="394" t="e">
        <f t="shared" si="22"/>
        <v>#VALUE!</v>
      </c>
      <c r="DE26" s="394" t="e">
        <f t="shared" si="23"/>
        <v>#VALUE!</v>
      </c>
      <c r="DF26" s="395" t="e">
        <f t="shared" si="5"/>
        <v>#VALUE!</v>
      </c>
      <c r="DG26"/>
      <c r="DH26" s="75"/>
      <c r="DI26" s="410"/>
      <c r="DJ26" s="393">
        <v>15</v>
      </c>
      <c r="DK26" s="394" t="e">
        <f t="shared" si="24"/>
        <v>#VALUE!</v>
      </c>
      <c r="DL26" s="394" t="e">
        <f t="shared" si="25"/>
        <v>#VALUE!</v>
      </c>
      <c r="DM26" s="395" t="e">
        <f t="shared" si="6"/>
        <v>#VALUE!</v>
      </c>
      <c r="DN26"/>
      <c r="DO26" s="75"/>
    </row>
    <row r="27" spans="1:119" ht="15.75" customHeight="1" x14ac:dyDescent="0.35">
      <c r="A27" s="247" t="s">
        <v>10</v>
      </c>
      <c r="B27" s="413" t="str">
        <f>+IFERROR(VLOOKUP(B26,'References Assumptions'!$A$165:$B$168,2,FALSE),"N/A")</f>
        <v>N/A</v>
      </c>
      <c r="C27" s="408"/>
      <c r="D27" s="413" t="str">
        <f>+IFERROR(VLOOKUP(D26,'References Assumptions'!$A$165:$B$168,2,FALSE),"N/A")</f>
        <v>N/A</v>
      </c>
      <c r="E27" s="408"/>
      <c r="F27" s="413" t="str">
        <f>+IFERROR(VLOOKUP(F26,'References Assumptions'!$A$165:$B$168,2,FALSE),"N/A")</f>
        <v>N/A</v>
      </c>
      <c r="G27" s="408"/>
      <c r="H27" s="413" t="str">
        <f>+IFERROR(VLOOKUP(H26,'References Assumptions'!$A$165:$B$168,2,FALSE),"N/A")</f>
        <v>N/A</v>
      </c>
      <c r="I27" s="408"/>
      <c r="J27" s="413" t="str">
        <f>+IFERROR(VLOOKUP(J26,'References Assumptions'!$A$165:$B$168,2,FALSE),"N/A")</f>
        <v>N/A</v>
      </c>
      <c r="K27" s="408"/>
      <c r="L27" s="413" t="str">
        <f>+IFERROR(VLOOKUP(L26,'References Assumptions'!$A$165:$B$168,2,FALSE),"N/A")</f>
        <v>N/A</v>
      </c>
      <c r="M27" s="408"/>
      <c r="N27" s="413" t="str">
        <f>+IFERROR(VLOOKUP(N26,'References Assumptions'!$A$165:$B$168,2,FALSE),"N/A")</f>
        <v>N/A</v>
      </c>
      <c r="O27" s="408"/>
      <c r="P27" s="413" t="str">
        <f>+IFERROR(VLOOKUP(P26,'References Assumptions'!$A$165:$B$168,2,FALSE),"N/A")</f>
        <v>N/A</v>
      </c>
      <c r="Q27" s="408"/>
      <c r="R27" s="413" t="str">
        <f>+IFERROR(VLOOKUP(R26,'References Assumptions'!$A$165:$B$168,2,FALSE),"N/A")</f>
        <v>N/A</v>
      </c>
      <c r="S27" s="408"/>
      <c r="T27" s="413" t="str">
        <f>+IFERROR(VLOOKUP(T26,'References Assumptions'!$A$165:$B$168,2,FALSE),"N/A")</f>
        <v>N/A</v>
      </c>
      <c r="U27" s="408"/>
      <c r="AW27" s="403"/>
      <c r="AX27" s="368">
        <f t="shared" ref="AX27:AX41" si="31">AY27-1</f>
        <v>15</v>
      </c>
      <c r="AY27" s="393">
        <v>16</v>
      </c>
      <c r="AZ27" s="394" t="e">
        <f t="shared" ref="AZ27:AZ41" si="32">AZ26-(AZ26*$AZ$10)</f>
        <v>#VALUE!</v>
      </c>
      <c r="BA27" s="394" t="e">
        <f t="shared" ref="BA27:BA41" si="33">(AZ26*$AZ$10)</f>
        <v>#VALUE!</v>
      </c>
      <c r="BB27" s="395" t="e">
        <f t="shared" ref="BB27:BB41" si="34">+BA27/$AZ$9</f>
        <v>#VALUE!</v>
      </c>
      <c r="BC27"/>
      <c r="BD27" s="75"/>
      <c r="BE27" s="403"/>
      <c r="BF27" s="393">
        <v>16</v>
      </c>
      <c r="BG27" s="394" t="e">
        <f t="shared" ref="BG27:BG41" si="35">BG26-(BG26*$BG$10)</f>
        <v>#VALUE!</v>
      </c>
      <c r="BH27" s="400" t="e">
        <f t="shared" ref="BH27:BH41" si="36">$BG26*$BG$10</f>
        <v>#VALUE!</v>
      </c>
      <c r="BI27" s="395" t="e">
        <f t="shared" ref="BI27:BI41" si="37">+BH27/$BG$9</f>
        <v>#VALUE!</v>
      </c>
      <c r="BJ27"/>
      <c r="BK27" s="75"/>
      <c r="BL27" s="410"/>
      <c r="BM27" s="393">
        <v>16</v>
      </c>
      <c r="BN27" s="394" t="e">
        <f t="shared" ref="BN27:BN41" si="38">BN26-(BN26*$BN$10)</f>
        <v>#VALUE!</v>
      </c>
      <c r="BO27" s="394" t="e">
        <f t="shared" ref="BO27:BO41" si="39">BN26*$BN$10</f>
        <v>#VALUE!</v>
      </c>
      <c r="BP27" s="395" t="e">
        <f t="shared" si="10"/>
        <v>#VALUE!</v>
      </c>
      <c r="BQ27"/>
      <c r="BR27" s="75"/>
      <c r="BS27" s="410"/>
      <c r="BT27" s="393">
        <v>16</v>
      </c>
      <c r="BU27" s="394" t="e">
        <f t="shared" ref="BU27:BU41" si="40">BU26-(BU26*$BU$10)</f>
        <v>#VALUE!</v>
      </c>
      <c r="BV27" s="394" t="e">
        <f t="shared" ref="BV27:BV41" si="41">(BU26*$BU$10)</f>
        <v>#VALUE!</v>
      </c>
      <c r="BW27" s="395" t="e">
        <f t="shared" ref="BW27:BW41" si="42">+BV27/$BU$9</f>
        <v>#VALUE!</v>
      </c>
      <c r="BX27"/>
      <c r="BY27" s="75"/>
      <c r="BZ27" s="410"/>
      <c r="CA27" s="393">
        <v>16</v>
      </c>
      <c r="CB27" s="394" t="e">
        <f t="shared" ref="CB27:CB41" si="43">CB26-(CB26*$CB$10)</f>
        <v>#VALUE!</v>
      </c>
      <c r="CC27" s="394" t="e">
        <f t="shared" ref="CC27:CC41" si="44">(CB26*$CB$10)</f>
        <v>#VALUE!</v>
      </c>
      <c r="CD27" s="395" t="e">
        <f t="shared" ref="CD27:CD41" si="45">+CC27/$CB$9</f>
        <v>#VALUE!</v>
      </c>
      <c r="CE27"/>
      <c r="CF27" s="75"/>
      <c r="CG27" s="410"/>
      <c r="CH27" s="393">
        <v>16</v>
      </c>
      <c r="CI27" s="394" t="e">
        <f t="shared" ref="CI27:CI41" si="46">CI26-(CI26*$CI$10)</f>
        <v>#VALUE!</v>
      </c>
      <c r="CJ27" s="394" t="e">
        <f t="shared" ref="CJ27:CJ41" si="47">(CI26*$CI$10)</f>
        <v>#VALUE!</v>
      </c>
      <c r="CK27" s="395" t="e">
        <f t="shared" ref="CK27:CK41" si="48">+CJ27/$CI$9</f>
        <v>#VALUE!</v>
      </c>
      <c r="CL27"/>
      <c r="CM27" s="75"/>
      <c r="CN27" s="410"/>
      <c r="CO27" s="393">
        <v>16</v>
      </c>
      <c r="CP27" s="394" t="e">
        <f t="shared" ref="CP27:CP41" si="49">CP26-(CP26*$CP$10)</f>
        <v>#VALUE!</v>
      </c>
      <c r="CQ27" s="394" t="e">
        <f t="shared" ref="CQ27:CQ41" si="50">(CP26*$CP$10)</f>
        <v>#VALUE!</v>
      </c>
      <c r="CR27" s="395" t="e">
        <f t="shared" ref="CR27:CR41" si="51">+CQ27/$CP$9</f>
        <v>#VALUE!</v>
      </c>
      <c r="CS27"/>
      <c r="CT27" s="75"/>
      <c r="CU27" s="410"/>
      <c r="CV27" s="393">
        <v>16</v>
      </c>
      <c r="CW27" s="394" t="e">
        <f t="shared" ref="CW27:CW41" si="52">CW26-(CW26*$CW$10)</f>
        <v>#VALUE!</v>
      </c>
      <c r="CX27" s="394" t="e">
        <f t="shared" ref="CX27:CX41" si="53">(CW26*$CW$10)</f>
        <v>#VALUE!</v>
      </c>
      <c r="CY27" s="395" t="e">
        <f t="shared" ref="CY27:CY41" si="54">+CX27/$CW$9</f>
        <v>#VALUE!</v>
      </c>
      <c r="CZ27"/>
      <c r="DA27" s="75"/>
      <c r="DB27" s="410"/>
      <c r="DC27" s="393">
        <v>16</v>
      </c>
      <c r="DD27" s="394" t="e">
        <f t="shared" ref="DD27:DD41" si="55">DD26-(DD26*$DD$10)</f>
        <v>#VALUE!</v>
      </c>
      <c r="DE27" s="394" t="e">
        <f t="shared" ref="DE27:DE41" si="56">(DD26*$DD$10)</f>
        <v>#VALUE!</v>
      </c>
      <c r="DF27" s="395" t="e">
        <f t="shared" ref="DF27:DF41" si="57">+DE27/$DD$9</f>
        <v>#VALUE!</v>
      </c>
      <c r="DG27"/>
      <c r="DH27" s="75"/>
      <c r="DI27" s="410"/>
      <c r="DJ27" s="393">
        <v>16</v>
      </c>
      <c r="DK27" s="394" t="e">
        <f t="shared" ref="DK27:DK41" si="58">DK26-(DK26*$DK$10)</f>
        <v>#VALUE!</v>
      </c>
      <c r="DL27" s="394" t="e">
        <f t="shared" ref="DL27:DL41" si="59">(DK26*$DK$10)</f>
        <v>#VALUE!</v>
      </c>
      <c r="DM27" s="395" t="e">
        <f t="shared" ref="DM27:DM41" si="60">+DL27/$DK$9</f>
        <v>#VALUE!</v>
      </c>
      <c r="DN27"/>
      <c r="DO27" s="75"/>
    </row>
    <row r="28" spans="1:119" ht="15.75" customHeight="1" x14ac:dyDescent="0.25">
      <c r="A28" s="247" t="s">
        <v>929</v>
      </c>
      <c r="B28" s="12"/>
      <c r="C28" s="408"/>
      <c r="D28" s="12"/>
      <c r="E28" s="408"/>
      <c r="F28" s="12"/>
      <c r="G28" s="408"/>
      <c r="H28" s="12"/>
      <c r="I28" s="408"/>
      <c r="J28" s="12"/>
      <c r="K28" s="408"/>
      <c r="L28" s="12"/>
      <c r="M28" s="408"/>
      <c r="N28" s="12"/>
      <c r="O28" s="408"/>
      <c r="P28" s="12"/>
      <c r="Q28" s="408"/>
      <c r="R28" s="12"/>
      <c r="S28" s="408"/>
      <c r="T28" s="12"/>
      <c r="U28" s="408"/>
      <c r="AW28" s="403"/>
      <c r="AX28" s="368">
        <f t="shared" si="31"/>
        <v>16</v>
      </c>
      <c r="AY28" s="393">
        <v>17</v>
      </c>
      <c r="AZ28" s="394" t="e">
        <f t="shared" si="32"/>
        <v>#VALUE!</v>
      </c>
      <c r="BA28" s="394" t="e">
        <f t="shared" si="33"/>
        <v>#VALUE!</v>
      </c>
      <c r="BB28" s="395" t="e">
        <f t="shared" si="34"/>
        <v>#VALUE!</v>
      </c>
      <c r="BC28"/>
      <c r="BD28" s="75"/>
      <c r="BE28" s="96"/>
      <c r="BF28" s="393">
        <v>17</v>
      </c>
      <c r="BG28" s="394" t="e">
        <f t="shared" si="35"/>
        <v>#VALUE!</v>
      </c>
      <c r="BH28" s="400" t="e">
        <f t="shared" si="36"/>
        <v>#VALUE!</v>
      </c>
      <c r="BI28" s="395" t="e">
        <f t="shared" si="37"/>
        <v>#VALUE!</v>
      </c>
      <c r="BJ28"/>
      <c r="BK28" s="75"/>
      <c r="BL28" s="368"/>
      <c r="BM28" s="393">
        <v>17</v>
      </c>
      <c r="BN28" s="394" t="e">
        <f t="shared" si="38"/>
        <v>#VALUE!</v>
      </c>
      <c r="BO28" s="394" t="e">
        <f t="shared" si="39"/>
        <v>#VALUE!</v>
      </c>
      <c r="BP28" s="395" t="e">
        <f t="shared" si="10"/>
        <v>#VALUE!</v>
      </c>
      <c r="BQ28"/>
      <c r="BR28" s="75"/>
      <c r="BS28" s="368"/>
      <c r="BT28" s="393">
        <v>17</v>
      </c>
      <c r="BU28" s="394" t="e">
        <f t="shared" si="40"/>
        <v>#VALUE!</v>
      </c>
      <c r="BV28" s="394" t="e">
        <f t="shared" si="41"/>
        <v>#VALUE!</v>
      </c>
      <c r="BW28" s="395" t="e">
        <f t="shared" si="42"/>
        <v>#VALUE!</v>
      </c>
      <c r="BX28"/>
      <c r="BY28" s="75"/>
      <c r="BZ28" s="368"/>
      <c r="CA28" s="393">
        <v>17</v>
      </c>
      <c r="CB28" s="394" t="e">
        <f t="shared" si="43"/>
        <v>#VALUE!</v>
      </c>
      <c r="CC28" s="394" t="e">
        <f t="shared" si="44"/>
        <v>#VALUE!</v>
      </c>
      <c r="CD28" s="395" t="e">
        <f t="shared" si="45"/>
        <v>#VALUE!</v>
      </c>
      <c r="CE28"/>
      <c r="CF28" s="75"/>
      <c r="CG28" s="368"/>
      <c r="CH28" s="393">
        <v>17</v>
      </c>
      <c r="CI28" s="394" t="e">
        <f t="shared" si="46"/>
        <v>#VALUE!</v>
      </c>
      <c r="CJ28" s="394" t="e">
        <f t="shared" si="47"/>
        <v>#VALUE!</v>
      </c>
      <c r="CK28" s="395" t="e">
        <f t="shared" si="48"/>
        <v>#VALUE!</v>
      </c>
      <c r="CL28"/>
      <c r="CM28" s="75"/>
      <c r="CN28" s="368"/>
      <c r="CO28" s="393">
        <v>17</v>
      </c>
      <c r="CP28" s="394" t="e">
        <f t="shared" si="49"/>
        <v>#VALUE!</v>
      </c>
      <c r="CQ28" s="394" t="e">
        <f t="shared" si="50"/>
        <v>#VALUE!</v>
      </c>
      <c r="CR28" s="395" t="e">
        <f t="shared" si="51"/>
        <v>#VALUE!</v>
      </c>
      <c r="CS28"/>
      <c r="CT28" s="75"/>
      <c r="CU28" s="368"/>
      <c r="CV28" s="393">
        <v>17</v>
      </c>
      <c r="CW28" s="394" t="e">
        <f t="shared" si="52"/>
        <v>#VALUE!</v>
      </c>
      <c r="CX28" s="394" t="e">
        <f t="shared" si="53"/>
        <v>#VALUE!</v>
      </c>
      <c r="CY28" s="395" t="e">
        <f t="shared" si="54"/>
        <v>#VALUE!</v>
      </c>
      <c r="CZ28"/>
      <c r="DA28" s="75"/>
      <c r="DB28" s="368"/>
      <c r="DC28" s="393">
        <v>17</v>
      </c>
      <c r="DD28" s="394" t="e">
        <f t="shared" si="55"/>
        <v>#VALUE!</v>
      </c>
      <c r="DE28" s="394" t="e">
        <f t="shared" si="56"/>
        <v>#VALUE!</v>
      </c>
      <c r="DF28" s="395" t="e">
        <f t="shared" si="57"/>
        <v>#VALUE!</v>
      </c>
      <c r="DG28"/>
      <c r="DH28" s="75"/>
      <c r="DI28" s="368"/>
      <c r="DJ28" s="393">
        <v>17</v>
      </c>
      <c r="DK28" s="394" t="e">
        <f t="shared" si="58"/>
        <v>#VALUE!</v>
      </c>
      <c r="DL28" s="394" t="e">
        <f t="shared" si="59"/>
        <v>#VALUE!</v>
      </c>
      <c r="DM28" s="395" t="e">
        <f t="shared" si="60"/>
        <v>#VALUE!</v>
      </c>
      <c r="DN28"/>
      <c r="DO28" s="75"/>
    </row>
    <row r="29" spans="1:119" ht="15.75" customHeight="1" x14ac:dyDescent="0.25">
      <c r="A29" s="1103" t="s">
        <v>912</v>
      </c>
      <c r="B29" s="1104" t="str">
        <f>+IFERROR(VLOOKUP(B28,'References Assumptions'!$A$171:$B$175,2,FALSE),"N/A")</f>
        <v>N/A</v>
      </c>
      <c r="C29" s="1087"/>
      <c r="D29" s="1104" t="str">
        <f>+IFERROR(VLOOKUP(D28,'References Assumptions'!$A$171:$B$175,2,FALSE),"N/A")</f>
        <v>N/A</v>
      </c>
      <c r="E29" s="1087"/>
      <c r="F29" s="1104" t="str">
        <f>+IFERROR(VLOOKUP(F28,'References Assumptions'!$A$171:$B$175,2,FALSE),"N/A")</f>
        <v>N/A</v>
      </c>
      <c r="G29" s="1087"/>
      <c r="H29" s="1104" t="str">
        <f>+IFERROR(VLOOKUP(H28,'References Assumptions'!$A$171:$B$175,2,FALSE),"N/A")</f>
        <v>N/A</v>
      </c>
      <c r="I29" s="1087"/>
      <c r="J29" s="1104" t="str">
        <f>+IFERROR(VLOOKUP(J28,'References Assumptions'!$A$171:$B$175,2,FALSE),"N/A")</f>
        <v>N/A</v>
      </c>
      <c r="K29" s="1087"/>
      <c r="L29" s="1104" t="str">
        <f>+IFERROR(VLOOKUP(L28,'References Assumptions'!$A$171:$B$175,2,FALSE),"N/A")</f>
        <v>N/A</v>
      </c>
      <c r="M29" s="1087"/>
      <c r="N29" s="1104" t="str">
        <f>+IFERROR(VLOOKUP(N28,'References Assumptions'!$A$171:$B$175,2,FALSE),"N/A")</f>
        <v>N/A</v>
      </c>
      <c r="O29" s="1087"/>
      <c r="P29" s="1104" t="str">
        <f>+IFERROR(VLOOKUP(P28,'References Assumptions'!$A$171:$B$175,2,FALSE),"N/A")</f>
        <v>N/A</v>
      </c>
      <c r="Q29" s="1087"/>
      <c r="R29" s="1104" t="str">
        <f>+IFERROR(VLOOKUP(R28,'References Assumptions'!$A$171:$B$175,2,FALSE),"N/A")</f>
        <v>N/A</v>
      </c>
      <c r="S29" s="1087"/>
      <c r="T29" s="1104" t="str">
        <f>+IFERROR(VLOOKUP(T28,'References Assumptions'!$A$171:$B$175,2,FALSE),"N/A")</f>
        <v>N/A</v>
      </c>
      <c r="U29" s="1087"/>
      <c r="AW29" s="96"/>
      <c r="AX29" s="368">
        <f t="shared" si="31"/>
        <v>17</v>
      </c>
      <c r="AY29" s="393">
        <v>18</v>
      </c>
      <c r="AZ29" s="394" t="e">
        <f t="shared" si="32"/>
        <v>#VALUE!</v>
      </c>
      <c r="BA29" s="394" t="e">
        <f t="shared" si="33"/>
        <v>#VALUE!</v>
      </c>
      <c r="BB29" s="395" t="e">
        <f t="shared" si="34"/>
        <v>#VALUE!</v>
      </c>
      <c r="BC29"/>
      <c r="BD29" s="367"/>
      <c r="BE29" s="96"/>
      <c r="BF29" s="393">
        <v>18</v>
      </c>
      <c r="BG29" s="394" t="e">
        <f t="shared" si="35"/>
        <v>#VALUE!</v>
      </c>
      <c r="BH29" s="400" t="e">
        <f t="shared" si="36"/>
        <v>#VALUE!</v>
      </c>
      <c r="BI29" s="395" t="e">
        <f t="shared" si="37"/>
        <v>#VALUE!</v>
      </c>
      <c r="BJ29"/>
      <c r="BK29" s="367"/>
      <c r="BL29" s="368"/>
      <c r="BM29" s="393">
        <v>18</v>
      </c>
      <c r="BN29" s="394" t="e">
        <f t="shared" si="38"/>
        <v>#VALUE!</v>
      </c>
      <c r="BO29" s="394" t="e">
        <f t="shared" si="39"/>
        <v>#VALUE!</v>
      </c>
      <c r="BP29" s="395" t="e">
        <f t="shared" si="10"/>
        <v>#VALUE!</v>
      </c>
      <c r="BQ29"/>
      <c r="BR29" s="367"/>
      <c r="BS29" s="368"/>
      <c r="BT29" s="393">
        <v>18</v>
      </c>
      <c r="BU29" s="394" t="e">
        <f t="shared" si="40"/>
        <v>#VALUE!</v>
      </c>
      <c r="BV29" s="394" t="e">
        <f t="shared" si="41"/>
        <v>#VALUE!</v>
      </c>
      <c r="BW29" s="395" t="e">
        <f t="shared" si="42"/>
        <v>#VALUE!</v>
      </c>
      <c r="BX29"/>
      <c r="BY29" s="367"/>
      <c r="BZ29" s="368"/>
      <c r="CA29" s="393">
        <v>18</v>
      </c>
      <c r="CB29" s="394" t="e">
        <f t="shared" si="43"/>
        <v>#VALUE!</v>
      </c>
      <c r="CC29" s="394" t="e">
        <f t="shared" si="44"/>
        <v>#VALUE!</v>
      </c>
      <c r="CD29" s="395" t="e">
        <f t="shared" si="45"/>
        <v>#VALUE!</v>
      </c>
      <c r="CE29"/>
      <c r="CF29" s="367"/>
      <c r="CG29" s="368"/>
      <c r="CH29" s="393">
        <v>18</v>
      </c>
      <c r="CI29" s="394" t="e">
        <f t="shared" si="46"/>
        <v>#VALUE!</v>
      </c>
      <c r="CJ29" s="394" t="e">
        <f t="shared" si="47"/>
        <v>#VALUE!</v>
      </c>
      <c r="CK29" s="395" t="e">
        <f t="shared" si="48"/>
        <v>#VALUE!</v>
      </c>
      <c r="CL29"/>
      <c r="CM29" s="367"/>
      <c r="CN29" s="368"/>
      <c r="CO29" s="393">
        <v>18</v>
      </c>
      <c r="CP29" s="394" t="e">
        <f t="shared" si="49"/>
        <v>#VALUE!</v>
      </c>
      <c r="CQ29" s="394" t="e">
        <f t="shared" si="50"/>
        <v>#VALUE!</v>
      </c>
      <c r="CR29" s="395" t="e">
        <f t="shared" si="51"/>
        <v>#VALUE!</v>
      </c>
      <c r="CS29"/>
      <c r="CT29" s="367"/>
      <c r="CU29" s="368"/>
      <c r="CV29" s="393">
        <v>18</v>
      </c>
      <c r="CW29" s="394" t="e">
        <f t="shared" si="52"/>
        <v>#VALUE!</v>
      </c>
      <c r="CX29" s="394" t="e">
        <f t="shared" si="53"/>
        <v>#VALUE!</v>
      </c>
      <c r="CY29" s="395" t="e">
        <f t="shared" si="54"/>
        <v>#VALUE!</v>
      </c>
      <c r="CZ29"/>
      <c r="DA29" s="367"/>
      <c r="DB29" s="368"/>
      <c r="DC29" s="393">
        <v>18</v>
      </c>
      <c r="DD29" s="394" t="e">
        <f t="shared" si="55"/>
        <v>#VALUE!</v>
      </c>
      <c r="DE29" s="394" t="e">
        <f t="shared" si="56"/>
        <v>#VALUE!</v>
      </c>
      <c r="DF29" s="395" t="e">
        <f t="shared" si="57"/>
        <v>#VALUE!</v>
      </c>
      <c r="DG29"/>
      <c r="DH29" s="367"/>
      <c r="DI29" s="368"/>
      <c r="DJ29" s="393">
        <v>18</v>
      </c>
      <c r="DK29" s="394" t="e">
        <f t="shared" si="58"/>
        <v>#VALUE!</v>
      </c>
      <c r="DL29" s="394" t="e">
        <f t="shared" si="59"/>
        <v>#VALUE!</v>
      </c>
      <c r="DM29" s="395" t="e">
        <f t="shared" si="60"/>
        <v>#VALUE!</v>
      </c>
      <c r="DN29"/>
      <c r="DO29" s="367"/>
    </row>
    <row r="30" spans="1:119" ht="15.75" customHeight="1" thickBot="1" x14ac:dyDescent="0.3">
      <c r="A30" s="273"/>
      <c r="B30" s="229"/>
      <c r="C30" s="350"/>
      <c r="D30" s="463"/>
      <c r="E30" s="350"/>
      <c r="F30" s="421"/>
      <c r="G30" s="350"/>
      <c r="H30" s="421"/>
      <c r="I30" s="350"/>
      <c r="J30" s="421"/>
      <c r="K30" s="350"/>
      <c r="L30" s="421"/>
      <c r="M30" s="350"/>
      <c r="N30" s="421"/>
      <c r="O30" s="350"/>
      <c r="P30" s="421"/>
      <c r="Q30" s="350"/>
      <c r="R30" s="421"/>
      <c r="S30" s="350"/>
      <c r="T30" s="421"/>
      <c r="U30" s="350"/>
      <c r="AW30" s="96"/>
      <c r="AX30" s="368">
        <f t="shared" si="31"/>
        <v>18</v>
      </c>
      <c r="AY30" s="393">
        <v>19</v>
      </c>
      <c r="AZ30" s="394" t="e">
        <f t="shared" si="32"/>
        <v>#VALUE!</v>
      </c>
      <c r="BA30" s="394" t="e">
        <f t="shared" si="33"/>
        <v>#VALUE!</v>
      </c>
      <c r="BB30" s="395" t="e">
        <f t="shared" si="34"/>
        <v>#VALUE!</v>
      </c>
      <c r="BC30"/>
      <c r="BD30" s="367"/>
      <c r="BE30" s="96"/>
      <c r="BF30" s="393">
        <v>19</v>
      </c>
      <c r="BG30" s="394" t="e">
        <f t="shared" si="35"/>
        <v>#VALUE!</v>
      </c>
      <c r="BH30" s="400" t="e">
        <f t="shared" si="36"/>
        <v>#VALUE!</v>
      </c>
      <c r="BI30" s="395" t="e">
        <f t="shared" si="37"/>
        <v>#VALUE!</v>
      </c>
      <c r="BJ30"/>
      <c r="BK30" s="367"/>
      <c r="BL30" s="368"/>
      <c r="BM30" s="393">
        <v>19</v>
      </c>
      <c r="BN30" s="394" t="e">
        <f t="shared" si="38"/>
        <v>#VALUE!</v>
      </c>
      <c r="BO30" s="394" t="e">
        <f t="shared" si="39"/>
        <v>#VALUE!</v>
      </c>
      <c r="BP30" s="395" t="e">
        <f t="shared" si="10"/>
        <v>#VALUE!</v>
      </c>
      <c r="BQ30"/>
      <c r="BR30" s="367"/>
      <c r="BS30" s="368"/>
      <c r="BT30" s="393">
        <v>19</v>
      </c>
      <c r="BU30" s="394" t="e">
        <f t="shared" si="40"/>
        <v>#VALUE!</v>
      </c>
      <c r="BV30" s="394" t="e">
        <f t="shared" si="41"/>
        <v>#VALUE!</v>
      </c>
      <c r="BW30" s="395" t="e">
        <f t="shared" si="42"/>
        <v>#VALUE!</v>
      </c>
      <c r="BX30"/>
      <c r="BY30" s="367"/>
      <c r="BZ30" s="368"/>
      <c r="CA30" s="393">
        <v>19</v>
      </c>
      <c r="CB30" s="394" t="e">
        <f t="shared" si="43"/>
        <v>#VALUE!</v>
      </c>
      <c r="CC30" s="394" t="e">
        <f t="shared" si="44"/>
        <v>#VALUE!</v>
      </c>
      <c r="CD30" s="395" t="e">
        <f t="shared" si="45"/>
        <v>#VALUE!</v>
      </c>
      <c r="CE30"/>
      <c r="CF30" s="367"/>
      <c r="CG30" s="368"/>
      <c r="CH30" s="393">
        <v>19</v>
      </c>
      <c r="CI30" s="394" t="e">
        <f t="shared" si="46"/>
        <v>#VALUE!</v>
      </c>
      <c r="CJ30" s="394" t="e">
        <f t="shared" si="47"/>
        <v>#VALUE!</v>
      </c>
      <c r="CK30" s="395" t="e">
        <f t="shared" si="48"/>
        <v>#VALUE!</v>
      </c>
      <c r="CL30"/>
      <c r="CM30" s="367"/>
      <c r="CN30" s="368"/>
      <c r="CO30" s="393">
        <v>19</v>
      </c>
      <c r="CP30" s="394" t="e">
        <f t="shared" si="49"/>
        <v>#VALUE!</v>
      </c>
      <c r="CQ30" s="394" t="e">
        <f t="shared" si="50"/>
        <v>#VALUE!</v>
      </c>
      <c r="CR30" s="395" t="e">
        <f t="shared" si="51"/>
        <v>#VALUE!</v>
      </c>
      <c r="CS30"/>
      <c r="CT30" s="367"/>
      <c r="CU30" s="368"/>
      <c r="CV30" s="393">
        <v>19</v>
      </c>
      <c r="CW30" s="394" t="e">
        <f t="shared" si="52"/>
        <v>#VALUE!</v>
      </c>
      <c r="CX30" s="394" t="e">
        <f t="shared" si="53"/>
        <v>#VALUE!</v>
      </c>
      <c r="CY30" s="395" t="e">
        <f t="shared" si="54"/>
        <v>#VALUE!</v>
      </c>
      <c r="CZ30"/>
      <c r="DA30" s="367"/>
      <c r="DB30" s="368"/>
      <c r="DC30" s="393">
        <v>19</v>
      </c>
      <c r="DD30" s="394" t="e">
        <f t="shared" si="55"/>
        <v>#VALUE!</v>
      </c>
      <c r="DE30" s="394" t="e">
        <f t="shared" si="56"/>
        <v>#VALUE!</v>
      </c>
      <c r="DF30" s="395" t="e">
        <f t="shared" si="57"/>
        <v>#VALUE!</v>
      </c>
      <c r="DG30"/>
      <c r="DH30" s="367"/>
      <c r="DI30" s="368"/>
      <c r="DJ30" s="393">
        <v>19</v>
      </c>
      <c r="DK30" s="394" t="e">
        <f t="shared" si="58"/>
        <v>#VALUE!</v>
      </c>
      <c r="DL30" s="394" t="e">
        <f t="shared" si="59"/>
        <v>#VALUE!</v>
      </c>
      <c r="DM30" s="395" t="e">
        <f t="shared" si="60"/>
        <v>#VALUE!</v>
      </c>
      <c r="DN30"/>
      <c r="DO30" s="367"/>
    </row>
    <row r="31" spans="1:119" ht="15.75" customHeight="1" thickBot="1" x14ac:dyDescent="0.3">
      <c r="A31" s="1300" t="s">
        <v>282</v>
      </c>
      <c r="B31" s="1301"/>
      <c r="C31" s="1301"/>
      <c r="D31" s="1301"/>
      <c r="E31" s="1301"/>
      <c r="F31" s="1301"/>
      <c r="G31" s="1301"/>
      <c r="H31" s="1301"/>
      <c r="I31" s="1301"/>
      <c r="J31" s="1301"/>
      <c r="K31" s="1301"/>
      <c r="L31" s="1301"/>
      <c r="M31" s="1301"/>
      <c r="N31" s="1301"/>
      <c r="O31" s="1301"/>
      <c r="P31" s="1301"/>
      <c r="Q31" s="1301"/>
      <c r="R31" s="1301"/>
      <c r="S31" s="1301"/>
      <c r="T31" s="1301"/>
      <c r="U31" s="1302"/>
      <c r="AW31" s="96"/>
      <c r="AX31" s="368">
        <f t="shared" si="31"/>
        <v>19</v>
      </c>
      <c r="AY31" s="393">
        <v>20</v>
      </c>
      <c r="AZ31" s="394" t="e">
        <f t="shared" si="32"/>
        <v>#VALUE!</v>
      </c>
      <c r="BA31" s="394" t="e">
        <f t="shared" si="33"/>
        <v>#VALUE!</v>
      </c>
      <c r="BB31" s="395" t="e">
        <f t="shared" si="34"/>
        <v>#VALUE!</v>
      </c>
      <c r="BC31"/>
      <c r="BD31" s="367"/>
      <c r="BE31" s="96"/>
      <c r="BF31" s="393">
        <v>20</v>
      </c>
      <c r="BG31" s="394" t="e">
        <f t="shared" si="35"/>
        <v>#VALUE!</v>
      </c>
      <c r="BH31" s="400" t="e">
        <f t="shared" si="36"/>
        <v>#VALUE!</v>
      </c>
      <c r="BI31" s="395" t="e">
        <f t="shared" si="37"/>
        <v>#VALUE!</v>
      </c>
      <c r="BJ31"/>
      <c r="BK31" s="367"/>
      <c r="BL31" s="368"/>
      <c r="BM31" s="393">
        <v>20</v>
      </c>
      <c r="BN31" s="394" t="e">
        <f t="shared" si="38"/>
        <v>#VALUE!</v>
      </c>
      <c r="BO31" s="394" t="e">
        <f t="shared" si="39"/>
        <v>#VALUE!</v>
      </c>
      <c r="BP31" s="395" t="e">
        <f t="shared" si="10"/>
        <v>#VALUE!</v>
      </c>
      <c r="BQ31"/>
      <c r="BR31" s="367"/>
      <c r="BS31" s="368"/>
      <c r="BT31" s="393">
        <v>20</v>
      </c>
      <c r="BU31" s="394" t="e">
        <f t="shared" si="40"/>
        <v>#VALUE!</v>
      </c>
      <c r="BV31" s="394" t="e">
        <f t="shared" si="41"/>
        <v>#VALUE!</v>
      </c>
      <c r="BW31" s="395" t="e">
        <f t="shared" si="42"/>
        <v>#VALUE!</v>
      </c>
      <c r="BX31"/>
      <c r="BY31" s="367"/>
      <c r="BZ31" s="368"/>
      <c r="CA31" s="393">
        <v>20</v>
      </c>
      <c r="CB31" s="394" t="e">
        <f t="shared" si="43"/>
        <v>#VALUE!</v>
      </c>
      <c r="CC31" s="394" t="e">
        <f t="shared" si="44"/>
        <v>#VALUE!</v>
      </c>
      <c r="CD31" s="395" t="e">
        <f t="shared" si="45"/>
        <v>#VALUE!</v>
      </c>
      <c r="CE31"/>
      <c r="CF31" s="367"/>
      <c r="CG31" s="368"/>
      <c r="CH31" s="393">
        <v>20</v>
      </c>
      <c r="CI31" s="394" t="e">
        <f t="shared" si="46"/>
        <v>#VALUE!</v>
      </c>
      <c r="CJ31" s="394" t="e">
        <f t="shared" si="47"/>
        <v>#VALUE!</v>
      </c>
      <c r="CK31" s="395" t="e">
        <f t="shared" si="48"/>
        <v>#VALUE!</v>
      </c>
      <c r="CL31"/>
      <c r="CM31" s="367"/>
      <c r="CN31" s="368"/>
      <c r="CO31" s="393">
        <v>20</v>
      </c>
      <c r="CP31" s="394" t="e">
        <f t="shared" si="49"/>
        <v>#VALUE!</v>
      </c>
      <c r="CQ31" s="394" t="e">
        <f t="shared" si="50"/>
        <v>#VALUE!</v>
      </c>
      <c r="CR31" s="395" t="e">
        <f t="shared" si="51"/>
        <v>#VALUE!</v>
      </c>
      <c r="CS31"/>
      <c r="CT31" s="367"/>
      <c r="CU31" s="368"/>
      <c r="CV31" s="393">
        <v>20</v>
      </c>
      <c r="CW31" s="394" t="e">
        <f t="shared" si="52"/>
        <v>#VALUE!</v>
      </c>
      <c r="CX31" s="394" t="e">
        <f t="shared" si="53"/>
        <v>#VALUE!</v>
      </c>
      <c r="CY31" s="395" t="e">
        <f t="shared" si="54"/>
        <v>#VALUE!</v>
      </c>
      <c r="CZ31"/>
      <c r="DA31" s="367"/>
      <c r="DB31" s="368"/>
      <c r="DC31" s="393">
        <v>20</v>
      </c>
      <c r="DD31" s="394" t="e">
        <f t="shared" si="55"/>
        <v>#VALUE!</v>
      </c>
      <c r="DE31" s="394" t="e">
        <f t="shared" si="56"/>
        <v>#VALUE!</v>
      </c>
      <c r="DF31" s="395" t="e">
        <f t="shared" si="57"/>
        <v>#VALUE!</v>
      </c>
      <c r="DG31"/>
      <c r="DH31" s="367"/>
      <c r="DI31" s="368"/>
      <c r="DJ31" s="393">
        <v>20</v>
      </c>
      <c r="DK31" s="394" t="e">
        <f t="shared" si="58"/>
        <v>#VALUE!</v>
      </c>
      <c r="DL31" s="394" t="e">
        <f t="shared" si="59"/>
        <v>#VALUE!</v>
      </c>
      <c r="DM31" s="395" t="e">
        <f t="shared" si="60"/>
        <v>#VALUE!</v>
      </c>
      <c r="DN31"/>
      <c r="DO31" s="367"/>
    </row>
    <row r="32" spans="1:119" ht="15.75" customHeight="1" x14ac:dyDescent="0.35">
      <c r="A32" s="270" t="s">
        <v>590</v>
      </c>
      <c r="B32" s="449" t="str">
        <f>+IFERROR(B$20*landfill_uncertainty*C_to_CH4_conversion*CH4_in_landfill_gas*B$27*$AU$11*($BB$12*'References Assumptions'!$D$347)*'Landfill Disposal Aggressive'!B$21,"N/A")</f>
        <v>N/A</v>
      </c>
      <c r="C32" s="414"/>
      <c r="D32" s="449" t="str">
        <f>+IFERROR(D$20*landfill_uncertainty*C_to_CH4_conversion*CH4_in_landfill_gas*D$27*$AU$11*($BI$12*'References Assumptions'!$D$347)*'Landfill Disposal Aggressive'!D$21,"N/A")</f>
        <v>N/A</v>
      </c>
      <c r="E32" s="414"/>
      <c r="F32" s="449" t="str">
        <f>+IFERROR(F$20*landfill_uncertainty*C_to_CH4_conversion*CH4_in_landfill_gas*F$27*$AU$11*($BP$12*'References Assumptions'!$D$347)*'Landfill Disposal Aggressive'!F$21,"N/A")</f>
        <v>N/A</v>
      </c>
      <c r="G32" s="414"/>
      <c r="H32" s="449" t="str">
        <f>+IFERROR(H$20*landfill_uncertainty*C_to_CH4_conversion*CH4_in_landfill_gas*H$27*$AU$11*($BW$12*'References Assumptions'!$D$347)*'Landfill Disposal Aggressive'!H$21,"N/A")</f>
        <v>N/A</v>
      </c>
      <c r="I32" s="414"/>
      <c r="J32" s="449" t="str">
        <f>+IFERROR(J$20*landfill_uncertainty*C_to_CH4_conversion*CH4_in_landfill_gas*J$27*$AU$11*($CD$12*'References Assumptions'!$D$347)*'Landfill Disposal Aggressive'!J$21,"N/A")</f>
        <v>N/A</v>
      </c>
      <c r="K32" s="414"/>
      <c r="L32" s="449" t="str">
        <f>+IFERROR(L$20*landfill_uncertainty*C_to_CH4_conversion*CH4_in_landfill_gas*L$27*$AU$11*($CK$12*'References Assumptions'!$D$347)*'Landfill Disposal Aggressive'!L$21,"N/A")</f>
        <v>N/A</v>
      </c>
      <c r="M32" s="414"/>
      <c r="N32" s="449" t="str">
        <f>+IFERROR(N$20*landfill_uncertainty*C_to_CH4_conversion*CH4_in_landfill_gas*N$27*$AU$11*($CR$12*'References Assumptions'!$D$347)*'Landfill Disposal Aggressive'!N$21,"N/A")</f>
        <v>N/A</v>
      </c>
      <c r="O32" s="414"/>
      <c r="P32" s="449" t="str">
        <f>+IFERROR(P$20*landfill_uncertainty*C_to_CH4_conversion*CH4_in_landfill_gas*P$27*$AU$11*($CY$12*'References Assumptions'!$D$347)*'Landfill Disposal Aggressive'!P$21,"N/A")</f>
        <v>N/A</v>
      </c>
      <c r="Q32" s="414"/>
      <c r="R32" s="449" t="str">
        <f>+IFERROR(R$20*landfill_uncertainty*C_to_CH4_conversion*CH4_in_landfill_gas*R$27*$AU$11*($DF$12*'References Assumptions'!$D$347)*'Landfill Disposal Aggressive'!R$21,"N/A")</f>
        <v>N/A</v>
      </c>
      <c r="S32" s="414"/>
      <c r="T32" s="449" t="str">
        <f>+IFERROR(T$20*landfill_uncertainty*C_to_CH4_conversion*CH4_in_landfill_gas*T$27*$AU$11*($DM$12*'References Assumptions'!$D$347)*'Landfill Disposal Aggressive'!T$21,"N/A")</f>
        <v>N/A</v>
      </c>
      <c r="U32" s="414"/>
      <c r="AW32" s="96"/>
      <c r="AX32" s="368">
        <f t="shared" si="31"/>
        <v>20</v>
      </c>
      <c r="AY32" s="393">
        <v>21</v>
      </c>
      <c r="AZ32" s="394" t="e">
        <f t="shared" si="32"/>
        <v>#VALUE!</v>
      </c>
      <c r="BA32" s="394" t="e">
        <f t="shared" si="33"/>
        <v>#VALUE!</v>
      </c>
      <c r="BB32" s="395" t="e">
        <f t="shared" si="34"/>
        <v>#VALUE!</v>
      </c>
      <c r="BD32" s="367"/>
      <c r="BE32" s="96"/>
      <c r="BF32" s="393">
        <v>21</v>
      </c>
      <c r="BG32" s="394" t="e">
        <f t="shared" si="35"/>
        <v>#VALUE!</v>
      </c>
      <c r="BH32" s="400" t="e">
        <f t="shared" si="36"/>
        <v>#VALUE!</v>
      </c>
      <c r="BI32" s="395" t="e">
        <f t="shared" si="37"/>
        <v>#VALUE!</v>
      </c>
      <c r="BK32" s="367"/>
      <c r="BL32" s="368"/>
      <c r="BM32" s="393">
        <v>21</v>
      </c>
      <c r="BN32" s="394" t="e">
        <f t="shared" si="38"/>
        <v>#VALUE!</v>
      </c>
      <c r="BO32" s="394" t="e">
        <f t="shared" si="39"/>
        <v>#VALUE!</v>
      </c>
      <c r="BP32" s="395" t="e">
        <f t="shared" si="10"/>
        <v>#VALUE!</v>
      </c>
      <c r="BR32" s="367"/>
      <c r="BS32" s="368"/>
      <c r="BT32" s="393">
        <v>21</v>
      </c>
      <c r="BU32" s="394" t="e">
        <f t="shared" si="40"/>
        <v>#VALUE!</v>
      </c>
      <c r="BV32" s="394" t="e">
        <f t="shared" si="41"/>
        <v>#VALUE!</v>
      </c>
      <c r="BW32" s="395" t="e">
        <f t="shared" si="42"/>
        <v>#VALUE!</v>
      </c>
      <c r="BY32" s="367"/>
      <c r="BZ32" s="368"/>
      <c r="CA32" s="393">
        <v>21</v>
      </c>
      <c r="CB32" s="394" t="e">
        <f t="shared" si="43"/>
        <v>#VALUE!</v>
      </c>
      <c r="CC32" s="394" t="e">
        <f t="shared" si="44"/>
        <v>#VALUE!</v>
      </c>
      <c r="CD32" s="395" t="e">
        <f t="shared" si="45"/>
        <v>#VALUE!</v>
      </c>
      <c r="CF32" s="367"/>
      <c r="CG32" s="368"/>
      <c r="CH32" s="393">
        <v>21</v>
      </c>
      <c r="CI32" s="394" t="e">
        <f t="shared" si="46"/>
        <v>#VALUE!</v>
      </c>
      <c r="CJ32" s="394" t="e">
        <f t="shared" si="47"/>
        <v>#VALUE!</v>
      </c>
      <c r="CK32" s="395" t="e">
        <f t="shared" si="48"/>
        <v>#VALUE!</v>
      </c>
      <c r="CM32" s="367"/>
      <c r="CN32" s="368"/>
      <c r="CO32" s="393">
        <v>21</v>
      </c>
      <c r="CP32" s="394" t="e">
        <f t="shared" si="49"/>
        <v>#VALUE!</v>
      </c>
      <c r="CQ32" s="394" t="e">
        <f t="shared" si="50"/>
        <v>#VALUE!</v>
      </c>
      <c r="CR32" s="395" t="e">
        <f t="shared" si="51"/>
        <v>#VALUE!</v>
      </c>
      <c r="CT32" s="367"/>
      <c r="CU32" s="368"/>
      <c r="CV32" s="393">
        <v>21</v>
      </c>
      <c r="CW32" s="394" t="e">
        <f t="shared" si="52"/>
        <v>#VALUE!</v>
      </c>
      <c r="CX32" s="394" t="e">
        <f t="shared" si="53"/>
        <v>#VALUE!</v>
      </c>
      <c r="CY32" s="395" t="e">
        <f t="shared" si="54"/>
        <v>#VALUE!</v>
      </c>
      <c r="DA32" s="367"/>
      <c r="DB32" s="368"/>
      <c r="DC32" s="393">
        <v>21</v>
      </c>
      <c r="DD32" s="394" t="e">
        <f t="shared" si="55"/>
        <v>#VALUE!</v>
      </c>
      <c r="DE32" s="394" t="e">
        <f t="shared" si="56"/>
        <v>#VALUE!</v>
      </c>
      <c r="DF32" s="395" t="e">
        <f t="shared" si="57"/>
        <v>#VALUE!</v>
      </c>
      <c r="DH32" s="367"/>
      <c r="DI32" s="368"/>
      <c r="DJ32" s="393">
        <v>21</v>
      </c>
      <c r="DK32" s="394" t="e">
        <f t="shared" si="58"/>
        <v>#VALUE!</v>
      </c>
      <c r="DL32" s="394" t="e">
        <f t="shared" si="59"/>
        <v>#VALUE!</v>
      </c>
      <c r="DM32" s="395" t="e">
        <f t="shared" si="60"/>
        <v>#VALUE!</v>
      </c>
      <c r="DO32" s="367"/>
    </row>
    <row r="33" spans="1:119" ht="15.75" customHeight="1" x14ac:dyDescent="0.35">
      <c r="A33" s="245" t="s">
        <v>591</v>
      </c>
      <c r="B33" s="450" t="str">
        <f>+IFERROR(B$20*landfill_uncertainty*C_to_CH4_conversion*CH4_in_landfill_gas*B$27*$AU$12*SUM($BB$13:$BB$14,($BB$12*'References Assumptions'!$D$347))*'Landfill Disposal Aggressive'!B$21,"N/A")</f>
        <v>N/A</v>
      </c>
      <c r="C33" s="416"/>
      <c r="D33" s="450" t="str">
        <f>+IFERROR(D$20*landfill_uncertainty*C_to_CH4_conversion*CH4_in_landfill_gas*D$27*$AU$12*SUM($BI$13:$BI$14,($BI$12*'References Assumptions'!$D$347))*'Landfill Disposal Aggressive'!D$21,"N/A")</f>
        <v>N/A</v>
      </c>
      <c r="E33" s="416"/>
      <c r="F33" s="450" t="str">
        <f>+IFERROR(F$20*landfill_uncertainty*C_to_CH4_conversion*CH4_in_landfill_gas*F$27*$AU$12*SUM($BP$13:$BP$14,($BP$12*'References Assumptions'!$D$347))*'Landfill Disposal Aggressive'!F$21,"N/A")</f>
        <v>N/A</v>
      </c>
      <c r="G33" s="416"/>
      <c r="H33" s="450" t="str">
        <f>+IFERROR(H$20*landfill_uncertainty*C_to_CH4_conversion*CH4_in_landfill_gas*H$27*$AU$12*SUM($BW$13:$BW$14,($BW$12*'References Assumptions'!$D$347))*'Landfill Disposal Aggressive'!H$21,"N/A")</f>
        <v>N/A</v>
      </c>
      <c r="I33" s="416"/>
      <c r="J33" s="450" t="str">
        <f>+IFERROR(J$20*landfill_uncertainty*C_to_CH4_conversion*CH4_in_landfill_gas*J$27*$AU$12*SUM($CD$13:$CD$14,($CD$12*'References Assumptions'!$D$347))*'Landfill Disposal Aggressive'!J$21,"N/A")</f>
        <v>N/A</v>
      </c>
      <c r="K33" s="416"/>
      <c r="L33" s="450" t="str">
        <f>+IFERROR(L$20*landfill_uncertainty*C_to_CH4_conversion*CH4_in_landfill_gas*L$27*$AU$12*SUM($CK$13:$CK$14,($CK$12*'References Assumptions'!$D$347))*'Landfill Disposal Aggressive'!L$21,"N/A")</f>
        <v>N/A</v>
      </c>
      <c r="M33" s="416"/>
      <c r="N33" s="450" t="str">
        <f>+IFERROR(N$20*landfill_uncertainty*C_to_CH4_conversion*CH4_in_landfill_gas*N$27*$AU$12*SUM($CR$13:$CR$14,($CR$12*'References Assumptions'!$D$347))*'Landfill Disposal Aggressive'!N$21,"N/A")</f>
        <v>N/A</v>
      </c>
      <c r="O33" s="416"/>
      <c r="P33" s="450" t="str">
        <f>+IFERROR(P$20*landfill_uncertainty*C_to_CH4_conversion*CH4_in_landfill_gas*P$27*$AU$12*SUM($CY$13:$CY$14,($CY$12*'References Assumptions'!$D$347))*'Landfill Disposal Aggressive'!P$21,"N/A")</f>
        <v>N/A</v>
      </c>
      <c r="Q33" s="416"/>
      <c r="R33" s="450" t="str">
        <f>+IFERROR(R$20*landfill_uncertainty*C_to_CH4_conversion*CH4_in_landfill_gas*R$27*$AU$12*SUM($DF$13:$DF$14,($DF$12*'References Assumptions'!$D$347))*'Landfill Disposal Aggressive'!R$21,"N/A")</f>
        <v>N/A</v>
      </c>
      <c r="S33" s="416"/>
      <c r="T33" s="450" t="str">
        <f>+IFERROR(T$20*landfill_uncertainty*C_to_CH4_conversion*CH4_in_landfill_gas*T$27*$AU$12*SUM($DM$13:$DM$14,($DM$12*'References Assumptions'!$D$347))*'Landfill Disposal Aggressive'!T$21,"N/A")</f>
        <v>N/A</v>
      </c>
      <c r="U33" s="416"/>
      <c r="AW33" s="96"/>
      <c r="AX33" s="368">
        <f t="shared" si="31"/>
        <v>21</v>
      </c>
      <c r="AY33" s="393">
        <v>22</v>
      </c>
      <c r="AZ33" s="394" t="e">
        <f t="shared" si="32"/>
        <v>#VALUE!</v>
      </c>
      <c r="BA33" s="394" t="e">
        <f t="shared" si="33"/>
        <v>#VALUE!</v>
      </c>
      <c r="BB33" s="395" t="e">
        <f t="shared" si="34"/>
        <v>#VALUE!</v>
      </c>
      <c r="BD33" s="367"/>
      <c r="BE33" s="96"/>
      <c r="BF33" s="393">
        <v>22</v>
      </c>
      <c r="BG33" s="394" t="e">
        <f t="shared" si="35"/>
        <v>#VALUE!</v>
      </c>
      <c r="BH33" s="400" t="e">
        <f t="shared" si="36"/>
        <v>#VALUE!</v>
      </c>
      <c r="BI33" s="395" t="e">
        <f t="shared" si="37"/>
        <v>#VALUE!</v>
      </c>
      <c r="BK33" s="367"/>
      <c r="BL33" s="368"/>
      <c r="BM33" s="393">
        <v>22</v>
      </c>
      <c r="BN33" s="394" t="e">
        <f t="shared" si="38"/>
        <v>#VALUE!</v>
      </c>
      <c r="BO33" s="394" t="e">
        <f t="shared" si="39"/>
        <v>#VALUE!</v>
      </c>
      <c r="BP33" s="395" t="e">
        <f t="shared" si="10"/>
        <v>#VALUE!</v>
      </c>
      <c r="BR33" s="367"/>
      <c r="BS33" s="368"/>
      <c r="BT33" s="393">
        <v>22</v>
      </c>
      <c r="BU33" s="394" t="e">
        <f t="shared" si="40"/>
        <v>#VALUE!</v>
      </c>
      <c r="BV33" s="394" t="e">
        <f t="shared" si="41"/>
        <v>#VALUE!</v>
      </c>
      <c r="BW33" s="395" t="e">
        <f t="shared" si="42"/>
        <v>#VALUE!</v>
      </c>
      <c r="BY33" s="367"/>
      <c r="BZ33" s="368"/>
      <c r="CA33" s="393">
        <v>22</v>
      </c>
      <c r="CB33" s="394" t="e">
        <f t="shared" si="43"/>
        <v>#VALUE!</v>
      </c>
      <c r="CC33" s="394" t="e">
        <f t="shared" si="44"/>
        <v>#VALUE!</v>
      </c>
      <c r="CD33" s="395" t="e">
        <f t="shared" si="45"/>
        <v>#VALUE!</v>
      </c>
      <c r="CF33" s="367"/>
      <c r="CG33" s="368"/>
      <c r="CH33" s="393">
        <v>22</v>
      </c>
      <c r="CI33" s="394" t="e">
        <f t="shared" si="46"/>
        <v>#VALUE!</v>
      </c>
      <c r="CJ33" s="394" t="e">
        <f t="shared" si="47"/>
        <v>#VALUE!</v>
      </c>
      <c r="CK33" s="395" t="e">
        <f t="shared" si="48"/>
        <v>#VALUE!</v>
      </c>
      <c r="CM33" s="367"/>
      <c r="CN33" s="368"/>
      <c r="CO33" s="393">
        <v>22</v>
      </c>
      <c r="CP33" s="394" t="e">
        <f t="shared" si="49"/>
        <v>#VALUE!</v>
      </c>
      <c r="CQ33" s="394" t="e">
        <f t="shared" si="50"/>
        <v>#VALUE!</v>
      </c>
      <c r="CR33" s="395" t="e">
        <f t="shared" si="51"/>
        <v>#VALUE!</v>
      </c>
      <c r="CT33" s="367"/>
      <c r="CU33" s="368"/>
      <c r="CV33" s="393">
        <v>22</v>
      </c>
      <c r="CW33" s="394" t="e">
        <f t="shared" si="52"/>
        <v>#VALUE!</v>
      </c>
      <c r="CX33" s="394" t="e">
        <f t="shared" si="53"/>
        <v>#VALUE!</v>
      </c>
      <c r="CY33" s="395" t="e">
        <f t="shared" si="54"/>
        <v>#VALUE!</v>
      </c>
      <c r="DA33" s="367"/>
      <c r="DB33" s="368"/>
      <c r="DC33" s="393">
        <v>22</v>
      </c>
      <c r="DD33" s="394" t="e">
        <f t="shared" si="55"/>
        <v>#VALUE!</v>
      </c>
      <c r="DE33" s="394" t="e">
        <f t="shared" si="56"/>
        <v>#VALUE!</v>
      </c>
      <c r="DF33" s="395" t="e">
        <f t="shared" si="57"/>
        <v>#VALUE!</v>
      </c>
      <c r="DH33" s="367"/>
      <c r="DI33" s="368"/>
      <c r="DJ33" s="393">
        <v>22</v>
      </c>
      <c r="DK33" s="394" t="e">
        <f t="shared" si="58"/>
        <v>#VALUE!</v>
      </c>
      <c r="DL33" s="394" t="e">
        <f t="shared" si="59"/>
        <v>#VALUE!</v>
      </c>
      <c r="DM33" s="395" t="e">
        <f t="shared" si="60"/>
        <v>#VALUE!</v>
      </c>
      <c r="DO33" s="367"/>
    </row>
    <row r="34" spans="1:119" ht="15.75" customHeight="1" x14ac:dyDescent="0.35">
      <c r="A34" s="245" t="s">
        <v>530</v>
      </c>
      <c r="B34" s="450" t="str">
        <f>+IFERROR(B$20*landfill_uncertainty*C_to_CH4_conversion*CH4_in_landfill_gas*B$27*$AU$13*SUM($BB$15:$BB$26)*'Landfill Disposal Aggressive'!B$21,"N/A")</f>
        <v>N/A</v>
      </c>
      <c r="C34" s="416"/>
      <c r="D34" s="450" t="str">
        <f>+IFERROR(D$20*landfill_uncertainty*C_to_CH4_conversion*CH4_in_landfill_gas*D$27*$AU$13*SUM($BI$15:$BI$26)*'Landfill Disposal Aggressive'!D$21,"N/A")</f>
        <v>N/A</v>
      </c>
      <c r="E34" s="416"/>
      <c r="F34" s="450" t="str">
        <f>+IFERROR(F$20*landfill_uncertainty*C_to_CH4_conversion*CH4_in_landfill_gas*F$27*$AU$13*SUM($BP$15:$BP$26)*'Landfill Disposal Aggressive'!F$21,"N/A")</f>
        <v>N/A</v>
      </c>
      <c r="G34" s="416"/>
      <c r="H34" s="450" t="str">
        <f>+IFERROR(H$20*landfill_uncertainty*C_to_CH4_conversion*CH4_in_landfill_gas*H$27*$AU$13*SUM($BW$15:$BW$26)*'Landfill Disposal Aggressive'!H$21,"N/A")</f>
        <v>N/A</v>
      </c>
      <c r="I34" s="416"/>
      <c r="J34" s="450" t="str">
        <f>+IFERROR(J$20*landfill_uncertainty*C_to_CH4_conversion*CH4_in_landfill_gas*J$27*$AU$13*SUM($CD$15:$CD$26)*'Landfill Disposal Aggressive'!J$21,"N/A")</f>
        <v>N/A</v>
      </c>
      <c r="K34" s="416"/>
      <c r="L34" s="450" t="str">
        <f>+IFERROR(L$20*landfill_uncertainty*C_to_CH4_conversion*CH4_in_landfill_gas*L$27*$AU$13*SUM($CK$15:$CK$26)*'Landfill Disposal Aggressive'!L$21,"N/A")</f>
        <v>N/A</v>
      </c>
      <c r="M34" s="416"/>
      <c r="N34" s="450" t="str">
        <f>+IFERROR(N$20*landfill_uncertainty*C_to_CH4_conversion*CH4_in_landfill_gas*N$27*$AU$13*SUM($CR$15:$CR$26)*'Landfill Disposal Aggressive'!N$21,"N/A")</f>
        <v>N/A</v>
      </c>
      <c r="O34" s="416"/>
      <c r="P34" s="450" t="str">
        <f>+IFERROR(P$20*landfill_uncertainty*C_to_CH4_conversion*CH4_in_landfill_gas*P$27*$AU$13*SUM($CY$15:$CY$26)*'Landfill Disposal Aggressive'!P$21,"N/A")</f>
        <v>N/A</v>
      </c>
      <c r="Q34" s="416"/>
      <c r="R34" s="450" t="str">
        <f>+IFERROR(R$20*landfill_uncertainty*C_to_CH4_conversion*CH4_in_landfill_gas*R$27*$AU$13*SUM($DF$15:$DF$26)*'Landfill Disposal Aggressive'!R$21,"N/A")</f>
        <v>N/A</v>
      </c>
      <c r="S34" s="416"/>
      <c r="T34" s="450" t="str">
        <f>+IFERROR(T$20*landfill_uncertainty*C_to_CH4_conversion*CH4_in_landfill_gas*T$27*$AU$13*SUM($DM$15:$DM$26)*'Landfill Disposal Aggressive'!T$21,"N/A")</f>
        <v>N/A</v>
      </c>
      <c r="U34" s="416"/>
      <c r="AW34" s="96"/>
      <c r="AX34" s="368">
        <f t="shared" si="31"/>
        <v>22</v>
      </c>
      <c r="AY34" s="393">
        <v>23</v>
      </c>
      <c r="AZ34" s="394" t="e">
        <f t="shared" si="32"/>
        <v>#VALUE!</v>
      </c>
      <c r="BA34" s="394" t="e">
        <f t="shared" si="33"/>
        <v>#VALUE!</v>
      </c>
      <c r="BB34" s="395" t="e">
        <f t="shared" si="34"/>
        <v>#VALUE!</v>
      </c>
      <c r="BD34" s="367"/>
      <c r="BE34" s="96"/>
      <c r="BF34" s="393">
        <v>23</v>
      </c>
      <c r="BG34" s="394" t="e">
        <f t="shared" si="35"/>
        <v>#VALUE!</v>
      </c>
      <c r="BH34" s="400" t="e">
        <f t="shared" si="36"/>
        <v>#VALUE!</v>
      </c>
      <c r="BI34" s="395" t="e">
        <f t="shared" si="37"/>
        <v>#VALUE!</v>
      </c>
      <c r="BK34" s="367"/>
      <c r="BL34" s="368"/>
      <c r="BM34" s="393">
        <v>23</v>
      </c>
      <c r="BN34" s="394" t="e">
        <f t="shared" si="38"/>
        <v>#VALUE!</v>
      </c>
      <c r="BO34" s="394" t="e">
        <f t="shared" si="39"/>
        <v>#VALUE!</v>
      </c>
      <c r="BP34" s="395" t="e">
        <f t="shared" si="10"/>
        <v>#VALUE!</v>
      </c>
      <c r="BR34" s="367"/>
      <c r="BS34" s="368"/>
      <c r="BT34" s="393">
        <v>23</v>
      </c>
      <c r="BU34" s="394" t="e">
        <f t="shared" si="40"/>
        <v>#VALUE!</v>
      </c>
      <c r="BV34" s="394" t="e">
        <f t="shared" si="41"/>
        <v>#VALUE!</v>
      </c>
      <c r="BW34" s="395" t="e">
        <f t="shared" si="42"/>
        <v>#VALUE!</v>
      </c>
      <c r="BY34" s="367"/>
      <c r="BZ34" s="368"/>
      <c r="CA34" s="393">
        <v>23</v>
      </c>
      <c r="CB34" s="394" t="e">
        <f t="shared" si="43"/>
        <v>#VALUE!</v>
      </c>
      <c r="CC34" s="394" t="e">
        <f t="shared" si="44"/>
        <v>#VALUE!</v>
      </c>
      <c r="CD34" s="395" t="e">
        <f t="shared" si="45"/>
        <v>#VALUE!</v>
      </c>
      <c r="CF34" s="367"/>
      <c r="CG34" s="368"/>
      <c r="CH34" s="393">
        <v>23</v>
      </c>
      <c r="CI34" s="394" t="e">
        <f t="shared" si="46"/>
        <v>#VALUE!</v>
      </c>
      <c r="CJ34" s="394" t="e">
        <f t="shared" si="47"/>
        <v>#VALUE!</v>
      </c>
      <c r="CK34" s="395" t="e">
        <f t="shared" si="48"/>
        <v>#VALUE!</v>
      </c>
      <c r="CM34" s="367"/>
      <c r="CN34" s="368"/>
      <c r="CO34" s="393">
        <v>23</v>
      </c>
      <c r="CP34" s="394" t="e">
        <f t="shared" si="49"/>
        <v>#VALUE!</v>
      </c>
      <c r="CQ34" s="394" t="e">
        <f t="shared" si="50"/>
        <v>#VALUE!</v>
      </c>
      <c r="CR34" s="395" t="e">
        <f t="shared" si="51"/>
        <v>#VALUE!</v>
      </c>
      <c r="CT34" s="367"/>
      <c r="CU34" s="368"/>
      <c r="CV34" s="393">
        <v>23</v>
      </c>
      <c r="CW34" s="394" t="e">
        <f t="shared" si="52"/>
        <v>#VALUE!</v>
      </c>
      <c r="CX34" s="394" t="e">
        <f t="shared" si="53"/>
        <v>#VALUE!</v>
      </c>
      <c r="CY34" s="395" t="e">
        <f t="shared" si="54"/>
        <v>#VALUE!</v>
      </c>
      <c r="DA34" s="367"/>
      <c r="DB34" s="368"/>
      <c r="DC34" s="393">
        <v>23</v>
      </c>
      <c r="DD34" s="394" t="e">
        <f t="shared" si="55"/>
        <v>#VALUE!</v>
      </c>
      <c r="DE34" s="394" t="e">
        <f t="shared" si="56"/>
        <v>#VALUE!</v>
      </c>
      <c r="DF34" s="395" t="e">
        <f t="shared" si="57"/>
        <v>#VALUE!</v>
      </c>
      <c r="DH34" s="367"/>
      <c r="DI34" s="368"/>
      <c r="DJ34" s="393">
        <v>23</v>
      </c>
      <c r="DK34" s="394" t="e">
        <f t="shared" si="58"/>
        <v>#VALUE!</v>
      </c>
      <c r="DL34" s="394" t="e">
        <f t="shared" si="59"/>
        <v>#VALUE!</v>
      </c>
      <c r="DM34" s="395" t="e">
        <f t="shared" si="60"/>
        <v>#VALUE!</v>
      </c>
      <c r="DO34" s="367"/>
    </row>
    <row r="35" spans="1:119" ht="15.75" customHeight="1" x14ac:dyDescent="0.35">
      <c r="A35" s="245" t="s">
        <v>428</v>
      </c>
      <c r="B35" s="450" t="str">
        <f>+IFERROR(B$20*landfill_uncertainty*$AU$14*(1-B$23)*C_to_CH4_conversion*CH4_in_landfill_gas*B$27*$AU$14*(SUM($BB$27:$BB$41))*B$21,"N/A")</f>
        <v>N/A</v>
      </c>
      <c r="C35" s="416"/>
      <c r="D35" s="450" t="str">
        <f>+IFERROR(D$20*landfill_uncertainty*$AU$14*(1-D$23)*C_to_CH4_conversion*CH4_in_landfill_gas*D$27*$AU$14*(SUM($BI$27:$BI$41))*D$21,"N/A")</f>
        <v>N/A</v>
      </c>
      <c r="E35" s="416"/>
      <c r="F35" s="450" t="str">
        <f>+IFERROR(F$20*landfill_uncertainty*$AU$14*(1-F$23)*C_to_CH4_conversion*CH4_in_landfill_gas*F$27*$AU$14*(SUM($BP$27:$BP$41))*F$21,"N/A")</f>
        <v>N/A</v>
      </c>
      <c r="G35" s="416"/>
      <c r="H35" s="450" t="str">
        <f>+IFERROR(H$20*landfill_uncertainty*$AU$14*(1-H$23)*C_to_CH4_conversion*CH4_in_landfill_gas*H$27*$AU$14*(SUM($BW$27:$BW$41))*H$21,"N/A")</f>
        <v>N/A</v>
      </c>
      <c r="I35" s="416"/>
      <c r="J35" s="450" t="str">
        <f>+IFERROR(J$20*landfill_uncertainty*$AU$14*(1-J$23)*C_to_CH4_conversion*CH4_in_landfill_gas*J$27*$AU$14*(SUM($CD$27:$CD$41))*J$21,"N/A")</f>
        <v>N/A</v>
      </c>
      <c r="K35" s="416"/>
      <c r="L35" s="450" t="str">
        <f>+IFERROR(L$20*landfill_uncertainty*$AU$14*(1-L$23)*C_to_CH4_conversion*CH4_in_landfill_gas*L$27*$AU$14*(SUM($CK$27:$CK$41))*L$21,"N/A")</f>
        <v>N/A</v>
      </c>
      <c r="M35" s="416"/>
      <c r="N35" s="450" t="str">
        <f>+IFERROR(N$20*landfill_uncertainty*$AU$14*(1-N$23)*C_to_CH4_conversion*CH4_in_landfill_gas*N$27*$AU$14*(SUM($CR$27:$CR$41))*N$21,"N/A")</f>
        <v>N/A</v>
      </c>
      <c r="O35" s="416"/>
      <c r="P35" s="450" t="str">
        <f>+IFERROR(P$20*landfill_uncertainty*$AU$14*(1-P$23)*C_to_CH4_conversion*CH4_in_landfill_gas*P$27*$AU$14*(SUM($CY$27:$CY$41))*P$21,"N/A")</f>
        <v>N/A</v>
      </c>
      <c r="Q35" s="416"/>
      <c r="R35" s="450" t="str">
        <f>+IFERROR(R$20*landfill_uncertainty*$AU$14*(1-R$23)*C_to_CH4_conversion*CH4_in_landfill_gas*R$27*$AU$14*(SUM($DF$27:$DF$41))*R$21,"N/A")</f>
        <v>N/A</v>
      </c>
      <c r="S35" s="416"/>
      <c r="T35" s="450" t="str">
        <f>+IFERROR(T$20*landfill_uncertainty*$AU$14*(1-T$23)*C_to_CH4_conversion*CH4_in_landfill_gas*T$27*$AU$14*(SUM($DM$27:$DM$41))*T$21,"N/A")</f>
        <v>N/A</v>
      </c>
      <c r="U35" s="416"/>
      <c r="AW35" s="96"/>
      <c r="AX35" s="368">
        <f t="shared" si="31"/>
        <v>23</v>
      </c>
      <c r="AY35" s="393">
        <v>24</v>
      </c>
      <c r="AZ35" s="394" t="e">
        <f t="shared" si="32"/>
        <v>#VALUE!</v>
      </c>
      <c r="BA35" s="394" t="e">
        <f t="shared" si="33"/>
        <v>#VALUE!</v>
      </c>
      <c r="BB35" s="395" t="e">
        <f t="shared" si="34"/>
        <v>#VALUE!</v>
      </c>
      <c r="BD35" s="367"/>
      <c r="BE35" s="96"/>
      <c r="BF35" s="393">
        <v>24</v>
      </c>
      <c r="BG35" s="394" t="e">
        <f t="shared" si="35"/>
        <v>#VALUE!</v>
      </c>
      <c r="BH35" s="400" t="e">
        <f t="shared" si="36"/>
        <v>#VALUE!</v>
      </c>
      <c r="BI35" s="395" t="e">
        <f t="shared" si="37"/>
        <v>#VALUE!</v>
      </c>
      <c r="BK35" s="367"/>
      <c r="BL35" s="368"/>
      <c r="BM35" s="393">
        <v>24</v>
      </c>
      <c r="BN35" s="394" t="e">
        <f t="shared" si="38"/>
        <v>#VALUE!</v>
      </c>
      <c r="BO35" s="394" t="e">
        <f t="shared" si="39"/>
        <v>#VALUE!</v>
      </c>
      <c r="BP35" s="395" t="e">
        <f t="shared" si="10"/>
        <v>#VALUE!</v>
      </c>
      <c r="BR35" s="367"/>
      <c r="BS35" s="368"/>
      <c r="BT35" s="393">
        <v>24</v>
      </c>
      <c r="BU35" s="394" t="e">
        <f t="shared" si="40"/>
        <v>#VALUE!</v>
      </c>
      <c r="BV35" s="394" t="e">
        <f t="shared" si="41"/>
        <v>#VALUE!</v>
      </c>
      <c r="BW35" s="395" t="e">
        <f t="shared" si="42"/>
        <v>#VALUE!</v>
      </c>
      <c r="BY35" s="367"/>
      <c r="BZ35" s="368"/>
      <c r="CA35" s="393">
        <v>24</v>
      </c>
      <c r="CB35" s="394" t="e">
        <f t="shared" si="43"/>
        <v>#VALUE!</v>
      </c>
      <c r="CC35" s="394" t="e">
        <f t="shared" si="44"/>
        <v>#VALUE!</v>
      </c>
      <c r="CD35" s="395" t="e">
        <f t="shared" si="45"/>
        <v>#VALUE!</v>
      </c>
      <c r="CF35" s="367"/>
      <c r="CG35" s="368"/>
      <c r="CH35" s="393">
        <v>24</v>
      </c>
      <c r="CI35" s="394" t="e">
        <f t="shared" si="46"/>
        <v>#VALUE!</v>
      </c>
      <c r="CJ35" s="394" t="e">
        <f t="shared" si="47"/>
        <v>#VALUE!</v>
      </c>
      <c r="CK35" s="395" t="e">
        <f t="shared" si="48"/>
        <v>#VALUE!</v>
      </c>
      <c r="CM35" s="367"/>
      <c r="CN35" s="368"/>
      <c r="CO35" s="393">
        <v>24</v>
      </c>
      <c r="CP35" s="394" t="e">
        <f t="shared" si="49"/>
        <v>#VALUE!</v>
      </c>
      <c r="CQ35" s="394" t="e">
        <f t="shared" si="50"/>
        <v>#VALUE!</v>
      </c>
      <c r="CR35" s="395" t="e">
        <f t="shared" si="51"/>
        <v>#VALUE!</v>
      </c>
      <c r="CT35" s="367"/>
      <c r="CU35" s="368"/>
      <c r="CV35" s="393">
        <v>24</v>
      </c>
      <c r="CW35" s="394" t="e">
        <f t="shared" si="52"/>
        <v>#VALUE!</v>
      </c>
      <c r="CX35" s="394" t="e">
        <f t="shared" si="53"/>
        <v>#VALUE!</v>
      </c>
      <c r="CY35" s="395" t="e">
        <f t="shared" si="54"/>
        <v>#VALUE!</v>
      </c>
      <c r="DA35" s="367"/>
      <c r="DB35" s="368"/>
      <c r="DC35" s="393">
        <v>24</v>
      </c>
      <c r="DD35" s="394" t="e">
        <f t="shared" si="55"/>
        <v>#VALUE!</v>
      </c>
      <c r="DE35" s="394" t="e">
        <f t="shared" si="56"/>
        <v>#VALUE!</v>
      </c>
      <c r="DF35" s="395" t="e">
        <f t="shared" si="57"/>
        <v>#VALUE!</v>
      </c>
      <c r="DH35" s="367"/>
      <c r="DI35" s="368"/>
      <c r="DJ35" s="393">
        <v>24</v>
      </c>
      <c r="DK35" s="394" t="e">
        <f t="shared" si="58"/>
        <v>#VALUE!</v>
      </c>
      <c r="DL35" s="394" t="e">
        <f t="shared" si="59"/>
        <v>#VALUE!</v>
      </c>
      <c r="DM35" s="395" t="e">
        <f t="shared" si="60"/>
        <v>#VALUE!</v>
      </c>
      <c r="DO35" s="367"/>
    </row>
    <row r="36" spans="1:119" ht="15.75" customHeight="1" x14ac:dyDescent="0.35">
      <c r="A36" s="245" t="s">
        <v>11</v>
      </c>
      <c r="B36" s="450" t="str">
        <f>+IFERROR(B$20*landfill_uncertainty*C_to_CH4_conversion*CH4_in_landfill_gas*B$27*B$21*(($AS$11*($BB$12*'References Assumptions'!$D$347)+($AS$12*SUM($BB$13:$BB$14,($BB$12*'References Assumptions'!$D$347))+($AS$13*SUM($BB$15:$BB$26))+($AS$14*SUM($BB$27:$BB$41)))*fugitive_methane_combustion_IPCC)),"N/A")</f>
        <v>N/A</v>
      </c>
      <c r="C36" s="416"/>
      <c r="D36" s="450" t="str">
        <f>+IFERROR(D$20*landfill_uncertainty*C_to_CH4_conversion*CH4_in_landfill_gas*D$27*D$21*(($AS$11*($BI$12*'References Assumptions'!$D$347)+($AS$12*SUM($BI$13:$BI$14,($BI$12*'References Assumptions'!$D$347))+($AS$13*SUM($BI$15:$BI$26))+($AS$14*SUM($BI$27:$BI$41)))*fugitive_methane_combustion_IPCC)),"N/A")</f>
        <v>N/A</v>
      </c>
      <c r="E36" s="416"/>
      <c r="F36" s="450" t="str">
        <f>+IFERROR(F$20*landfill_uncertainty*C_to_CH4_conversion*CH4_in_landfill_gas*F$27*F$21*(($AS$11*($BP$12*'References Assumptions'!$D$347)+($AS$12*SUM($BP$13:$BP$14,($BP$12*'References Assumptions'!$D$347))+($AS$13*SUM($BP$15:$BP$26))+($AS$14*SUM($BP$27:$BP$41)))*fugitive_methane_combustion_IPCC)),"N/A")</f>
        <v>N/A</v>
      </c>
      <c r="G36" s="416"/>
      <c r="H36" s="450" t="str">
        <f>+IFERROR(H$20*landfill_uncertainty*C_to_CH4_conversion*CH4_in_landfill_gas*H$27*H$21*(($AS$11*($BW$12*'References Assumptions'!$D$347)+($AS$12*SUM($BW$13:$BW$14,($BW$12*'References Assumptions'!$D$347))+($AS$13*SUM($BW$15:$BW$26))+($AS$14*SUM($BW$27:$BW$41)))*fugitive_methane_combustion_IPCC)),"N/A")</f>
        <v>N/A</v>
      </c>
      <c r="I36" s="416"/>
      <c r="J36" s="450" t="str">
        <f>+IFERROR(J$20*landfill_uncertainty*C_to_CH4_conversion*CH4_in_landfill_gas*J$27*J$21*(($AS$11*($CD$12*'References Assumptions'!$D$347)+($AS$12*SUM($CD$13:$CD$14,($CD$12*'References Assumptions'!$D$347))+($AS$13*SUM($CD$15:$CD$26))+($AS$14*SUM($CD$27:$CD$41)))*fugitive_methane_combustion_IPCC)),"N/A")</f>
        <v>N/A</v>
      </c>
      <c r="K36" s="416"/>
      <c r="L36" s="450" t="str">
        <f>+IFERROR(L$20*landfill_uncertainty*C_to_CH4_conversion*CH4_in_landfill_gas*L$27*L$21*(($AS$11*($CK$12*'References Assumptions'!$D$347)+($AS$12*SUM($CK$13:$CK$14,($CK$12*'References Assumptions'!$D$347))+($AS$13*SUM($CK$15:$CK$26))+($AS$14*SUM($CK$27:$CK$41)))*fugitive_methane_combustion_IPCC)),"N/A")</f>
        <v>N/A</v>
      </c>
      <c r="M36" s="416"/>
      <c r="N36" s="450" t="str">
        <f>+IFERROR(N$20*landfill_uncertainty*C_to_CH4_conversion*CH4_in_landfill_gas*N$27*N$21*(($AS$11*($CR$12*'References Assumptions'!$D$347)+($AS$12*SUM($CR$13:$CR$14,($CR$12*'References Assumptions'!$D$347))+($AS$13*SUM($CR$15:$CR$26))+($AS$14*SUM($CR$27:$CR$41)))*fugitive_methane_combustion_IPCC)),"N/A")</f>
        <v>N/A</v>
      </c>
      <c r="O36" s="416"/>
      <c r="P36" s="450" t="str">
        <f>+IFERROR(P$20*landfill_uncertainty*C_to_CH4_conversion*CH4_in_landfill_gas*P$27*P$21*(($AS$11*($CY$12*'References Assumptions'!$D$347)+($AS$12*SUM($CY$13:$CY$14,($CY$12*'References Assumptions'!$D$347))+($AS$13*SUM($CY$15:$CY$26))+($AS$14*SUM($CY$27:$CY$41)))*fugitive_methane_combustion_IPCC)),"N/A")</f>
        <v>N/A</v>
      </c>
      <c r="Q36" s="416"/>
      <c r="R36" s="450" t="str">
        <f>+IFERROR(R$20*landfill_uncertainty*C_to_CH4_conversion*CH4_in_landfill_gas*R$27*R$21*(($AS$11*($DF$12*'References Assumptions'!$D$347)+($AS$12*SUM($DF$13:$DF$14,($DF$12*'References Assumptions'!$D$347))+($AS$13*SUM($DF$15:$DF$26))+($AS$14*SUM($DF$27:$DF$41)))*fugitive_methane_combustion_IPCC)),"N/A")</f>
        <v>N/A</v>
      </c>
      <c r="S36" s="416"/>
      <c r="T36" s="450" t="str">
        <f>+IFERROR(T$20*landfill_uncertainty*C_to_CH4_conversion*CH4_in_landfill_gas*T$27*T$21*(($AS$11*($DM$12*'References Assumptions'!$D$347)+($AS$12*SUM($DM$13:$DM$14,($DM$12*'References Assumptions'!$D$347))+($AS$13*SUM($DM$15:$DM$26))+($AS$14*SUM($DM$27:$DM$41)))*fugitive_methane_combustion_IPCC)),"N/A")</f>
        <v>N/A</v>
      </c>
      <c r="U36" s="416"/>
      <c r="AW36" s="96"/>
      <c r="AX36" s="368">
        <f t="shared" si="31"/>
        <v>24</v>
      </c>
      <c r="AY36" s="393">
        <v>25</v>
      </c>
      <c r="AZ36" s="394" t="e">
        <f t="shared" si="32"/>
        <v>#VALUE!</v>
      </c>
      <c r="BA36" s="394" t="e">
        <f t="shared" si="33"/>
        <v>#VALUE!</v>
      </c>
      <c r="BB36" s="395" t="e">
        <f t="shared" si="34"/>
        <v>#VALUE!</v>
      </c>
      <c r="BD36" s="367"/>
      <c r="BE36" s="96"/>
      <c r="BF36" s="393">
        <v>25</v>
      </c>
      <c r="BG36" s="394" t="e">
        <f t="shared" si="35"/>
        <v>#VALUE!</v>
      </c>
      <c r="BH36" s="400" t="e">
        <f t="shared" si="36"/>
        <v>#VALUE!</v>
      </c>
      <c r="BI36" s="395" t="e">
        <f t="shared" si="37"/>
        <v>#VALUE!</v>
      </c>
      <c r="BK36" s="367"/>
      <c r="BL36" s="368"/>
      <c r="BM36" s="393">
        <v>25</v>
      </c>
      <c r="BN36" s="394" t="e">
        <f t="shared" si="38"/>
        <v>#VALUE!</v>
      </c>
      <c r="BO36" s="394" t="e">
        <f t="shared" si="39"/>
        <v>#VALUE!</v>
      </c>
      <c r="BP36" s="395" t="e">
        <f t="shared" si="10"/>
        <v>#VALUE!</v>
      </c>
      <c r="BR36" s="367"/>
      <c r="BS36" s="368"/>
      <c r="BT36" s="393">
        <v>25</v>
      </c>
      <c r="BU36" s="394" t="e">
        <f t="shared" si="40"/>
        <v>#VALUE!</v>
      </c>
      <c r="BV36" s="394" t="e">
        <f t="shared" si="41"/>
        <v>#VALUE!</v>
      </c>
      <c r="BW36" s="395" t="e">
        <f t="shared" si="42"/>
        <v>#VALUE!</v>
      </c>
      <c r="BY36" s="367"/>
      <c r="BZ36" s="368"/>
      <c r="CA36" s="393">
        <v>25</v>
      </c>
      <c r="CB36" s="394" t="e">
        <f t="shared" si="43"/>
        <v>#VALUE!</v>
      </c>
      <c r="CC36" s="394" t="e">
        <f t="shared" si="44"/>
        <v>#VALUE!</v>
      </c>
      <c r="CD36" s="395" t="e">
        <f t="shared" si="45"/>
        <v>#VALUE!</v>
      </c>
      <c r="CF36" s="367"/>
      <c r="CG36" s="368"/>
      <c r="CH36" s="393">
        <v>25</v>
      </c>
      <c r="CI36" s="394" t="e">
        <f t="shared" si="46"/>
        <v>#VALUE!</v>
      </c>
      <c r="CJ36" s="394" t="e">
        <f t="shared" si="47"/>
        <v>#VALUE!</v>
      </c>
      <c r="CK36" s="395" t="e">
        <f t="shared" si="48"/>
        <v>#VALUE!</v>
      </c>
      <c r="CM36" s="367"/>
      <c r="CN36" s="368"/>
      <c r="CO36" s="393">
        <v>25</v>
      </c>
      <c r="CP36" s="394" t="e">
        <f t="shared" si="49"/>
        <v>#VALUE!</v>
      </c>
      <c r="CQ36" s="394" t="e">
        <f t="shared" si="50"/>
        <v>#VALUE!</v>
      </c>
      <c r="CR36" s="395" t="e">
        <f t="shared" si="51"/>
        <v>#VALUE!</v>
      </c>
      <c r="CT36" s="367"/>
      <c r="CU36" s="368"/>
      <c r="CV36" s="393">
        <v>25</v>
      </c>
      <c r="CW36" s="394" t="e">
        <f t="shared" si="52"/>
        <v>#VALUE!</v>
      </c>
      <c r="CX36" s="394" t="e">
        <f t="shared" si="53"/>
        <v>#VALUE!</v>
      </c>
      <c r="CY36" s="395" t="e">
        <f t="shared" si="54"/>
        <v>#VALUE!</v>
      </c>
      <c r="DA36" s="367"/>
      <c r="DB36" s="368"/>
      <c r="DC36" s="393">
        <v>25</v>
      </c>
      <c r="DD36" s="394" t="e">
        <f t="shared" si="55"/>
        <v>#VALUE!</v>
      </c>
      <c r="DE36" s="394" t="e">
        <f t="shared" si="56"/>
        <v>#VALUE!</v>
      </c>
      <c r="DF36" s="395" t="e">
        <f t="shared" si="57"/>
        <v>#VALUE!</v>
      </c>
      <c r="DH36" s="367"/>
      <c r="DI36" s="368"/>
      <c r="DJ36" s="393">
        <v>25</v>
      </c>
      <c r="DK36" s="394" t="e">
        <f t="shared" si="58"/>
        <v>#VALUE!</v>
      </c>
      <c r="DL36" s="394" t="e">
        <f t="shared" si="59"/>
        <v>#VALUE!</v>
      </c>
      <c r="DM36" s="395" t="e">
        <f t="shared" si="60"/>
        <v>#VALUE!</v>
      </c>
      <c r="DO36" s="367"/>
    </row>
    <row r="37" spans="1:119" ht="15.75" customHeight="1" x14ac:dyDescent="0.3">
      <c r="A37" s="417" t="s">
        <v>337</v>
      </c>
      <c r="B37" s="418">
        <f>SUM(B32:B36)*CO2E_of_CH4_ClimateReg</f>
        <v>0</v>
      </c>
      <c r="C37" s="419"/>
      <c r="D37" s="462">
        <f>SUM(D32:D36)*CO2E_of_CH4_ClimateReg</f>
        <v>0</v>
      </c>
      <c r="E37" s="419"/>
      <c r="F37" s="420">
        <f>SUM(F32:F36)*CO2E_of_CH4_ClimateReg</f>
        <v>0</v>
      </c>
      <c r="G37" s="419"/>
      <c r="H37" s="420">
        <f>SUM(H32:H36)*CO2E_of_CH4_ClimateReg</f>
        <v>0</v>
      </c>
      <c r="I37" s="419"/>
      <c r="J37" s="420">
        <f>SUM(J32:J36)*CO2E_of_CH4_ClimateReg</f>
        <v>0</v>
      </c>
      <c r="K37" s="419"/>
      <c r="L37" s="420">
        <f>SUM(L32:L36)*CO2E_of_CH4_ClimateReg</f>
        <v>0</v>
      </c>
      <c r="M37" s="419"/>
      <c r="N37" s="420">
        <f>SUM(N32:N36)*CO2E_of_CH4_ClimateReg</f>
        <v>0</v>
      </c>
      <c r="O37" s="419"/>
      <c r="P37" s="420">
        <f>SUM(P32:P36)*CO2E_of_CH4_ClimateReg</f>
        <v>0</v>
      </c>
      <c r="Q37" s="419"/>
      <c r="R37" s="420">
        <f>SUM(R32:R36)*CO2E_of_CH4_ClimateReg</f>
        <v>0</v>
      </c>
      <c r="S37" s="419"/>
      <c r="T37" s="420">
        <f>SUM(T32:T36)*CO2E_of_CH4_ClimateReg</f>
        <v>0</v>
      </c>
      <c r="U37" s="419"/>
      <c r="AU37" s="130"/>
      <c r="AV37"/>
      <c r="AW37" s="96"/>
      <c r="AX37" s="368">
        <f t="shared" si="31"/>
        <v>25</v>
      </c>
      <c r="AY37" s="393">
        <v>26</v>
      </c>
      <c r="AZ37" s="394" t="e">
        <f t="shared" si="32"/>
        <v>#VALUE!</v>
      </c>
      <c r="BA37" s="394" t="e">
        <f t="shared" si="33"/>
        <v>#VALUE!</v>
      </c>
      <c r="BB37" s="395" t="e">
        <f t="shared" si="34"/>
        <v>#VALUE!</v>
      </c>
      <c r="BD37" s="367"/>
      <c r="BE37" s="96"/>
      <c r="BF37" s="393">
        <v>26</v>
      </c>
      <c r="BG37" s="394" t="e">
        <f t="shared" si="35"/>
        <v>#VALUE!</v>
      </c>
      <c r="BH37" s="400" t="e">
        <f t="shared" si="36"/>
        <v>#VALUE!</v>
      </c>
      <c r="BI37" s="395" t="e">
        <f t="shared" si="37"/>
        <v>#VALUE!</v>
      </c>
      <c r="BK37" s="367"/>
      <c r="BL37" s="368"/>
      <c r="BM37" s="393">
        <v>26</v>
      </c>
      <c r="BN37" s="394" t="e">
        <f t="shared" si="38"/>
        <v>#VALUE!</v>
      </c>
      <c r="BO37" s="394" t="e">
        <f t="shared" si="39"/>
        <v>#VALUE!</v>
      </c>
      <c r="BP37" s="395" t="e">
        <f t="shared" si="10"/>
        <v>#VALUE!</v>
      </c>
      <c r="BR37" s="367"/>
      <c r="BS37" s="368"/>
      <c r="BT37" s="393">
        <v>26</v>
      </c>
      <c r="BU37" s="394" t="e">
        <f t="shared" si="40"/>
        <v>#VALUE!</v>
      </c>
      <c r="BV37" s="394" t="e">
        <f t="shared" si="41"/>
        <v>#VALUE!</v>
      </c>
      <c r="BW37" s="395" t="e">
        <f t="shared" si="42"/>
        <v>#VALUE!</v>
      </c>
      <c r="BY37" s="367"/>
      <c r="BZ37" s="368"/>
      <c r="CA37" s="393">
        <v>26</v>
      </c>
      <c r="CB37" s="394" t="e">
        <f t="shared" si="43"/>
        <v>#VALUE!</v>
      </c>
      <c r="CC37" s="394" t="e">
        <f t="shared" si="44"/>
        <v>#VALUE!</v>
      </c>
      <c r="CD37" s="395" t="e">
        <f t="shared" si="45"/>
        <v>#VALUE!</v>
      </c>
      <c r="CF37" s="367"/>
      <c r="CG37" s="368"/>
      <c r="CH37" s="393">
        <v>26</v>
      </c>
      <c r="CI37" s="394" t="e">
        <f t="shared" si="46"/>
        <v>#VALUE!</v>
      </c>
      <c r="CJ37" s="394" t="e">
        <f t="shared" si="47"/>
        <v>#VALUE!</v>
      </c>
      <c r="CK37" s="395" t="e">
        <f t="shared" si="48"/>
        <v>#VALUE!</v>
      </c>
      <c r="CM37" s="367"/>
      <c r="CN37" s="368"/>
      <c r="CO37" s="393">
        <v>26</v>
      </c>
      <c r="CP37" s="394" t="e">
        <f t="shared" si="49"/>
        <v>#VALUE!</v>
      </c>
      <c r="CQ37" s="394" t="e">
        <f t="shared" si="50"/>
        <v>#VALUE!</v>
      </c>
      <c r="CR37" s="395" t="e">
        <f t="shared" si="51"/>
        <v>#VALUE!</v>
      </c>
      <c r="CT37" s="367"/>
      <c r="CU37" s="368"/>
      <c r="CV37" s="393">
        <v>26</v>
      </c>
      <c r="CW37" s="394" t="e">
        <f t="shared" si="52"/>
        <v>#VALUE!</v>
      </c>
      <c r="CX37" s="394" t="e">
        <f t="shared" si="53"/>
        <v>#VALUE!</v>
      </c>
      <c r="CY37" s="395" t="e">
        <f t="shared" si="54"/>
        <v>#VALUE!</v>
      </c>
      <c r="DA37" s="367"/>
      <c r="DB37" s="368"/>
      <c r="DC37" s="393">
        <v>26</v>
      </c>
      <c r="DD37" s="394" t="e">
        <f t="shared" si="55"/>
        <v>#VALUE!</v>
      </c>
      <c r="DE37" s="394" t="e">
        <f t="shared" si="56"/>
        <v>#VALUE!</v>
      </c>
      <c r="DF37" s="395" t="e">
        <f t="shared" si="57"/>
        <v>#VALUE!</v>
      </c>
      <c r="DH37" s="367"/>
      <c r="DI37" s="368"/>
      <c r="DJ37" s="393">
        <v>26</v>
      </c>
      <c r="DK37" s="394" t="e">
        <f t="shared" si="58"/>
        <v>#VALUE!</v>
      </c>
      <c r="DL37" s="394" t="e">
        <f t="shared" si="59"/>
        <v>#VALUE!</v>
      </c>
      <c r="DM37" s="395" t="e">
        <f t="shared" si="60"/>
        <v>#VALUE!</v>
      </c>
      <c r="DO37" s="367"/>
    </row>
    <row r="38" spans="1:119" ht="15.75" customHeight="1" thickBot="1" x14ac:dyDescent="0.3">
      <c r="A38" s="273"/>
      <c r="B38" s="229"/>
      <c r="C38" s="350"/>
      <c r="D38" s="463"/>
      <c r="E38" s="350"/>
      <c r="F38" s="421"/>
      <c r="G38" s="350"/>
      <c r="H38" s="421"/>
      <c r="I38" s="350"/>
      <c r="J38" s="421"/>
      <c r="K38" s="350"/>
      <c r="L38" s="421"/>
      <c r="M38" s="350"/>
      <c r="N38" s="421"/>
      <c r="O38" s="350"/>
      <c r="P38" s="421"/>
      <c r="Q38" s="350"/>
      <c r="R38" s="421"/>
      <c r="S38" s="350"/>
      <c r="T38" s="421"/>
      <c r="U38" s="350"/>
      <c r="AS38" s="386">
        <v>1</v>
      </c>
      <c r="AT38" t="s">
        <v>413</v>
      </c>
      <c r="AU38"/>
      <c r="AV38"/>
      <c r="AW38" s="96"/>
      <c r="AX38" s="368">
        <f t="shared" si="31"/>
        <v>26</v>
      </c>
      <c r="AY38" s="393">
        <v>27</v>
      </c>
      <c r="AZ38" s="394" t="e">
        <f t="shared" si="32"/>
        <v>#VALUE!</v>
      </c>
      <c r="BA38" s="394" t="e">
        <f t="shared" si="33"/>
        <v>#VALUE!</v>
      </c>
      <c r="BB38" s="395" t="e">
        <f t="shared" si="34"/>
        <v>#VALUE!</v>
      </c>
      <c r="BD38" s="367"/>
      <c r="BE38" s="96"/>
      <c r="BF38" s="393">
        <v>27</v>
      </c>
      <c r="BG38" s="394" t="e">
        <f t="shared" si="35"/>
        <v>#VALUE!</v>
      </c>
      <c r="BH38" s="400" t="e">
        <f t="shared" si="36"/>
        <v>#VALUE!</v>
      </c>
      <c r="BI38" s="395" t="e">
        <f t="shared" si="37"/>
        <v>#VALUE!</v>
      </c>
      <c r="BK38" s="367"/>
      <c r="BL38" s="368"/>
      <c r="BM38" s="393">
        <v>27</v>
      </c>
      <c r="BN38" s="394" t="e">
        <f t="shared" si="38"/>
        <v>#VALUE!</v>
      </c>
      <c r="BO38" s="394" t="e">
        <f t="shared" si="39"/>
        <v>#VALUE!</v>
      </c>
      <c r="BP38" s="395" t="e">
        <f t="shared" si="10"/>
        <v>#VALUE!</v>
      </c>
      <c r="BR38" s="367"/>
      <c r="BS38" s="368"/>
      <c r="BT38" s="393">
        <v>27</v>
      </c>
      <c r="BU38" s="394" t="e">
        <f t="shared" si="40"/>
        <v>#VALUE!</v>
      </c>
      <c r="BV38" s="394" t="e">
        <f t="shared" si="41"/>
        <v>#VALUE!</v>
      </c>
      <c r="BW38" s="395" t="e">
        <f t="shared" si="42"/>
        <v>#VALUE!</v>
      </c>
      <c r="BY38" s="367"/>
      <c r="BZ38" s="368"/>
      <c r="CA38" s="393">
        <v>27</v>
      </c>
      <c r="CB38" s="394" t="e">
        <f t="shared" si="43"/>
        <v>#VALUE!</v>
      </c>
      <c r="CC38" s="394" t="e">
        <f t="shared" si="44"/>
        <v>#VALUE!</v>
      </c>
      <c r="CD38" s="395" t="e">
        <f t="shared" si="45"/>
        <v>#VALUE!</v>
      </c>
      <c r="CF38" s="367"/>
      <c r="CG38" s="368"/>
      <c r="CH38" s="393">
        <v>27</v>
      </c>
      <c r="CI38" s="394" t="e">
        <f t="shared" si="46"/>
        <v>#VALUE!</v>
      </c>
      <c r="CJ38" s="394" t="e">
        <f t="shared" si="47"/>
        <v>#VALUE!</v>
      </c>
      <c r="CK38" s="395" t="e">
        <f t="shared" si="48"/>
        <v>#VALUE!</v>
      </c>
      <c r="CM38" s="367"/>
      <c r="CN38" s="368"/>
      <c r="CO38" s="393">
        <v>27</v>
      </c>
      <c r="CP38" s="394" t="e">
        <f t="shared" si="49"/>
        <v>#VALUE!</v>
      </c>
      <c r="CQ38" s="394" t="e">
        <f t="shared" si="50"/>
        <v>#VALUE!</v>
      </c>
      <c r="CR38" s="395" t="e">
        <f t="shared" si="51"/>
        <v>#VALUE!</v>
      </c>
      <c r="CT38" s="367"/>
      <c r="CU38" s="368"/>
      <c r="CV38" s="393">
        <v>27</v>
      </c>
      <c r="CW38" s="394" t="e">
        <f t="shared" si="52"/>
        <v>#VALUE!</v>
      </c>
      <c r="CX38" s="394" t="e">
        <f t="shared" si="53"/>
        <v>#VALUE!</v>
      </c>
      <c r="CY38" s="395" t="e">
        <f t="shared" si="54"/>
        <v>#VALUE!</v>
      </c>
      <c r="DA38" s="367"/>
      <c r="DB38" s="368"/>
      <c r="DC38" s="393">
        <v>27</v>
      </c>
      <c r="DD38" s="394" t="e">
        <f t="shared" si="55"/>
        <v>#VALUE!</v>
      </c>
      <c r="DE38" s="394" t="e">
        <f t="shared" si="56"/>
        <v>#VALUE!</v>
      </c>
      <c r="DF38" s="395" t="e">
        <f t="shared" si="57"/>
        <v>#VALUE!</v>
      </c>
      <c r="DH38" s="367"/>
      <c r="DI38" s="368"/>
      <c r="DJ38" s="393">
        <v>27</v>
      </c>
      <c r="DK38" s="394" t="e">
        <f t="shared" si="58"/>
        <v>#VALUE!</v>
      </c>
      <c r="DL38" s="394" t="e">
        <f t="shared" si="59"/>
        <v>#VALUE!</v>
      </c>
      <c r="DM38" s="395" t="e">
        <f t="shared" si="60"/>
        <v>#VALUE!</v>
      </c>
      <c r="DO38" s="367"/>
    </row>
    <row r="39" spans="1:119" ht="15.75" customHeight="1" thickBot="1" x14ac:dyDescent="0.3">
      <c r="A39" s="1300" t="s">
        <v>202</v>
      </c>
      <c r="B39" s="1301"/>
      <c r="C39" s="1301"/>
      <c r="D39" s="1301"/>
      <c r="E39" s="1301"/>
      <c r="F39" s="1301"/>
      <c r="G39" s="1301"/>
      <c r="H39" s="1301"/>
      <c r="I39" s="1301"/>
      <c r="J39" s="1301"/>
      <c r="K39" s="1301"/>
      <c r="L39" s="1301"/>
      <c r="M39" s="1301"/>
      <c r="N39" s="1301"/>
      <c r="O39" s="1301"/>
      <c r="P39" s="1301"/>
      <c r="Q39" s="1301"/>
      <c r="R39" s="1301"/>
      <c r="S39" s="1301"/>
      <c r="T39" s="1301"/>
      <c r="U39" s="1302"/>
      <c r="AT39" t="s">
        <v>414</v>
      </c>
      <c r="AU39"/>
      <c r="AV39"/>
      <c r="AW39" s="96"/>
      <c r="AX39" s="368">
        <f t="shared" si="31"/>
        <v>27</v>
      </c>
      <c r="AY39" s="393">
        <v>28</v>
      </c>
      <c r="AZ39" s="394" t="e">
        <f t="shared" si="32"/>
        <v>#VALUE!</v>
      </c>
      <c r="BA39" s="394" t="e">
        <f t="shared" si="33"/>
        <v>#VALUE!</v>
      </c>
      <c r="BB39" s="395" t="e">
        <f t="shared" si="34"/>
        <v>#VALUE!</v>
      </c>
      <c r="BD39" s="367"/>
      <c r="BE39" s="96"/>
      <c r="BF39" s="393">
        <v>28</v>
      </c>
      <c r="BG39" s="394" t="e">
        <f t="shared" si="35"/>
        <v>#VALUE!</v>
      </c>
      <c r="BH39" s="400" t="e">
        <f t="shared" si="36"/>
        <v>#VALUE!</v>
      </c>
      <c r="BI39" s="395" t="e">
        <f t="shared" si="37"/>
        <v>#VALUE!</v>
      </c>
      <c r="BK39" s="367"/>
      <c r="BL39" s="368"/>
      <c r="BM39" s="393">
        <v>28</v>
      </c>
      <c r="BN39" s="394" t="e">
        <f t="shared" si="38"/>
        <v>#VALUE!</v>
      </c>
      <c r="BO39" s="394" t="e">
        <f t="shared" si="39"/>
        <v>#VALUE!</v>
      </c>
      <c r="BP39" s="395" t="e">
        <f t="shared" si="10"/>
        <v>#VALUE!</v>
      </c>
      <c r="BR39" s="367"/>
      <c r="BS39" s="368"/>
      <c r="BT39" s="393">
        <v>28</v>
      </c>
      <c r="BU39" s="394" t="e">
        <f t="shared" si="40"/>
        <v>#VALUE!</v>
      </c>
      <c r="BV39" s="394" t="e">
        <f t="shared" si="41"/>
        <v>#VALUE!</v>
      </c>
      <c r="BW39" s="395" t="e">
        <f t="shared" si="42"/>
        <v>#VALUE!</v>
      </c>
      <c r="BY39" s="367"/>
      <c r="BZ39" s="368"/>
      <c r="CA39" s="393">
        <v>28</v>
      </c>
      <c r="CB39" s="394" t="e">
        <f t="shared" si="43"/>
        <v>#VALUE!</v>
      </c>
      <c r="CC39" s="394" t="e">
        <f t="shared" si="44"/>
        <v>#VALUE!</v>
      </c>
      <c r="CD39" s="395" t="e">
        <f t="shared" si="45"/>
        <v>#VALUE!</v>
      </c>
      <c r="CF39" s="367"/>
      <c r="CG39" s="368"/>
      <c r="CH39" s="393">
        <v>28</v>
      </c>
      <c r="CI39" s="394" t="e">
        <f t="shared" si="46"/>
        <v>#VALUE!</v>
      </c>
      <c r="CJ39" s="394" t="e">
        <f t="shared" si="47"/>
        <v>#VALUE!</v>
      </c>
      <c r="CK39" s="395" t="e">
        <f t="shared" si="48"/>
        <v>#VALUE!</v>
      </c>
      <c r="CM39" s="367"/>
      <c r="CN39" s="368"/>
      <c r="CO39" s="393">
        <v>28</v>
      </c>
      <c r="CP39" s="394" t="e">
        <f t="shared" si="49"/>
        <v>#VALUE!</v>
      </c>
      <c r="CQ39" s="394" t="e">
        <f t="shared" si="50"/>
        <v>#VALUE!</v>
      </c>
      <c r="CR39" s="395" t="e">
        <f t="shared" si="51"/>
        <v>#VALUE!</v>
      </c>
      <c r="CT39" s="367"/>
      <c r="CU39" s="368"/>
      <c r="CV39" s="393">
        <v>28</v>
      </c>
      <c r="CW39" s="394" t="e">
        <f t="shared" si="52"/>
        <v>#VALUE!</v>
      </c>
      <c r="CX39" s="394" t="e">
        <f t="shared" si="53"/>
        <v>#VALUE!</v>
      </c>
      <c r="CY39" s="395" t="e">
        <f t="shared" si="54"/>
        <v>#VALUE!</v>
      </c>
      <c r="DA39" s="367"/>
      <c r="DB39" s="368"/>
      <c r="DC39" s="393">
        <v>28</v>
      </c>
      <c r="DD39" s="394" t="e">
        <f t="shared" si="55"/>
        <v>#VALUE!</v>
      </c>
      <c r="DE39" s="394" t="e">
        <f t="shared" si="56"/>
        <v>#VALUE!</v>
      </c>
      <c r="DF39" s="395" t="e">
        <f t="shared" si="57"/>
        <v>#VALUE!</v>
      </c>
      <c r="DH39" s="367"/>
      <c r="DI39" s="368"/>
      <c r="DJ39" s="393">
        <v>28</v>
      </c>
      <c r="DK39" s="394" t="e">
        <f t="shared" si="58"/>
        <v>#VALUE!</v>
      </c>
      <c r="DL39" s="394" t="e">
        <f t="shared" si="59"/>
        <v>#VALUE!</v>
      </c>
      <c r="DM39" s="395" t="e">
        <f t="shared" si="60"/>
        <v>#VALUE!</v>
      </c>
      <c r="DO39" s="367"/>
    </row>
    <row r="40" spans="1:119" ht="15.75" customHeight="1" x14ac:dyDescent="0.35">
      <c r="A40" s="67" t="s">
        <v>857</v>
      </c>
      <c r="B40" s="422">
        <f>IFERROR(IF(B19/B17&lt;Cut_off_between_low_and_high_C_N,B15*B17*n2o_landfill*N_to_N2O_conversion,0),"N/A")</f>
        <v>0</v>
      </c>
      <c r="C40" s="452"/>
      <c r="D40" s="422">
        <f>IFERROR(IF(D19/D17&lt;Cut_off_between_low_and_high_C_N,D15*D17*n2o_landfill*N_to_N2O_conversion,0),"N/A")</f>
        <v>0</v>
      </c>
      <c r="E40" s="423"/>
      <c r="F40" s="422">
        <f>IFERROR(IF(F19/F17&lt;Cut_off_between_low_and_high_C_N,F15*F17*n2o_landfill*N_to_N2O_conversion,0),"N/A")</f>
        <v>0</v>
      </c>
      <c r="G40" s="423"/>
      <c r="H40" s="422">
        <f>IFERROR(IF(H19/H17&lt;Cut_off_between_low_and_high_C_N,H15*H17*n2o_landfill*N_to_N2O_conversion,0),"N/A")</f>
        <v>0</v>
      </c>
      <c r="I40" s="423"/>
      <c r="J40" s="422">
        <f>IFERROR(IF(J19/J17&lt;Cut_off_between_low_and_high_C_N,J15*J17*n2o_landfill*N_to_N2O_conversion,0),"N/A")</f>
        <v>0</v>
      </c>
      <c r="K40" s="423"/>
      <c r="L40" s="422">
        <f>IFERROR(IF(L19/L17&lt;Cut_off_between_low_and_high_C_N,L15*L17*n2o_landfill*N_to_N2O_conversion,0),"N/A")</f>
        <v>0</v>
      </c>
      <c r="M40" s="423"/>
      <c r="N40" s="422">
        <f>IFERROR(IF(N19/N17&lt;Cut_off_between_low_and_high_C_N,N15*N17*n2o_landfill*N_to_N2O_conversion,0),"N/A")</f>
        <v>0</v>
      </c>
      <c r="O40" s="423"/>
      <c r="P40" s="422">
        <f>IFERROR(IF(P19/P17&lt;Cut_off_between_low_and_high_C_N,P15*P17*n2o_landfill*N_to_N2O_conversion,0),"N/A")</f>
        <v>0</v>
      </c>
      <c r="Q40" s="423"/>
      <c r="R40" s="422">
        <f>IFERROR(IF(R19/R17&lt;Cut_off_between_low_and_high_C_N,R15*R17*n2o_landfill*N_to_N2O_conversion,0),"N/A")</f>
        <v>0</v>
      </c>
      <c r="S40" s="423"/>
      <c r="T40" s="422">
        <f>IFERROR(IF(T19/T17&lt;Cut_off_between_low_and_high_C_N,T15*T17*n2o_landfill*N_to_N2O_conversion,0),"N/A")</f>
        <v>0</v>
      </c>
      <c r="U40" s="423"/>
      <c r="AS40" t="s">
        <v>415</v>
      </c>
      <c r="AU40"/>
      <c r="AV40"/>
      <c r="AW40" s="96"/>
      <c r="AX40" s="368">
        <f t="shared" si="31"/>
        <v>28</v>
      </c>
      <c r="AY40" s="393">
        <v>29</v>
      </c>
      <c r="AZ40" s="394" t="e">
        <f t="shared" si="32"/>
        <v>#VALUE!</v>
      </c>
      <c r="BA40" s="394" t="e">
        <f t="shared" si="33"/>
        <v>#VALUE!</v>
      </c>
      <c r="BB40" s="395" t="e">
        <f t="shared" si="34"/>
        <v>#VALUE!</v>
      </c>
      <c r="BD40" s="367"/>
      <c r="BE40" s="96"/>
      <c r="BF40" s="393">
        <v>29</v>
      </c>
      <c r="BG40" s="394" t="e">
        <f t="shared" si="35"/>
        <v>#VALUE!</v>
      </c>
      <c r="BH40" s="400" t="e">
        <f t="shared" si="36"/>
        <v>#VALUE!</v>
      </c>
      <c r="BI40" s="395" t="e">
        <f t="shared" si="37"/>
        <v>#VALUE!</v>
      </c>
      <c r="BK40" s="367"/>
      <c r="BL40" s="368"/>
      <c r="BM40" s="393">
        <v>29</v>
      </c>
      <c r="BN40" s="394" t="e">
        <f t="shared" si="38"/>
        <v>#VALUE!</v>
      </c>
      <c r="BO40" s="394" t="e">
        <f t="shared" si="39"/>
        <v>#VALUE!</v>
      </c>
      <c r="BP40" s="395" t="e">
        <f t="shared" si="10"/>
        <v>#VALUE!</v>
      </c>
      <c r="BR40" s="367"/>
      <c r="BS40" s="368"/>
      <c r="BT40" s="393">
        <v>29</v>
      </c>
      <c r="BU40" s="394" t="e">
        <f t="shared" si="40"/>
        <v>#VALUE!</v>
      </c>
      <c r="BV40" s="394" t="e">
        <f t="shared" si="41"/>
        <v>#VALUE!</v>
      </c>
      <c r="BW40" s="395" t="e">
        <f t="shared" si="42"/>
        <v>#VALUE!</v>
      </c>
      <c r="BY40" s="367"/>
      <c r="BZ40" s="368"/>
      <c r="CA40" s="393">
        <v>29</v>
      </c>
      <c r="CB40" s="394" t="e">
        <f t="shared" si="43"/>
        <v>#VALUE!</v>
      </c>
      <c r="CC40" s="394" t="e">
        <f t="shared" si="44"/>
        <v>#VALUE!</v>
      </c>
      <c r="CD40" s="395" t="e">
        <f t="shared" si="45"/>
        <v>#VALUE!</v>
      </c>
      <c r="CF40" s="367"/>
      <c r="CG40" s="368"/>
      <c r="CH40" s="393">
        <v>29</v>
      </c>
      <c r="CI40" s="394" t="e">
        <f t="shared" si="46"/>
        <v>#VALUE!</v>
      </c>
      <c r="CJ40" s="394" t="e">
        <f t="shared" si="47"/>
        <v>#VALUE!</v>
      </c>
      <c r="CK40" s="395" t="e">
        <f t="shared" si="48"/>
        <v>#VALUE!</v>
      </c>
      <c r="CM40" s="367"/>
      <c r="CN40" s="368"/>
      <c r="CO40" s="393">
        <v>29</v>
      </c>
      <c r="CP40" s="394" t="e">
        <f t="shared" si="49"/>
        <v>#VALUE!</v>
      </c>
      <c r="CQ40" s="394" t="e">
        <f t="shared" si="50"/>
        <v>#VALUE!</v>
      </c>
      <c r="CR40" s="395" t="e">
        <f t="shared" si="51"/>
        <v>#VALUE!</v>
      </c>
      <c r="CT40" s="367"/>
      <c r="CU40" s="368"/>
      <c r="CV40" s="393">
        <v>29</v>
      </c>
      <c r="CW40" s="394" t="e">
        <f t="shared" si="52"/>
        <v>#VALUE!</v>
      </c>
      <c r="CX40" s="394" t="e">
        <f t="shared" si="53"/>
        <v>#VALUE!</v>
      </c>
      <c r="CY40" s="395" t="e">
        <f t="shared" si="54"/>
        <v>#VALUE!</v>
      </c>
      <c r="DA40" s="367"/>
      <c r="DB40" s="368"/>
      <c r="DC40" s="393">
        <v>29</v>
      </c>
      <c r="DD40" s="394" t="e">
        <f t="shared" si="55"/>
        <v>#VALUE!</v>
      </c>
      <c r="DE40" s="394" t="e">
        <f t="shared" si="56"/>
        <v>#VALUE!</v>
      </c>
      <c r="DF40" s="395" t="e">
        <f t="shared" si="57"/>
        <v>#VALUE!</v>
      </c>
      <c r="DH40" s="367"/>
      <c r="DI40" s="368"/>
      <c r="DJ40" s="393">
        <v>29</v>
      </c>
      <c r="DK40" s="394" t="e">
        <f t="shared" si="58"/>
        <v>#VALUE!</v>
      </c>
      <c r="DL40" s="394" t="e">
        <f t="shared" si="59"/>
        <v>#VALUE!</v>
      </c>
      <c r="DM40" s="395" t="e">
        <f t="shared" si="60"/>
        <v>#VALUE!</v>
      </c>
      <c r="DO40" s="367"/>
    </row>
    <row r="41" spans="1:119" ht="15.75" customHeight="1" thickBot="1" x14ac:dyDescent="0.35">
      <c r="A41" s="417" t="s">
        <v>12</v>
      </c>
      <c r="B41" s="453">
        <f>+B40*CO2E_of_N2O_Climate_Reg</f>
        <v>0</v>
      </c>
      <c r="C41" s="433"/>
      <c r="D41" s="464">
        <f>+D40*CO2E_of_N2O_Climate_Reg</f>
        <v>0</v>
      </c>
      <c r="E41" s="433"/>
      <c r="F41" s="432">
        <f>+F40*CO2E_of_N2O_Climate_Reg</f>
        <v>0</v>
      </c>
      <c r="G41" s="433"/>
      <c r="H41" s="432">
        <f>+H40*CO2E_of_N2O_Climate_Reg</f>
        <v>0</v>
      </c>
      <c r="I41" s="433"/>
      <c r="J41" s="432">
        <f>+J40*CO2E_of_N2O_Climate_Reg</f>
        <v>0</v>
      </c>
      <c r="K41" s="433"/>
      <c r="L41" s="432">
        <f>+L40*CO2E_of_N2O_Climate_Reg</f>
        <v>0</v>
      </c>
      <c r="M41" s="433"/>
      <c r="N41" s="432">
        <f>+N40*CO2E_of_N2O_Climate_Reg</f>
        <v>0</v>
      </c>
      <c r="O41" s="433"/>
      <c r="P41" s="432">
        <f>+P40*CO2E_of_N2O_Climate_Reg</f>
        <v>0</v>
      </c>
      <c r="Q41" s="433"/>
      <c r="R41" s="432">
        <f>+R40*CO2E_of_N2O_Climate_Reg</f>
        <v>0</v>
      </c>
      <c r="S41" s="433"/>
      <c r="T41" s="432">
        <f>+T40*CO2E_of_N2O_Climate_Reg</f>
        <v>0</v>
      </c>
      <c r="U41" s="433"/>
      <c r="AS41" t="s">
        <v>416</v>
      </c>
      <c r="AU41"/>
      <c r="AV41"/>
      <c r="AW41" s="96"/>
      <c r="AX41" s="424">
        <f t="shared" si="31"/>
        <v>29</v>
      </c>
      <c r="AY41" s="425">
        <v>30</v>
      </c>
      <c r="AZ41" s="426" t="e">
        <f t="shared" si="32"/>
        <v>#VALUE!</v>
      </c>
      <c r="BA41" s="426" t="e">
        <f t="shared" si="33"/>
        <v>#VALUE!</v>
      </c>
      <c r="BB41" s="427" t="e">
        <f t="shared" si="34"/>
        <v>#VALUE!</v>
      </c>
      <c r="BC41" s="428"/>
      <c r="BD41" s="429"/>
      <c r="BE41" s="430"/>
      <c r="BF41" s="425">
        <v>30</v>
      </c>
      <c r="BG41" s="426" t="e">
        <f t="shared" si="35"/>
        <v>#VALUE!</v>
      </c>
      <c r="BH41" s="431" t="e">
        <f t="shared" si="36"/>
        <v>#VALUE!</v>
      </c>
      <c r="BI41" s="427" t="e">
        <f t="shared" si="37"/>
        <v>#VALUE!</v>
      </c>
      <c r="BJ41" s="428"/>
      <c r="BK41" s="429"/>
      <c r="BL41" s="424"/>
      <c r="BM41" s="425">
        <v>30</v>
      </c>
      <c r="BN41" s="426" t="e">
        <f t="shared" si="38"/>
        <v>#VALUE!</v>
      </c>
      <c r="BO41" s="426" t="e">
        <f t="shared" si="39"/>
        <v>#VALUE!</v>
      </c>
      <c r="BP41" s="427" t="e">
        <f t="shared" si="10"/>
        <v>#VALUE!</v>
      </c>
      <c r="BQ41" s="428"/>
      <c r="BR41" s="429"/>
      <c r="BS41" s="424"/>
      <c r="BT41" s="425">
        <v>30</v>
      </c>
      <c r="BU41" s="426" t="e">
        <f t="shared" si="40"/>
        <v>#VALUE!</v>
      </c>
      <c r="BV41" s="426" t="e">
        <f t="shared" si="41"/>
        <v>#VALUE!</v>
      </c>
      <c r="BW41" s="427" t="e">
        <f t="shared" si="42"/>
        <v>#VALUE!</v>
      </c>
      <c r="BX41" s="428"/>
      <c r="BY41" s="429"/>
      <c r="BZ41" s="424"/>
      <c r="CA41" s="425">
        <v>30</v>
      </c>
      <c r="CB41" s="426" t="e">
        <f t="shared" si="43"/>
        <v>#VALUE!</v>
      </c>
      <c r="CC41" s="426" t="e">
        <f t="shared" si="44"/>
        <v>#VALUE!</v>
      </c>
      <c r="CD41" s="427" t="e">
        <f t="shared" si="45"/>
        <v>#VALUE!</v>
      </c>
      <c r="CE41" s="428"/>
      <c r="CF41" s="429"/>
      <c r="CG41" s="424"/>
      <c r="CH41" s="425">
        <v>30</v>
      </c>
      <c r="CI41" s="426" t="e">
        <f t="shared" si="46"/>
        <v>#VALUE!</v>
      </c>
      <c r="CJ41" s="426" t="e">
        <f t="shared" si="47"/>
        <v>#VALUE!</v>
      </c>
      <c r="CK41" s="427" t="e">
        <f t="shared" si="48"/>
        <v>#VALUE!</v>
      </c>
      <c r="CL41" s="428"/>
      <c r="CM41" s="429"/>
      <c r="CN41" s="424"/>
      <c r="CO41" s="425">
        <v>30</v>
      </c>
      <c r="CP41" s="426" t="e">
        <f t="shared" si="49"/>
        <v>#VALUE!</v>
      </c>
      <c r="CQ41" s="426" t="e">
        <f t="shared" si="50"/>
        <v>#VALUE!</v>
      </c>
      <c r="CR41" s="427" t="e">
        <f t="shared" si="51"/>
        <v>#VALUE!</v>
      </c>
      <c r="CS41" s="428"/>
      <c r="CT41" s="429"/>
      <c r="CU41" s="424"/>
      <c r="CV41" s="425">
        <v>30</v>
      </c>
      <c r="CW41" s="426" t="e">
        <f t="shared" si="52"/>
        <v>#VALUE!</v>
      </c>
      <c r="CX41" s="426" t="e">
        <f t="shared" si="53"/>
        <v>#VALUE!</v>
      </c>
      <c r="CY41" s="427" t="e">
        <f t="shared" si="54"/>
        <v>#VALUE!</v>
      </c>
      <c r="CZ41" s="428"/>
      <c r="DA41" s="429"/>
      <c r="DB41" s="424"/>
      <c r="DC41" s="425">
        <v>30</v>
      </c>
      <c r="DD41" s="426" t="e">
        <f t="shared" si="55"/>
        <v>#VALUE!</v>
      </c>
      <c r="DE41" s="426" t="e">
        <f t="shared" si="56"/>
        <v>#VALUE!</v>
      </c>
      <c r="DF41" s="427" t="e">
        <f t="shared" si="57"/>
        <v>#VALUE!</v>
      </c>
      <c r="DG41" s="428"/>
      <c r="DH41" s="429"/>
      <c r="DI41" s="424"/>
      <c r="DJ41" s="425">
        <v>30</v>
      </c>
      <c r="DK41" s="426" t="e">
        <f t="shared" si="58"/>
        <v>#VALUE!</v>
      </c>
      <c r="DL41" s="426" t="e">
        <f t="shared" si="59"/>
        <v>#VALUE!</v>
      </c>
      <c r="DM41" s="427" t="e">
        <f t="shared" si="60"/>
        <v>#VALUE!</v>
      </c>
      <c r="DN41" s="428"/>
      <c r="DO41" s="429"/>
    </row>
    <row r="42" spans="1:119" ht="15.75" customHeight="1" thickBot="1" x14ac:dyDescent="0.3">
      <c r="A42" s="277"/>
      <c r="B42" s="337"/>
      <c r="C42" s="302"/>
      <c r="D42" s="465"/>
      <c r="E42" s="302"/>
      <c r="F42" s="434"/>
      <c r="G42" s="302"/>
      <c r="H42" s="434"/>
      <c r="I42" s="302"/>
      <c r="J42" s="434"/>
      <c r="K42" s="302"/>
      <c r="L42" s="434"/>
      <c r="M42" s="302"/>
      <c r="N42" s="434"/>
      <c r="O42" s="302"/>
      <c r="P42" s="434"/>
      <c r="Q42" s="302"/>
      <c r="R42" s="434"/>
      <c r="S42" s="302"/>
      <c r="T42" s="434"/>
      <c r="U42" s="302"/>
      <c r="AS42" t="s">
        <v>420</v>
      </c>
      <c r="AU42"/>
      <c r="AV42"/>
      <c r="AW42" s="96"/>
    </row>
    <row r="43" spans="1:119" ht="15.75" customHeight="1" thickBot="1" x14ac:dyDescent="0.3">
      <c r="A43" s="1300" t="s">
        <v>235</v>
      </c>
      <c r="B43" s="1301"/>
      <c r="C43" s="1301"/>
      <c r="D43" s="1301"/>
      <c r="E43" s="1301"/>
      <c r="F43" s="1301"/>
      <c r="G43" s="1301"/>
      <c r="H43" s="1301"/>
      <c r="I43" s="1301"/>
      <c r="J43" s="1301"/>
      <c r="K43" s="1301"/>
      <c r="L43" s="1301"/>
      <c r="M43" s="1301"/>
      <c r="N43" s="1301"/>
      <c r="O43" s="1301"/>
      <c r="P43" s="1301"/>
      <c r="Q43" s="1301"/>
      <c r="R43" s="1301"/>
      <c r="S43" s="1301"/>
      <c r="T43" s="1301"/>
      <c r="U43" s="1302"/>
      <c r="AS43" t="s">
        <v>422</v>
      </c>
      <c r="AU43" s="105"/>
      <c r="AV43"/>
      <c r="AW43" s="96"/>
      <c r="AX43" s="96"/>
      <c r="AY43" s="96"/>
    </row>
    <row r="44" spans="1:119" ht="15.75" customHeight="1" x14ac:dyDescent="0.3">
      <c r="A44" s="241" t="s">
        <v>858</v>
      </c>
      <c r="B44" s="454" t="e">
        <f>+-B20*(1-B27)*C_to_CO2_conversion</f>
        <v>#VALUE!</v>
      </c>
      <c r="C44" s="455"/>
      <c r="D44" s="454" t="e">
        <f>+-D20*(1-D27)*C_to_CO2_conversion</f>
        <v>#VALUE!</v>
      </c>
      <c r="E44" s="436"/>
      <c r="F44" s="454" t="e">
        <f>+-F20*(1-F27)*C_to_CO2_conversion</f>
        <v>#VALUE!</v>
      </c>
      <c r="G44" s="436"/>
      <c r="H44" s="454" t="e">
        <f>+-H20*(1-H27)*C_to_CO2_conversion</f>
        <v>#VALUE!</v>
      </c>
      <c r="I44" s="436"/>
      <c r="J44" s="454" t="e">
        <f>+-J20*(1-J27)*C_to_CO2_conversion</f>
        <v>#VALUE!</v>
      </c>
      <c r="K44" s="436"/>
      <c r="L44" s="454" t="e">
        <f>+-L20*(1-L27)*C_to_CO2_conversion</f>
        <v>#VALUE!</v>
      </c>
      <c r="M44" s="436"/>
      <c r="N44" s="454" t="e">
        <f>+-N20*(1-N27)*C_to_CO2_conversion</f>
        <v>#VALUE!</v>
      </c>
      <c r="O44" s="436"/>
      <c r="P44" s="454" t="e">
        <f>+-P20*(1-P27)*C_to_CO2_conversion</f>
        <v>#VALUE!</v>
      </c>
      <c r="Q44" s="436"/>
      <c r="R44" s="454" t="e">
        <f>+-R20*(1-R27)*C_to_CO2_conversion</f>
        <v>#VALUE!</v>
      </c>
      <c r="S44" s="436"/>
      <c r="T44" s="454" t="e">
        <f>+-T20*(1-T27)*C_to_CO2_conversion</f>
        <v>#VALUE!</v>
      </c>
      <c r="U44" s="436"/>
      <c r="AV44"/>
    </row>
    <row r="45" spans="1:119" ht="15.75" customHeight="1" thickBot="1" x14ac:dyDescent="0.3">
      <c r="A45" s="456"/>
      <c r="B45" s="344"/>
      <c r="C45" s="281"/>
      <c r="D45" s="466"/>
      <c r="E45" s="433"/>
      <c r="F45" s="437"/>
      <c r="G45" s="433"/>
      <c r="H45" s="437"/>
      <c r="I45" s="433"/>
      <c r="J45" s="437"/>
      <c r="K45" s="433"/>
      <c r="L45" s="437"/>
      <c r="M45" s="433"/>
      <c r="N45" s="437"/>
      <c r="O45" s="433"/>
      <c r="P45" s="437"/>
      <c r="Q45" s="433"/>
      <c r="R45" s="437"/>
      <c r="S45" s="433"/>
      <c r="T45" s="437"/>
      <c r="U45" s="433"/>
      <c r="AV45"/>
    </row>
    <row r="46" spans="1:119" ht="15.75" customHeight="1" thickBot="1" x14ac:dyDescent="0.3">
      <c r="A46" s="1300" t="s">
        <v>155</v>
      </c>
      <c r="B46" s="1301"/>
      <c r="C46" s="1301"/>
      <c r="D46" s="1301"/>
      <c r="E46" s="1301"/>
      <c r="F46" s="1301"/>
      <c r="G46" s="1301"/>
      <c r="H46" s="1301"/>
      <c r="I46" s="1301"/>
      <c r="J46" s="1301"/>
      <c r="K46" s="1301"/>
      <c r="L46" s="1301"/>
      <c r="M46" s="1301"/>
      <c r="N46" s="1301"/>
      <c r="O46" s="1301"/>
      <c r="P46" s="1301"/>
      <c r="Q46" s="1301"/>
      <c r="R46" s="1301"/>
      <c r="S46" s="1301"/>
      <c r="T46" s="1301"/>
      <c r="U46" s="1302"/>
      <c r="AV46"/>
    </row>
    <row r="47" spans="1:119" ht="15.75" customHeight="1" x14ac:dyDescent="0.25">
      <c r="A47" s="457" t="s">
        <v>284</v>
      </c>
      <c r="B47" s="467" t="str">
        <f>+IFERROR(B$20*landfill_uncertainty*C_to_CH4_conversion*CH4_in_landfill_gas*B$27*B$21*(($AS$11*($BB$12*'References Assumptions'!$D$347))+($AS$12*SUM($BB$13:$BB$14,($BB$12*'References Assumptions'!$D$347)))+($AS$13*SUM($BB$15:$BB$26))+($AS$14*SUM($BB$27:$BB$41)))*B$25*btu_value_methane_epa_2004*Conversion_of_BtU_to_kWh*Net_capacity_factor_EPA_2006*Mg_kg/density_of_CH4_at_STP,"N/A")</f>
        <v>N/A</v>
      </c>
      <c r="C47" s="458"/>
      <c r="D47" s="467" t="str">
        <f>+IFERROR(D$20*landfill_uncertainty*C_to_CH4_conversion*CH4_in_landfill_gas*D$27*D$21*(($AS$11*($BI$12*'References Assumptions'!$D$347))+($AS$12*SUM($BI$13:$BI$14,($BI$12*'References Assumptions'!$D$347)))+($AS$13*SUM($BI$15:$BI$26))+($AS$14*SUM($BI$27:$BI$41)))*D$25*btu_value_methane_epa_2004*Conversion_of_BtU_to_kWh*Net_capacity_factor_EPA_2006*Mg_kg/density_of_CH4_at_STP,"N/A")</f>
        <v>N/A</v>
      </c>
      <c r="E47" s="438"/>
      <c r="F47" s="467" t="str">
        <f>+IFERROR(F$20*landfill_uncertainty*C_to_CH4_conversion*CH4_in_landfill_gas*F$27*F$21*(($AS$11*($BP$12*'References Assumptions'!$D$347))+($AS$12*SUM($BP$13:$BP$14,($BP$12*'References Assumptions'!$D$347)))+($AS$13*SUM($BP$15:$BP$26))+($AS$14*SUM($BP$27:$BP$41)))*F$25*btu_value_methane_epa_2004*Conversion_of_BtU_to_kWh*Net_capacity_factor_EPA_2006*Mg_kg/density_of_CH4_at_STP,"N/A")</f>
        <v>N/A</v>
      </c>
      <c r="G47" s="438"/>
      <c r="H47" s="467" t="str">
        <f>+IFERROR(H$20*landfill_uncertainty*C_to_CH4_conversion*CH4_in_landfill_gas*H$27*H$21*(($AS$11*($BW$12*'References Assumptions'!$D$347))+($AS$12*SUM($BW$13:$BW$14,($BW$12*'References Assumptions'!$D$347)))+($AS$13*SUM($BW$15:$BW$26))+($AS$14*SUM($BW$27:$BW$41)))*H$25*btu_value_methane_epa_2004*Conversion_of_BtU_to_kWh*Net_capacity_factor_EPA_2006*Mg_kg/density_of_CH4_at_STP,"N/A")</f>
        <v>N/A</v>
      </c>
      <c r="I47" s="438"/>
      <c r="J47" s="467" t="str">
        <f>+IFERROR(J$20*landfill_uncertainty*C_to_CH4_conversion*CH4_in_landfill_gas*J$27*J$21*(($AS$11*($CD$12*'References Assumptions'!$D$347))+($AS$12*SUM($CD$13:$CD$14,($CD$12*'References Assumptions'!$D$347)))+($AS$13*SUM($CD$15:$CD$26))+($AS$14*SUM($CD$27:$CD$41)))*J$25*btu_value_methane_epa_2004*Conversion_of_BtU_to_kWh*Net_capacity_factor_EPA_2006*Mg_kg/density_of_CH4_at_STP,"N/A")</f>
        <v>N/A</v>
      </c>
      <c r="K47" s="438"/>
      <c r="L47" s="467" t="str">
        <f>+IFERROR(L$20*landfill_uncertainty*C_to_CH4_conversion*CH4_in_landfill_gas*L$27*L$21*(($AS$11*($CK$12*'References Assumptions'!$D$347))+($AS$12*SUM($CK$13:$CK$14,($CK$12*'References Assumptions'!$D$347)))+($AS$13*SUM($CK$15:$CK$26))+($AS$14*SUM($CK$27:$CK$41)))*L$25*btu_value_methane_epa_2004*Conversion_of_BtU_to_kWh*Net_capacity_factor_EPA_2006*Mg_kg/density_of_CH4_at_STP,"N/A")</f>
        <v>N/A</v>
      </c>
      <c r="M47" s="438"/>
      <c r="N47" s="467" t="str">
        <f>+IFERROR(N$20*landfill_uncertainty*C_to_CH4_conversion*CH4_in_landfill_gas*N$27*N$21*(($AS$11*($CR$12*'References Assumptions'!$D$347))+($AS$12*SUM($CR$13:$CR$14,($CR$12*'References Assumptions'!$D$347)))+($AS$13*SUM($CR$15:$CR$26))+($AS$14*SUM($CR$27:$CR$41)))*N$25*btu_value_methane_epa_2004*Conversion_of_BtU_to_kWh*Net_capacity_factor_EPA_2006*Mg_kg/density_of_CH4_at_STP,"N/A")</f>
        <v>N/A</v>
      </c>
      <c r="O47" s="438"/>
      <c r="P47" s="467" t="str">
        <f>+IFERROR(P$20*landfill_uncertainty*C_to_CH4_conversion*CH4_in_landfill_gas*P$27*P$21*(($AS$11*($CY$12*'References Assumptions'!$D$347))+($AS$12*SUM($CY$13:$CY$14,($CY$12*'References Assumptions'!$D$347)))+($AS$13*SUM($CY$15:$CY$26))+($AS$14*SUM($CY$27:$CY$41)))*P$25*btu_value_methane_epa_2004*Conversion_of_BtU_to_kWh*Net_capacity_factor_EPA_2006*Mg_kg/density_of_CH4_at_STP,"N/A")</f>
        <v>N/A</v>
      </c>
      <c r="Q47" s="438"/>
      <c r="R47" s="467" t="str">
        <f>+IFERROR(R$20*landfill_uncertainty*C_to_CH4_conversion*CH4_in_landfill_gas*R$27*R$21*(($AS$11*($DF$12*'References Assumptions'!$D$347))+($AS$12*SUM($DF$13:$DF$14,($DF$12*'References Assumptions'!$D$347)))+($AS$13*SUM($DF$15:$DF$26))+($AS$14*SUM($DF$27:$DF$41)))*R$25*btu_value_methane_epa_2004*Conversion_of_BtU_to_kWh*Net_capacity_factor_EPA_2006*Mg_kg/density_of_CH4_at_STP,"N/A")</f>
        <v>N/A</v>
      </c>
      <c r="S47" s="438"/>
      <c r="T47" s="467" t="str">
        <f>+IFERROR(T$20*landfill_uncertainty*C_to_CH4_conversion*CH4_in_landfill_gas*T$27*T$21*(($AS$11*($DM$12*'References Assumptions'!$D$347))+($AS$12*SUM($DM$13:$DM$14,($DM$12*'References Assumptions'!$D$347)))+($AS$13*SUM($DM$15:$DM$26))+($AS$14*SUM($DM$27:$DM$41)))*T$25*btu_value_methane_epa_2004*Conversion_of_BtU_to_kWh*Net_capacity_factor_EPA_2006*Mg_kg/density_of_CH4_at_STP,"N/A")</f>
        <v>N/A</v>
      </c>
      <c r="U47" s="438"/>
      <c r="AV47"/>
    </row>
    <row r="48" spans="1:119" ht="15.75" customHeight="1" x14ac:dyDescent="0.3">
      <c r="A48" s="168" t="s">
        <v>16</v>
      </c>
      <c r="B48" s="252" t="e">
        <f>-B47*GHG_emissions_factors_by_province/1000000</f>
        <v>#VALUE!</v>
      </c>
      <c r="C48" s="276"/>
      <c r="D48" s="468" t="e">
        <f>-D47*GHG_emissions_factors_by_province/1000000</f>
        <v>#VALUE!</v>
      </c>
      <c r="E48" s="276"/>
      <c r="F48" s="236" t="e">
        <f>-F47*GHG_emissions_factors_by_province/1000000</f>
        <v>#VALUE!</v>
      </c>
      <c r="G48" s="276"/>
      <c r="H48" s="236" t="e">
        <f>-H47*GHG_emissions_factors_by_province/1000000</f>
        <v>#VALUE!</v>
      </c>
      <c r="I48" s="276"/>
      <c r="J48" s="236" t="e">
        <f>-J47*GHG_emissions_factors_by_province/1000000</f>
        <v>#VALUE!</v>
      </c>
      <c r="K48" s="276"/>
      <c r="L48" s="236" t="e">
        <f>-L47*GHG_emissions_factors_by_province/1000000</f>
        <v>#VALUE!</v>
      </c>
      <c r="M48" s="276"/>
      <c r="N48" s="236" t="e">
        <f>-N47*GHG_emissions_factors_by_province/1000000</f>
        <v>#VALUE!</v>
      </c>
      <c r="O48" s="276"/>
      <c r="P48" s="236" t="e">
        <f>-P47*GHG_emissions_factors_by_province/1000000</f>
        <v>#VALUE!</v>
      </c>
      <c r="Q48" s="276"/>
      <c r="R48" s="236" t="e">
        <f>-R47*GHG_emissions_factors_by_province/1000000</f>
        <v>#VALUE!</v>
      </c>
      <c r="S48" s="276"/>
      <c r="T48" s="236" t="e">
        <f>-T47*GHG_emissions_factors_by_province/1000000</f>
        <v>#VALUE!</v>
      </c>
      <c r="U48" s="276"/>
      <c r="AV48"/>
    </row>
    <row r="49" spans="1:67" ht="15.75" customHeight="1" x14ac:dyDescent="0.3">
      <c r="A49" s="417" t="s">
        <v>81</v>
      </c>
      <c r="B49" s="1110" t="e">
        <f>+B$20*landfill_uncertainty*CH4_in_landfill_gas*B$27*'Landfill Disposal Typical'!B21*(($AS$11*($BB$12*'References Assumptions'!$D$347))+($AS$12*SUM($BB$13:$BB$14,($BB$12*'References Assumptions'!$D$347)))+($AS$13*SUM($BB$15:$BB$26))+($AS$14*SUM($BB$27:$BB$41)))*(1-methane_fugitive_during_combustion_IPCC)*C_to_CO2_conversion</f>
        <v>#VALUE!</v>
      </c>
      <c r="C49" s="1111"/>
      <c r="D49" s="1110" t="e">
        <f>+D$20*landfill_uncertainty*CH4_in_landfill_gas*D$27*'Landfill Disposal Typical'!D21*(($AS$11*($BI$12*'References Assumptions'!$D$347))+($AS$12*SUM($BI$13:$BI$14,($BI$12*'References Assumptions'!$D$347)))+($AS$13*SUM($BI$15:$BI$26))+($AS$14*SUM($BI$27:$BI$41)))*(1-methane_fugitive_during_combustion_IPCC)*C_to_CO2_conversion</f>
        <v>#VALUE!</v>
      </c>
      <c r="E49" s="1111"/>
      <c r="F49" s="1110" t="e">
        <f>+F$20*landfill_uncertainty*CH4_in_landfill_gas*F$27*'Landfill Disposal Typical'!F21*(($AS$11*($BP$12*'References Assumptions'!$D$347))+($AS$12*SUM($BP$13:$BP$14,($BP$12*'References Assumptions'!$D$347)))+($AS$13*SUM($BP$15:$BP$26))+($AS$14*SUM($BP$27:$BP$41)))*(1-methane_fugitive_during_combustion_IPCC)*C_to_CO2_conversion</f>
        <v>#VALUE!</v>
      </c>
      <c r="G49" s="433"/>
      <c r="H49" s="1110" t="e">
        <f>+H$20*landfill_uncertainty*CH4_in_landfill_gas*H$27*'Landfill Disposal Typical'!H21*(($AS$11*($BW$12*'References Assumptions'!$D$347))+($AS$12*SUM($BW$13:$BW$14,($BW$12*'References Assumptions'!$D$347)))+($AS$13*SUM($BW$15:$BW$26))+($AS$14*SUM($BW$27:$BW$41)))*(1-methane_fugitive_during_combustion_IPCC)*C_to_CO2_conversion</f>
        <v>#VALUE!</v>
      </c>
      <c r="I49" s="433"/>
      <c r="J49" s="1110" t="e">
        <f>+J$20*landfill_uncertainty*CH4_in_landfill_gas*J$27*'Landfill Disposal Typical'!J21*(($AS$11*($CD$12*'References Assumptions'!$D$347))+($AS$12*SUM($CD$13:$CD$14,($CD$12*'References Assumptions'!$D$347)))+($AS$13*SUM($CD$15:$CD$26))+($AS$14*SUM($CD$27:$CD$41)))*(1-methane_fugitive_during_combustion_IPCC)*C_to_CO2_conversion</f>
        <v>#VALUE!</v>
      </c>
      <c r="K49" s="433"/>
      <c r="L49" s="1110" t="e">
        <f>+L$20*landfill_uncertainty*CH4_in_landfill_gas*L$27*'Landfill Disposal Typical'!L21*(($AS$11*($CK$12*'References Assumptions'!$D$347))+($AS$12*SUM($CK$13:$CK$14,($CK$12*'References Assumptions'!$D$347)))+($AS$13*SUM($CK$15:$CK$26))+($AS$14*SUM($CK$27:$CK$41)))*(1-methane_fugitive_during_combustion_IPCC)*C_to_CO2_conversion</f>
        <v>#VALUE!</v>
      </c>
      <c r="M49" s="433"/>
      <c r="N49" s="1110" t="e">
        <f>+N$20*landfill_uncertainty*CH4_in_landfill_gas*N$27*'Landfill Disposal Typical'!N21*(($AS$11*($CR$12*'References Assumptions'!$D$347))+($AS$12*SUM($CR$13:$CR$14,($CR$12*'References Assumptions'!$D$347)))+($AS$13*SUM($CR$15:$CR$26))+($AS$14*SUM($CR$27:$CR$41)))*(1-methane_fugitive_during_combustion_IPCC)*C_to_CO2_conversion</f>
        <v>#VALUE!</v>
      </c>
      <c r="O49" s="433"/>
      <c r="P49" s="1110" t="e">
        <f>+P$20*landfill_uncertainty*CH4_in_landfill_gas*P$27*'Landfill Disposal Typical'!P21*(($AS$11*($CY$12*'References Assumptions'!$D$347))+($AS$12*SUM($CY$13:$CY$14,($CY$12*'References Assumptions'!$D$347)))+($AS$13*SUM($CY$15:$CY$26))+($AS$14*SUM($CY$27:$CY$41)))*(1-methane_fugitive_during_combustion_IPCC)*C_to_CO2_conversion</f>
        <v>#VALUE!</v>
      </c>
      <c r="Q49" s="433"/>
      <c r="R49" s="1110" t="e">
        <f>+R$20*landfill_uncertainty*CH4_in_landfill_gas*R$27*'Landfill Disposal Typical'!R21*(($AS$11*($DF$12*'References Assumptions'!$D$347))+($AS$12*SUM($DF$13:$DF$14,($DF$12*'References Assumptions'!$D$347)))+($AS$13*SUM($DF$15:$DF$26))+($AS$14*SUM($DF$27:$DF$41)))*(1-methane_fugitive_during_combustion_IPCC)*C_to_CO2_conversion</f>
        <v>#VALUE!</v>
      </c>
      <c r="S49" s="433"/>
      <c r="T49" s="1110" t="e">
        <f>+T$20*landfill_uncertainty*CH4_in_landfill_gas*T$27*'Landfill Disposal Typical'!T21*(($AS$11*($DM$12*'References Assumptions'!$D$347))+($AS$12*SUM($DM$13:$DM$14,($DM$12*'References Assumptions'!$D$347)))+($AS$13*SUM($DM$15:$DM$26))+($AS$14*SUM($DM$27:$DM$41)))*(1-methane_fugitive_during_combustion_IPCC)*C_to_CO2_conversion</f>
        <v>#VALUE!</v>
      </c>
      <c r="U49" s="433"/>
      <c r="AV49"/>
    </row>
    <row r="50" spans="1:67" ht="15.75" customHeight="1" thickBot="1" x14ac:dyDescent="0.3">
      <c r="A50" s="273"/>
      <c r="B50" s="344"/>
      <c r="C50" s="281"/>
      <c r="D50" s="884"/>
      <c r="E50" s="281"/>
      <c r="F50" s="1112"/>
      <c r="G50" s="281"/>
      <c r="H50" s="1112"/>
      <c r="I50" s="281"/>
      <c r="J50" s="1112"/>
      <c r="K50" s="281"/>
      <c r="L50" s="1112"/>
      <c r="M50" s="281"/>
      <c r="N50" s="1112"/>
      <c r="O50" s="281"/>
      <c r="P50" s="1112"/>
      <c r="Q50" s="281"/>
      <c r="R50" s="1112"/>
      <c r="S50" s="281"/>
      <c r="T50" s="1112"/>
      <c r="U50" s="281"/>
      <c r="AV50"/>
    </row>
    <row r="51" spans="1:67" ht="15.75" customHeight="1" thickBot="1" x14ac:dyDescent="0.3">
      <c r="A51" s="1300"/>
      <c r="B51" s="1301"/>
      <c r="C51" s="1301"/>
      <c r="D51" s="1301"/>
      <c r="E51" s="1301"/>
      <c r="F51" s="1301"/>
      <c r="G51" s="1301"/>
      <c r="H51" s="1301"/>
      <c r="I51" s="1301"/>
      <c r="J51" s="1301"/>
      <c r="K51" s="1301"/>
      <c r="L51" s="1301"/>
      <c r="M51" s="1301"/>
      <c r="N51" s="1301"/>
      <c r="O51" s="1301"/>
      <c r="P51" s="1301"/>
      <c r="Q51" s="1301"/>
      <c r="R51" s="1301"/>
      <c r="S51" s="1301"/>
      <c r="T51" s="1301"/>
      <c r="U51" s="1302"/>
      <c r="AV51"/>
    </row>
    <row r="52" spans="1:67" ht="15.75" customHeight="1" thickBot="1" x14ac:dyDescent="0.3">
      <c r="A52" s="254" t="s">
        <v>44</v>
      </c>
      <c r="B52" s="282" t="e">
        <f>(B37+B41+B44+B48)*days_yr</f>
        <v>#VALUE!</v>
      </c>
      <c r="C52" s="440"/>
      <c r="D52" s="282" t="e">
        <f>(D37+D41+D44+D48)*days_yr</f>
        <v>#VALUE!</v>
      </c>
      <c r="E52" s="439"/>
      <c r="F52" s="282" t="e">
        <f>(F37+F41+F44+F48)*days_yr</f>
        <v>#VALUE!</v>
      </c>
      <c r="G52" s="439"/>
      <c r="H52" s="282" t="e">
        <f>(H37+H41+H44+H48)*days_yr</f>
        <v>#VALUE!</v>
      </c>
      <c r="I52" s="439"/>
      <c r="J52" s="282" t="e">
        <f>(J37+J41+J44+J48)*days_yr</f>
        <v>#VALUE!</v>
      </c>
      <c r="K52" s="439"/>
      <c r="L52" s="282" t="e">
        <f>(L37+L41+L44+L48)*days_yr</f>
        <v>#VALUE!</v>
      </c>
      <c r="M52" s="439"/>
      <c r="N52" s="282" t="e">
        <f>(N37+N41+N44+N48)*days_yr</f>
        <v>#VALUE!</v>
      </c>
      <c r="O52" s="439"/>
      <c r="P52" s="282" t="e">
        <f>(P37+P41+P44+P48)*days_yr</f>
        <v>#VALUE!</v>
      </c>
      <c r="Q52" s="439"/>
      <c r="R52" s="282" t="e">
        <f>(R37+R41+R44+R48)*days_yr</f>
        <v>#VALUE!</v>
      </c>
      <c r="S52" s="439"/>
      <c r="T52" s="282" t="e">
        <f>(T37+T41+T44+T48)*days_yr</f>
        <v>#VALUE!</v>
      </c>
      <c r="U52" s="440"/>
      <c r="AV52"/>
    </row>
    <row r="53" spans="1:67" ht="15.75" customHeight="1" x14ac:dyDescent="0.25">
      <c r="A53" s="161" t="s">
        <v>228</v>
      </c>
      <c r="B53" s="137" t="e">
        <f>(B37+B41+B44)*days_yr</f>
        <v>#VALUE!</v>
      </c>
      <c r="C53" s="305"/>
      <c r="D53" s="137" t="e">
        <f>(D37+D41+D44)*days_yr</f>
        <v>#VALUE!</v>
      </c>
      <c r="E53" s="96"/>
      <c r="F53" s="137" t="e">
        <f>(F37+F41+F44)*days_yr</f>
        <v>#VALUE!</v>
      </c>
      <c r="G53" s="96"/>
      <c r="H53" s="137" t="e">
        <f>(H37+H41+H44)*days_yr</f>
        <v>#VALUE!</v>
      </c>
      <c r="I53" s="96"/>
      <c r="J53" s="137" t="e">
        <f>(J37+J41+J44)*days_yr</f>
        <v>#VALUE!</v>
      </c>
      <c r="K53" s="96"/>
      <c r="L53" s="137" t="e">
        <f>(L37+L41+L44)*days_yr</f>
        <v>#VALUE!</v>
      </c>
      <c r="M53" s="96"/>
      <c r="N53" s="137" t="e">
        <f>(N37+N41+N44)*days_yr</f>
        <v>#VALUE!</v>
      </c>
      <c r="O53" s="96"/>
      <c r="P53" s="137" t="e">
        <f>(P37+P41+P44)*days_yr</f>
        <v>#VALUE!</v>
      </c>
      <c r="Q53" s="96"/>
      <c r="R53" s="137" t="e">
        <f>(R37+R41+R44)*days_yr</f>
        <v>#VALUE!</v>
      </c>
      <c r="S53" s="96"/>
      <c r="T53" s="137" t="e">
        <f>(T37+T41+T44)*days_yr</f>
        <v>#VALUE!</v>
      </c>
      <c r="U53" s="305"/>
      <c r="AV53"/>
    </row>
    <row r="54" spans="1:67" ht="18.75" customHeight="1" x14ac:dyDescent="0.25">
      <c r="A54" s="168" t="s">
        <v>229</v>
      </c>
      <c r="B54" s="138" t="e">
        <f>B48*days_yr</f>
        <v>#VALUE!</v>
      </c>
      <c r="C54" s="305"/>
      <c r="D54" s="138" t="e">
        <f>D48*days_yr</f>
        <v>#VALUE!</v>
      </c>
      <c r="E54" s="96"/>
      <c r="F54" s="138" t="e">
        <f>F48*days_yr</f>
        <v>#VALUE!</v>
      </c>
      <c r="G54" s="96"/>
      <c r="H54" s="138" t="e">
        <f>H48*days_yr</f>
        <v>#VALUE!</v>
      </c>
      <c r="I54" s="96"/>
      <c r="J54" s="138" t="e">
        <f>J48*days_yr</f>
        <v>#VALUE!</v>
      </c>
      <c r="K54" s="96"/>
      <c r="L54" s="138" t="e">
        <f>L48*days_yr</f>
        <v>#VALUE!</v>
      </c>
      <c r="M54" s="96"/>
      <c r="N54" s="138" t="e">
        <f>N48*days_yr</f>
        <v>#VALUE!</v>
      </c>
      <c r="O54" s="96"/>
      <c r="P54" s="138" t="e">
        <f>P48*days_yr</f>
        <v>#VALUE!</v>
      </c>
      <c r="Q54" s="96"/>
      <c r="R54" s="138" t="e">
        <f>R48*days_yr</f>
        <v>#VALUE!</v>
      </c>
      <c r="S54" s="96"/>
      <c r="T54" s="138" t="e">
        <f>T48*days_yr</f>
        <v>#VALUE!</v>
      </c>
      <c r="U54" s="305"/>
      <c r="AV54"/>
    </row>
    <row r="55" spans="1:67" ht="15.75" customHeight="1" x14ac:dyDescent="0.25">
      <c r="A55" s="168" t="s">
        <v>207</v>
      </c>
      <c r="B55" s="138" t="e">
        <f>B53+B54</f>
        <v>#VALUE!</v>
      </c>
      <c r="C55" s="442"/>
      <c r="D55" s="138" t="e">
        <f>D53+D54</f>
        <v>#VALUE!</v>
      </c>
      <c r="E55" s="441"/>
      <c r="F55" s="138" t="e">
        <f>F53+F54</f>
        <v>#VALUE!</v>
      </c>
      <c r="G55" s="441"/>
      <c r="H55" s="138" t="e">
        <f>H53+H54</f>
        <v>#VALUE!</v>
      </c>
      <c r="I55" s="441"/>
      <c r="J55" s="138" t="e">
        <f>J53+J54</f>
        <v>#VALUE!</v>
      </c>
      <c r="K55" s="441"/>
      <c r="L55" s="138" t="e">
        <f>L53+L54</f>
        <v>#VALUE!</v>
      </c>
      <c r="M55" s="441"/>
      <c r="N55" s="138" t="e">
        <f>N53+N54</f>
        <v>#VALUE!</v>
      </c>
      <c r="O55" s="441"/>
      <c r="P55" s="138" t="e">
        <f>P53+P54</f>
        <v>#VALUE!</v>
      </c>
      <c r="Q55" s="441"/>
      <c r="R55" s="138" t="e">
        <f>R53+R54</f>
        <v>#VALUE!</v>
      </c>
      <c r="S55" s="441"/>
      <c r="T55" s="138" t="e">
        <f>T53+T54</f>
        <v>#VALUE!</v>
      </c>
      <c r="U55" s="442"/>
      <c r="AT55" s="105"/>
      <c r="AU55" s="130"/>
      <c r="AV55"/>
      <c r="AW55" s="96"/>
      <c r="AX55" s="96"/>
      <c r="AY55" s="96"/>
    </row>
    <row r="56" spans="1:67" ht="15.75" customHeight="1" x14ac:dyDescent="0.25">
      <c r="A56" s="168" t="s">
        <v>230</v>
      </c>
      <c r="B56" s="138">
        <v>0</v>
      </c>
      <c r="C56" s="305"/>
      <c r="D56" s="138">
        <v>0</v>
      </c>
      <c r="E56" s="96"/>
      <c r="F56" s="138">
        <v>0</v>
      </c>
      <c r="G56" s="96"/>
      <c r="H56" s="138">
        <v>0</v>
      </c>
      <c r="I56" s="96"/>
      <c r="J56" s="138">
        <v>0</v>
      </c>
      <c r="K56" s="96"/>
      <c r="L56" s="138">
        <v>0</v>
      </c>
      <c r="M56" s="96"/>
      <c r="N56" s="138">
        <v>0</v>
      </c>
      <c r="O56" s="96"/>
      <c r="P56" s="138">
        <v>0</v>
      </c>
      <c r="Q56" s="96"/>
      <c r="R56" s="138">
        <v>0</v>
      </c>
      <c r="S56" s="96"/>
      <c r="T56" s="138">
        <v>0</v>
      </c>
      <c r="U56" s="305"/>
      <c r="AU56" s="130"/>
      <c r="AV56"/>
      <c r="AW56" s="96"/>
      <c r="AX56" s="96"/>
      <c r="AY56" s="96"/>
    </row>
    <row r="57" spans="1:67" ht="15.75" customHeight="1" thickBot="1" x14ac:dyDescent="0.3">
      <c r="A57" s="169" t="s">
        <v>325</v>
      </c>
      <c r="B57" s="140" t="e">
        <f>+B49*days_yr</f>
        <v>#VALUE!</v>
      </c>
      <c r="C57" s="351"/>
      <c r="D57" s="140" t="e">
        <f>+D49*days_yr</f>
        <v>#VALUE!</v>
      </c>
      <c r="E57" s="430"/>
      <c r="F57" s="140" t="e">
        <f>+F49*days_yr</f>
        <v>#VALUE!</v>
      </c>
      <c r="G57" s="430"/>
      <c r="H57" s="140" t="e">
        <f>+H49*days_yr</f>
        <v>#VALUE!</v>
      </c>
      <c r="I57" s="430"/>
      <c r="J57" s="140" t="e">
        <f>+J49*days_yr</f>
        <v>#VALUE!</v>
      </c>
      <c r="K57" s="430"/>
      <c r="L57" s="140" t="e">
        <f>+L49*days_yr</f>
        <v>#VALUE!</v>
      </c>
      <c r="M57" s="430"/>
      <c r="N57" s="140" t="e">
        <f>+N49*days_yr</f>
        <v>#VALUE!</v>
      </c>
      <c r="O57" s="430"/>
      <c r="P57" s="140" t="e">
        <f>+P49*days_yr</f>
        <v>#VALUE!</v>
      </c>
      <c r="Q57" s="430"/>
      <c r="R57" s="140" t="e">
        <f>+R49*days_yr</f>
        <v>#VALUE!</v>
      </c>
      <c r="S57" s="430"/>
      <c r="T57" s="140" t="e">
        <f>+T49*days_yr</f>
        <v>#VALUE!</v>
      </c>
      <c r="U57" s="351"/>
      <c r="AU57" s="130"/>
      <c r="AV57"/>
      <c r="AW57" s="96"/>
      <c r="AX57" s="96"/>
      <c r="AY57" s="96"/>
    </row>
    <row r="58" spans="1:67" ht="15.75" customHeight="1" x14ac:dyDescent="0.25">
      <c r="AU58" s="96"/>
      <c r="AV58"/>
      <c r="AW58" s="96"/>
      <c r="AX58" s="96"/>
      <c r="AY58" s="96"/>
    </row>
    <row r="59" spans="1:67" ht="15.75" customHeight="1" x14ac:dyDescent="0.25">
      <c r="AU59" s="96"/>
      <c r="AV59"/>
      <c r="AW59" s="96"/>
      <c r="AX59" s="96"/>
      <c r="AY59" s="96"/>
    </row>
    <row r="60" spans="1:67" x14ac:dyDescent="0.25">
      <c r="A60" s="96"/>
      <c r="B60" s="444"/>
      <c r="C60" s="96"/>
      <c r="D60" s="96" t="s">
        <v>412</v>
      </c>
      <c r="AU60" s="96"/>
      <c r="AV60"/>
      <c r="AW60" s="96"/>
      <c r="AX60" s="96"/>
      <c r="AY60" s="96"/>
    </row>
    <row r="61" spans="1:67" s="105" customFormat="1" ht="18" x14ac:dyDescent="0.25">
      <c r="A61" s="176" t="s">
        <v>97</v>
      </c>
      <c r="B61" s="155"/>
      <c r="AU61" s="96"/>
      <c r="AV61"/>
      <c r="AW61" s="96"/>
      <c r="AX61" s="96"/>
      <c r="AY61" s="96"/>
      <c r="AZ61" s="355"/>
      <c r="BA61" s="355"/>
      <c r="BB61" s="355"/>
      <c r="BC61" s="355"/>
      <c r="BD61" s="355"/>
      <c r="BE61" s="355"/>
      <c r="BF61" s="355"/>
      <c r="BG61" s="355"/>
      <c r="BH61" s="355"/>
      <c r="BI61" s="355"/>
      <c r="BJ61" s="355"/>
      <c r="BK61" s="355"/>
      <c r="BL61" s="355"/>
      <c r="BM61" s="355"/>
      <c r="BN61" s="355"/>
      <c r="BO61" s="355"/>
    </row>
    <row r="62" spans="1:67" s="105" customFormat="1" ht="54.75" customHeight="1" x14ac:dyDescent="0.25">
      <c r="A62" s="1335" t="s">
        <v>33</v>
      </c>
      <c r="B62" s="1336"/>
      <c r="C62" s="1336"/>
      <c r="AV62"/>
    </row>
    <row r="63" spans="1:67" s="105" customFormat="1" ht="15.75" customHeight="1" x14ac:dyDescent="0.25">
      <c r="A63" s="1035" t="s">
        <v>107</v>
      </c>
      <c r="B63" s="1036"/>
      <c r="C63" s="1036"/>
      <c r="AV63"/>
    </row>
    <row r="64" spans="1:67" s="96" customFormat="1" ht="15" x14ac:dyDescent="0.25">
      <c r="B64" s="1234" t="s">
        <v>110</v>
      </c>
      <c r="C64" s="1235"/>
      <c r="D64" s="1235"/>
      <c r="E64" s="1236"/>
      <c r="AU64" s="105"/>
      <c r="AV64"/>
      <c r="AW64" s="105"/>
      <c r="AX64" s="105"/>
      <c r="AY64" s="105"/>
      <c r="AZ64" s="105"/>
      <c r="BA64" s="105"/>
      <c r="BB64" s="105"/>
      <c r="BC64" s="105"/>
      <c r="BD64" s="105"/>
      <c r="BE64" s="105"/>
      <c r="BF64" s="105"/>
      <c r="BG64" s="105"/>
      <c r="BH64" s="105"/>
      <c r="BI64" s="105"/>
      <c r="BJ64" s="105"/>
      <c r="BK64" s="105"/>
      <c r="BL64" s="105"/>
      <c r="BM64" s="105"/>
      <c r="BN64" s="105"/>
      <c r="BO64" s="105"/>
    </row>
    <row r="65" spans="1:67" x14ac:dyDescent="0.25">
      <c r="A65" s="96"/>
      <c r="B65" s="1231" t="s">
        <v>31</v>
      </c>
      <c r="C65" s="1232"/>
      <c r="D65" s="1233"/>
      <c r="E65" s="563">
        <v>0</v>
      </c>
      <c r="AU65" s="96"/>
      <c r="AV65"/>
      <c r="AW65" s="96"/>
      <c r="AX65" s="96"/>
      <c r="AY65" s="96"/>
      <c r="AZ65" s="96"/>
      <c r="BA65" s="96"/>
      <c r="BB65" s="96"/>
      <c r="BC65" s="96"/>
      <c r="BD65" s="96"/>
      <c r="BE65" s="96"/>
      <c r="BF65" s="96"/>
      <c r="BG65" s="96"/>
      <c r="BH65" s="96"/>
      <c r="BI65" s="96"/>
      <c r="BJ65" s="96"/>
      <c r="BK65" s="96"/>
      <c r="BL65" s="96"/>
      <c r="BM65" s="96"/>
      <c r="BN65" s="96"/>
      <c r="BO65" s="96"/>
    </row>
    <row r="66" spans="1:67" x14ac:dyDescent="0.25">
      <c r="A66" s="96"/>
      <c r="B66" s="1231" t="s">
        <v>32</v>
      </c>
      <c r="C66" s="1232"/>
      <c r="D66" s="1233"/>
      <c r="E66" s="564">
        <v>0</v>
      </c>
      <c r="AU66" s="96"/>
      <c r="AV66"/>
      <c r="AW66" s="96"/>
      <c r="AX66" s="96"/>
      <c r="AY66" s="96"/>
    </row>
    <row r="67" spans="1:67" x14ac:dyDescent="0.25">
      <c r="A67" s="96"/>
      <c r="B67" s="1231" t="s">
        <v>615</v>
      </c>
      <c r="C67" s="1232"/>
      <c r="D67" s="1233"/>
      <c r="E67" s="565">
        <v>0</v>
      </c>
      <c r="AU67" s="96"/>
      <c r="AV67"/>
      <c r="AW67" s="96"/>
      <c r="AX67" s="96"/>
      <c r="AY67" s="96"/>
    </row>
    <row r="68" spans="1:67" x14ac:dyDescent="0.25">
      <c r="A68" s="96"/>
      <c r="B68" s="1231" t="s">
        <v>70</v>
      </c>
      <c r="C68" s="1232"/>
      <c r="D68" s="1233"/>
      <c r="E68" s="566">
        <v>0</v>
      </c>
      <c r="AU68" s="96"/>
      <c r="AV68"/>
      <c r="AW68" s="96"/>
      <c r="AX68" s="96"/>
      <c r="AY68" s="96"/>
    </row>
    <row r="69" spans="1:67" x14ac:dyDescent="0.25">
      <c r="A69" s="96"/>
      <c r="B69" s="1231" t="s">
        <v>550</v>
      </c>
      <c r="C69" s="1232"/>
      <c r="D69" s="1233"/>
      <c r="E69" s="567">
        <v>0</v>
      </c>
      <c r="AU69" s="96"/>
      <c r="AV69"/>
      <c r="AW69" s="96"/>
      <c r="AX69" s="96"/>
      <c r="AY69" s="96"/>
    </row>
    <row r="70" spans="1:67" x14ac:dyDescent="0.25">
      <c r="A70" s="96"/>
      <c r="B70" s="1231" t="s">
        <v>610</v>
      </c>
      <c r="C70" s="1232"/>
      <c r="D70" s="1233"/>
      <c r="E70" s="227">
        <v>0</v>
      </c>
      <c r="AU70" s="96"/>
      <c r="AV70"/>
      <c r="AW70" s="96"/>
      <c r="AX70" s="96"/>
      <c r="AY70" s="96"/>
    </row>
    <row r="71" spans="1:67" x14ac:dyDescent="0.25">
      <c r="A71" s="96"/>
      <c r="B71" s="96"/>
      <c r="C71" s="96"/>
      <c r="D71" s="96"/>
      <c r="AU71" s="96"/>
      <c r="AV71"/>
      <c r="AW71" s="96"/>
      <c r="AX71" s="96"/>
      <c r="AY71" s="96"/>
    </row>
    <row r="72" spans="1:67" x14ac:dyDescent="0.25">
      <c r="A72" s="96"/>
      <c r="B72" s="96"/>
      <c r="C72" s="96"/>
      <c r="D72" s="96"/>
      <c r="AU72" s="96"/>
      <c r="AV72"/>
      <c r="AW72" s="96"/>
      <c r="AX72" s="96"/>
      <c r="AY72" s="96"/>
    </row>
    <row r="73" spans="1:67" x14ac:dyDescent="0.25">
      <c r="A73" s="96"/>
      <c r="B73" s="96"/>
      <c r="C73" s="96"/>
      <c r="D73" s="96"/>
      <c r="AU73" s="96"/>
      <c r="AV73"/>
      <c r="AW73" s="96"/>
      <c r="AX73" s="96"/>
      <c r="AY73" s="96"/>
    </row>
    <row r="74" spans="1:67" x14ac:dyDescent="0.25">
      <c r="A74" s="96"/>
      <c r="B74" s="96"/>
      <c r="C74" s="96"/>
      <c r="D74" s="96"/>
      <c r="AU74" s="96"/>
      <c r="AV74"/>
      <c r="AW74" s="96"/>
      <c r="AX74" s="96"/>
      <c r="AY74" s="96"/>
    </row>
    <row r="75" spans="1:67" x14ac:dyDescent="0.25">
      <c r="A75" s="96"/>
      <c r="B75" s="96"/>
      <c r="C75" s="96"/>
      <c r="D75" s="96"/>
      <c r="AU75" s="96"/>
      <c r="AV75"/>
      <c r="AW75" s="96"/>
      <c r="AX75" s="96"/>
      <c r="AY75" s="96"/>
    </row>
    <row r="76" spans="1:67" x14ac:dyDescent="0.25">
      <c r="A76" s="96"/>
      <c r="B76" s="96"/>
      <c r="C76" s="96"/>
      <c r="D76" s="96"/>
      <c r="AU76" s="96"/>
      <c r="AV76"/>
      <c r="AW76" s="96"/>
      <c r="AX76" s="96"/>
      <c r="AY76" s="96"/>
    </row>
    <row r="77" spans="1:67" x14ac:dyDescent="0.25">
      <c r="A77" s="96"/>
      <c r="B77" s="96"/>
      <c r="C77" s="96"/>
      <c r="D77" s="96"/>
      <c r="AU77" s="96"/>
      <c r="AV77"/>
      <c r="AW77" s="96"/>
      <c r="AX77" s="96"/>
      <c r="AY77" s="96"/>
    </row>
    <row r="78" spans="1:67" x14ac:dyDescent="0.25">
      <c r="A78" s="96"/>
      <c r="B78" s="96"/>
      <c r="C78" s="96"/>
      <c r="D78" s="96"/>
      <c r="AU78" s="96"/>
      <c r="AV78"/>
      <c r="AW78" s="96"/>
      <c r="AX78" s="96"/>
      <c r="AY78" s="96"/>
    </row>
    <row r="79" spans="1:67" x14ac:dyDescent="0.25">
      <c r="A79" s="96"/>
      <c r="B79" s="96"/>
      <c r="C79" s="96"/>
      <c r="D79" s="96"/>
      <c r="AU79" s="96"/>
      <c r="AV79"/>
      <c r="AW79" s="96"/>
      <c r="AX79" s="96"/>
      <c r="AY79" s="96"/>
    </row>
    <row r="80" spans="1:67" x14ac:dyDescent="0.25">
      <c r="A80" s="96"/>
      <c r="C80" s="459"/>
      <c r="AU80" s="96"/>
      <c r="AV80"/>
      <c r="AW80" s="96"/>
      <c r="AX80" s="96"/>
      <c r="AY80" s="96"/>
    </row>
    <row r="81" spans="1:51" x14ac:dyDescent="0.25">
      <c r="A81" s="96"/>
      <c r="C81" s="459"/>
      <c r="AU81" s="96"/>
      <c r="AV81"/>
      <c r="AW81" s="96"/>
      <c r="AX81" s="96"/>
      <c r="AY81" s="96"/>
    </row>
    <row r="82" spans="1:51" x14ac:dyDescent="0.25">
      <c r="A82" s="96"/>
      <c r="C82" s="460"/>
      <c r="AU82" s="96"/>
      <c r="AV82"/>
      <c r="AW82" s="96"/>
      <c r="AX82" s="96"/>
      <c r="AY82" s="96"/>
    </row>
    <row r="83" spans="1:51" x14ac:dyDescent="0.25">
      <c r="A83" s="96"/>
      <c r="C83" s="460"/>
      <c r="AU83" s="96"/>
      <c r="AV83"/>
      <c r="AW83" s="96"/>
      <c r="AX83" s="96"/>
      <c r="AY83" s="96"/>
    </row>
    <row r="84" spans="1:51" x14ac:dyDescent="0.25">
      <c r="A84" s="96"/>
      <c r="C84" s="460"/>
      <c r="AU84" s="96"/>
      <c r="AV84"/>
      <c r="AW84" s="96"/>
      <c r="AX84" s="96"/>
      <c r="AY84" s="96"/>
    </row>
    <row r="85" spans="1:51" x14ac:dyDescent="0.25">
      <c r="A85" s="96"/>
      <c r="B85" s="96"/>
      <c r="C85" s="96"/>
      <c r="D85" s="96"/>
      <c r="AU85" s="96"/>
      <c r="AV85"/>
      <c r="AW85" s="96"/>
      <c r="AX85" s="96"/>
      <c r="AY85" s="96"/>
    </row>
    <row r="86" spans="1:51" x14ac:dyDescent="0.25">
      <c r="A86" s="96"/>
      <c r="B86" s="96"/>
      <c r="C86" s="96"/>
      <c r="D86" s="96"/>
      <c r="AU86" s="96"/>
      <c r="AV86"/>
      <c r="AW86" s="96"/>
      <c r="AX86" s="96"/>
      <c r="AY86" s="96"/>
    </row>
    <row r="87" spans="1:51" x14ac:dyDescent="0.25">
      <c r="A87" s="96"/>
      <c r="B87" s="96"/>
      <c r="C87" s="96"/>
      <c r="D87" s="96"/>
      <c r="AU87" s="96"/>
      <c r="AV87"/>
      <c r="AW87" s="96"/>
      <c r="AX87" s="96"/>
      <c r="AY87" s="96"/>
    </row>
    <row r="88" spans="1:51" x14ac:dyDescent="0.25">
      <c r="A88" s="96"/>
      <c r="B88" s="96"/>
      <c r="C88" s="96"/>
      <c r="D88" s="96"/>
      <c r="AU88" s="96"/>
      <c r="AV88"/>
      <c r="AW88" s="96"/>
      <c r="AX88" s="96"/>
      <c r="AY88" s="96"/>
    </row>
    <row r="89" spans="1:51" x14ac:dyDescent="0.25">
      <c r="A89" s="96"/>
      <c r="B89" s="96"/>
      <c r="C89" s="96"/>
      <c r="D89" s="96"/>
      <c r="AU89" s="96"/>
      <c r="AV89"/>
      <c r="AW89" s="96"/>
      <c r="AX89" s="96"/>
      <c r="AY89" s="96"/>
    </row>
    <row r="90" spans="1:51" x14ac:dyDescent="0.25">
      <c r="A90" s="96"/>
      <c r="B90" s="96"/>
      <c r="C90" s="96"/>
      <c r="D90" s="96"/>
      <c r="AU90" s="96"/>
      <c r="AV90"/>
      <c r="AW90" s="96"/>
      <c r="AX90" s="96"/>
      <c r="AY90" s="96"/>
    </row>
    <row r="91" spans="1:51" x14ac:dyDescent="0.25">
      <c r="A91" s="96"/>
      <c r="B91" s="96"/>
      <c r="C91" s="96"/>
      <c r="D91" s="96"/>
      <c r="AU91" s="96"/>
      <c r="AV91"/>
      <c r="AW91" s="96"/>
      <c r="AX91" s="96"/>
      <c r="AY91" s="96"/>
    </row>
    <row r="92" spans="1:51" x14ac:dyDescent="0.25">
      <c r="A92" s="96"/>
      <c r="B92" s="96"/>
      <c r="C92" s="96"/>
      <c r="D92" s="96"/>
      <c r="AU92" s="96"/>
      <c r="AV92"/>
      <c r="AW92" s="96"/>
      <c r="AX92" s="96"/>
      <c r="AY92" s="96"/>
    </row>
    <row r="93" spans="1:51" x14ac:dyDescent="0.25">
      <c r="A93" s="96"/>
      <c r="B93" s="96"/>
      <c r="C93" s="96"/>
      <c r="D93" s="96"/>
      <c r="AU93" s="96"/>
      <c r="AV93"/>
      <c r="AW93" s="96"/>
      <c r="AX93" s="96"/>
      <c r="AY93" s="96"/>
    </row>
    <row r="94" spans="1:51" x14ac:dyDescent="0.25">
      <c r="A94" s="96"/>
      <c r="B94" s="96"/>
      <c r="C94" s="96"/>
      <c r="D94" s="96"/>
      <c r="AU94" s="96"/>
      <c r="AV94"/>
      <c r="AW94" s="96"/>
      <c r="AX94" s="96"/>
      <c r="AY94" s="96"/>
    </row>
    <row r="95" spans="1:51" x14ac:dyDescent="0.25">
      <c r="A95" s="96"/>
      <c r="B95" s="96"/>
      <c r="C95" s="96"/>
      <c r="D95" s="96"/>
      <c r="AU95" s="96"/>
      <c r="AV95"/>
      <c r="AW95" s="96"/>
      <c r="AX95" s="96"/>
      <c r="AY95" s="96"/>
    </row>
    <row r="96" spans="1:51" x14ac:dyDescent="0.25">
      <c r="A96" s="96"/>
      <c r="B96" s="96"/>
      <c r="C96" s="96"/>
      <c r="D96" s="96"/>
      <c r="AU96" s="96"/>
      <c r="AV96"/>
      <c r="AW96" s="96"/>
      <c r="AX96" s="96"/>
      <c r="AY96" s="96"/>
    </row>
    <row r="97" spans="1:51" x14ac:dyDescent="0.25">
      <c r="A97" s="96"/>
      <c r="B97" s="96"/>
      <c r="C97" s="96"/>
      <c r="D97" s="96"/>
      <c r="AU97" s="96"/>
      <c r="AV97"/>
      <c r="AW97" s="96"/>
      <c r="AX97" s="96"/>
      <c r="AY97" s="96"/>
    </row>
    <row r="98" spans="1:51" x14ac:dyDescent="0.25">
      <c r="A98" s="96"/>
      <c r="B98" s="96"/>
      <c r="C98" s="96"/>
      <c r="D98" s="96"/>
      <c r="AU98" s="96"/>
      <c r="AV98"/>
      <c r="AW98" s="96"/>
      <c r="AX98" s="96"/>
      <c r="AY98" s="96"/>
    </row>
    <row r="99" spans="1:51" x14ac:dyDescent="0.25">
      <c r="A99" s="96"/>
      <c r="B99" s="96"/>
      <c r="C99" s="96"/>
      <c r="D99" s="96"/>
      <c r="AU99" s="96"/>
      <c r="AV99"/>
      <c r="AW99" s="96"/>
      <c r="AX99" s="96"/>
      <c r="AY99" s="96"/>
    </row>
    <row r="100" spans="1:51" x14ac:dyDescent="0.25">
      <c r="A100" s="96"/>
      <c r="B100" s="96"/>
      <c r="C100" s="96"/>
      <c r="D100" s="96"/>
      <c r="AU100" s="96"/>
      <c r="AV100"/>
      <c r="AW100" s="96"/>
      <c r="AX100" s="96"/>
      <c r="AY100" s="96"/>
    </row>
    <row r="101" spans="1:51" x14ac:dyDescent="0.25">
      <c r="A101" s="96"/>
      <c r="B101" s="96"/>
      <c r="C101" s="96"/>
      <c r="D101" s="96"/>
      <c r="AU101" s="96"/>
      <c r="AV101"/>
      <c r="AW101" s="96"/>
      <c r="AX101" s="96"/>
      <c r="AY101" s="96"/>
    </row>
    <row r="102" spans="1:51" x14ac:dyDescent="0.25">
      <c r="A102" s="96"/>
      <c r="B102" s="96"/>
      <c r="C102" s="96"/>
      <c r="D102" s="96"/>
      <c r="AU102" s="96"/>
      <c r="AV102"/>
      <c r="AW102" s="96"/>
      <c r="AX102" s="96"/>
      <c r="AY102" s="96"/>
    </row>
    <row r="103" spans="1:51" x14ac:dyDescent="0.25">
      <c r="A103" s="96"/>
      <c r="B103" s="96"/>
      <c r="C103" s="96"/>
      <c r="D103" s="96"/>
      <c r="AU103" s="96"/>
      <c r="AV103"/>
      <c r="AW103" s="96"/>
      <c r="AX103" s="96"/>
      <c r="AY103" s="96"/>
    </row>
    <row r="104" spans="1:51" x14ac:dyDescent="0.25">
      <c r="A104" s="96"/>
      <c r="B104" s="96"/>
      <c r="C104" s="96"/>
      <c r="D104" s="96"/>
      <c r="AU104" s="96"/>
      <c r="AV104"/>
      <c r="AW104" s="96"/>
      <c r="AX104" s="96"/>
      <c r="AY104" s="96"/>
    </row>
    <row r="105" spans="1:51" x14ac:dyDescent="0.25">
      <c r="A105" s="96"/>
      <c r="B105" s="96"/>
      <c r="C105" s="96"/>
      <c r="D105" s="96"/>
      <c r="AU105" s="96"/>
      <c r="AV105"/>
      <c r="AW105" s="96"/>
      <c r="AX105" s="96"/>
      <c r="AY105" s="96"/>
    </row>
    <row r="106" spans="1:51" x14ac:dyDescent="0.25">
      <c r="A106" s="96"/>
      <c r="B106" s="96"/>
      <c r="C106" s="96"/>
      <c r="D106" s="96"/>
      <c r="AU106" s="96"/>
      <c r="AV106"/>
      <c r="AW106" s="96"/>
      <c r="AX106" s="96"/>
      <c r="AY106" s="96"/>
    </row>
    <row r="107" spans="1:51" x14ac:dyDescent="0.25">
      <c r="A107" s="96"/>
      <c r="B107" s="96"/>
      <c r="C107" s="96"/>
      <c r="D107" s="96"/>
      <c r="AU107" s="96"/>
      <c r="AV107"/>
      <c r="AW107" s="96"/>
      <c r="AX107" s="96"/>
      <c r="AY107" s="96"/>
    </row>
    <row r="108" spans="1:51" x14ac:dyDescent="0.25">
      <c r="A108" s="96"/>
      <c r="B108" s="96"/>
      <c r="C108" s="96"/>
      <c r="D108" s="96"/>
      <c r="AU108" s="96"/>
      <c r="AV108"/>
      <c r="AW108" s="96"/>
      <c r="AX108" s="96"/>
      <c r="AY108" s="96"/>
    </row>
    <row r="109" spans="1:51" x14ac:dyDescent="0.25">
      <c r="A109" s="96"/>
      <c r="B109" s="96"/>
      <c r="C109" s="96"/>
      <c r="D109" s="96"/>
      <c r="AU109" s="96"/>
      <c r="AV109"/>
      <c r="AW109" s="96"/>
      <c r="AX109" s="96"/>
      <c r="AY109" s="96"/>
    </row>
    <row r="110" spans="1:51" x14ac:dyDescent="0.25">
      <c r="A110" s="96"/>
      <c r="B110" s="96"/>
      <c r="C110" s="96"/>
      <c r="D110" s="96"/>
      <c r="AU110" s="96"/>
      <c r="AV110"/>
      <c r="AW110" s="96"/>
      <c r="AX110" s="96"/>
      <c r="AY110" s="96"/>
    </row>
    <row r="111" spans="1:51" x14ac:dyDescent="0.25">
      <c r="A111" s="96"/>
      <c r="B111" s="96"/>
      <c r="C111" s="96"/>
      <c r="D111" s="96"/>
      <c r="AU111" s="96"/>
      <c r="AV111"/>
      <c r="AW111" s="96"/>
      <c r="AX111" s="96"/>
      <c r="AY111" s="96"/>
    </row>
    <row r="112" spans="1:51" x14ac:dyDescent="0.25">
      <c r="A112" s="96"/>
      <c r="B112" s="96"/>
      <c r="C112" s="96"/>
      <c r="D112" s="96"/>
      <c r="AU112" s="96"/>
      <c r="AV112"/>
      <c r="AW112" s="96"/>
      <c r="AX112" s="96"/>
      <c r="AY112" s="96"/>
    </row>
    <row r="113" spans="1:51" x14ac:dyDescent="0.25">
      <c r="A113" s="96"/>
      <c r="B113" s="96"/>
      <c r="C113" s="96"/>
      <c r="D113" s="96"/>
      <c r="AU113" s="96"/>
      <c r="AV113"/>
      <c r="AW113" s="96"/>
      <c r="AX113" s="96"/>
      <c r="AY113" s="96"/>
    </row>
    <row r="114" spans="1:51" x14ac:dyDescent="0.25">
      <c r="A114" s="96"/>
      <c r="B114" s="96"/>
      <c r="C114" s="96"/>
      <c r="D114" s="96"/>
      <c r="AU114" s="96"/>
      <c r="AV114"/>
      <c r="AW114" s="96"/>
      <c r="AX114" s="96"/>
      <c r="AY114" s="96"/>
    </row>
    <row r="115" spans="1:51" x14ac:dyDescent="0.25">
      <c r="A115" s="96"/>
      <c r="B115" s="96"/>
      <c r="C115" s="96"/>
      <c r="D115" s="96"/>
      <c r="AU115" s="96"/>
      <c r="AV115"/>
      <c r="AW115" s="96"/>
      <c r="AX115" s="96"/>
      <c r="AY115" s="96"/>
    </row>
    <row r="116" spans="1:51" x14ac:dyDescent="0.25">
      <c r="A116" s="96"/>
      <c r="B116" s="96"/>
      <c r="C116" s="96"/>
      <c r="D116" s="96"/>
      <c r="AU116" s="96"/>
      <c r="AV116"/>
      <c r="AW116" s="96"/>
      <c r="AX116" s="96"/>
      <c r="AY116" s="96"/>
    </row>
    <row r="117" spans="1:51" x14ac:dyDescent="0.25">
      <c r="A117" s="96"/>
      <c r="B117" s="96"/>
      <c r="C117" s="96"/>
      <c r="D117" s="96"/>
      <c r="AU117" s="96"/>
      <c r="AV117"/>
      <c r="AW117" s="96"/>
      <c r="AX117" s="96"/>
      <c r="AY117" s="96"/>
    </row>
    <row r="118" spans="1:51" x14ac:dyDescent="0.25">
      <c r="A118" s="96"/>
      <c r="B118" s="96"/>
      <c r="C118" s="96"/>
      <c r="D118" s="96"/>
      <c r="AU118" s="96"/>
      <c r="AV118"/>
      <c r="AW118" s="96"/>
      <c r="AX118" s="96"/>
      <c r="AY118" s="96"/>
    </row>
    <row r="119" spans="1:51" x14ac:dyDescent="0.25">
      <c r="A119" s="96"/>
      <c r="B119" s="96"/>
      <c r="C119" s="96"/>
      <c r="D119" s="96"/>
      <c r="AU119" s="96"/>
      <c r="AV119" s="96"/>
      <c r="AW119" s="96"/>
      <c r="AX119" s="96"/>
      <c r="AY119" s="96"/>
    </row>
    <row r="120" spans="1:51" x14ac:dyDescent="0.25">
      <c r="A120" s="96"/>
      <c r="B120" s="96"/>
      <c r="C120" s="96"/>
      <c r="D120" s="96"/>
      <c r="AU120" s="96"/>
      <c r="AV120" s="96"/>
      <c r="AW120" s="96"/>
      <c r="AX120" s="96"/>
      <c r="AY120" s="96"/>
    </row>
    <row r="121" spans="1:51" x14ac:dyDescent="0.25">
      <c r="A121" s="96"/>
      <c r="B121" s="96"/>
      <c r="C121" s="96"/>
      <c r="D121" s="96"/>
      <c r="AU121" s="96"/>
      <c r="AV121" s="96"/>
      <c r="AW121" s="96"/>
      <c r="AX121" s="96"/>
      <c r="AY121" s="96"/>
    </row>
    <row r="122" spans="1:51" x14ac:dyDescent="0.25">
      <c r="A122" s="96"/>
      <c r="B122" s="96"/>
      <c r="C122" s="96"/>
      <c r="D122" s="96"/>
      <c r="AU122" s="96"/>
      <c r="AV122" s="96"/>
      <c r="AW122" s="96"/>
      <c r="AX122" s="96"/>
      <c r="AY122" s="96"/>
    </row>
    <row r="123" spans="1:51" x14ac:dyDescent="0.25">
      <c r="A123" s="96"/>
      <c r="B123" s="96"/>
      <c r="C123" s="96"/>
      <c r="D123" s="96"/>
      <c r="AU123" s="96"/>
      <c r="AV123" s="96"/>
      <c r="AW123" s="96"/>
      <c r="AX123" s="96"/>
      <c r="AY123" s="96"/>
    </row>
    <row r="124" spans="1:51" x14ac:dyDescent="0.25">
      <c r="A124" s="96"/>
      <c r="B124" s="96"/>
      <c r="C124" s="96"/>
      <c r="D124" s="96"/>
      <c r="AU124" s="96"/>
      <c r="AV124" s="96"/>
      <c r="AW124" s="96"/>
      <c r="AX124" s="96"/>
      <c r="AY124" s="96"/>
    </row>
    <row r="125" spans="1:51" x14ac:dyDescent="0.25">
      <c r="A125" s="96"/>
      <c r="B125" s="96"/>
      <c r="C125" s="96"/>
      <c r="D125" s="96"/>
      <c r="AU125" s="96"/>
      <c r="AV125" s="96"/>
      <c r="AW125" s="96"/>
      <c r="AX125" s="96"/>
      <c r="AY125" s="96"/>
    </row>
    <row r="126" spans="1:51" x14ac:dyDescent="0.25">
      <c r="A126" s="96"/>
      <c r="B126" s="96"/>
      <c r="C126" s="96"/>
      <c r="D126" s="96"/>
      <c r="E126" s="96"/>
      <c r="F126" s="96"/>
      <c r="G126" s="96"/>
      <c r="H126" s="96"/>
      <c r="I126" s="96"/>
      <c r="AU126" s="96"/>
      <c r="AV126" s="96"/>
      <c r="AW126" s="96"/>
      <c r="AX126" s="96"/>
      <c r="AY126" s="96"/>
    </row>
  </sheetData>
  <sheetProtection algorithmName="SHA-512" hashValue="nGIbW5JCsRtwzJU8qqkY6prupdQaHGKOZQq7Wgsf17LWNz7xchYeob88VIPTt+Hn26KlZ6ZjaHyxJgRdgqMe0Q==" saltValue="dk9WmdIVFYZhJIV25jZe7w==" spinCount="100000" sheet="1" objects="1" scenarios="1"/>
  <mergeCells count="35">
    <mergeCell ref="A31:U31"/>
    <mergeCell ref="A39:U39"/>
    <mergeCell ref="A43:U43"/>
    <mergeCell ref="A46:U46"/>
    <mergeCell ref="A51:U51"/>
    <mergeCell ref="P10:Q10"/>
    <mergeCell ref="R10:S10"/>
    <mergeCell ref="R9:S9"/>
    <mergeCell ref="H9:I9"/>
    <mergeCell ref="J9:K9"/>
    <mergeCell ref="L9:M9"/>
    <mergeCell ref="N9:O9"/>
    <mergeCell ref="P9:Q9"/>
    <mergeCell ref="A62:C62"/>
    <mergeCell ref="B64:E64"/>
    <mergeCell ref="T10:U10"/>
    <mergeCell ref="A12:U12"/>
    <mergeCell ref="A9:A10"/>
    <mergeCell ref="B9:C9"/>
    <mergeCell ref="D9:E9"/>
    <mergeCell ref="F9:G9"/>
    <mergeCell ref="T9:U9"/>
    <mergeCell ref="B10:C10"/>
    <mergeCell ref="D10:E10"/>
    <mergeCell ref="F10:G10"/>
    <mergeCell ref="H10:I10"/>
    <mergeCell ref="J10:K10"/>
    <mergeCell ref="L10:M10"/>
    <mergeCell ref="N10:O10"/>
    <mergeCell ref="B70:D70"/>
    <mergeCell ref="B65:D65"/>
    <mergeCell ref="B66:D66"/>
    <mergeCell ref="B67:D67"/>
    <mergeCell ref="B68:D68"/>
    <mergeCell ref="B69:D69"/>
  </mergeCells>
  <dataValidations count="4">
    <dataValidation type="list" allowBlank="1" showInputMessage="1" showErrorMessage="1" sqref="J22 L22 N22 P22 R22 B22 H22 D22 F22 T22" xr:uid="{00000000-0002-0000-1400-000000000000}">
      <formula1>Landfill_cover_quality</formula1>
    </dataValidation>
    <dataValidation type="list" allowBlank="1" showInputMessage="1" showErrorMessage="1" sqref="B16 R16 D16 F16 H16 J16 L16 N16 P16 T16" xr:uid="{00000000-0002-0000-1400-000001000000}">
      <formula1>Yes_No</formula1>
    </dataValidation>
    <dataValidation type="list" allowBlank="1" showInputMessage="1" showErrorMessage="1" sqref="B28 N28 P28 R28 D28 F28 H28 J28 L28 T28" xr:uid="{00000000-0002-0000-1400-000002000000}">
      <formula1>Landfill_climate</formula1>
    </dataValidation>
    <dataValidation type="list" allowBlank="1" showInputMessage="1" showErrorMessage="1" sqref="B26 R26 D26 F26 H26 J26 L26 N26 P26 T26" xr:uid="{00000000-0002-0000-1400-000003000000}">
      <formula1>Select_DOCf</formula1>
    </dataValidation>
  </dataValidations>
  <pageMargins left="0.7" right="0.7" top="0.75" bottom="0.75" header="0.3" footer="0.3"/>
  <pageSetup scale="6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pageSetUpPr fitToPage="1"/>
  </sheetPr>
  <dimension ref="A1:DO126"/>
  <sheetViews>
    <sheetView workbookViewId="0"/>
  </sheetViews>
  <sheetFormatPr defaultColWidth="9.140625" defaultRowHeight="15.75" x14ac:dyDescent="0.25"/>
  <cols>
    <col min="1" max="1" width="98.85546875" style="355" customWidth="1"/>
    <col min="2" max="2" width="19.42578125" style="355" customWidth="1"/>
    <col min="3" max="3" width="15.42578125" style="355" customWidth="1"/>
    <col min="4" max="4" width="19.42578125" style="355" customWidth="1"/>
    <col min="5" max="5" width="15.42578125" style="355" customWidth="1"/>
    <col min="6" max="6" width="19.42578125" style="355" customWidth="1"/>
    <col min="7" max="7" width="15.42578125" style="355" customWidth="1"/>
    <col min="8" max="8" width="19.42578125" style="355" customWidth="1"/>
    <col min="9" max="9" width="15.42578125" style="355" customWidth="1"/>
    <col min="10" max="10" width="19.42578125" style="355" customWidth="1"/>
    <col min="11" max="11" width="15.42578125" style="355" customWidth="1"/>
    <col min="12" max="12" width="19.42578125" style="355" customWidth="1"/>
    <col min="13" max="13" width="15.42578125" style="355" customWidth="1"/>
    <col min="14" max="14" width="19.42578125" style="355" customWidth="1"/>
    <col min="15" max="15" width="15.42578125" style="355" customWidth="1"/>
    <col min="16" max="16" width="19.42578125" style="355" customWidth="1"/>
    <col min="17" max="17" width="15.42578125" style="355" customWidth="1"/>
    <col min="18" max="18" width="19.42578125" style="355" customWidth="1"/>
    <col min="19" max="19" width="15.42578125" style="355" customWidth="1"/>
    <col min="20" max="20" width="19.42578125" style="355" customWidth="1"/>
    <col min="21" max="21" width="15.42578125" style="355" customWidth="1"/>
    <col min="22" max="23" width="9.140625" style="355" customWidth="1"/>
    <col min="24" max="24" width="9.140625" style="355"/>
    <col min="25" max="25" width="9.140625" style="355" customWidth="1"/>
    <col min="26" max="41" width="9.140625" style="355"/>
    <col min="42" max="42" width="13.140625" style="355" bestFit="1" customWidth="1"/>
    <col min="43" max="44" width="9.140625" style="355"/>
    <col min="45" max="45" width="14" style="355" customWidth="1"/>
    <col min="46" max="46" width="14.42578125" style="355" customWidth="1"/>
    <col min="47" max="49" width="9.140625" style="355"/>
    <col min="50" max="50" width="21.85546875" style="355" bestFit="1" customWidth="1"/>
    <col min="51" max="51" width="17.85546875" style="355" customWidth="1"/>
    <col min="52" max="52" width="11.85546875" style="355" customWidth="1"/>
    <col min="53" max="53" width="13" style="355" customWidth="1"/>
    <col min="54" max="54" width="10.140625" style="355" customWidth="1"/>
    <col min="55" max="55" width="12" style="355" customWidth="1"/>
    <col min="56" max="57" width="9.140625" style="355"/>
    <col min="58" max="58" width="17.85546875" style="355" bestFit="1" customWidth="1"/>
    <col min="59" max="65" width="9.140625" style="355"/>
    <col min="66" max="66" width="10.85546875" style="355" customWidth="1"/>
    <col min="67" max="72" width="9.140625" style="355"/>
    <col min="73" max="73" width="10.42578125" style="355" customWidth="1"/>
    <col min="74" max="16384" width="9.140625" style="355"/>
  </cols>
  <sheetData>
    <row r="1" spans="1:119" ht="29.25" customHeight="1" x14ac:dyDescent="0.25">
      <c r="E1" s="356"/>
      <c r="F1" s="356"/>
      <c r="AX1" s="357" t="s">
        <v>449</v>
      </c>
      <c r="AY1" s="358">
        <f>+'Amount and Destination'!$O$30-'Amount and Destination'!$O$9-'Scenarios Data'!$P$10</f>
        <v>37585.096819999999</v>
      </c>
      <c r="AZ1" s="359" t="s">
        <v>372</v>
      </c>
      <c r="BA1" s="360">
        <f>+AY1/Mg_ton</f>
        <v>34106.258457350268</v>
      </c>
      <c r="BB1" s="361" t="s">
        <v>394</v>
      </c>
      <c r="BC1" s="362"/>
      <c r="BD1" s="363"/>
      <c r="BE1" t="s">
        <v>451</v>
      </c>
      <c r="BF1" s="364"/>
      <c r="BG1" s="359" t="s">
        <v>372</v>
      </c>
      <c r="BH1" s="360">
        <f>+BF1/Mg_ton</f>
        <v>0</v>
      </c>
      <c r="BI1" s="361" t="s">
        <v>394</v>
      </c>
      <c r="BJ1" s="362"/>
      <c r="BK1" s="363"/>
      <c r="BL1" s="357" t="s">
        <v>452</v>
      </c>
      <c r="BM1" s="364"/>
      <c r="BN1" s="359" t="s">
        <v>372</v>
      </c>
      <c r="BO1" s="360">
        <f>+BM1/Mg_ton</f>
        <v>0</v>
      </c>
      <c r="BP1" s="361" t="s">
        <v>394</v>
      </c>
      <c r="BQ1" s="362"/>
      <c r="BR1" s="363"/>
      <c r="BS1" s="357" t="s">
        <v>453</v>
      </c>
      <c r="BT1" s="364"/>
      <c r="BU1" s="359" t="s">
        <v>372</v>
      </c>
      <c r="BV1" s="360">
        <f>+BT1/Mg_ton</f>
        <v>0</v>
      </c>
      <c r="BW1" s="361" t="s">
        <v>394</v>
      </c>
      <c r="BX1" s="362"/>
      <c r="BY1" s="363"/>
      <c r="BZ1" s="357" t="s">
        <v>454</v>
      </c>
      <c r="CA1" s="364"/>
      <c r="CB1" s="359" t="s">
        <v>372</v>
      </c>
      <c r="CC1" s="360">
        <f>+CA1/Mg_ton</f>
        <v>0</v>
      </c>
      <c r="CD1" s="361" t="s">
        <v>394</v>
      </c>
      <c r="CE1" s="362"/>
      <c r="CF1" s="363"/>
      <c r="CG1" s="357" t="s">
        <v>455</v>
      </c>
      <c r="CH1" s="364"/>
      <c r="CI1" s="359" t="s">
        <v>372</v>
      </c>
      <c r="CJ1" s="360">
        <f>+CH1/Mg_ton</f>
        <v>0</v>
      </c>
      <c r="CK1" s="361" t="s">
        <v>394</v>
      </c>
      <c r="CL1" s="362"/>
      <c r="CM1" s="363"/>
      <c r="CN1" s="357" t="s">
        <v>456</v>
      </c>
      <c r="CO1" s="364"/>
      <c r="CP1" s="359" t="s">
        <v>372</v>
      </c>
      <c r="CQ1" s="360">
        <f>+CO1/Mg_ton</f>
        <v>0</v>
      </c>
      <c r="CR1" s="361" t="s">
        <v>394</v>
      </c>
      <c r="CS1" s="362"/>
      <c r="CT1" s="363"/>
      <c r="CU1" s="357" t="s">
        <v>457</v>
      </c>
      <c r="CV1" s="364"/>
      <c r="CW1" s="359" t="s">
        <v>372</v>
      </c>
      <c r="CX1" s="360">
        <f>+CV1/Mg_ton</f>
        <v>0</v>
      </c>
      <c r="CY1" s="361" t="s">
        <v>394</v>
      </c>
      <c r="CZ1" s="362"/>
      <c r="DA1" s="363"/>
      <c r="DB1" s="357" t="s">
        <v>458</v>
      </c>
      <c r="DC1" s="364"/>
      <c r="DD1" s="359" t="s">
        <v>372</v>
      </c>
      <c r="DE1" s="360">
        <f>+DC1/Mg_ton</f>
        <v>0</v>
      </c>
      <c r="DF1" s="361" t="s">
        <v>394</v>
      </c>
      <c r="DG1" s="362"/>
      <c r="DH1" s="363"/>
      <c r="DI1" s="357" t="s">
        <v>459</v>
      </c>
      <c r="DJ1" s="364"/>
      <c r="DK1" s="359" t="s">
        <v>372</v>
      </c>
      <c r="DL1" s="360">
        <f>+DJ1/Mg_ton</f>
        <v>0</v>
      </c>
      <c r="DM1" s="361" t="s">
        <v>394</v>
      </c>
      <c r="DN1" s="362"/>
      <c r="DO1" s="363"/>
    </row>
    <row r="2" spans="1:119" x14ac:dyDescent="0.25">
      <c r="E2" s="356"/>
      <c r="F2" s="356"/>
      <c r="AS2" s="905" t="s">
        <v>503</v>
      </c>
      <c r="AX2" s="74"/>
      <c r="AY2" s="365"/>
      <c r="AZ2" s="183"/>
      <c r="BA2" s="366" t="e">
        <f>+B52/BA1</f>
        <v>#VALUE!</v>
      </c>
      <c r="BB2" s="96" t="s">
        <v>433</v>
      </c>
      <c r="BD2" s="367"/>
      <c r="BE2" s="74"/>
      <c r="BF2" s="365"/>
      <c r="BG2" s="183"/>
      <c r="BH2" s="366" t="e">
        <f>D52/BH1</f>
        <v>#VALUE!</v>
      </c>
      <c r="BI2" s="96" t="s">
        <v>433</v>
      </c>
      <c r="BK2" s="367"/>
      <c r="BL2" s="74"/>
      <c r="BM2" s="365"/>
      <c r="BN2" s="183"/>
      <c r="BO2" s="366" t="e">
        <f>+F52/BO1</f>
        <v>#VALUE!</v>
      </c>
      <c r="BP2" s="96" t="s">
        <v>433</v>
      </c>
      <c r="BR2" s="367"/>
      <c r="BS2" s="74"/>
      <c r="BT2" s="365"/>
      <c r="BU2" s="183"/>
      <c r="BV2" s="366" t="e">
        <f>+H52/BV1</f>
        <v>#VALUE!</v>
      </c>
      <c r="BW2" s="96" t="s">
        <v>433</v>
      </c>
      <c r="BY2" s="367"/>
      <c r="BZ2" s="74"/>
      <c r="CA2" s="365"/>
      <c r="CB2" s="183"/>
      <c r="CC2" s="366" t="e">
        <f>+J52/CC1</f>
        <v>#VALUE!</v>
      </c>
      <c r="CD2" s="96" t="s">
        <v>433</v>
      </c>
      <c r="CF2" s="367"/>
      <c r="CG2" s="74"/>
      <c r="CH2" s="365"/>
      <c r="CI2" s="183"/>
      <c r="CJ2" s="366" t="e">
        <f>+L52/CJ1</f>
        <v>#VALUE!</v>
      </c>
      <c r="CK2" s="96" t="s">
        <v>433</v>
      </c>
      <c r="CM2" s="367"/>
      <c r="CN2" s="74"/>
      <c r="CO2" s="365"/>
      <c r="CP2" s="183"/>
      <c r="CQ2" s="366" t="e">
        <f>+N52/CQ1</f>
        <v>#VALUE!</v>
      </c>
      <c r="CR2" s="96" t="s">
        <v>433</v>
      </c>
      <c r="CT2" s="367"/>
      <c r="CU2" s="74"/>
      <c r="CV2" s="365"/>
      <c r="CW2" s="183"/>
      <c r="CX2" s="366" t="e">
        <f>+P52/CX1</f>
        <v>#VALUE!</v>
      </c>
      <c r="CY2" s="96" t="s">
        <v>433</v>
      </c>
      <c r="DA2" s="367"/>
      <c r="DB2" s="74"/>
      <c r="DC2" s="365"/>
      <c r="DD2" s="183"/>
      <c r="DE2" s="366" t="e">
        <f>+R52/DE1</f>
        <v>#VALUE!</v>
      </c>
      <c r="DF2" s="96" t="s">
        <v>433</v>
      </c>
      <c r="DH2" s="367"/>
      <c r="DI2" s="74"/>
      <c r="DJ2" s="365"/>
      <c r="DK2" s="183"/>
      <c r="DL2" s="366" t="e">
        <f>T52/DL1</f>
        <v>#VALUE!</v>
      </c>
      <c r="DM2" s="96" t="s">
        <v>433</v>
      </c>
      <c r="DO2" s="367"/>
    </row>
    <row r="3" spans="1:119" x14ac:dyDescent="0.25">
      <c r="E3" s="356"/>
      <c r="F3" s="356"/>
      <c r="AS3" s="905" t="s">
        <v>504</v>
      </c>
      <c r="AU3" s="183"/>
      <c r="AV3" s="183"/>
      <c r="AW3" s="96"/>
      <c r="AX3" s="368"/>
      <c r="BB3"/>
      <c r="BD3" s="367"/>
      <c r="BE3" s="96"/>
      <c r="BF3"/>
      <c r="BG3"/>
      <c r="BH3"/>
      <c r="BI3"/>
      <c r="BK3" s="367"/>
      <c r="BL3" s="368"/>
      <c r="BM3"/>
      <c r="BN3"/>
      <c r="BO3"/>
      <c r="BP3"/>
      <c r="BR3" s="367"/>
      <c r="BS3" s="368"/>
      <c r="BT3"/>
      <c r="BU3"/>
      <c r="BV3"/>
      <c r="BW3"/>
      <c r="BY3" s="367"/>
      <c r="BZ3" s="368"/>
      <c r="CA3"/>
      <c r="CB3"/>
      <c r="CC3"/>
      <c r="CD3"/>
      <c r="CF3" s="367"/>
      <c r="CG3" s="368"/>
      <c r="CH3"/>
      <c r="CI3"/>
      <c r="CJ3"/>
      <c r="CK3"/>
      <c r="CM3" s="367"/>
      <c r="CN3" s="368"/>
      <c r="CO3"/>
      <c r="CP3"/>
      <c r="CQ3"/>
      <c r="CR3"/>
      <c r="CT3" s="367"/>
      <c r="CU3" s="368"/>
      <c r="CV3"/>
      <c r="CW3"/>
      <c r="CX3"/>
      <c r="CY3"/>
      <c r="DA3" s="367"/>
      <c r="DB3" s="368"/>
      <c r="DC3"/>
      <c r="DD3"/>
      <c r="DE3"/>
      <c r="DF3"/>
      <c r="DH3" s="367"/>
      <c r="DI3" s="368"/>
      <c r="DJ3"/>
      <c r="DK3"/>
      <c r="DL3"/>
      <c r="DM3"/>
      <c r="DO3" s="367"/>
    </row>
    <row r="4" spans="1:119" ht="23.25" x14ac:dyDescent="0.35">
      <c r="A4" s="369"/>
      <c r="E4" s="356"/>
      <c r="F4" s="356"/>
      <c r="AS4" s="905" t="s">
        <v>505</v>
      </c>
      <c r="AX4" s="74" t="s">
        <v>507</v>
      </c>
      <c r="AY4" s="370">
        <v>3</v>
      </c>
      <c r="AZ4" t="s">
        <v>419</v>
      </c>
      <c r="BA4" s="371" t="e">
        <f>AZ9*(1-AZ10)^AY4</f>
        <v>#VALUE!</v>
      </c>
      <c r="BB4" s="372" t="e">
        <f>+BA5/AZ9</f>
        <v>#VALUE!</v>
      </c>
      <c r="BC4" s="372"/>
      <c r="BD4" s="373"/>
      <c r="BE4" t="s">
        <v>507</v>
      </c>
      <c r="BF4" s="370">
        <v>3</v>
      </c>
      <c r="BG4" t="s">
        <v>419</v>
      </c>
      <c r="BH4" s="371" t="e">
        <f>BG9*(1-BG10)^BF4</f>
        <v>#VALUE!</v>
      </c>
      <c r="BI4" s="372" t="e">
        <f>+BH5/BG9</f>
        <v>#VALUE!</v>
      </c>
      <c r="BJ4" s="372"/>
      <c r="BK4" s="373"/>
      <c r="BL4" s="74" t="s">
        <v>507</v>
      </c>
      <c r="BM4" s="370">
        <v>3</v>
      </c>
      <c r="BN4" t="s">
        <v>419</v>
      </c>
      <c r="BO4" s="371" t="e">
        <f>BN9*(1-BN10)^BM4</f>
        <v>#VALUE!</v>
      </c>
      <c r="BP4" s="372" t="e">
        <f>+BO5/BN9</f>
        <v>#VALUE!</v>
      </c>
      <c r="BQ4"/>
      <c r="BR4" s="75" t="s">
        <v>431</v>
      </c>
      <c r="BS4" s="74" t="s">
        <v>507</v>
      </c>
      <c r="BT4" s="370">
        <v>3</v>
      </c>
      <c r="BU4" t="s">
        <v>419</v>
      </c>
      <c r="BV4" s="371" t="e">
        <f>BU9*(1-BU10)^BT4</f>
        <v>#VALUE!</v>
      </c>
      <c r="BW4" s="372" t="e">
        <f>+BV5/BU9</f>
        <v>#VALUE!</v>
      </c>
      <c r="BX4" s="372"/>
      <c r="BY4" s="373"/>
      <c r="BZ4" s="74" t="s">
        <v>507</v>
      </c>
      <c r="CA4" s="370">
        <v>3</v>
      </c>
      <c r="CB4" t="s">
        <v>419</v>
      </c>
      <c r="CC4" s="371" t="e">
        <f>CB9*(1-CB10)^CA4</f>
        <v>#VALUE!</v>
      </c>
      <c r="CD4" s="372" t="e">
        <f>+CC5/CB9</f>
        <v>#VALUE!</v>
      </c>
      <c r="CE4" s="372"/>
      <c r="CF4" s="373"/>
      <c r="CG4" s="74" t="s">
        <v>507</v>
      </c>
      <c r="CH4" s="370">
        <v>3</v>
      </c>
      <c r="CI4" t="s">
        <v>419</v>
      </c>
      <c r="CJ4" s="371" t="e">
        <f>CI9*(1-CI10)^CH4</f>
        <v>#VALUE!</v>
      </c>
      <c r="CK4" s="372" t="e">
        <f>+CJ5/CI9</f>
        <v>#VALUE!</v>
      </c>
      <c r="CL4" s="372"/>
      <c r="CM4" s="373"/>
      <c r="CN4" s="74" t="s">
        <v>507</v>
      </c>
      <c r="CO4" s="370">
        <v>3</v>
      </c>
      <c r="CP4" t="s">
        <v>419</v>
      </c>
      <c r="CQ4" s="371" t="e">
        <f>CP9*(1-CP10)^CO4</f>
        <v>#VALUE!</v>
      </c>
      <c r="CR4" s="372" t="e">
        <f>+CQ5/CP9</f>
        <v>#VALUE!</v>
      </c>
      <c r="CS4" s="372"/>
      <c r="CT4" s="373"/>
      <c r="CU4" s="74" t="s">
        <v>507</v>
      </c>
      <c r="CV4" s="370">
        <v>3</v>
      </c>
      <c r="CW4" t="s">
        <v>419</v>
      </c>
      <c r="CX4" s="371" t="e">
        <f>CW9*(1-CW10)^CV4</f>
        <v>#VALUE!</v>
      </c>
      <c r="CY4" s="372" t="e">
        <f>+CX5/CW9</f>
        <v>#VALUE!</v>
      </c>
      <c r="CZ4" s="372"/>
      <c r="DA4" s="373"/>
      <c r="DB4" s="74" t="s">
        <v>507</v>
      </c>
      <c r="DC4" s="370">
        <v>3</v>
      </c>
      <c r="DD4" t="s">
        <v>419</v>
      </c>
      <c r="DE4" s="371" t="e">
        <f>DD9*(1-DD10)^DC4</f>
        <v>#VALUE!</v>
      </c>
      <c r="DF4" s="372" t="e">
        <f>+DE5/DD9</f>
        <v>#VALUE!</v>
      </c>
      <c r="DG4" s="372"/>
      <c r="DH4" s="373"/>
      <c r="DI4" s="74" t="s">
        <v>507</v>
      </c>
      <c r="DJ4" s="370">
        <v>3</v>
      </c>
      <c r="DK4" t="s">
        <v>419</v>
      </c>
      <c r="DL4" s="371" t="e">
        <f>DK9*(1-DK10)^DJ4</f>
        <v>#VALUE!</v>
      </c>
      <c r="DM4" s="372" t="e">
        <f>+DL5/DK9</f>
        <v>#VALUE!</v>
      </c>
      <c r="DN4" s="372"/>
      <c r="DO4" s="373"/>
    </row>
    <row r="5" spans="1:119" ht="23.25" x14ac:dyDescent="0.35">
      <c r="A5" s="369"/>
      <c r="E5" s="356"/>
      <c r="F5" s="356"/>
      <c r="AS5" s="905" t="s">
        <v>506</v>
      </c>
      <c r="AX5" s="74" t="s">
        <v>508</v>
      </c>
      <c r="AY5">
        <f>AY4</f>
        <v>3</v>
      </c>
      <c r="AZ5" t="s">
        <v>419</v>
      </c>
      <c r="BA5" s="374" t="e">
        <f>AZ9-BA4</f>
        <v>#VALUE!</v>
      </c>
      <c r="BB5"/>
      <c r="BC5" s="372"/>
      <c r="BD5" s="373"/>
      <c r="BE5" t="s">
        <v>508</v>
      </c>
      <c r="BF5">
        <f>BF4</f>
        <v>3</v>
      </c>
      <c r="BG5" t="s">
        <v>419</v>
      </c>
      <c r="BH5" s="374" t="e">
        <f>BG9-BH4</f>
        <v>#VALUE!</v>
      </c>
      <c r="BI5"/>
      <c r="BJ5" s="372"/>
      <c r="BK5" s="373"/>
      <c r="BL5" s="74" t="s">
        <v>508</v>
      </c>
      <c r="BM5">
        <f>BM4</f>
        <v>3</v>
      </c>
      <c r="BN5" t="s">
        <v>419</v>
      </c>
      <c r="BO5" s="374" t="e">
        <f>BN9-BO4</f>
        <v>#VALUE!</v>
      </c>
      <c r="BP5"/>
      <c r="BQ5"/>
      <c r="BR5" s="373" t="e">
        <f>+BI11*SUM(BP12:BP13)</f>
        <v>#VALUE!</v>
      </c>
      <c r="BS5" s="74" t="s">
        <v>508</v>
      </c>
      <c r="BT5">
        <f>BT4</f>
        <v>3</v>
      </c>
      <c r="BU5" t="s">
        <v>419</v>
      </c>
      <c r="BV5" s="374" t="e">
        <f>BU9-BV4</f>
        <v>#VALUE!</v>
      </c>
      <c r="BW5"/>
      <c r="BX5" s="372"/>
      <c r="BY5" s="373"/>
      <c r="BZ5" s="74" t="s">
        <v>508</v>
      </c>
      <c r="CA5">
        <f>CA4</f>
        <v>3</v>
      </c>
      <c r="CB5" t="s">
        <v>419</v>
      </c>
      <c r="CC5" s="374" t="e">
        <f>CB9-CC4</f>
        <v>#VALUE!</v>
      </c>
      <c r="CD5"/>
      <c r="CE5" s="372"/>
      <c r="CF5" s="373"/>
      <c r="CG5" s="74" t="s">
        <v>508</v>
      </c>
      <c r="CH5">
        <f>CH4</f>
        <v>3</v>
      </c>
      <c r="CI5" t="s">
        <v>419</v>
      </c>
      <c r="CJ5" s="374" t="e">
        <f>CI9-CJ4</f>
        <v>#VALUE!</v>
      </c>
      <c r="CK5"/>
      <c r="CL5" s="372"/>
      <c r="CM5" s="373"/>
      <c r="CN5" s="74" t="s">
        <v>508</v>
      </c>
      <c r="CO5">
        <f>CO4</f>
        <v>3</v>
      </c>
      <c r="CP5" t="s">
        <v>419</v>
      </c>
      <c r="CQ5" s="374" t="e">
        <f>CP9-CQ4</f>
        <v>#VALUE!</v>
      </c>
      <c r="CR5"/>
      <c r="CS5" s="372"/>
      <c r="CT5" s="373"/>
      <c r="CU5" s="74" t="s">
        <v>508</v>
      </c>
      <c r="CV5">
        <f>CV4</f>
        <v>3</v>
      </c>
      <c r="CW5" t="s">
        <v>419</v>
      </c>
      <c r="CX5" s="374" t="e">
        <f>CW9-CX4</f>
        <v>#VALUE!</v>
      </c>
      <c r="CY5"/>
      <c r="CZ5" s="372"/>
      <c r="DA5" s="373"/>
      <c r="DB5" s="74" t="s">
        <v>508</v>
      </c>
      <c r="DC5">
        <f>DC4</f>
        <v>3</v>
      </c>
      <c r="DD5" t="s">
        <v>419</v>
      </c>
      <c r="DE5" s="374" t="e">
        <f>DD9-DE4</f>
        <v>#VALUE!</v>
      </c>
      <c r="DF5"/>
      <c r="DG5" s="372"/>
      <c r="DH5" s="373"/>
      <c r="DI5" s="74" t="s">
        <v>508</v>
      </c>
      <c r="DJ5">
        <f>DJ4</f>
        <v>3</v>
      </c>
      <c r="DK5" t="s">
        <v>419</v>
      </c>
      <c r="DL5" s="374" t="e">
        <f>DK9-DL4</f>
        <v>#VALUE!</v>
      </c>
      <c r="DM5"/>
      <c r="DN5" s="372"/>
      <c r="DO5" s="373"/>
    </row>
    <row r="6" spans="1:119" ht="23.25" x14ac:dyDescent="0.35">
      <c r="A6" s="369"/>
      <c r="E6" s="356"/>
      <c r="F6" s="356"/>
      <c r="AU6" s="130"/>
      <c r="AV6" s="130"/>
      <c r="AW6" s="96"/>
      <c r="AX6" s="74" t="str">
        <f>CONCATENATE("Tons decayed in year ",(AY4),":")</f>
        <v>Tons decayed in year 3:</v>
      </c>
      <c r="AY6"/>
      <c r="AZ6"/>
      <c r="BA6" s="371" t="e">
        <f>$AZ$10*(AZ9*(1-AZ10)^(AY4-AS38))</f>
        <v>#VALUE!</v>
      </c>
      <c r="BB6"/>
      <c r="BC6" s="372"/>
      <c r="BD6" s="373"/>
      <c r="BE6" t="str">
        <f>CONCATENATE("Tons decayed in year ",(BF4),":")</f>
        <v>Tons decayed in year 3:</v>
      </c>
      <c r="BF6"/>
      <c r="BG6"/>
      <c r="BH6" s="371" t="e">
        <f>$AZ$10*(BG9*(1-BG10)^(BF4-AZ37))</f>
        <v>#VALUE!</v>
      </c>
      <c r="BI6"/>
      <c r="BJ6" s="372"/>
      <c r="BK6" s="373"/>
      <c r="BL6" s="74" t="str">
        <f>CONCATENATE("Tons decayed in year ",(BM4),":")</f>
        <v>Tons decayed in year 3:</v>
      </c>
      <c r="BM6"/>
      <c r="BN6"/>
      <c r="BO6" s="371" t="e">
        <f>$AZ$10*(BN9*(1-BN10)^(BM4-BG37))</f>
        <v>#VALUE!</v>
      </c>
      <c r="BP6"/>
      <c r="BQ6"/>
      <c r="BR6" s="373" t="e">
        <f>+BI12*SUM(BP14:BP15)</f>
        <v>#VALUE!</v>
      </c>
      <c r="BS6" s="74" t="str">
        <f>CONCATENATE("Tons decayed in year ",(BT4),":")</f>
        <v>Tons decayed in year 3:</v>
      </c>
      <c r="BT6"/>
      <c r="BU6"/>
      <c r="BV6" s="371" t="e">
        <f>$AZ$10*(BU9*(1-BU10)^(BT4-BN37))</f>
        <v>#VALUE!</v>
      </c>
      <c r="BW6"/>
      <c r="BX6" s="372"/>
      <c r="BY6" s="373"/>
      <c r="BZ6" s="74" t="str">
        <f>CONCATENATE("Tons decayed in year ",(CA4),":")</f>
        <v>Tons decayed in year 3:</v>
      </c>
      <c r="CA6"/>
      <c r="CB6"/>
      <c r="CC6" s="371" t="e">
        <f>$AZ$10*(CB9*(1-CB10)^(CA4-BU37))</f>
        <v>#VALUE!</v>
      </c>
      <c r="CD6"/>
      <c r="CE6" s="372"/>
      <c r="CF6" s="373"/>
      <c r="CG6" s="74" t="str">
        <f>CONCATENATE("Tons decayed in year ",(CH4),":")</f>
        <v>Tons decayed in year 3:</v>
      </c>
      <c r="CH6"/>
      <c r="CI6"/>
      <c r="CJ6" s="371" t="e">
        <f>$AZ$10*(CI9*(1-CI10)^(CH4-CB37))</f>
        <v>#VALUE!</v>
      </c>
      <c r="CK6"/>
      <c r="CL6" s="372"/>
      <c r="CM6" s="373"/>
      <c r="CN6" s="74" t="str">
        <f>CONCATENATE("Tons decayed in year ",(CO4),":")</f>
        <v>Tons decayed in year 3:</v>
      </c>
      <c r="CO6"/>
      <c r="CP6"/>
      <c r="CQ6" s="371" t="e">
        <f>$AZ$10*(CP9*(1-CP10)^(CO4-CI37))</f>
        <v>#VALUE!</v>
      </c>
      <c r="CR6"/>
      <c r="CS6" s="372"/>
      <c r="CT6" s="373"/>
      <c r="CU6" s="74" t="str">
        <f>CONCATENATE("Tons decayed in year ",(CV4),":")</f>
        <v>Tons decayed in year 3:</v>
      </c>
      <c r="CV6"/>
      <c r="CW6"/>
      <c r="CX6" s="371" t="e">
        <f>$AZ$10*(CW9*(1-CW10)^(CV4-CP37))</f>
        <v>#VALUE!</v>
      </c>
      <c r="CY6"/>
      <c r="CZ6" s="372"/>
      <c r="DA6" s="373"/>
      <c r="DB6" s="74" t="str">
        <f>CONCATENATE("Tons decayed in year ",(DC4),":")</f>
        <v>Tons decayed in year 3:</v>
      </c>
      <c r="DC6"/>
      <c r="DD6"/>
      <c r="DE6" s="371" t="e">
        <f>$AZ$10*(DD9*(1-DD10)^(DC4-CW37))</f>
        <v>#VALUE!</v>
      </c>
      <c r="DF6"/>
      <c r="DG6" s="372"/>
      <c r="DH6" s="373"/>
      <c r="DI6" s="74" t="str">
        <f>CONCATENATE("Tons decayed in year ",(DJ4),":")</f>
        <v>Tons decayed in year 3:</v>
      </c>
      <c r="DJ6"/>
      <c r="DK6"/>
      <c r="DL6" s="371" t="e">
        <f>$AZ$10*(DK9*(1-DK10)^(DJ4-DD37))</f>
        <v>#VALUE!</v>
      </c>
      <c r="DM6"/>
      <c r="DN6" s="372"/>
      <c r="DO6" s="373"/>
    </row>
    <row r="7" spans="1:119" ht="23.25" x14ac:dyDescent="0.35">
      <c r="A7" s="369"/>
      <c r="B7" s="375"/>
      <c r="C7" s="375"/>
      <c r="D7" s="375"/>
      <c r="E7" s="356"/>
      <c r="F7" s="356"/>
      <c r="AR7" t="s">
        <v>434</v>
      </c>
      <c r="AS7">
        <v>0.36</v>
      </c>
      <c r="AT7" t="s">
        <v>435</v>
      </c>
      <c r="AX7" s="376">
        <v>100</v>
      </c>
      <c r="AY7" t="s">
        <v>427</v>
      </c>
      <c r="AZ7"/>
      <c r="BC7" s="372"/>
      <c r="BD7" s="373"/>
      <c r="BE7" s="377">
        <v>100</v>
      </c>
      <c r="BF7" t="s">
        <v>427</v>
      </c>
      <c r="BG7"/>
      <c r="BJ7" s="372"/>
      <c r="BK7" s="373"/>
      <c r="BL7" s="376">
        <v>100</v>
      </c>
      <c r="BM7" t="s">
        <v>427</v>
      </c>
      <c r="BN7"/>
      <c r="BQ7"/>
      <c r="BR7" s="373" t="e">
        <f>+BI13*SUM(BP16:BP25)</f>
        <v>#VALUE!</v>
      </c>
      <c r="BS7" s="376">
        <v>100</v>
      </c>
      <c r="BT7" t="s">
        <v>427</v>
      </c>
      <c r="BU7"/>
      <c r="BX7" s="372"/>
      <c r="BY7" s="373"/>
      <c r="BZ7" s="376">
        <v>100</v>
      </c>
      <c r="CA7" t="s">
        <v>427</v>
      </c>
      <c r="CB7"/>
      <c r="CE7" s="372"/>
      <c r="CF7" s="373"/>
      <c r="CG7" s="376">
        <v>100</v>
      </c>
      <c r="CH7" t="s">
        <v>427</v>
      </c>
      <c r="CI7"/>
      <c r="CL7" s="372"/>
      <c r="CM7" s="373"/>
      <c r="CN7" s="376">
        <v>100</v>
      </c>
      <c r="CO7" t="s">
        <v>427</v>
      </c>
      <c r="CP7"/>
      <c r="CS7" s="372"/>
      <c r="CT7" s="373"/>
      <c r="CU7" s="376">
        <v>100</v>
      </c>
      <c r="CV7" t="s">
        <v>427</v>
      </c>
      <c r="CW7"/>
      <c r="CZ7" s="372"/>
      <c r="DA7" s="373"/>
      <c r="DB7" s="376">
        <v>100</v>
      </c>
      <c r="DC7" t="s">
        <v>427</v>
      </c>
      <c r="DD7"/>
      <c r="DG7" s="372"/>
      <c r="DH7" s="373"/>
      <c r="DI7" s="376">
        <v>100</v>
      </c>
      <c r="DJ7" t="s">
        <v>427</v>
      </c>
      <c r="DK7"/>
      <c r="DN7" s="372"/>
      <c r="DO7" s="373"/>
    </row>
    <row r="8" spans="1:119" ht="24" thickBot="1" x14ac:dyDescent="0.4">
      <c r="A8" s="369"/>
      <c r="B8" s="375"/>
      <c r="C8" s="375"/>
      <c r="D8" s="375"/>
      <c r="E8" s="356"/>
      <c r="F8" s="356"/>
      <c r="AX8" s="368"/>
      <c r="AY8"/>
      <c r="AZ8" s="886" t="s">
        <v>98</v>
      </c>
      <c r="BA8" t="s">
        <v>418</v>
      </c>
      <c r="BC8" s="372"/>
      <c r="BD8" s="373"/>
      <c r="BE8" s="96"/>
      <c r="BF8"/>
      <c r="BG8" s="886" t="s">
        <v>98</v>
      </c>
      <c r="BH8" t="s">
        <v>418</v>
      </c>
      <c r="BJ8" s="372"/>
      <c r="BK8" s="373"/>
      <c r="BL8" s="368"/>
      <c r="BM8"/>
      <c r="BN8" s="886" t="s">
        <v>98</v>
      </c>
      <c r="BO8" t="s">
        <v>418</v>
      </c>
      <c r="BQ8"/>
      <c r="BR8" s="373" t="e">
        <f>+BI14*SUM(BP26:BP41)</f>
        <v>#VALUE!</v>
      </c>
      <c r="BS8" s="368"/>
      <c r="BT8"/>
      <c r="BU8" s="886" t="s">
        <v>98</v>
      </c>
      <c r="BV8" t="s">
        <v>418</v>
      </c>
      <c r="BX8" s="372"/>
      <c r="BY8" s="373"/>
      <c r="BZ8" s="368"/>
      <c r="CA8"/>
      <c r="CB8" s="886" t="s">
        <v>98</v>
      </c>
      <c r="CC8" t="s">
        <v>418</v>
      </c>
      <c r="CE8" s="372"/>
      <c r="CF8" s="373"/>
      <c r="CG8" s="368"/>
      <c r="CH8"/>
      <c r="CI8" s="886" t="s">
        <v>98</v>
      </c>
      <c r="CJ8" t="s">
        <v>418</v>
      </c>
      <c r="CL8" s="372"/>
      <c r="CM8" s="373"/>
      <c r="CN8" s="368"/>
      <c r="CO8"/>
      <c r="CP8" s="886" t="s">
        <v>98</v>
      </c>
      <c r="CQ8" t="s">
        <v>418</v>
      </c>
      <c r="CS8" s="372"/>
      <c r="CT8" s="373"/>
      <c r="CU8" s="368"/>
      <c r="CV8"/>
      <c r="CW8" s="886" t="s">
        <v>98</v>
      </c>
      <c r="CX8" t="s">
        <v>418</v>
      </c>
      <c r="CZ8" s="372"/>
      <c r="DA8" s="373"/>
      <c r="DB8" s="368"/>
      <c r="DC8"/>
      <c r="DD8" s="886" t="s">
        <v>98</v>
      </c>
      <c r="DE8" t="s">
        <v>418</v>
      </c>
      <c r="DG8" s="372"/>
      <c r="DH8" s="373"/>
      <c r="DI8" s="368"/>
      <c r="DJ8"/>
      <c r="DK8" s="886" t="s">
        <v>98</v>
      </c>
      <c r="DL8" t="s">
        <v>418</v>
      </c>
      <c r="DN8" s="372"/>
      <c r="DO8" s="373"/>
    </row>
    <row r="9" spans="1:119" ht="15.75" customHeight="1" x14ac:dyDescent="0.25">
      <c r="A9" s="1318" t="s">
        <v>604</v>
      </c>
      <c r="B9" s="1293" t="s">
        <v>449</v>
      </c>
      <c r="C9" s="1294"/>
      <c r="D9" s="1293" t="s">
        <v>451</v>
      </c>
      <c r="E9" s="1294"/>
      <c r="F9" s="1293" t="s">
        <v>452</v>
      </c>
      <c r="G9" s="1294"/>
      <c r="H9" s="1293" t="s">
        <v>453</v>
      </c>
      <c r="I9" s="1294"/>
      <c r="J9" s="1293" t="s">
        <v>454</v>
      </c>
      <c r="K9" s="1294"/>
      <c r="L9" s="1293" t="s">
        <v>455</v>
      </c>
      <c r="M9" s="1294"/>
      <c r="N9" s="1293" t="s">
        <v>456</v>
      </c>
      <c r="O9" s="1294"/>
      <c r="P9" s="1293" t="s">
        <v>457</v>
      </c>
      <c r="Q9" s="1294"/>
      <c r="R9" s="1293" t="s">
        <v>458</v>
      </c>
      <c r="S9" s="1294"/>
      <c r="T9" s="1293" t="s">
        <v>459</v>
      </c>
      <c r="U9" s="1294"/>
      <c r="AS9" s="378" t="s">
        <v>500</v>
      </c>
      <c r="AT9" s="379"/>
      <c r="AU9" s="96"/>
      <c r="AX9" s="368"/>
      <c r="AY9" t="s">
        <v>417</v>
      </c>
      <c r="AZ9" s="380">
        <v>100</v>
      </c>
      <c r="BA9"/>
      <c r="BB9"/>
      <c r="BC9" s="372"/>
      <c r="BD9" s="373"/>
      <c r="BE9" s="96"/>
      <c r="BF9" t="s">
        <v>417</v>
      </c>
      <c r="BG9" s="380">
        <v>100</v>
      </c>
      <c r="BH9"/>
      <c r="BI9"/>
      <c r="BJ9" s="372"/>
      <c r="BK9" s="373"/>
      <c r="BL9" s="368"/>
      <c r="BM9" t="s">
        <v>417</v>
      </c>
      <c r="BN9" s="380">
        <v>100</v>
      </c>
      <c r="BO9"/>
      <c r="BP9"/>
      <c r="BQ9" s="381" t="s">
        <v>443</v>
      </c>
      <c r="BR9" s="382" t="e">
        <f>SUM(BR5:BR8)</f>
        <v>#VALUE!</v>
      </c>
      <c r="BS9" s="368"/>
      <c r="BT9" t="s">
        <v>417</v>
      </c>
      <c r="BU9" s="380">
        <v>100</v>
      </c>
      <c r="BV9"/>
      <c r="BW9"/>
      <c r="BX9" s="372"/>
      <c r="BY9" s="373"/>
      <c r="BZ9" s="368"/>
      <c r="CA9" t="s">
        <v>417</v>
      </c>
      <c r="CB9" s="380">
        <v>100</v>
      </c>
      <c r="CC9"/>
      <c r="CD9"/>
      <c r="CE9" s="372"/>
      <c r="CF9" s="373"/>
      <c r="CG9" s="368"/>
      <c r="CH9" t="s">
        <v>417</v>
      </c>
      <c r="CI9" s="380">
        <v>100</v>
      </c>
      <c r="CJ9"/>
      <c r="CK9"/>
      <c r="CL9" s="372"/>
      <c r="CM9" s="373"/>
      <c r="CN9" s="368"/>
      <c r="CO9" t="s">
        <v>417</v>
      </c>
      <c r="CP9" s="380">
        <v>100</v>
      </c>
      <c r="CQ9"/>
      <c r="CR9"/>
      <c r="CS9" s="372"/>
      <c r="CT9" s="373"/>
      <c r="CU9" s="368"/>
      <c r="CV9" t="s">
        <v>417</v>
      </c>
      <c r="CW9" s="380">
        <v>100</v>
      </c>
      <c r="CX9"/>
      <c r="CY9"/>
      <c r="CZ9" s="372"/>
      <c r="DA9" s="373"/>
      <c r="DB9" s="368"/>
      <c r="DC9" t="s">
        <v>417</v>
      </c>
      <c r="DD9" s="380">
        <v>100</v>
      </c>
      <c r="DE9"/>
      <c r="DF9"/>
      <c r="DG9" s="372"/>
      <c r="DH9" s="373"/>
      <c r="DI9" s="368"/>
      <c r="DJ9" t="s">
        <v>417</v>
      </c>
      <c r="DK9" s="380">
        <v>100</v>
      </c>
      <c r="DL9"/>
      <c r="DM9"/>
      <c r="DN9" s="372"/>
      <c r="DO9" s="373"/>
    </row>
    <row r="10" spans="1:119" ht="15.75" customHeight="1" thickBot="1" x14ac:dyDescent="0.3">
      <c r="A10" s="1319"/>
      <c r="B10" s="1330" t="str">
        <f>'Scenarios Data'!$B$1</f>
        <v>Landfill</v>
      </c>
      <c r="C10" s="1331"/>
      <c r="D10" s="1328" t="str">
        <f>'Scenarios Data'!$B$33</f>
        <v>Co-digestion</v>
      </c>
      <c r="E10" s="1329"/>
      <c r="F10" s="1328">
        <f>'Scenarios Data'!$B$65</f>
        <v>0</v>
      </c>
      <c r="G10" s="1329"/>
      <c r="H10" s="1328">
        <f>'Scenarios Data'!$B$97</f>
        <v>0</v>
      </c>
      <c r="I10" s="1329"/>
      <c r="J10" s="1328">
        <f>'Scenarios Data'!$B$129</f>
        <v>0</v>
      </c>
      <c r="K10" s="1329"/>
      <c r="L10" s="1328">
        <f>'Scenarios Data'!$B$161</f>
        <v>0</v>
      </c>
      <c r="M10" s="1329"/>
      <c r="N10" s="1328" t="str">
        <f>'Scenarios Data'!$B$193</f>
        <v xml:space="preserve"> </v>
      </c>
      <c r="O10" s="1329"/>
      <c r="P10" s="1328">
        <f>'Scenarios Data'!$B$225</f>
        <v>0</v>
      </c>
      <c r="Q10" s="1329"/>
      <c r="R10" s="1328">
        <f>'Scenarios Data'!$B$257</f>
        <v>0</v>
      </c>
      <c r="S10" s="1329"/>
      <c r="T10" s="1328">
        <f>'Scenarios Data'!$B$289</f>
        <v>0</v>
      </c>
      <c r="U10" s="1329"/>
      <c r="AS10" s="905" t="s">
        <v>432</v>
      </c>
      <c r="AT10" s="383" t="s">
        <v>426</v>
      </c>
      <c r="AU10" s="905" t="s">
        <v>431</v>
      </c>
      <c r="AV10"/>
      <c r="AX10" s="368"/>
      <c r="AY10" t="s">
        <v>421</v>
      </c>
      <c r="AZ10" s="384" t="str">
        <f>$B$29</f>
        <v>N/A</v>
      </c>
      <c r="BA10"/>
      <c r="BB10"/>
      <c r="BC10" s="372"/>
      <c r="BD10" s="373"/>
      <c r="BE10" s="96"/>
      <c r="BF10" t="s">
        <v>421</v>
      </c>
      <c r="BG10" s="384" t="str">
        <f>$D$29</f>
        <v>N/A</v>
      </c>
      <c r="BH10"/>
      <c r="BI10"/>
      <c r="BJ10" s="372"/>
      <c r="BK10" s="373"/>
      <c r="BL10" s="368"/>
      <c r="BM10" t="s">
        <v>421</v>
      </c>
      <c r="BN10" s="384" t="str">
        <f>$F$29</f>
        <v>N/A</v>
      </c>
      <c r="BO10"/>
      <c r="BP10"/>
      <c r="BQ10" s="381" t="s">
        <v>442</v>
      </c>
      <c r="BR10" s="385" t="e">
        <f>1-BR9</f>
        <v>#VALUE!</v>
      </c>
      <c r="BS10" s="368"/>
      <c r="BT10" t="s">
        <v>421</v>
      </c>
      <c r="BU10" s="384" t="str">
        <f>$H$29</f>
        <v>N/A</v>
      </c>
      <c r="BV10"/>
      <c r="BW10"/>
      <c r="BX10" s="372"/>
      <c r="BY10" s="373"/>
      <c r="BZ10" s="368"/>
      <c r="CA10" t="s">
        <v>421</v>
      </c>
      <c r="CB10" s="384" t="str">
        <f>$J$29</f>
        <v>N/A</v>
      </c>
      <c r="CC10"/>
      <c r="CD10"/>
      <c r="CE10" s="372"/>
      <c r="CF10" s="373"/>
      <c r="CG10" s="368"/>
      <c r="CH10" t="s">
        <v>421</v>
      </c>
      <c r="CI10" s="384" t="str">
        <f>$L$29</f>
        <v>N/A</v>
      </c>
      <c r="CJ10"/>
      <c r="CK10"/>
      <c r="CL10" s="372"/>
      <c r="CM10" s="373"/>
      <c r="CN10" s="368"/>
      <c r="CO10" t="s">
        <v>421</v>
      </c>
      <c r="CP10" s="384" t="str">
        <f>$N$29</f>
        <v>N/A</v>
      </c>
      <c r="CQ10"/>
      <c r="CR10"/>
      <c r="CS10" s="372"/>
      <c r="CT10" s="373"/>
      <c r="CU10" s="368"/>
      <c r="CV10" t="s">
        <v>421</v>
      </c>
      <c r="CW10" s="384" t="str">
        <f>$P$29</f>
        <v>N/A</v>
      </c>
      <c r="CX10"/>
      <c r="CY10"/>
      <c r="CZ10" s="372"/>
      <c r="DA10" s="373"/>
      <c r="DB10" s="368"/>
      <c r="DC10" t="s">
        <v>421</v>
      </c>
      <c r="DD10" s="384" t="str">
        <f>$R$29</f>
        <v>N/A</v>
      </c>
      <c r="DE10"/>
      <c r="DF10"/>
      <c r="DG10" s="372"/>
      <c r="DH10" s="373"/>
      <c r="DI10" s="368"/>
      <c r="DJ10" t="s">
        <v>421</v>
      </c>
      <c r="DK10" s="384" t="str">
        <f>$T$29</f>
        <v>N/A</v>
      </c>
      <c r="DL10"/>
      <c r="DM10"/>
      <c r="DN10" s="372"/>
      <c r="DO10" s="373"/>
    </row>
    <row r="11" spans="1:119" ht="48" customHeight="1" thickBot="1" x14ac:dyDescent="0.3">
      <c r="A11" s="145" t="s">
        <v>104</v>
      </c>
      <c r="B11" s="186" t="s">
        <v>105</v>
      </c>
      <c r="C11" s="147" t="s">
        <v>103</v>
      </c>
      <c r="D11" s="186" t="s">
        <v>105</v>
      </c>
      <c r="E11" s="147" t="s">
        <v>103</v>
      </c>
      <c r="F11" s="186" t="s">
        <v>105</v>
      </c>
      <c r="G11" s="147" t="s">
        <v>103</v>
      </c>
      <c r="H11" s="186" t="s">
        <v>105</v>
      </c>
      <c r="I11" s="147" t="s">
        <v>103</v>
      </c>
      <c r="J11" s="186" t="s">
        <v>105</v>
      </c>
      <c r="K11" s="147" t="s">
        <v>103</v>
      </c>
      <c r="L11" s="186" t="s">
        <v>105</v>
      </c>
      <c r="M11" s="147" t="s">
        <v>103</v>
      </c>
      <c r="N11" s="186" t="s">
        <v>105</v>
      </c>
      <c r="O11" s="147" t="s">
        <v>103</v>
      </c>
      <c r="P11" s="186" t="s">
        <v>105</v>
      </c>
      <c r="Q11" s="147" t="s">
        <v>103</v>
      </c>
      <c r="R11" s="186" t="s">
        <v>105</v>
      </c>
      <c r="S11" s="147" t="s">
        <v>103</v>
      </c>
      <c r="T11" s="186" t="s">
        <v>105</v>
      </c>
      <c r="U11" s="147" t="s">
        <v>103</v>
      </c>
      <c r="AP11" s="386" t="s">
        <v>506</v>
      </c>
      <c r="AS11" s="387">
        <v>0</v>
      </c>
      <c r="AT11" s="388" t="s">
        <v>511</v>
      </c>
      <c r="AU11" s="389">
        <f>1-AS11</f>
        <v>1</v>
      </c>
      <c r="AV11" s="390"/>
      <c r="AX11" s="368"/>
      <c r="AY11" s="391" t="s">
        <v>423</v>
      </c>
      <c r="AZ11" s="391" t="s">
        <v>424</v>
      </c>
      <c r="BA11" s="391" t="s">
        <v>425</v>
      </c>
      <c r="BB11"/>
      <c r="BC11" s="372"/>
      <c r="BD11" s="373"/>
      <c r="BE11" s="96"/>
      <c r="BF11" s="391" t="s">
        <v>423</v>
      </c>
      <c r="BG11" s="391" t="s">
        <v>424</v>
      </c>
      <c r="BH11" s="391" t="s">
        <v>425</v>
      </c>
      <c r="BI11"/>
      <c r="BJ11" s="372"/>
      <c r="BK11" s="373"/>
      <c r="BL11" s="368"/>
      <c r="BM11" s="391" t="s">
        <v>423</v>
      </c>
      <c r="BN11" s="391" t="s">
        <v>424</v>
      </c>
      <c r="BO11" s="391" t="s">
        <v>425</v>
      </c>
      <c r="BP11"/>
      <c r="BQ11"/>
      <c r="BR11" s="75"/>
      <c r="BS11" s="368"/>
      <c r="BT11" s="391" t="s">
        <v>423</v>
      </c>
      <c r="BU11" s="391" t="s">
        <v>424</v>
      </c>
      <c r="BV11" s="391" t="s">
        <v>425</v>
      </c>
      <c r="BW11"/>
      <c r="BX11"/>
      <c r="BY11" s="75"/>
      <c r="BZ11" s="368"/>
      <c r="CA11" s="391" t="s">
        <v>423</v>
      </c>
      <c r="CB11" s="391" t="s">
        <v>424</v>
      </c>
      <c r="CC11" s="391" t="s">
        <v>425</v>
      </c>
      <c r="CD11"/>
      <c r="CE11"/>
      <c r="CF11" s="75"/>
      <c r="CG11" s="368"/>
      <c r="CH11" s="391" t="s">
        <v>423</v>
      </c>
      <c r="CI11" s="391" t="s">
        <v>424</v>
      </c>
      <c r="CJ11" s="391" t="s">
        <v>425</v>
      </c>
      <c r="CK11"/>
      <c r="CL11"/>
      <c r="CM11" s="75"/>
      <c r="CN11" s="368"/>
      <c r="CO11" s="391" t="s">
        <v>423</v>
      </c>
      <c r="CP11" s="391" t="s">
        <v>424</v>
      </c>
      <c r="CQ11" s="391" t="s">
        <v>425</v>
      </c>
      <c r="CR11"/>
      <c r="CS11"/>
      <c r="CT11" s="75"/>
      <c r="CU11" s="368"/>
      <c r="CV11" s="391" t="s">
        <v>423</v>
      </c>
      <c r="CW11" s="391" t="s">
        <v>424</v>
      </c>
      <c r="CX11" s="391" t="s">
        <v>425</v>
      </c>
      <c r="CY11"/>
      <c r="CZ11"/>
      <c r="DA11" s="75"/>
      <c r="DB11" s="368"/>
      <c r="DC11" s="391" t="s">
        <v>423</v>
      </c>
      <c r="DD11" s="391" t="s">
        <v>424</v>
      </c>
      <c r="DE11" s="391" t="s">
        <v>425</v>
      </c>
      <c r="DF11"/>
      <c r="DG11"/>
      <c r="DH11" s="75"/>
      <c r="DI11" s="368"/>
      <c r="DJ11" s="391" t="s">
        <v>423</v>
      </c>
      <c r="DK11" s="391" t="s">
        <v>424</v>
      </c>
      <c r="DL11" s="391" t="s">
        <v>425</v>
      </c>
      <c r="DM11"/>
      <c r="DN11"/>
      <c r="DO11" s="75"/>
    </row>
    <row r="12" spans="1:119" ht="15.75" customHeight="1" thickBot="1" x14ac:dyDescent="0.3">
      <c r="A12" s="1300" t="s">
        <v>928</v>
      </c>
      <c r="B12" s="1301"/>
      <c r="C12" s="1301"/>
      <c r="D12" s="1301"/>
      <c r="E12" s="1301"/>
      <c r="F12" s="1301"/>
      <c r="G12" s="1301"/>
      <c r="H12" s="1301"/>
      <c r="I12" s="1301"/>
      <c r="J12" s="1301"/>
      <c r="K12" s="1301"/>
      <c r="L12" s="1301"/>
      <c r="M12" s="1301"/>
      <c r="N12" s="1301"/>
      <c r="O12" s="1301"/>
      <c r="P12" s="1301"/>
      <c r="Q12" s="1301"/>
      <c r="R12" s="1301"/>
      <c r="S12" s="1301"/>
      <c r="T12" s="1301"/>
      <c r="U12" s="1302"/>
      <c r="AO12"/>
      <c r="AP12" s="386" t="s">
        <v>431</v>
      </c>
      <c r="AS12" s="387">
        <v>0.5</v>
      </c>
      <c r="AT12" s="392" t="s">
        <v>514</v>
      </c>
      <c r="AU12" s="389">
        <f>1-AS12</f>
        <v>0.5</v>
      </c>
      <c r="AV12" s="390"/>
      <c r="AW12" s="96"/>
      <c r="AX12" s="368">
        <f>AY12-1</f>
        <v>0</v>
      </c>
      <c r="AY12" s="393">
        <v>1</v>
      </c>
      <c r="AZ12" s="394" t="e">
        <f>AZ9-(AZ9*$AZ$10)</f>
        <v>#VALUE!</v>
      </c>
      <c r="BA12" s="394" t="e">
        <f>(AZ9*$AZ$10)</f>
        <v>#VALUE!</v>
      </c>
      <c r="BB12" s="395" t="e">
        <f t="shared" ref="BB12:BB26" si="0">+BA12/$AZ$9</f>
        <v>#VALUE!</v>
      </c>
      <c r="BC12" s="886"/>
      <c r="BD12" s="75"/>
      <c r="BE12" s="96"/>
      <c r="BF12" s="393">
        <v>1</v>
      </c>
      <c r="BG12" s="394" t="e">
        <f>BG9-(BG9*$BG$10)</f>
        <v>#VALUE!</v>
      </c>
      <c r="BH12" s="394" t="e">
        <f>BG9*$BG$10</f>
        <v>#VALUE!</v>
      </c>
      <c r="BI12" s="395" t="e">
        <f>+BH12/$BG$9</f>
        <v>#VALUE!</v>
      </c>
      <c r="BJ12" s="886"/>
      <c r="BK12" s="75"/>
      <c r="BL12" s="368"/>
      <c r="BM12" s="393">
        <v>1</v>
      </c>
      <c r="BN12" s="394" t="e">
        <f>BN9-(BN9*$BN$10)</f>
        <v>#VALUE!</v>
      </c>
      <c r="BO12" s="394" t="e">
        <f>BN9*BN10</f>
        <v>#VALUE!</v>
      </c>
      <c r="BP12" s="372" t="e">
        <f>BO12/$BN$9</f>
        <v>#VALUE!</v>
      </c>
      <c r="BQ12" s="886"/>
      <c r="BR12" s="75"/>
      <c r="BS12" s="368"/>
      <c r="BT12" s="393">
        <v>1</v>
      </c>
      <c r="BU12" s="394" t="e">
        <f>BU9-(BU9*$BU$10)</f>
        <v>#VALUE!</v>
      </c>
      <c r="BV12" s="394" t="e">
        <f>BU9*$BU$10</f>
        <v>#VALUE!</v>
      </c>
      <c r="BW12" s="395" t="e">
        <f>+BV12/$BU$9</f>
        <v>#VALUE!</v>
      </c>
      <c r="BX12" s="886"/>
      <c r="BY12" s="75"/>
      <c r="BZ12" s="368"/>
      <c r="CA12" s="393">
        <v>1</v>
      </c>
      <c r="CB12" s="394" t="e">
        <f>CB9-(CB9*$CB$10)</f>
        <v>#VALUE!</v>
      </c>
      <c r="CC12" s="394" t="e">
        <f>CB9*$CB$10</f>
        <v>#VALUE!</v>
      </c>
      <c r="CD12" s="395" t="e">
        <f t="shared" ref="CD12:CD26" si="1">+CC12/$CB$9</f>
        <v>#VALUE!</v>
      </c>
      <c r="CE12" s="886"/>
      <c r="CF12" s="75"/>
      <c r="CG12" s="368"/>
      <c r="CH12" s="393">
        <v>1</v>
      </c>
      <c r="CI12" s="394" t="e">
        <f>CI9-(CI9*$CI$10)</f>
        <v>#VALUE!</v>
      </c>
      <c r="CJ12" s="394" t="e">
        <f>CI9*$CI$10</f>
        <v>#VALUE!</v>
      </c>
      <c r="CK12" s="395" t="e">
        <f t="shared" ref="CK12:CK26" si="2">+CJ12/$CI$9</f>
        <v>#VALUE!</v>
      </c>
      <c r="CL12" s="886"/>
      <c r="CM12" s="75"/>
      <c r="CN12" s="368"/>
      <c r="CO12" s="393">
        <v>1</v>
      </c>
      <c r="CP12" s="394" t="e">
        <f>CP9-(CP9*$CP$10)</f>
        <v>#VALUE!</v>
      </c>
      <c r="CQ12" s="394" t="e">
        <f>CP9*$CP$10</f>
        <v>#VALUE!</v>
      </c>
      <c r="CR12" s="395" t="e">
        <f t="shared" ref="CR12:CR26" si="3">+CQ12/$CP$9</f>
        <v>#VALUE!</v>
      </c>
      <c r="CS12" s="886"/>
      <c r="CT12" s="75"/>
      <c r="CU12" s="368"/>
      <c r="CV12" s="393">
        <v>1</v>
      </c>
      <c r="CW12" s="394" t="e">
        <f>CW9-(CW9*$CW$10)</f>
        <v>#VALUE!</v>
      </c>
      <c r="CX12" s="394" t="e">
        <f>CW9*$CW$10</f>
        <v>#VALUE!</v>
      </c>
      <c r="CY12" s="395" t="e">
        <f t="shared" ref="CY12:CY26" si="4">+CX12/$CW$9</f>
        <v>#VALUE!</v>
      </c>
      <c r="CZ12" s="886"/>
      <c r="DA12" s="75"/>
      <c r="DB12" s="368"/>
      <c r="DC12" s="393">
        <v>1</v>
      </c>
      <c r="DD12" s="394" t="e">
        <f>DD9-(DD9*$DD$10)</f>
        <v>#VALUE!</v>
      </c>
      <c r="DE12" s="394" t="e">
        <f>DD9*$DD$10</f>
        <v>#VALUE!</v>
      </c>
      <c r="DF12" s="395" t="e">
        <f t="shared" ref="DF12:DF26" si="5">+DE12/$DD$9</f>
        <v>#VALUE!</v>
      </c>
      <c r="DG12" s="886"/>
      <c r="DH12" s="75"/>
      <c r="DI12" s="368"/>
      <c r="DJ12" s="393">
        <v>1</v>
      </c>
      <c r="DK12" s="394" t="e">
        <f>DK9-(DK9*$DK$10)</f>
        <v>#VALUE!</v>
      </c>
      <c r="DL12" s="394" t="e">
        <f>DK9*$DK$10</f>
        <v>#VALUE!</v>
      </c>
      <c r="DM12" s="395" t="e">
        <f t="shared" ref="DM12:DM26" si="6">+DL12/$DK$9</f>
        <v>#VALUE!</v>
      </c>
      <c r="DN12" s="886"/>
      <c r="DO12" s="75"/>
    </row>
    <row r="13" spans="1:119" ht="15.75" customHeight="1" x14ac:dyDescent="0.25">
      <c r="A13" s="397" t="s">
        <v>247</v>
      </c>
      <c r="B13" s="354">
        <f>+'Amount and Destination'!AH4/days_yr</f>
        <v>93.441803992740461</v>
      </c>
      <c r="C13" s="398"/>
      <c r="D13" s="354">
        <f>'Amount and Destination'!AH36/days_yr</f>
        <v>0</v>
      </c>
      <c r="E13" s="398"/>
      <c r="F13" s="354">
        <f>'Amount and Destination'!AH65/days_yr</f>
        <v>0</v>
      </c>
      <c r="G13" s="398"/>
      <c r="H13" s="354">
        <f>'Amount and Destination'!AH94/days_yr</f>
        <v>0</v>
      </c>
      <c r="I13" s="398"/>
      <c r="J13" s="354">
        <f>'Amount and Destination'!AH123/days_yr</f>
        <v>0</v>
      </c>
      <c r="K13" s="398"/>
      <c r="L13" s="354">
        <f>'Amount and Destination'!AH152/days_yr</f>
        <v>0</v>
      </c>
      <c r="M13" s="398"/>
      <c r="N13" s="354">
        <f>'Amount and Destination'!AH181/days_yr</f>
        <v>0</v>
      </c>
      <c r="O13" s="398"/>
      <c r="P13" s="354">
        <f>'Amount and Destination'!AH210/days_yr</f>
        <v>0</v>
      </c>
      <c r="Q13" s="398"/>
      <c r="R13" s="354">
        <f>'Amount and Destination'!AH239/days_yr</f>
        <v>0</v>
      </c>
      <c r="S13" s="398"/>
      <c r="T13" s="354">
        <f>'Amount and Destination'!AH268/days_yr</f>
        <v>0</v>
      </c>
      <c r="U13" s="398"/>
      <c r="AL13" s="355">
        <v>12</v>
      </c>
      <c r="AO13"/>
      <c r="AP13" s="399" t="e">
        <f>+$AU$33*BB$12</f>
        <v>#VALUE!</v>
      </c>
      <c r="AS13" s="387">
        <v>0.8</v>
      </c>
      <c r="AT13" s="392" t="s">
        <v>515</v>
      </c>
      <c r="AU13" s="389">
        <f>1-AS13</f>
        <v>0.19999999999999996</v>
      </c>
      <c r="AV13" s="390"/>
      <c r="AW13" s="96"/>
      <c r="AX13" s="368">
        <f t="shared" ref="AX13:AX26" si="7">AY13-1</f>
        <v>1</v>
      </c>
      <c r="AY13" s="393">
        <v>2</v>
      </c>
      <c r="AZ13" s="394" t="e">
        <f t="shared" ref="AZ13:AZ26" si="8">AZ12-(AZ12*$AZ$10)</f>
        <v>#VALUE!</v>
      </c>
      <c r="BA13" s="394" t="e">
        <f t="shared" ref="BA13:BA26" si="9">(AZ12*$AZ$10)</f>
        <v>#VALUE!</v>
      </c>
      <c r="BB13" s="395" t="e">
        <f t="shared" si="0"/>
        <v>#VALUE!</v>
      </c>
      <c r="BC13"/>
      <c r="BD13" s="75"/>
      <c r="BE13" s="96"/>
      <c r="BF13" s="393">
        <v>2</v>
      </c>
      <c r="BG13" s="394" t="e">
        <f>BG12-(BG12*$BG$10)</f>
        <v>#VALUE!</v>
      </c>
      <c r="BH13" s="400" t="e">
        <f>$BG12*$BG$10</f>
        <v>#VALUE!</v>
      </c>
      <c r="BI13" s="395" t="e">
        <f>+BH13/$BG$9</f>
        <v>#VALUE!</v>
      </c>
      <c r="BJ13"/>
      <c r="BK13" s="75"/>
      <c r="BL13" s="368"/>
      <c r="BM13" s="393">
        <v>2</v>
      </c>
      <c r="BN13" s="394" t="e">
        <f>BN12-(BN12*$BN$10)</f>
        <v>#VALUE!</v>
      </c>
      <c r="BO13" s="394" t="e">
        <f>BN12*$BN$10</f>
        <v>#VALUE!</v>
      </c>
      <c r="BP13" s="372" t="e">
        <f t="shared" ref="BP13:BP41" si="10">BO13/$BN$9</f>
        <v>#VALUE!</v>
      </c>
      <c r="BQ13"/>
      <c r="BR13" s="75"/>
      <c r="BS13" s="368"/>
      <c r="BT13" s="393">
        <v>2</v>
      </c>
      <c r="BU13" s="394" t="e">
        <f t="shared" ref="BU13:BU26" si="11">BU12-(BU12*$BU$10)</f>
        <v>#VALUE!</v>
      </c>
      <c r="BV13" s="394" t="e">
        <f t="shared" ref="BV13:BV26" si="12">(BU12*$BU$10)</f>
        <v>#VALUE!</v>
      </c>
      <c r="BW13" s="395" t="e">
        <f t="shared" ref="BW13:BW26" si="13">+BV13/$BU$9</f>
        <v>#VALUE!</v>
      </c>
      <c r="BX13"/>
      <c r="BY13" s="75"/>
      <c r="BZ13" s="368"/>
      <c r="CA13" s="393">
        <v>2</v>
      </c>
      <c r="CB13" s="394" t="e">
        <f t="shared" ref="CB13:CB26" si="14">CB12-(CB12*$CB$10)</f>
        <v>#VALUE!</v>
      </c>
      <c r="CC13" s="394" t="e">
        <f t="shared" ref="CC13:CC26" si="15">(CB12*$CB$10)</f>
        <v>#VALUE!</v>
      </c>
      <c r="CD13" s="395" t="e">
        <f t="shared" si="1"/>
        <v>#VALUE!</v>
      </c>
      <c r="CE13"/>
      <c r="CF13" s="75"/>
      <c r="CG13" s="368"/>
      <c r="CH13" s="393">
        <v>2</v>
      </c>
      <c r="CI13" s="394" t="e">
        <f t="shared" ref="CI13:CI26" si="16">CI12-(CI12*$CI$10)</f>
        <v>#VALUE!</v>
      </c>
      <c r="CJ13" s="394" t="e">
        <f t="shared" ref="CJ13:CJ26" si="17">(CI12*$CI$10)</f>
        <v>#VALUE!</v>
      </c>
      <c r="CK13" s="395" t="e">
        <f t="shared" si="2"/>
        <v>#VALUE!</v>
      </c>
      <c r="CL13"/>
      <c r="CM13" s="75"/>
      <c r="CN13" s="368"/>
      <c r="CO13" s="393">
        <v>2</v>
      </c>
      <c r="CP13" s="394" t="e">
        <f t="shared" ref="CP13:CP26" si="18">CP12-(CP12*$CP$10)</f>
        <v>#VALUE!</v>
      </c>
      <c r="CQ13" s="394" t="e">
        <f t="shared" ref="CQ13:CQ26" si="19">(CP12*$CP$10)</f>
        <v>#VALUE!</v>
      </c>
      <c r="CR13" s="395" t="e">
        <f t="shared" si="3"/>
        <v>#VALUE!</v>
      </c>
      <c r="CS13"/>
      <c r="CT13" s="75"/>
      <c r="CU13" s="368"/>
      <c r="CV13" s="393">
        <v>2</v>
      </c>
      <c r="CW13" s="394" t="e">
        <f t="shared" ref="CW13:CW26" si="20">CW12-(CW12*$CW$10)</f>
        <v>#VALUE!</v>
      </c>
      <c r="CX13" s="394" t="e">
        <f t="shared" ref="CX13:CX26" si="21">(CW12*$CW$10)</f>
        <v>#VALUE!</v>
      </c>
      <c r="CY13" s="395" t="e">
        <f t="shared" si="4"/>
        <v>#VALUE!</v>
      </c>
      <c r="CZ13"/>
      <c r="DA13" s="75"/>
      <c r="DB13" s="368"/>
      <c r="DC13" s="393">
        <v>2</v>
      </c>
      <c r="DD13" s="394" t="e">
        <f t="shared" ref="DD13:DD26" si="22">DD12-(DD12*$DD$10)</f>
        <v>#VALUE!</v>
      </c>
      <c r="DE13" s="394" t="e">
        <f t="shared" ref="DE13:DE26" si="23">(DD12*$DD$10)</f>
        <v>#VALUE!</v>
      </c>
      <c r="DF13" s="395" t="e">
        <f t="shared" si="5"/>
        <v>#VALUE!</v>
      </c>
      <c r="DG13"/>
      <c r="DH13" s="75"/>
      <c r="DI13" s="368"/>
      <c r="DJ13" s="393">
        <v>2</v>
      </c>
      <c r="DK13" s="394" t="e">
        <f t="shared" ref="DK13:DK26" si="24">DK12-(DK12*$DK$10)</f>
        <v>#VALUE!</v>
      </c>
      <c r="DL13" s="394" t="e">
        <f t="shared" ref="DL13:DL26" si="25">(DK12*$DK$10)</f>
        <v>#VALUE!</v>
      </c>
      <c r="DM13" s="395" t="e">
        <f t="shared" si="6"/>
        <v>#VALUE!</v>
      </c>
      <c r="DN13"/>
      <c r="DO13" s="75"/>
    </row>
    <row r="14" spans="1:119" ht="15.75" customHeight="1" x14ac:dyDescent="0.25">
      <c r="A14" s="315" t="s">
        <v>170</v>
      </c>
      <c r="B14" s="889">
        <f>Mean_solids</f>
        <v>7.1999999999999995E-2</v>
      </c>
      <c r="C14" s="401"/>
      <c r="D14" s="889">
        <f>Mean_solids</f>
        <v>7.1999999999999995E-2</v>
      </c>
      <c r="E14" s="401"/>
      <c r="F14" s="889">
        <f>Mean_solids</f>
        <v>7.1999999999999995E-2</v>
      </c>
      <c r="G14" s="401"/>
      <c r="H14" s="889">
        <f>Mean_solids</f>
        <v>7.1999999999999995E-2</v>
      </c>
      <c r="I14" s="401"/>
      <c r="J14" s="889">
        <f>Mean_solids</f>
        <v>7.1999999999999995E-2</v>
      </c>
      <c r="K14" s="401"/>
      <c r="L14" s="889">
        <f>Mean_solids</f>
        <v>7.1999999999999995E-2</v>
      </c>
      <c r="M14" s="401"/>
      <c r="N14" s="889">
        <f>Mean_solids</f>
        <v>7.1999999999999995E-2</v>
      </c>
      <c r="O14" s="401"/>
      <c r="P14" s="889">
        <f>Mean_solids</f>
        <v>7.1999999999999995E-2</v>
      </c>
      <c r="Q14" s="401"/>
      <c r="R14" s="889">
        <f>Mean_solids</f>
        <v>7.1999999999999995E-2</v>
      </c>
      <c r="S14" s="401"/>
      <c r="T14" s="889">
        <f>Mean_solids</f>
        <v>7.1999999999999995E-2</v>
      </c>
      <c r="U14" s="401"/>
      <c r="AL14" s="355">
        <v>13</v>
      </c>
      <c r="AO14"/>
      <c r="AP14" s="399" t="e">
        <f>+$AU$34*BB$13</f>
        <v>#VALUE!</v>
      </c>
      <c r="AS14" s="387">
        <v>0.9</v>
      </c>
      <c r="AT14" s="388" t="s">
        <v>429</v>
      </c>
      <c r="AU14" s="389">
        <f>1-AS14</f>
        <v>9.9999999999999978E-2</v>
      </c>
      <c r="AV14" s="390"/>
      <c r="AW14" s="96"/>
      <c r="AX14" s="368">
        <f t="shared" si="7"/>
        <v>2</v>
      </c>
      <c r="AY14" s="393">
        <v>3</v>
      </c>
      <c r="AZ14" s="394" t="e">
        <f t="shared" si="8"/>
        <v>#VALUE!</v>
      </c>
      <c r="BA14" s="394" t="e">
        <f t="shared" si="9"/>
        <v>#VALUE!</v>
      </c>
      <c r="BB14" s="395" t="e">
        <f t="shared" si="0"/>
        <v>#VALUE!</v>
      </c>
      <c r="BC14"/>
      <c r="BD14" s="75"/>
      <c r="BE14" s="96"/>
      <c r="BF14" s="393">
        <v>3</v>
      </c>
      <c r="BG14" s="394" t="e">
        <f>BG13-(BG13*$BG$10)</f>
        <v>#VALUE!</v>
      </c>
      <c r="BH14" s="400" t="e">
        <f t="shared" ref="BH14:BH26" si="26">$BG13*$BG$10</f>
        <v>#VALUE!</v>
      </c>
      <c r="BI14" s="395" t="e">
        <f>+BH14/$BG$9</f>
        <v>#VALUE!</v>
      </c>
      <c r="BJ14"/>
      <c r="BK14" s="75"/>
      <c r="BL14" s="368"/>
      <c r="BM14" s="393">
        <v>3</v>
      </c>
      <c r="BN14" s="394" t="e">
        <f t="shared" ref="BN14:BN26" si="27">BN13-(BN13*$BN$10)</f>
        <v>#VALUE!</v>
      </c>
      <c r="BO14" s="394" t="e">
        <f t="shared" ref="BO14:BO26" si="28">BN13*$BN$10</f>
        <v>#VALUE!</v>
      </c>
      <c r="BP14" s="372" t="e">
        <f t="shared" si="10"/>
        <v>#VALUE!</v>
      </c>
      <c r="BQ14"/>
      <c r="BR14" s="75"/>
      <c r="BS14" s="368"/>
      <c r="BT14" s="393">
        <v>3</v>
      </c>
      <c r="BU14" s="394" t="e">
        <f t="shared" si="11"/>
        <v>#VALUE!</v>
      </c>
      <c r="BV14" s="394" t="e">
        <f t="shared" si="12"/>
        <v>#VALUE!</v>
      </c>
      <c r="BW14" s="395" t="e">
        <f t="shared" si="13"/>
        <v>#VALUE!</v>
      </c>
      <c r="BX14"/>
      <c r="BY14" s="75"/>
      <c r="BZ14" s="368"/>
      <c r="CA14" s="393">
        <v>3</v>
      </c>
      <c r="CB14" s="394" t="e">
        <f t="shared" si="14"/>
        <v>#VALUE!</v>
      </c>
      <c r="CC14" s="394" t="e">
        <f t="shared" si="15"/>
        <v>#VALUE!</v>
      </c>
      <c r="CD14" s="395" t="e">
        <f t="shared" si="1"/>
        <v>#VALUE!</v>
      </c>
      <c r="CE14"/>
      <c r="CF14" s="75"/>
      <c r="CG14" s="368"/>
      <c r="CH14" s="393">
        <v>3</v>
      </c>
      <c r="CI14" s="394" t="e">
        <f t="shared" si="16"/>
        <v>#VALUE!</v>
      </c>
      <c r="CJ14" s="394" t="e">
        <f t="shared" si="17"/>
        <v>#VALUE!</v>
      </c>
      <c r="CK14" s="395" t="e">
        <f t="shared" si="2"/>
        <v>#VALUE!</v>
      </c>
      <c r="CL14"/>
      <c r="CM14" s="75"/>
      <c r="CN14" s="368"/>
      <c r="CO14" s="393">
        <v>3</v>
      </c>
      <c r="CP14" s="394" t="e">
        <f t="shared" si="18"/>
        <v>#VALUE!</v>
      </c>
      <c r="CQ14" s="394" t="e">
        <f t="shared" si="19"/>
        <v>#VALUE!</v>
      </c>
      <c r="CR14" s="395" t="e">
        <f t="shared" si="3"/>
        <v>#VALUE!</v>
      </c>
      <c r="CS14"/>
      <c r="CT14" s="75"/>
      <c r="CU14" s="368"/>
      <c r="CV14" s="393">
        <v>3</v>
      </c>
      <c r="CW14" s="394" t="e">
        <f t="shared" si="20"/>
        <v>#VALUE!</v>
      </c>
      <c r="CX14" s="394" t="e">
        <f t="shared" si="21"/>
        <v>#VALUE!</v>
      </c>
      <c r="CY14" s="395" t="e">
        <f t="shared" si="4"/>
        <v>#VALUE!</v>
      </c>
      <c r="CZ14"/>
      <c r="DA14" s="75"/>
      <c r="DB14" s="368"/>
      <c r="DC14" s="393">
        <v>3</v>
      </c>
      <c r="DD14" s="394" t="e">
        <f t="shared" si="22"/>
        <v>#VALUE!</v>
      </c>
      <c r="DE14" s="394" t="e">
        <f t="shared" si="23"/>
        <v>#VALUE!</v>
      </c>
      <c r="DF14" s="395" t="e">
        <f t="shared" si="5"/>
        <v>#VALUE!</v>
      </c>
      <c r="DG14"/>
      <c r="DH14" s="75"/>
      <c r="DI14" s="368"/>
      <c r="DJ14" s="393">
        <v>3</v>
      </c>
      <c r="DK14" s="394" t="e">
        <f t="shared" si="24"/>
        <v>#VALUE!</v>
      </c>
      <c r="DL14" s="394" t="e">
        <f t="shared" si="25"/>
        <v>#VALUE!</v>
      </c>
      <c r="DM14" s="395" t="e">
        <f t="shared" si="6"/>
        <v>#VALUE!</v>
      </c>
      <c r="DN14"/>
      <c r="DO14" s="75"/>
    </row>
    <row r="15" spans="1:119" ht="15.75" customHeight="1" x14ac:dyDescent="0.25">
      <c r="A15" s="308" t="s">
        <v>187</v>
      </c>
      <c r="B15" s="265">
        <f>+B13*B14</f>
        <v>6.7278098874773127</v>
      </c>
      <c r="C15" s="232"/>
      <c r="D15" s="265">
        <f>+D13*D14</f>
        <v>0</v>
      </c>
      <c r="E15" s="232"/>
      <c r="F15" s="265">
        <f>+F13*F14</f>
        <v>0</v>
      </c>
      <c r="G15" s="232"/>
      <c r="H15" s="265">
        <f>+H13*H14</f>
        <v>0</v>
      </c>
      <c r="I15" s="232"/>
      <c r="J15" s="265">
        <f>+J13*J14</f>
        <v>0</v>
      </c>
      <c r="K15" s="232"/>
      <c r="L15" s="265">
        <f>+L13*L14</f>
        <v>0</v>
      </c>
      <c r="M15" s="232"/>
      <c r="N15" s="265">
        <f>+N13*N14</f>
        <v>0</v>
      </c>
      <c r="O15" s="232"/>
      <c r="P15" s="265">
        <f>+P13*P14</f>
        <v>0</v>
      </c>
      <c r="Q15" s="232"/>
      <c r="R15" s="265">
        <f>+R13*R14</f>
        <v>0</v>
      </c>
      <c r="S15" s="232"/>
      <c r="T15" s="265">
        <f>+T13*T14</f>
        <v>0</v>
      </c>
      <c r="U15" s="232"/>
      <c r="AL15" s="461" t="s">
        <v>525</v>
      </c>
      <c r="AO15"/>
      <c r="AP15" s="399" t="e">
        <f>+$AU$35*SUM(BB$14:BB$18)</f>
        <v>#VALUE!</v>
      </c>
      <c r="AS15" s="402"/>
      <c r="AT15" s="402"/>
      <c r="AU15" s="403"/>
      <c r="AV15"/>
      <c r="AW15" s="96"/>
      <c r="AX15" s="368">
        <f t="shared" si="7"/>
        <v>3</v>
      </c>
      <c r="AY15" s="393">
        <v>4</v>
      </c>
      <c r="AZ15" s="394" t="e">
        <f t="shared" si="8"/>
        <v>#VALUE!</v>
      </c>
      <c r="BA15" s="394" t="e">
        <f t="shared" si="9"/>
        <v>#VALUE!</v>
      </c>
      <c r="BB15" s="395" t="e">
        <f t="shared" si="0"/>
        <v>#VALUE!</v>
      </c>
      <c r="BC15"/>
      <c r="BD15" s="75"/>
      <c r="BE15" s="96"/>
      <c r="BF15" s="393">
        <v>4</v>
      </c>
      <c r="BG15" s="394" t="e">
        <f t="shared" ref="BG15:BG26" si="29">BG14-(BG14*$BG$10)</f>
        <v>#VALUE!</v>
      </c>
      <c r="BH15" s="400" t="e">
        <f t="shared" si="26"/>
        <v>#VALUE!</v>
      </c>
      <c r="BI15" s="395" t="e">
        <f t="shared" ref="BI15:BI26" si="30">+BH15/$BG$9</f>
        <v>#VALUE!</v>
      </c>
      <c r="BJ15"/>
      <c r="BK15" s="75"/>
      <c r="BL15" s="368"/>
      <c r="BM15" s="393">
        <v>4</v>
      </c>
      <c r="BN15" s="394" t="e">
        <f t="shared" si="27"/>
        <v>#VALUE!</v>
      </c>
      <c r="BO15" s="394" t="e">
        <f t="shared" si="28"/>
        <v>#VALUE!</v>
      </c>
      <c r="BP15" s="372" t="e">
        <f t="shared" si="10"/>
        <v>#VALUE!</v>
      </c>
      <c r="BQ15"/>
      <c r="BR15" s="75"/>
      <c r="BS15" s="368"/>
      <c r="BT15" s="393">
        <v>4</v>
      </c>
      <c r="BU15" s="394" t="e">
        <f t="shared" si="11"/>
        <v>#VALUE!</v>
      </c>
      <c r="BV15" s="394" t="e">
        <f t="shared" si="12"/>
        <v>#VALUE!</v>
      </c>
      <c r="BW15" s="395" t="e">
        <f t="shared" si="13"/>
        <v>#VALUE!</v>
      </c>
      <c r="BX15"/>
      <c r="BY15" s="75"/>
      <c r="BZ15" s="368"/>
      <c r="CA15" s="393">
        <v>4</v>
      </c>
      <c r="CB15" s="394" t="e">
        <f t="shared" si="14"/>
        <v>#VALUE!</v>
      </c>
      <c r="CC15" s="394" t="e">
        <f t="shared" si="15"/>
        <v>#VALUE!</v>
      </c>
      <c r="CD15" s="395" t="e">
        <f t="shared" si="1"/>
        <v>#VALUE!</v>
      </c>
      <c r="CE15"/>
      <c r="CF15" s="75"/>
      <c r="CG15" s="368"/>
      <c r="CH15" s="393">
        <v>4</v>
      </c>
      <c r="CI15" s="394" t="e">
        <f t="shared" si="16"/>
        <v>#VALUE!</v>
      </c>
      <c r="CJ15" s="394" t="e">
        <f t="shared" si="17"/>
        <v>#VALUE!</v>
      </c>
      <c r="CK15" s="395" t="e">
        <f t="shared" si="2"/>
        <v>#VALUE!</v>
      </c>
      <c r="CL15"/>
      <c r="CM15" s="75"/>
      <c r="CN15" s="368"/>
      <c r="CO15" s="393">
        <v>4</v>
      </c>
      <c r="CP15" s="394" t="e">
        <f t="shared" si="18"/>
        <v>#VALUE!</v>
      </c>
      <c r="CQ15" s="394" t="e">
        <f t="shared" si="19"/>
        <v>#VALUE!</v>
      </c>
      <c r="CR15" s="395" t="e">
        <f t="shared" si="3"/>
        <v>#VALUE!</v>
      </c>
      <c r="CS15"/>
      <c r="CT15" s="75"/>
      <c r="CU15" s="368"/>
      <c r="CV15" s="393">
        <v>4</v>
      </c>
      <c r="CW15" s="394" t="e">
        <f t="shared" si="20"/>
        <v>#VALUE!</v>
      </c>
      <c r="CX15" s="394" t="e">
        <f t="shared" si="21"/>
        <v>#VALUE!</v>
      </c>
      <c r="CY15" s="395" t="e">
        <f t="shared" si="4"/>
        <v>#VALUE!</v>
      </c>
      <c r="CZ15"/>
      <c r="DA15" s="75"/>
      <c r="DB15" s="368"/>
      <c r="DC15" s="393">
        <v>4</v>
      </c>
      <c r="DD15" s="394" t="e">
        <f t="shared" si="22"/>
        <v>#VALUE!</v>
      </c>
      <c r="DE15" s="394" t="e">
        <f t="shared" si="23"/>
        <v>#VALUE!</v>
      </c>
      <c r="DF15" s="395" t="e">
        <f t="shared" si="5"/>
        <v>#VALUE!</v>
      </c>
      <c r="DG15"/>
      <c r="DH15" s="75"/>
      <c r="DI15" s="368"/>
      <c r="DJ15" s="393">
        <v>4</v>
      </c>
      <c r="DK15" s="394" t="e">
        <f t="shared" si="24"/>
        <v>#VALUE!</v>
      </c>
      <c r="DL15" s="394" t="e">
        <f t="shared" si="25"/>
        <v>#VALUE!</v>
      </c>
      <c r="DM15" s="395" t="e">
        <f t="shared" si="6"/>
        <v>#VALUE!</v>
      </c>
      <c r="DN15"/>
      <c r="DO15" s="75"/>
    </row>
    <row r="16" spans="1:119" ht="15.75" customHeight="1" x14ac:dyDescent="0.25">
      <c r="A16" s="247" t="s">
        <v>941</v>
      </c>
      <c r="B16" s="11"/>
      <c r="C16" s="232"/>
      <c r="D16" s="11"/>
      <c r="E16" s="232"/>
      <c r="F16" s="11"/>
      <c r="G16" s="232"/>
      <c r="H16" s="11"/>
      <c r="I16" s="232"/>
      <c r="J16" s="11"/>
      <c r="K16" s="232"/>
      <c r="L16" s="11"/>
      <c r="M16" s="232"/>
      <c r="N16" s="11"/>
      <c r="O16" s="232"/>
      <c r="P16" s="11"/>
      <c r="Q16" s="232"/>
      <c r="R16" s="11"/>
      <c r="S16" s="232"/>
      <c r="T16" s="11"/>
      <c r="U16" s="232"/>
      <c r="AL16" s="461" t="s">
        <v>526</v>
      </c>
      <c r="AO16"/>
      <c r="AP16" s="399" t="e">
        <f>+$AU$36*SUM(BB$19:BB$41)</f>
        <v>#VALUE!</v>
      </c>
      <c r="AW16" s="96"/>
      <c r="AX16" s="368">
        <f t="shared" si="7"/>
        <v>4</v>
      </c>
      <c r="AY16" s="393">
        <v>5</v>
      </c>
      <c r="AZ16" s="394" t="e">
        <f t="shared" si="8"/>
        <v>#VALUE!</v>
      </c>
      <c r="BA16" s="394" t="e">
        <f t="shared" si="9"/>
        <v>#VALUE!</v>
      </c>
      <c r="BB16" s="395" t="e">
        <f t="shared" si="0"/>
        <v>#VALUE!</v>
      </c>
      <c r="BC16"/>
      <c r="BD16" s="75"/>
      <c r="BE16" s="96"/>
      <c r="BF16" s="393">
        <v>5</v>
      </c>
      <c r="BG16" s="394" t="e">
        <f t="shared" si="29"/>
        <v>#VALUE!</v>
      </c>
      <c r="BH16" s="400" t="e">
        <f t="shared" si="26"/>
        <v>#VALUE!</v>
      </c>
      <c r="BI16" s="395" t="e">
        <f t="shared" si="30"/>
        <v>#VALUE!</v>
      </c>
      <c r="BJ16"/>
      <c r="BK16" s="75"/>
      <c r="BL16" s="368"/>
      <c r="BM16" s="393">
        <v>5</v>
      </c>
      <c r="BN16" s="394" t="e">
        <f t="shared" si="27"/>
        <v>#VALUE!</v>
      </c>
      <c r="BO16" s="394" t="e">
        <f t="shared" si="28"/>
        <v>#VALUE!</v>
      </c>
      <c r="BP16" s="372" t="e">
        <f t="shared" si="10"/>
        <v>#VALUE!</v>
      </c>
      <c r="BQ16"/>
      <c r="BR16" s="75"/>
      <c r="BS16" s="368"/>
      <c r="BT16" s="393">
        <v>5</v>
      </c>
      <c r="BU16" s="394" t="e">
        <f t="shared" si="11"/>
        <v>#VALUE!</v>
      </c>
      <c r="BV16" s="394" t="e">
        <f t="shared" si="12"/>
        <v>#VALUE!</v>
      </c>
      <c r="BW16" s="395" t="e">
        <f t="shared" si="13"/>
        <v>#VALUE!</v>
      </c>
      <c r="BX16"/>
      <c r="BY16" s="75"/>
      <c r="BZ16" s="368"/>
      <c r="CA16" s="393">
        <v>5</v>
      </c>
      <c r="CB16" s="394" t="e">
        <f t="shared" si="14"/>
        <v>#VALUE!</v>
      </c>
      <c r="CC16" s="394" t="e">
        <f t="shared" si="15"/>
        <v>#VALUE!</v>
      </c>
      <c r="CD16" s="395" t="e">
        <f t="shared" si="1"/>
        <v>#VALUE!</v>
      </c>
      <c r="CE16"/>
      <c r="CF16" s="75"/>
      <c r="CG16" s="368"/>
      <c r="CH16" s="393">
        <v>5</v>
      </c>
      <c r="CI16" s="394" t="e">
        <f t="shared" si="16"/>
        <v>#VALUE!</v>
      </c>
      <c r="CJ16" s="394" t="e">
        <f t="shared" si="17"/>
        <v>#VALUE!</v>
      </c>
      <c r="CK16" s="395" t="e">
        <f t="shared" si="2"/>
        <v>#VALUE!</v>
      </c>
      <c r="CL16"/>
      <c r="CM16" s="75"/>
      <c r="CN16" s="368"/>
      <c r="CO16" s="393">
        <v>5</v>
      </c>
      <c r="CP16" s="394" t="e">
        <f t="shared" si="18"/>
        <v>#VALUE!</v>
      </c>
      <c r="CQ16" s="394" t="e">
        <f t="shared" si="19"/>
        <v>#VALUE!</v>
      </c>
      <c r="CR16" s="395" t="e">
        <f t="shared" si="3"/>
        <v>#VALUE!</v>
      </c>
      <c r="CS16"/>
      <c r="CT16" s="75"/>
      <c r="CU16" s="368"/>
      <c r="CV16" s="393">
        <v>5</v>
      </c>
      <c r="CW16" s="394" t="e">
        <f t="shared" si="20"/>
        <v>#VALUE!</v>
      </c>
      <c r="CX16" s="394" t="e">
        <f t="shared" si="21"/>
        <v>#VALUE!</v>
      </c>
      <c r="CY16" s="395" t="e">
        <f t="shared" si="4"/>
        <v>#VALUE!</v>
      </c>
      <c r="CZ16"/>
      <c r="DA16" s="75"/>
      <c r="DB16" s="368"/>
      <c r="DC16" s="393">
        <v>5</v>
      </c>
      <c r="DD16" s="394" t="e">
        <f t="shared" si="22"/>
        <v>#VALUE!</v>
      </c>
      <c r="DE16" s="394" t="e">
        <f t="shared" si="23"/>
        <v>#VALUE!</v>
      </c>
      <c r="DF16" s="395" t="e">
        <f t="shared" si="5"/>
        <v>#VALUE!</v>
      </c>
      <c r="DG16"/>
      <c r="DH16" s="75"/>
      <c r="DI16" s="368"/>
      <c r="DJ16" s="393">
        <v>5</v>
      </c>
      <c r="DK16" s="394" t="e">
        <f t="shared" si="24"/>
        <v>#VALUE!</v>
      </c>
      <c r="DL16" s="394" t="e">
        <f t="shared" si="25"/>
        <v>#VALUE!</v>
      </c>
      <c r="DM16" s="395" t="e">
        <f t="shared" si="6"/>
        <v>#VALUE!</v>
      </c>
      <c r="DN16"/>
      <c r="DO16" s="75"/>
    </row>
    <row r="17" spans="1:119" ht="15.75" customHeight="1" x14ac:dyDescent="0.25">
      <c r="A17" s="315" t="s">
        <v>264</v>
      </c>
      <c r="B17" s="889">
        <f>Analyses!$I$5</f>
        <v>2.5000000000000001E-2</v>
      </c>
      <c r="C17" s="190">
        <f>+IF(B16='References Assumptions'!$C$340, Total_N_untreated, total_N_digested)</f>
        <v>0.05</v>
      </c>
      <c r="D17" s="889">
        <f>Analyses!$I$5</f>
        <v>2.5000000000000001E-2</v>
      </c>
      <c r="E17" s="190">
        <f>+IF(D16='References Assumptions'!$C$340, Total_N_untreated, total_N_digested)</f>
        <v>0.05</v>
      </c>
      <c r="F17" s="889">
        <f>Analyses!$I$5</f>
        <v>2.5000000000000001E-2</v>
      </c>
      <c r="G17" s="190">
        <f>+IF(F16='References Assumptions'!$C$340, Total_N_untreated, total_N_digested)</f>
        <v>0.05</v>
      </c>
      <c r="H17" s="889">
        <f>Analyses!$I$5</f>
        <v>2.5000000000000001E-2</v>
      </c>
      <c r="I17" s="190">
        <f>+IF(H16='References Assumptions'!$C$340, Total_N_untreated, total_N_digested)</f>
        <v>0.05</v>
      </c>
      <c r="J17" s="889">
        <f>Analyses!$I$5</f>
        <v>2.5000000000000001E-2</v>
      </c>
      <c r="K17" s="190">
        <f>+IF(J16='References Assumptions'!$C$340, Total_N_untreated, total_N_digested)</f>
        <v>0.05</v>
      </c>
      <c r="L17" s="889">
        <f>Analyses!$I$5</f>
        <v>2.5000000000000001E-2</v>
      </c>
      <c r="M17" s="190">
        <f>+IF(L16='References Assumptions'!$C$340, Total_N_untreated, total_N_digested)</f>
        <v>0.05</v>
      </c>
      <c r="N17" s="889">
        <f>Analyses!$I$5</f>
        <v>2.5000000000000001E-2</v>
      </c>
      <c r="O17" s="190">
        <f>+IF(N16='References Assumptions'!$C$340, Total_N_untreated, total_N_digested)</f>
        <v>0.05</v>
      </c>
      <c r="P17" s="889">
        <f>Analyses!$I$5</f>
        <v>2.5000000000000001E-2</v>
      </c>
      <c r="Q17" s="190">
        <f>+IF(P16='References Assumptions'!$C$340, Total_N_untreated, total_N_digested)</f>
        <v>0.05</v>
      </c>
      <c r="R17" s="889">
        <f>Analyses!$I$5</f>
        <v>2.5000000000000001E-2</v>
      </c>
      <c r="S17" s="190">
        <f>+IF(R16='References Assumptions'!$C$340, Total_N_untreated, total_N_digested)</f>
        <v>0.05</v>
      </c>
      <c r="T17" s="889">
        <f>Analyses!$I$5</f>
        <v>2.5000000000000001E-2</v>
      </c>
      <c r="U17" s="190">
        <f>+IF(T16='References Assumptions'!$C$340, Total_N_untreated, total_N_digested)</f>
        <v>0.05</v>
      </c>
      <c r="AO17" s="381" t="s">
        <v>443</v>
      </c>
      <c r="AP17" s="405" t="e">
        <f>SUM(AP$13:AP$16)</f>
        <v>#VALUE!</v>
      </c>
      <c r="AW17" s="96"/>
      <c r="AX17" s="368">
        <f t="shared" si="7"/>
        <v>5</v>
      </c>
      <c r="AY17" s="393">
        <v>6</v>
      </c>
      <c r="AZ17" s="394" t="e">
        <f t="shared" si="8"/>
        <v>#VALUE!</v>
      </c>
      <c r="BA17" s="394" t="e">
        <f t="shared" si="9"/>
        <v>#VALUE!</v>
      </c>
      <c r="BB17" s="395" t="e">
        <f t="shared" si="0"/>
        <v>#VALUE!</v>
      </c>
      <c r="BC17"/>
      <c r="BD17" s="75"/>
      <c r="BE17" s="96"/>
      <c r="BF17" s="393">
        <v>6</v>
      </c>
      <c r="BG17" s="394" t="e">
        <f t="shared" si="29"/>
        <v>#VALUE!</v>
      </c>
      <c r="BH17" s="400" t="e">
        <f t="shared" si="26"/>
        <v>#VALUE!</v>
      </c>
      <c r="BI17" s="395" t="e">
        <f t="shared" si="30"/>
        <v>#VALUE!</v>
      </c>
      <c r="BJ17"/>
      <c r="BK17" s="75"/>
      <c r="BL17" s="368"/>
      <c r="BM17" s="393">
        <v>6</v>
      </c>
      <c r="BN17" s="394" t="e">
        <f t="shared" si="27"/>
        <v>#VALUE!</v>
      </c>
      <c r="BO17" s="394" t="e">
        <f t="shared" si="28"/>
        <v>#VALUE!</v>
      </c>
      <c r="BP17" s="372" t="e">
        <f t="shared" si="10"/>
        <v>#VALUE!</v>
      </c>
      <c r="BQ17"/>
      <c r="BR17" s="75"/>
      <c r="BS17" s="368"/>
      <c r="BT17" s="393">
        <v>6</v>
      </c>
      <c r="BU17" s="394" t="e">
        <f t="shared" si="11"/>
        <v>#VALUE!</v>
      </c>
      <c r="BV17" s="394" t="e">
        <f t="shared" si="12"/>
        <v>#VALUE!</v>
      </c>
      <c r="BW17" s="395" t="e">
        <f t="shared" si="13"/>
        <v>#VALUE!</v>
      </c>
      <c r="BX17"/>
      <c r="BY17" s="75"/>
      <c r="BZ17" s="368"/>
      <c r="CA17" s="393">
        <v>6</v>
      </c>
      <c r="CB17" s="394" t="e">
        <f t="shared" si="14"/>
        <v>#VALUE!</v>
      </c>
      <c r="CC17" s="394" t="e">
        <f t="shared" si="15"/>
        <v>#VALUE!</v>
      </c>
      <c r="CD17" s="395" t="e">
        <f t="shared" si="1"/>
        <v>#VALUE!</v>
      </c>
      <c r="CE17"/>
      <c r="CF17" s="75"/>
      <c r="CG17" s="368"/>
      <c r="CH17" s="393">
        <v>6</v>
      </c>
      <c r="CI17" s="394" t="e">
        <f t="shared" si="16"/>
        <v>#VALUE!</v>
      </c>
      <c r="CJ17" s="394" t="e">
        <f t="shared" si="17"/>
        <v>#VALUE!</v>
      </c>
      <c r="CK17" s="395" t="e">
        <f t="shared" si="2"/>
        <v>#VALUE!</v>
      </c>
      <c r="CL17"/>
      <c r="CM17" s="75"/>
      <c r="CN17" s="368"/>
      <c r="CO17" s="393">
        <v>6</v>
      </c>
      <c r="CP17" s="394" t="e">
        <f t="shared" si="18"/>
        <v>#VALUE!</v>
      </c>
      <c r="CQ17" s="394" t="e">
        <f t="shared" si="19"/>
        <v>#VALUE!</v>
      </c>
      <c r="CR17" s="395" t="e">
        <f t="shared" si="3"/>
        <v>#VALUE!</v>
      </c>
      <c r="CS17"/>
      <c r="CT17" s="75"/>
      <c r="CU17" s="368"/>
      <c r="CV17" s="393">
        <v>6</v>
      </c>
      <c r="CW17" s="394" t="e">
        <f t="shared" si="20"/>
        <v>#VALUE!</v>
      </c>
      <c r="CX17" s="394" t="e">
        <f t="shared" si="21"/>
        <v>#VALUE!</v>
      </c>
      <c r="CY17" s="395" t="e">
        <f t="shared" si="4"/>
        <v>#VALUE!</v>
      </c>
      <c r="CZ17"/>
      <c r="DA17" s="75"/>
      <c r="DB17" s="368"/>
      <c r="DC17" s="393">
        <v>6</v>
      </c>
      <c r="DD17" s="394" t="e">
        <f t="shared" si="22"/>
        <v>#VALUE!</v>
      </c>
      <c r="DE17" s="394" t="e">
        <f t="shared" si="23"/>
        <v>#VALUE!</v>
      </c>
      <c r="DF17" s="395" t="e">
        <f t="shared" si="5"/>
        <v>#VALUE!</v>
      </c>
      <c r="DG17"/>
      <c r="DH17" s="75"/>
      <c r="DI17" s="368"/>
      <c r="DJ17" s="393">
        <v>6</v>
      </c>
      <c r="DK17" s="394" t="e">
        <f t="shared" si="24"/>
        <v>#VALUE!</v>
      </c>
      <c r="DL17" s="394" t="e">
        <f t="shared" si="25"/>
        <v>#VALUE!</v>
      </c>
      <c r="DM17" s="395" t="e">
        <f t="shared" si="6"/>
        <v>#VALUE!</v>
      </c>
      <c r="DN17"/>
      <c r="DO17" s="75"/>
    </row>
    <row r="18" spans="1:119" ht="15.75" customHeight="1" x14ac:dyDescent="0.25">
      <c r="A18" s="308" t="s">
        <v>942</v>
      </c>
      <c r="B18" s="889">
        <f>Analyses!$G$5</f>
        <v>0.94386666666666685</v>
      </c>
      <c r="C18" s="190">
        <f>+IF(B16='References Assumptions'!$C$340, TVS_untreated, TVS_digested)</f>
        <v>0.65</v>
      </c>
      <c r="D18" s="889">
        <f>Analyses!$G$5</f>
        <v>0.94386666666666685</v>
      </c>
      <c r="E18" s="190">
        <f>+IF(D16='References Assumptions'!$C$340, TVS_untreated, TVS_digested)</f>
        <v>0.65</v>
      </c>
      <c r="F18" s="889">
        <f>Analyses!$G$5</f>
        <v>0.94386666666666685</v>
      </c>
      <c r="G18" s="190">
        <f>+IF(F16='References Assumptions'!$C$340, TVS_untreated, TVS_digested)</f>
        <v>0.65</v>
      </c>
      <c r="H18" s="889">
        <f>Analyses!$G$5</f>
        <v>0.94386666666666685</v>
      </c>
      <c r="I18" s="190">
        <f>+IF(H16='References Assumptions'!$C$340, TVS_untreated, TVS_digested)</f>
        <v>0.65</v>
      </c>
      <c r="J18" s="889">
        <f>Analyses!$G$5</f>
        <v>0.94386666666666685</v>
      </c>
      <c r="K18" s="190">
        <f>+IF(J16='References Assumptions'!$C$340, TVS_untreated, TVS_digested)</f>
        <v>0.65</v>
      </c>
      <c r="L18" s="889">
        <f>Analyses!$G$5</f>
        <v>0.94386666666666685</v>
      </c>
      <c r="M18" s="190">
        <f>+IF(L16='References Assumptions'!$C$340, TVS_untreated, TVS_digested)</f>
        <v>0.65</v>
      </c>
      <c r="N18" s="889">
        <f>Analyses!$G$5</f>
        <v>0.94386666666666685</v>
      </c>
      <c r="O18" s="190">
        <f>+IF(N16='References Assumptions'!$C$340, TVS_untreated, TVS_digested)</f>
        <v>0.65</v>
      </c>
      <c r="P18" s="889">
        <f>Analyses!$G$5</f>
        <v>0.94386666666666685</v>
      </c>
      <c r="Q18" s="190">
        <f>+IF(P16='References Assumptions'!$C$340, TVS_untreated, TVS_digested)</f>
        <v>0.65</v>
      </c>
      <c r="R18" s="889">
        <f>Analyses!$G$5</f>
        <v>0.94386666666666685</v>
      </c>
      <c r="S18" s="190">
        <f>+IF(R16='References Assumptions'!$C$340, TVS_untreated, TVS_digested)</f>
        <v>0.65</v>
      </c>
      <c r="T18" s="889">
        <f>Analyses!$G$5</f>
        <v>0.94386666666666685</v>
      </c>
      <c r="U18" s="190">
        <f>+IF(T16='References Assumptions'!$C$340, TVS_untreated, TVS_digested)</f>
        <v>0.65</v>
      </c>
      <c r="AO18" s="381" t="s">
        <v>442</v>
      </c>
      <c r="AP18" s="406" t="e">
        <f>1-AP$17</f>
        <v>#VALUE!</v>
      </c>
      <c r="AW18" s="96"/>
      <c r="AX18" s="368">
        <f t="shared" si="7"/>
        <v>6</v>
      </c>
      <c r="AY18" s="393">
        <v>7</v>
      </c>
      <c r="AZ18" s="394" t="e">
        <f t="shared" si="8"/>
        <v>#VALUE!</v>
      </c>
      <c r="BA18" s="394" t="e">
        <f t="shared" si="9"/>
        <v>#VALUE!</v>
      </c>
      <c r="BB18" s="395" t="e">
        <f t="shared" si="0"/>
        <v>#VALUE!</v>
      </c>
      <c r="BC18"/>
      <c r="BD18" s="75"/>
      <c r="BE18" s="96"/>
      <c r="BF18" s="393">
        <v>7</v>
      </c>
      <c r="BG18" s="394" t="e">
        <f t="shared" si="29"/>
        <v>#VALUE!</v>
      </c>
      <c r="BH18" s="400" t="e">
        <f t="shared" si="26"/>
        <v>#VALUE!</v>
      </c>
      <c r="BI18" s="395" t="e">
        <f t="shared" si="30"/>
        <v>#VALUE!</v>
      </c>
      <c r="BJ18"/>
      <c r="BK18" s="75"/>
      <c r="BL18" s="368"/>
      <c r="BM18" s="393">
        <v>7</v>
      </c>
      <c r="BN18" s="394" t="e">
        <f t="shared" si="27"/>
        <v>#VALUE!</v>
      </c>
      <c r="BO18" s="394" t="e">
        <f t="shared" si="28"/>
        <v>#VALUE!</v>
      </c>
      <c r="BP18" s="372" t="e">
        <f t="shared" si="10"/>
        <v>#VALUE!</v>
      </c>
      <c r="BQ18"/>
      <c r="BR18" s="75"/>
      <c r="BS18" s="368"/>
      <c r="BT18" s="393">
        <v>7</v>
      </c>
      <c r="BU18" s="394" t="e">
        <f t="shared" si="11"/>
        <v>#VALUE!</v>
      </c>
      <c r="BV18" s="394" t="e">
        <f t="shared" si="12"/>
        <v>#VALUE!</v>
      </c>
      <c r="BW18" s="395" t="e">
        <f t="shared" si="13"/>
        <v>#VALUE!</v>
      </c>
      <c r="BX18"/>
      <c r="BY18" s="75"/>
      <c r="BZ18" s="368"/>
      <c r="CA18" s="393">
        <v>7</v>
      </c>
      <c r="CB18" s="394" t="e">
        <f t="shared" si="14"/>
        <v>#VALUE!</v>
      </c>
      <c r="CC18" s="394" t="e">
        <f t="shared" si="15"/>
        <v>#VALUE!</v>
      </c>
      <c r="CD18" s="395" t="e">
        <f t="shared" si="1"/>
        <v>#VALUE!</v>
      </c>
      <c r="CE18"/>
      <c r="CF18" s="75"/>
      <c r="CG18" s="368"/>
      <c r="CH18" s="393">
        <v>7</v>
      </c>
      <c r="CI18" s="394" t="e">
        <f t="shared" si="16"/>
        <v>#VALUE!</v>
      </c>
      <c r="CJ18" s="394" t="e">
        <f t="shared" si="17"/>
        <v>#VALUE!</v>
      </c>
      <c r="CK18" s="395" t="e">
        <f t="shared" si="2"/>
        <v>#VALUE!</v>
      </c>
      <c r="CL18"/>
      <c r="CM18" s="75"/>
      <c r="CN18" s="368"/>
      <c r="CO18" s="393">
        <v>7</v>
      </c>
      <c r="CP18" s="394" t="e">
        <f t="shared" si="18"/>
        <v>#VALUE!</v>
      </c>
      <c r="CQ18" s="394" t="e">
        <f t="shared" si="19"/>
        <v>#VALUE!</v>
      </c>
      <c r="CR18" s="395" t="e">
        <f t="shared" si="3"/>
        <v>#VALUE!</v>
      </c>
      <c r="CS18"/>
      <c r="CT18" s="75"/>
      <c r="CU18" s="368"/>
      <c r="CV18" s="393">
        <v>7</v>
      </c>
      <c r="CW18" s="394" t="e">
        <f t="shared" si="20"/>
        <v>#VALUE!</v>
      </c>
      <c r="CX18" s="394" t="e">
        <f t="shared" si="21"/>
        <v>#VALUE!</v>
      </c>
      <c r="CY18" s="395" t="e">
        <f t="shared" si="4"/>
        <v>#VALUE!</v>
      </c>
      <c r="CZ18"/>
      <c r="DA18" s="75"/>
      <c r="DB18" s="368"/>
      <c r="DC18" s="393">
        <v>7</v>
      </c>
      <c r="DD18" s="394" t="e">
        <f t="shared" si="22"/>
        <v>#VALUE!</v>
      </c>
      <c r="DE18" s="394" t="e">
        <f t="shared" si="23"/>
        <v>#VALUE!</v>
      </c>
      <c r="DF18" s="395" t="e">
        <f t="shared" si="5"/>
        <v>#VALUE!</v>
      </c>
      <c r="DG18"/>
      <c r="DH18" s="75"/>
      <c r="DI18" s="368"/>
      <c r="DJ18" s="393">
        <v>7</v>
      </c>
      <c r="DK18" s="394" t="e">
        <f t="shared" si="24"/>
        <v>#VALUE!</v>
      </c>
      <c r="DL18" s="394" t="e">
        <f t="shared" si="25"/>
        <v>#VALUE!</v>
      </c>
      <c r="DM18" s="395" t="e">
        <f t="shared" si="6"/>
        <v>#VALUE!</v>
      </c>
      <c r="DN18"/>
      <c r="DO18" s="75"/>
    </row>
    <row r="19" spans="1:119" ht="15.75" customHeight="1" x14ac:dyDescent="0.25">
      <c r="A19" s="306" t="s">
        <v>943</v>
      </c>
      <c r="B19" s="889">
        <f>Analyses!$H$5</f>
        <v>0.52856533333333344</v>
      </c>
      <c r="C19" s="407">
        <f>+B18*Carbon_as_a___of_TVS_compostinghandbook</f>
        <v>0.52856533333333344</v>
      </c>
      <c r="D19" s="889">
        <f>Analyses!$H$5</f>
        <v>0.52856533333333344</v>
      </c>
      <c r="E19" s="407">
        <f>+D18*Carbon_as_a___of_TVS_compostinghandbook</f>
        <v>0.52856533333333344</v>
      </c>
      <c r="F19" s="889">
        <f>Analyses!$H$5</f>
        <v>0.52856533333333344</v>
      </c>
      <c r="G19" s="407">
        <f>+F18*Carbon_as_a___of_TVS_compostinghandbook</f>
        <v>0.52856533333333344</v>
      </c>
      <c r="H19" s="889">
        <f>Analyses!$H$5</f>
        <v>0.52856533333333344</v>
      </c>
      <c r="I19" s="407">
        <f>+H18*Carbon_as_a___of_TVS_compostinghandbook</f>
        <v>0.52856533333333344</v>
      </c>
      <c r="J19" s="889">
        <f>Analyses!$H$5</f>
        <v>0.52856533333333344</v>
      </c>
      <c r="K19" s="407">
        <f>+J18*Carbon_as_a___of_TVS_compostinghandbook</f>
        <v>0.52856533333333344</v>
      </c>
      <c r="L19" s="889">
        <f>Analyses!$H$5</f>
        <v>0.52856533333333344</v>
      </c>
      <c r="M19" s="407">
        <f>+L18*Carbon_as_a___of_TVS_compostinghandbook</f>
        <v>0.52856533333333344</v>
      </c>
      <c r="N19" s="889">
        <f>Analyses!$H$5</f>
        <v>0.52856533333333344</v>
      </c>
      <c r="O19" s="407">
        <f>+N18*Carbon_as_a___of_TVS_compostinghandbook</f>
        <v>0.52856533333333344</v>
      </c>
      <c r="P19" s="889">
        <f>Analyses!$H$5</f>
        <v>0.52856533333333344</v>
      </c>
      <c r="Q19" s="407">
        <f>+P18*Carbon_as_a___of_TVS_compostinghandbook</f>
        <v>0.52856533333333344</v>
      </c>
      <c r="R19" s="889">
        <f>Analyses!$H$5</f>
        <v>0.52856533333333344</v>
      </c>
      <c r="S19" s="407">
        <f>+R18*Carbon_as_a___of_TVS_compostinghandbook</f>
        <v>0.52856533333333344</v>
      </c>
      <c r="T19" s="889">
        <f>Analyses!$H$5</f>
        <v>0.52856533333333344</v>
      </c>
      <c r="U19" s="407">
        <f>+T18*Carbon_as_a___of_TVS_compostinghandbook</f>
        <v>0.52856533333333344</v>
      </c>
      <c r="AW19" s="96"/>
      <c r="AX19" s="368">
        <f t="shared" si="7"/>
        <v>7</v>
      </c>
      <c r="AY19" s="393">
        <v>8</v>
      </c>
      <c r="AZ19" s="394" t="e">
        <f t="shared" si="8"/>
        <v>#VALUE!</v>
      </c>
      <c r="BA19" s="394" t="e">
        <f t="shared" si="9"/>
        <v>#VALUE!</v>
      </c>
      <c r="BB19" s="395" t="e">
        <f t="shared" si="0"/>
        <v>#VALUE!</v>
      </c>
      <c r="BC19"/>
      <c r="BD19" s="75"/>
      <c r="BE19" s="96"/>
      <c r="BF19" s="393">
        <v>8</v>
      </c>
      <c r="BG19" s="394" t="e">
        <f t="shared" si="29"/>
        <v>#VALUE!</v>
      </c>
      <c r="BH19" s="400" t="e">
        <f t="shared" si="26"/>
        <v>#VALUE!</v>
      </c>
      <c r="BI19" s="395" t="e">
        <f t="shared" si="30"/>
        <v>#VALUE!</v>
      </c>
      <c r="BJ19"/>
      <c r="BK19" s="75"/>
      <c r="BL19" s="368"/>
      <c r="BM19" s="393">
        <v>8</v>
      </c>
      <c r="BN19" s="394" t="e">
        <f t="shared" si="27"/>
        <v>#VALUE!</v>
      </c>
      <c r="BO19" s="394" t="e">
        <f t="shared" si="28"/>
        <v>#VALUE!</v>
      </c>
      <c r="BP19" s="372" t="e">
        <f t="shared" si="10"/>
        <v>#VALUE!</v>
      </c>
      <c r="BQ19"/>
      <c r="BR19" s="75"/>
      <c r="BS19" s="368"/>
      <c r="BT19" s="393">
        <v>8</v>
      </c>
      <c r="BU19" s="394" t="e">
        <f t="shared" si="11"/>
        <v>#VALUE!</v>
      </c>
      <c r="BV19" s="394" t="e">
        <f t="shared" si="12"/>
        <v>#VALUE!</v>
      </c>
      <c r="BW19" s="395" t="e">
        <f t="shared" si="13"/>
        <v>#VALUE!</v>
      </c>
      <c r="BX19"/>
      <c r="BY19" s="75"/>
      <c r="BZ19" s="368"/>
      <c r="CA19" s="393">
        <v>8</v>
      </c>
      <c r="CB19" s="394" t="e">
        <f t="shared" si="14"/>
        <v>#VALUE!</v>
      </c>
      <c r="CC19" s="394" t="e">
        <f t="shared" si="15"/>
        <v>#VALUE!</v>
      </c>
      <c r="CD19" s="395" t="e">
        <f t="shared" si="1"/>
        <v>#VALUE!</v>
      </c>
      <c r="CE19"/>
      <c r="CF19" s="75"/>
      <c r="CG19" s="368"/>
      <c r="CH19" s="393">
        <v>8</v>
      </c>
      <c r="CI19" s="394" t="e">
        <f t="shared" si="16"/>
        <v>#VALUE!</v>
      </c>
      <c r="CJ19" s="394" t="e">
        <f t="shared" si="17"/>
        <v>#VALUE!</v>
      </c>
      <c r="CK19" s="395" t="e">
        <f t="shared" si="2"/>
        <v>#VALUE!</v>
      </c>
      <c r="CL19"/>
      <c r="CM19" s="75"/>
      <c r="CN19" s="368"/>
      <c r="CO19" s="393">
        <v>8</v>
      </c>
      <c r="CP19" s="394" t="e">
        <f t="shared" si="18"/>
        <v>#VALUE!</v>
      </c>
      <c r="CQ19" s="394" t="e">
        <f t="shared" si="19"/>
        <v>#VALUE!</v>
      </c>
      <c r="CR19" s="395" t="e">
        <f t="shared" si="3"/>
        <v>#VALUE!</v>
      </c>
      <c r="CS19"/>
      <c r="CT19" s="75"/>
      <c r="CU19" s="368"/>
      <c r="CV19" s="393">
        <v>8</v>
      </c>
      <c r="CW19" s="394" t="e">
        <f t="shared" si="20"/>
        <v>#VALUE!</v>
      </c>
      <c r="CX19" s="394" t="e">
        <f t="shared" si="21"/>
        <v>#VALUE!</v>
      </c>
      <c r="CY19" s="395" t="e">
        <f t="shared" si="4"/>
        <v>#VALUE!</v>
      </c>
      <c r="CZ19"/>
      <c r="DA19" s="75"/>
      <c r="DB19" s="368"/>
      <c r="DC19" s="393">
        <v>8</v>
      </c>
      <c r="DD19" s="394" t="e">
        <f t="shared" si="22"/>
        <v>#VALUE!</v>
      </c>
      <c r="DE19" s="394" t="e">
        <f t="shared" si="23"/>
        <v>#VALUE!</v>
      </c>
      <c r="DF19" s="395" t="e">
        <f t="shared" si="5"/>
        <v>#VALUE!</v>
      </c>
      <c r="DG19"/>
      <c r="DH19" s="75"/>
      <c r="DI19" s="368"/>
      <c r="DJ19" s="393">
        <v>8</v>
      </c>
      <c r="DK19" s="394" t="e">
        <f t="shared" si="24"/>
        <v>#VALUE!</v>
      </c>
      <c r="DL19" s="394" t="e">
        <f t="shared" si="25"/>
        <v>#VALUE!</v>
      </c>
      <c r="DM19" s="395" t="e">
        <f t="shared" si="6"/>
        <v>#VALUE!</v>
      </c>
      <c r="DN19"/>
      <c r="DO19" s="75"/>
    </row>
    <row r="20" spans="1:119" ht="15.75" customHeight="1" x14ac:dyDescent="0.25">
      <c r="A20" s="247" t="s">
        <v>186</v>
      </c>
      <c r="B20" s="316">
        <f>+B15*B19</f>
        <v>3.5560870757777425</v>
      </c>
      <c r="C20" s="408"/>
      <c r="D20" s="861">
        <f>+D15*D19</f>
        <v>0</v>
      </c>
      <c r="E20" s="408"/>
      <c r="F20" s="316">
        <f>+F15*F19</f>
        <v>0</v>
      </c>
      <c r="G20" s="408"/>
      <c r="H20" s="316">
        <f>+H15*H19</f>
        <v>0</v>
      </c>
      <c r="I20" s="408"/>
      <c r="J20" s="316">
        <f>+J15*J19</f>
        <v>0</v>
      </c>
      <c r="K20" s="408"/>
      <c r="L20" s="316">
        <f>+L15*L19</f>
        <v>0</v>
      </c>
      <c r="M20" s="408"/>
      <c r="N20" s="316">
        <f>+N15*N19</f>
        <v>0</v>
      </c>
      <c r="O20" s="408"/>
      <c r="P20" s="316">
        <f>+P15*P19</f>
        <v>0</v>
      </c>
      <c r="Q20" s="408"/>
      <c r="R20" s="316">
        <f>+R15*R19</f>
        <v>0</v>
      </c>
      <c r="S20" s="408"/>
      <c r="T20" s="316">
        <f>+T15*T19</f>
        <v>0</v>
      </c>
      <c r="U20" s="408"/>
      <c r="AX20" s="368">
        <f t="shared" si="7"/>
        <v>8</v>
      </c>
      <c r="AY20" s="393">
        <v>9</v>
      </c>
      <c r="AZ20" s="394" t="e">
        <f t="shared" si="8"/>
        <v>#VALUE!</v>
      </c>
      <c r="BA20" s="394" t="e">
        <f t="shared" si="9"/>
        <v>#VALUE!</v>
      </c>
      <c r="BB20" s="395" t="e">
        <f t="shared" si="0"/>
        <v>#VALUE!</v>
      </c>
      <c r="BC20"/>
      <c r="BD20" s="75"/>
      <c r="BE20" s="96"/>
      <c r="BF20" s="393">
        <v>9</v>
      </c>
      <c r="BG20" s="394" t="e">
        <f t="shared" si="29"/>
        <v>#VALUE!</v>
      </c>
      <c r="BH20" s="400" t="e">
        <f t="shared" si="26"/>
        <v>#VALUE!</v>
      </c>
      <c r="BI20" s="395" t="e">
        <f t="shared" si="30"/>
        <v>#VALUE!</v>
      </c>
      <c r="BJ20"/>
      <c r="BK20" s="75"/>
      <c r="BL20" s="368"/>
      <c r="BM20" s="393">
        <v>9</v>
      </c>
      <c r="BN20" s="394" t="e">
        <f t="shared" si="27"/>
        <v>#VALUE!</v>
      </c>
      <c r="BO20" s="394" t="e">
        <f t="shared" si="28"/>
        <v>#VALUE!</v>
      </c>
      <c r="BP20" s="372" t="e">
        <f t="shared" si="10"/>
        <v>#VALUE!</v>
      </c>
      <c r="BQ20"/>
      <c r="BR20" s="75"/>
      <c r="BS20" s="368"/>
      <c r="BT20" s="393">
        <v>9</v>
      </c>
      <c r="BU20" s="394" t="e">
        <f t="shared" si="11"/>
        <v>#VALUE!</v>
      </c>
      <c r="BV20" s="394" t="e">
        <f t="shared" si="12"/>
        <v>#VALUE!</v>
      </c>
      <c r="BW20" s="395" t="e">
        <f t="shared" si="13"/>
        <v>#VALUE!</v>
      </c>
      <c r="BX20"/>
      <c r="BY20" s="75"/>
      <c r="BZ20" s="368"/>
      <c r="CA20" s="393">
        <v>9</v>
      </c>
      <c r="CB20" s="394" t="e">
        <f t="shared" si="14"/>
        <v>#VALUE!</v>
      </c>
      <c r="CC20" s="394" t="e">
        <f t="shared" si="15"/>
        <v>#VALUE!</v>
      </c>
      <c r="CD20" s="395" t="e">
        <f t="shared" si="1"/>
        <v>#VALUE!</v>
      </c>
      <c r="CE20"/>
      <c r="CF20" s="75"/>
      <c r="CG20" s="368"/>
      <c r="CH20" s="393">
        <v>9</v>
      </c>
      <c r="CI20" s="394" t="e">
        <f t="shared" si="16"/>
        <v>#VALUE!</v>
      </c>
      <c r="CJ20" s="394" t="e">
        <f t="shared" si="17"/>
        <v>#VALUE!</v>
      </c>
      <c r="CK20" s="395" t="e">
        <f t="shared" si="2"/>
        <v>#VALUE!</v>
      </c>
      <c r="CL20"/>
      <c r="CM20" s="75"/>
      <c r="CN20" s="368"/>
      <c r="CO20" s="393">
        <v>9</v>
      </c>
      <c r="CP20" s="394" t="e">
        <f t="shared" si="18"/>
        <v>#VALUE!</v>
      </c>
      <c r="CQ20" s="394" t="e">
        <f t="shared" si="19"/>
        <v>#VALUE!</v>
      </c>
      <c r="CR20" s="395" t="e">
        <f t="shared" si="3"/>
        <v>#VALUE!</v>
      </c>
      <c r="CS20"/>
      <c r="CT20" s="75"/>
      <c r="CU20" s="368"/>
      <c r="CV20" s="393">
        <v>9</v>
      </c>
      <c r="CW20" s="394" t="e">
        <f t="shared" si="20"/>
        <v>#VALUE!</v>
      </c>
      <c r="CX20" s="394" t="e">
        <f t="shared" si="21"/>
        <v>#VALUE!</v>
      </c>
      <c r="CY20" s="395" t="e">
        <f t="shared" si="4"/>
        <v>#VALUE!</v>
      </c>
      <c r="CZ20"/>
      <c r="DA20" s="75"/>
      <c r="DB20" s="368"/>
      <c r="DC20" s="393">
        <v>9</v>
      </c>
      <c r="DD20" s="394" t="e">
        <f t="shared" si="22"/>
        <v>#VALUE!</v>
      </c>
      <c r="DE20" s="394" t="e">
        <f t="shared" si="23"/>
        <v>#VALUE!</v>
      </c>
      <c r="DF20" s="395" t="e">
        <f t="shared" si="5"/>
        <v>#VALUE!</v>
      </c>
      <c r="DG20"/>
      <c r="DH20" s="75"/>
      <c r="DI20" s="368"/>
      <c r="DJ20" s="393">
        <v>9</v>
      </c>
      <c r="DK20" s="394" t="e">
        <f t="shared" si="24"/>
        <v>#VALUE!</v>
      </c>
      <c r="DL20" s="394" t="e">
        <f t="shared" si="25"/>
        <v>#VALUE!</v>
      </c>
      <c r="DM20" s="395" t="e">
        <f t="shared" si="6"/>
        <v>#VALUE!</v>
      </c>
      <c r="DN20"/>
      <c r="DO20" s="75"/>
    </row>
    <row r="21" spans="1:119" ht="15.75" customHeight="1" x14ac:dyDescent="0.35">
      <c r="A21" s="315" t="s">
        <v>339</v>
      </c>
      <c r="B21" s="21"/>
      <c r="C21" s="409">
        <f>+methane_correction_factor_anaerobic_managed_landfills</f>
        <v>1</v>
      </c>
      <c r="D21" s="21"/>
      <c r="E21" s="409">
        <f>+methane_correction_factor_anaerobic_managed_landfills</f>
        <v>1</v>
      </c>
      <c r="F21" s="21"/>
      <c r="G21" s="409">
        <f>+methane_correction_factor_anaerobic_managed_landfills</f>
        <v>1</v>
      </c>
      <c r="H21" s="21"/>
      <c r="I21" s="409">
        <f>+methane_correction_factor_anaerobic_managed_landfills</f>
        <v>1</v>
      </c>
      <c r="J21" s="21"/>
      <c r="K21" s="409">
        <f>+methane_correction_factor_anaerobic_managed_landfills</f>
        <v>1</v>
      </c>
      <c r="L21" s="21"/>
      <c r="M21" s="409">
        <f>+methane_correction_factor_anaerobic_managed_landfills</f>
        <v>1</v>
      </c>
      <c r="N21" s="21"/>
      <c r="O21" s="409">
        <f>+methane_correction_factor_anaerobic_managed_landfills</f>
        <v>1</v>
      </c>
      <c r="P21" s="21"/>
      <c r="Q21" s="409">
        <f>+methane_correction_factor_anaerobic_managed_landfills</f>
        <v>1</v>
      </c>
      <c r="R21" s="21"/>
      <c r="S21" s="409">
        <f>+methane_correction_factor_anaerobic_managed_landfills</f>
        <v>1</v>
      </c>
      <c r="T21" s="21"/>
      <c r="U21" s="409">
        <f>+methane_correction_factor_anaerobic_managed_landfills</f>
        <v>1</v>
      </c>
      <c r="AX21" s="368">
        <f t="shared" si="7"/>
        <v>9</v>
      </c>
      <c r="AY21" s="393">
        <v>10</v>
      </c>
      <c r="AZ21" s="394" t="e">
        <f t="shared" si="8"/>
        <v>#VALUE!</v>
      </c>
      <c r="BA21" s="394" t="e">
        <f t="shared" si="9"/>
        <v>#VALUE!</v>
      </c>
      <c r="BB21" s="395" t="e">
        <f t="shared" si="0"/>
        <v>#VALUE!</v>
      </c>
      <c r="BC21"/>
      <c r="BD21" s="75"/>
      <c r="BE21" s="96"/>
      <c r="BF21" s="393">
        <v>10</v>
      </c>
      <c r="BG21" s="394" t="e">
        <f t="shared" si="29"/>
        <v>#VALUE!</v>
      </c>
      <c r="BH21" s="400" t="e">
        <f t="shared" si="26"/>
        <v>#VALUE!</v>
      </c>
      <c r="BI21" s="395" t="e">
        <f t="shared" si="30"/>
        <v>#VALUE!</v>
      </c>
      <c r="BJ21"/>
      <c r="BK21" s="75"/>
      <c r="BL21" s="368"/>
      <c r="BM21" s="393">
        <v>10</v>
      </c>
      <c r="BN21" s="394" t="e">
        <f t="shared" si="27"/>
        <v>#VALUE!</v>
      </c>
      <c r="BO21" s="394" t="e">
        <f t="shared" si="28"/>
        <v>#VALUE!</v>
      </c>
      <c r="BP21" s="372" t="e">
        <f t="shared" si="10"/>
        <v>#VALUE!</v>
      </c>
      <c r="BQ21"/>
      <c r="BR21" s="75"/>
      <c r="BS21" s="368"/>
      <c r="BT21" s="393">
        <v>10</v>
      </c>
      <c r="BU21" s="394" t="e">
        <f t="shared" si="11"/>
        <v>#VALUE!</v>
      </c>
      <c r="BV21" s="394" t="e">
        <f t="shared" si="12"/>
        <v>#VALUE!</v>
      </c>
      <c r="BW21" s="395" t="e">
        <f t="shared" si="13"/>
        <v>#VALUE!</v>
      </c>
      <c r="BX21"/>
      <c r="BY21" s="75"/>
      <c r="BZ21" s="368"/>
      <c r="CA21" s="393">
        <v>10</v>
      </c>
      <c r="CB21" s="394" t="e">
        <f t="shared" si="14"/>
        <v>#VALUE!</v>
      </c>
      <c r="CC21" s="394" t="e">
        <f t="shared" si="15"/>
        <v>#VALUE!</v>
      </c>
      <c r="CD21" s="395" t="e">
        <f t="shared" si="1"/>
        <v>#VALUE!</v>
      </c>
      <c r="CE21"/>
      <c r="CF21" s="75"/>
      <c r="CG21" s="368"/>
      <c r="CH21" s="393">
        <v>10</v>
      </c>
      <c r="CI21" s="394" t="e">
        <f t="shared" si="16"/>
        <v>#VALUE!</v>
      </c>
      <c r="CJ21" s="394" t="e">
        <f t="shared" si="17"/>
        <v>#VALUE!</v>
      </c>
      <c r="CK21" s="395" t="e">
        <f t="shared" si="2"/>
        <v>#VALUE!</v>
      </c>
      <c r="CL21"/>
      <c r="CM21" s="75"/>
      <c r="CN21" s="368"/>
      <c r="CO21" s="393">
        <v>10</v>
      </c>
      <c r="CP21" s="394" t="e">
        <f t="shared" si="18"/>
        <v>#VALUE!</v>
      </c>
      <c r="CQ21" s="394" t="e">
        <f t="shared" si="19"/>
        <v>#VALUE!</v>
      </c>
      <c r="CR21" s="395" t="e">
        <f t="shared" si="3"/>
        <v>#VALUE!</v>
      </c>
      <c r="CS21"/>
      <c r="CT21" s="75"/>
      <c r="CU21" s="368"/>
      <c r="CV21" s="393">
        <v>10</v>
      </c>
      <c r="CW21" s="394" t="e">
        <f t="shared" si="20"/>
        <v>#VALUE!</v>
      </c>
      <c r="CX21" s="394" t="e">
        <f t="shared" si="21"/>
        <v>#VALUE!</v>
      </c>
      <c r="CY21" s="395" t="e">
        <f t="shared" si="4"/>
        <v>#VALUE!</v>
      </c>
      <c r="CZ21"/>
      <c r="DA21" s="75"/>
      <c r="DB21" s="368"/>
      <c r="DC21" s="393">
        <v>10</v>
      </c>
      <c r="DD21" s="394" t="e">
        <f t="shared" si="22"/>
        <v>#VALUE!</v>
      </c>
      <c r="DE21" s="394" t="e">
        <f t="shared" si="23"/>
        <v>#VALUE!</v>
      </c>
      <c r="DF21" s="395" t="e">
        <f t="shared" si="5"/>
        <v>#VALUE!</v>
      </c>
      <c r="DG21"/>
      <c r="DH21" s="75"/>
      <c r="DI21" s="368"/>
      <c r="DJ21" s="393">
        <v>10</v>
      </c>
      <c r="DK21" s="394" t="e">
        <f t="shared" si="24"/>
        <v>#VALUE!</v>
      </c>
      <c r="DL21" s="394" t="e">
        <f t="shared" si="25"/>
        <v>#VALUE!</v>
      </c>
      <c r="DM21" s="395" t="e">
        <f t="shared" si="6"/>
        <v>#VALUE!</v>
      </c>
      <c r="DN21"/>
      <c r="DO21" s="75"/>
    </row>
    <row r="22" spans="1:119" x14ac:dyDescent="0.25">
      <c r="A22" s="247" t="s">
        <v>123</v>
      </c>
      <c r="B22" s="13"/>
      <c r="C22" s="411" t="s">
        <v>67</v>
      </c>
      <c r="D22" s="13"/>
      <c r="E22" s="411" t="s">
        <v>67</v>
      </c>
      <c r="F22" s="13"/>
      <c r="G22" s="411" t="s">
        <v>67</v>
      </c>
      <c r="H22" s="13"/>
      <c r="I22" s="411" t="s">
        <v>67</v>
      </c>
      <c r="J22" s="13"/>
      <c r="K22" s="411" t="s">
        <v>67</v>
      </c>
      <c r="L22" s="13"/>
      <c r="M22" s="411" t="s">
        <v>67</v>
      </c>
      <c r="N22" s="13"/>
      <c r="O22" s="411" t="s">
        <v>67</v>
      </c>
      <c r="P22" s="13"/>
      <c r="Q22" s="411" t="s">
        <v>67</v>
      </c>
      <c r="R22" s="13"/>
      <c r="S22" s="411" t="s">
        <v>67</v>
      </c>
      <c r="T22" s="13"/>
      <c r="U22" s="411" t="s">
        <v>67</v>
      </c>
      <c r="AX22" s="368">
        <f t="shared" si="7"/>
        <v>10</v>
      </c>
      <c r="AY22" s="393">
        <v>11</v>
      </c>
      <c r="AZ22" s="394" t="e">
        <f t="shared" si="8"/>
        <v>#VALUE!</v>
      </c>
      <c r="BA22" s="394" t="e">
        <f t="shared" si="9"/>
        <v>#VALUE!</v>
      </c>
      <c r="BB22" s="395" t="e">
        <f t="shared" si="0"/>
        <v>#VALUE!</v>
      </c>
      <c r="BC22"/>
      <c r="BD22" s="75"/>
      <c r="BE22" s="403"/>
      <c r="BF22" s="393">
        <v>11</v>
      </c>
      <c r="BG22" s="394" t="e">
        <f t="shared" si="29"/>
        <v>#VALUE!</v>
      </c>
      <c r="BH22" s="400" t="e">
        <f t="shared" si="26"/>
        <v>#VALUE!</v>
      </c>
      <c r="BI22" s="395" t="e">
        <f t="shared" si="30"/>
        <v>#VALUE!</v>
      </c>
      <c r="BJ22"/>
      <c r="BK22" s="75"/>
      <c r="BL22" s="410"/>
      <c r="BM22" s="393">
        <v>11</v>
      </c>
      <c r="BN22" s="394" t="e">
        <f t="shared" si="27"/>
        <v>#VALUE!</v>
      </c>
      <c r="BO22" s="394" t="e">
        <f t="shared" si="28"/>
        <v>#VALUE!</v>
      </c>
      <c r="BP22" s="372" t="e">
        <f t="shared" si="10"/>
        <v>#VALUE!</v>
      </c>
      <c r="BQ22"/>
      <c r="BR22" s="75"/>
      <c r="BS22" s="410"/>
      <c r="BT22" s="393">
        <v>11</v>
      </c>
      <c r="BU22" s="394" t="e">
        <f t="shared" si="11"/>
        <v>#VALUE!</v>
      </c>
      <c r="BV22" s="394" t="e">
        <f t="shared" si="12"/>
        <v>#VALUE!</v>
      </c>
      <c r="BW22" s="395" t="e">
        <f t="shared" si="13"/>
        <v>#VALUE!</v>
      </c>
      <c r="BX22"/>
      <c r="BY22" s="75"/>
      <c r="BZ22" s="410"/>
      <c r="CA22" s="393">
        <v>11</v>
      </c>
      <c r="CB22" s="394" t="e">
        <f t="shared" si="14"/>
        <v>#VALUE!</v>
      </c>
      <c r="CC22" s="394" t="e">
        <f t="shared" si="15"/>
        <v>#VALUE!</v>
      </c>
      <c r="CD22" s="395" t="e">
        <f t="shared" si="1"/>
        <v>#VALUE!</v>
      </c>
      <c r="CE22"/>
      <c r="CF22" s="75"/>
      <c r="CG22" s="410"/>
      <c r="CH22" s="393">
        <v>11</v>
      </c>
      <c r="CI22" s="394" t="e">
        <f t="shared" si="16"/>
        <v>#VALUE!</v>
      </c>
      <c r="CJ22" s="394" t="e">
        <f t="shared" si="17"/>
        <v>#VALUE!</v>
      </c>
      <c r="CK22" s="395" t="e">
        <f t="shared" si="2"/>
        <v>#VALUE!</v>
      </c>
      <c r="CL22"/>
      <c r="CM22" s="75"/>
      <c r="CN22" s="410"/>
      <c r="CO22" s="393">
        <v>11</v>
      </c>
      <c r="CP22" s="394" t="e">
        <f t="shared" si="18"/>
        <v>#VALUE!</v>
      </c>
      <c r="CQ22" s="394" t="e">
        <f t="shared" si="19"/>
        <v>#VALUE!</v>
      </c>
      <c r="CR22" s="395" t="e">
        <f t="shared" si="3"/>
        <v>#VALUE!</v>
      </c>
      <c r="CS22"/>
      <c r="CT22" s="75"/>
      <c r="CU22" s="410"/>
      <c r="CV22" s="393">
        <v>11</v>
      </c>
      <c r="CW22" s="394" t="e">
        <f t="shared" si="20"/>
        <v>#VALUE!</v>
      </c>
      <c r="CX22" s="394" t="e">
        <f t="shared" si="21"/>
        <v>#VALUE!</v>
      </c>
      <c r="CY22" s="395" t="e">
        <f t="shared" si="4"/>
        <v>#VALUE!</v>
      </c>
      <c r="CZ22"/>
      <c r="DA22" s="75"/>
      <c r="DB22" s="410"/>
      <c r="DC22" s="393">
        <v>11</v>
      </c>
      <c r="DD22" s="394" t="e">
        <f t="shared" si="22"/>
        <v>#VALUE!</v>
      </c>
      <c r="DE22" s="394" t="e">
        <f t="shared" si="23"/>
        <v>#VALUE!</v>
      </c>
      <c r="DF22" s="395" t="e">
        <f t="shared" si="5"/>
        <v>#VALUE!</v>
      </c>
      <c r="DG22"/>
      <c r="DH22" s="75"/>
      <c r="DI22" s="410"/>
      <c r="DJ22" s="393">
        <v>11</v>
      </c>
      <c r="DK22" s="394" t="e">
        <f t="shared" si="24"/>
        <v>#VALUE!</v>
      </c>
      <c r="DL22" s="394" t="e">
        <f t="shared" si="25"/>
        <v>#VALUE!</v>
      </c>
      <c r="DM22" s="395" t="e">
        <f t="shared" si="6"/>
        <v>#VALUE!</v>
      </c>
      <c r="DN22"/>
      <c r="DO22" s="75"/>
    </row>
    <row r="23" spans="1:119" ht="15.75" customHeight="1" x14ac:dyDescent="0.25">
      <c r="A23" s="306" t="s">
        <v>124</v>
      </c>
      <c r="B23" s="317">
        <f>+IF(B22='References Assumptions'!$C$336,0,IF(B22='References Assumptions'!$C$337,OX_of_methane_from_lowqual_soil_cover,OX_of_methane_from_hiqual_soil_cover))</f>
        <v>0.25</v>
      </c>
      <c r="C23" s="408"/>
      <c r="D23" s="317">
        <f>+IF(D22='References Assumptions'!$C$336,0,IF(D22='References Assumptions'!$C$337,OX_of_methane_from_lowqual_soil_cover,OX_of_methane_from_hiqual_soil_cover))</f>
        <v>0.25</v>
      </c>
      <c r="E23" s="408"/>
      <c r="F23" s="317">
        <f>+IF(F22='References Assumptions'!$C$336,0,IF(F22='References Assumptions'!$C$337,OX_of_methane_from_lowqual_soil_cover,OX_of_methane_from_hiqual_soil_cover))</f>
        <v>0.25</v>
      </c>
      <c r="G23" s="408"/>
      <c r="H23" s="317">
        <f>+IF(H22='References Assumptions'!$C$336,0,IF(H22='References Assumptions'!$C$337,OX_of_methane_from_lowqual_soil_cover,OX_of_methane_from_hiqual_soil_cover))</f>
        <v>0.25</v>
      </c>
      <c r="I23" s="408"/>
      <c r="J23" s="317">
        <f>+IF(J22='References Assumptions'!$C$336,0,IF(J22='References Assumptions'!$C$337,OX_of_methane_from_lowqual_soil_cover,OX_of_methane_from_hiqual_soil_cover))</f>
        <v>0.25</v>
      </c>
      <c r="K23" s="408"/>
      <c r="L23" s="317">
        <f>+IF(L22='References Assumptions'!$C$336,0,IF(L22='References Assumptions'!$C$337,OX_of_methane_from_lowqual_soil_cover,OX_of_methane_from_hiqual_soil_cover))</f>
        <v>0.25</v>
      </c>
      <c r="M23" s="408"/>
      <c r="N23" s="317">
        <f>+IF(N22='References Assumptions'!$C$336,0,IF(N22='References Assumptions'!$C$337,OX_of_methane_from_lowqual_soil_cover,OX_of_methane_from_hiqual_soil_cover))</f>
        <v>0.25</v>
      </c>
      <c r="O23" s="408"/>
      <c r="P23" s="317">
        <f>+IF(P22='References Assumptions'!$C$336,0,IF(P22='References Assumptions'!$C$337,OX_of_methane_from_lowqual_soil_cover,OX_of_methane_from_hiqual_soil_cover))</f>
        <v>0.25</v>
      </c>
      <c r="Q23" s="408"/>
      <c r="R23" s="317">
        <f>+IF(R22='References Assumptions'!$C$336,0,IF(R22='References Assumptions'!$C$337,OX_of_methane_from_lowqual_soil_cover,OX_of_methane_from_hiqual_soil_cover))</f>
        <v>0.25</v>
      </c>
      <c r="S23" s="408"/>
      <c r="T23" s="317">
        <f>+IF(T22='References Assumptions'!$C$336,0,IF(T22='References Assumptions'!$C$337,OX_of_methane_from_lowqual_soil_cover,OX_of_methane_from_hiqual_soil_cover))</f>
        <v>0.25</v>
      </c>
      <c r="U23" s="408"/>
      <c r="AX23" s="368">
        <f t="shared" si="7"/>
        <v>11</v>
      </c>
      <c r="AY23" s="393">
        <v>12</v>
      </c>
      <c r="AZ23" s="394" t="e">
        <f t="shared" si="8"/>
        <v>#VALUE!</v>
      </c>
      <c r="BA23" s="394" t="e">
        <f t="shared" si="9"/>
        <v>#VALUE!</v>
      </c>
      <c r="BB23" s="395" t="e">
        <f t="shared" si="0"/>
        <v>#VALUE!</v>
      </c>
      <c r="BC23"/>
      <c r="BD23" s="75"/>
      <c r="BE23" s="403"/>
      <c r="BF23" s="393">
        <v>12</v>
      </c>
      <c r="BG23" s="394" t="e">
        <f t="shared" si="29"/>
        <v>#VALUE!</v>
      </c>
      <c r="BH23" s="400" t="e">
        <f t="shared" si="26"/>
        <v>#VALUE!</v>
      </c>
      <c r="BI23" s="395" t="e">
        <f t="shared" si="30"/>
        <v>#VALUE!</v>
      </c>
      <c r="BJ23"/>
      <c r="BK23" s="75"/>
      <c r="BL23" s="410"/>
      <c r="BM23" s="393">
        <v>12</v>
      </c>
      <c r="BN23" s="394" t="e">
        <f t="shared" si="27"/>
        <v>#VALUE!</v>
      </c>
      <c r="BO23" s="394" t="e">
        <f t="shared" si="28"/>
        <v>#VALUE!</v>
      </c>
      <c r="BP23" s="372" t="e">
        <f t="shared" si="10"/>
        <v>#VALUE!</v>
      </c>
      <c r="BQ23"/>
      <c r="BR23" s="75"/>
      <c r="BS23" s="410"/>
      <c r="BT23" s="393">
        <v>12</v>
      </c>
      <c r="BU23" s="394" t="e">
        <f t="shared" si="11"/>
        <v>#VALUE!</v>
      </c>
      <c r="BV23" s="394" t="e">
        <f t="shared" si="12"/>
        <v>#VALUE!</v>
      </c>
      <c r="BW23" s="395" t="e">
        <f t="shared" si="13"/>
        <v>#VALUE!</v>
      </c>
      <c r="BX23"/>
      <c r="BY23" s="75"/>
      <c r="BZ23" s="410"/>
      <c r="CA23" s="393">
        <v>12</v>
      </c>
      <c r="CB23" s="394" t="e">
        <f t="shared" si="14"/>
        <v>#VALUE!</v>
      </c>
      <c r="CC23" s="394" t="e">
        <f t="shared" si="15"/>
        <v>#VALUE!</v>
      </c>
      <c r="CD23" s="395" t="e">
        <f t="shared" si="1"/>
        <v>#VALUE!</v>
      </c>
      <c r="CE23"/>
      <c r="CF23" s="75"/>
      <c r="CG23" s="410"/>
      <c r="CH23" s="393">
        <v>12</v>
      </c>
      <c r="CI23" s="394" t="e">
        <f t="shared" si="16"/>
        <v>#VALUE!</v>
      </c>
      <c r="CJ23" s="394" t="e">
        <f t="shared" si="17"/>
        <v>#VALUE!</v>
      </c>
      <c r="CK23" s="395" t="e">
        <f t="shared" si="2"/>
        <v>#VALUE!</v>
      </c>
      <c r="CL23"/>
      <c r="CM23" s="75"/>
      <c r="CN23" s="410"/>
      <c r="CO23" s="393">
        <v>12</v>
      </c>
      <c r="CP23" s="394" t="e">
        <f t="shared" si="18"/>
        <v>#VALUE!</v>
      </c>
      <c r="CQ23" s="394" t="e">
        <f t="shared" si="19"/>
        <v>#VALUE!</v>
      </c>
      <c r="CR23" s="395" t="e">
        <f t="shared" si="3"/>
        <v>#VALUE!</v>
      </c>
      <c r="CS23"/>
      <c r="CT23" s="75"/>
      <c r="CU23" s="410"/>
      <c r="CV23" s="393">
        <v>12</v>
      </c>
      <c r="CW23" s="394" t="e">
        <f t="shared" si="20"/>
        <v>#VALUE!</v>
      </c>
      <c r="CX23" s="394" t="e">
        <f t="shared" si="21"/>
        <v>#VALUE!</v>
      </c>
      <c r="CY23" s="395" t="e">
        <f t="shared" si="4"/>
        <v>#VALUE!</v>
      </c>
      <c r="CZ23"/>
      <c r="DA23" s="75"/>
      <c r="DB23" s="410"/>
      <c r="DC23" s="393">
        <v>12</v>
      </c>
      <c r="DD23" s="394" t="e">
        <f t="shared" si="22"/>
        <v>#VALUE!</v>
      </c>
      <c r="DE23" s="394" t="e">
        <f t="shared" si="23"/>
        <v>#VALUE!</v>
      </c>
      <c r="DF23" s="395" t="e">
        <f t="shared" si="5"/>
        <v>#VALUE!</v>
      </c>
      <c r="DG23"/>
      <c r="DH23" s="75"/>
      <c r="DI23" s="410"/>
      <c r="DJ23" s="393">
        <v>12</v>
      </c>
      <c r="DK23" s="394" t="e">
        <f t="shared" si="24"/>
        <v>#VALUE!</v>
      </c>
      <c r="DL23" s="394" t="e">
        <f t="shared" si="25"/>
        <v>#VALUE!</v>
      </c>
      <c r="DM23" s="395" t="e">
        <f t="shared" si="6"/>
        <v>#VALUE!</v>
      </c>
      <c r="DN23"/>
      <c r="DO23" s="75"/>
    </row>
    <row r="24" spans="1:119" ht="15.75" customHeight="1" x14ac:dyDescent="0.25">
      <c r="A24" s="247" t="s">
        <v>430</v>
      </c>
      <c r="B24" s="317">
        <f>+$AS$14</f>
        <v>0.9</v>
      </c>
      <c r="C24" s="408"/>
      <c r="D24" s="317">
        <f>+$AS$14</f>
        <v>0.9</v>
      </c>
      <c r="E24" s="408"/>
      <c r="F24" s="317">
        <f>+$AS$14</f>
        <v>0.9</v>
      </c>
      <c r="G24" s="408"/>
      <c r="H24" s="317">
        <f>+$AS$14</f>
        <v>0.9</v>
      </c>
      <c r="I24" s="408"/>
      <c r="J24" s="317">
        <f>+$AS$14</f>
        <v>0.9</v>
      </c>
      <c r="K24" s="408"/>
      <c r="L24" s="317">
        <f>+$AS$14</f>
        <v>0.9</v>
      </c>
      <c r="M24" s="408"/>
      <c r="N24" s="317">
        <f>+$AS$14</f>
        <v>0.9</v>
      </c>
      <c r="O24" s="408"/>
      <c r="P24" s="317">
        <f>+$AS$14</f>
        <v>0.9</v>
      </c>
      <c r="Q24" s="408"/>
      <c r="R24" s="317">
        <f>+$AS$14</f>
        <v>0.9</v>
      </c>
      <c r="S24" s="408"/>
      <c r="T24" s="317">
        <f>+$AS$14</f>
        <v>0.9</v>
      </c>
      <c r="U24" s="408"/>
      <c r="AX24" s="368">
        <f t="shared" si="7"/>
        <v>12</v>
      </c>
      <c r="AY24" s="393">
        <v>13</v>
      </c>
      <c r="AZ24" s="394" t="e">
        <f t="shared" si="8"/>
        <v>#VALUE!</v>
      </c>
      <c r="BA24" s="394" t="e">
        <f t="shared" si="9"/>
        <v>#VALUE!</v>
      </c>
      <c r="BB24" s="395" t="e">
        <f t="shared" si="0"/>
        <v>#VALUE!</v>
      </c>
      <c r="BC24"/>
      <c r="BD24" s="75"/>
      <c r="BE24" s="403"/>
      <c r="BF24" s="393">
        <v>13</v>
      </c>
      <c r="BG24" s="394" t="e">
        <f t="shared" si="29"/>
        <v>#VALUE!</v>
      </c>
      <c r="BH24" s="400" t="e">
        <f t="shared" si="26"/>
        <v>#VALUE!</v>
      </c>
      <c r="BI24" s="395" t="e">
        <f t="shared" si="30"/>
        <v>#VALUE!</v>
      </c>
      <c r="BJ24"/>
      <c r="BK24" s="75"/>
      <c r="BL24" s="410"/>
      <c r="BM24" s="393">
        <v>13</v>
      </c>
      <c r="BN24" s="394" t="e">
        <f t="shared" si="27"/>
        <v>#VALUE!</v>
      </c>
      <c r="BO24" s="394" t="e">
        <f t="shared" si="28"/>
        <v>#VALUE!</v>
      </c>
      <c r="BP24" s="372" t="e">
        <f t="shared" si="10"/>
        <v>#VALUE!</v>
      </c>
      <c r="BQ24"/>
      <c r="BR24" s="75"/>
      <c r="BS24" s="410"/>
      <c r="BT24" s="393">
        <v>13</v>
      </c>
      <c r="BU24" s="394" t="e">
        <f t="shared" si="11"/>
        <v>#VALUE!</v>
      </c>
      <c r="BV24" s="394" t="e">
        <f t="shared" si="12"/>
        <v>#VALUE!</v>
      </c>
      <c r="BW24" s="395" t="e">
        <f t="shared" si="13"/>
        <v>#VALUE!</v>
      </c>
      <c r="BX24"/>
      <c r="BY24" s="75"/>
      <c r="BZ24" s="410"/>
      <c r="CA24" s="393">
        <v>13</v>
      </c>
      <c r="CB24" s="394" t="e">
        <f t="shared" si="14"/>
        <v>#VALUE!</v>
      </c>
      <c r="CC24" s="394" t="e">
        <f t="shared" si="15"/>
        <v>#VALUE!</v>
      </c>
      <c r="CD24" s="395" t="e">
        <f t="shared" si="1"/>
        <v>#VALUE!</v>
      </c>
      <c r="CE24"/>
      <c r="CF24" s="75"/>
      <c r="CG24" s="410"/>
      <c r="CH24" s="393">
        <v>13</v>
      </c>
      <c r="CI24" s="394" t="e">
        <f t="shared" si="16"/>
        <v>#VALUE!</v>
      </c>
      <c r="CJ24" s="394" t="e">
        <f t="shared" si="17"/>
        <v>#VALUE!</v>
      </c>
      <c r="CK24" s="395" t="e">
        <f t="shared" si="2"/>
        <v>#VALUE!</v>
      </c>
      <c r="CL24"/>
      <c r="CM24" s="75"/>
      <c r="CN24" s="410"/>
      <c r="CO24" s="393">
        <v>13</v>
      </c>
      <c r="CP24" s="394" t="e">
        <f t="shared" si="18"/>
        <v>#VALUE!</v>
      </c>
      <c r="CQ24" s="394" t="e">
        <f t="shared" si="19"/>
        <v>#VALUE!</v>
      </c>
      <c r="CR24" s="395" t="e">
        <f t="shared" si="3"/>
        <v>#VALUE!</v>
      </c>
      <c r="CS24"/>
      <c r="CT24" s="75"/>
      <c r="CU24" s="410"/>
      <c r="CV24" s="393">
        <v>13</v>
      </c>
      <c r="CW24" s="394" t="e">
        <f t="shared" si="20"/>
        <v>#VALUE!</v>
      </c>
      <c r="CX24" s="394" t="e">
        <f t="shared" si="21"/>
        <v>#VALUE!</v>
      </c>
      <c r="CY24" s="395" t="e">
        <f t="shared" si="4"/>
        <v>#VALUE!</v>
      </c>
      <c r="CZ24"/>
      <c r="DA24" s="75"/>
      <c r="DB24" s="410"/>
      <c r="DC24" s="393">
        <v>13</v>
      </c>
      <c r="DD24" s="394" t="e">
        <f t="shared" si="22"/>
        <v>#VALUE!</v>
      </c>
      <c r="DE24" s="394" t="e">
        <f t="shared" si="23"/>
        <v>#VALUE!</v>
      </c>
      <c r="DF24" s="395" t="e">
        <f t="shared" si="5"/>
        <v>#VALUE!</v>
      </c>
      <c r="DG24"/>
      <c r="DH24" s="75"/>
      <c r="DI24" s="410"/>
      <c r="DJ24" s="393">
        <v>13</v>
      </c>
      <c r="DK24" s="394" t="e">
        <f t="shared" si="24"/>
        <v>#VALUE!</v>
      </c>
      <c r="DL24" s="394" t="e">
        <f t="shared" si="25"/>
        <v>#VALUE!</v>
      </c>
      <c r="DM24" s="395" t="e">
        <f t="shared" si="6"/>
        <v>#VALUE!</v>
      </c>
      <c r="DN24"/>
      <c r="DO24" s="75"/>
    </row>
    <row r="25" spans="1:119" ht="15.75" customHeight="1" x14ac:dyDescent="0.25">
      <c r="A25" s="247" t="s">
        <v>257</v>
      </c>
      <c r="B25" s="12"/>
      <c r="C25" s="412">
        <v>1</v>
      </c>
      <c r="D25" s="12"/>
      <c r="E25" s="412">
        <v>1</v>
      </c>
      <c r="F25" s="12"/>
      <c r="G25" s="412">
        <v>1</v>
      </c>
      <c r="H25" s="12"/>
      <c r="I25" s="412">
        <v>1</v>
      </c>
      <c r="J25" s="12"/>
      <c r="K25" s="412">
        <v>1</v>
      </c>
      <c r="L25" s="12"/>
      <c r="M25" s="412">
        <v>1</v>
      </c>
      <c r="N25" s="12"/>
      <c r="O25" s="412">
        <v>1</v>
      </c>
      <c r="P25" s="12"/>
      <c r="Q25" s="412">
        <v>1</v>
      </c>
      <c r="R25" s="12"/>
      <c r="S25" s="412">
        <v>1</v>
      </c>
      <c r="T25" s="12"/>
      <c r="U25" s="412">
        <v>1</v>
      </c>
      <c r="AX25" s="368">
        <f t="shared" si="7"/>
        <v>13</v>
      </c>
      <c r="AY25" s="393">
        <v>14</v>
      </c>
      <c r="AZ25" s="394" t="e">
        <f t="shared" si="8"/>
        <v>#VALUE!</v>
      </c>
      <c r="BA25" s="394" t="e">
        <f t="shared" si="9"/>
        <v>#VALUE!</v>
      </c>
      <c r="BB25" s="395" t="e">
        <f t="shared" si="0"/>
        <v>#VALUE!</v>
      </c>
      <c r="BC25"/>
      <c r="BD25" s="75"/>
      <c r="BE25" s="403"/>
      <c r="BF25" s="393">
        <v>14</v>
      </c>
      <c r="BG25" s="394" t="e">
        <f t="shared" si="29"/>
        <v>#VALUE!</v>
      </c>
      <c r="BH25" s="400" t="e">
        <f t="shared" si="26"/>
        <v>#VALUE!</v>
      </c>
      <c r="BI25" s="395" t="e">
        <f t="shared" si="30"/>
        <v>#VALUE!</v>
      </c>
      <c r="BJ25"/>
      <c r="BK25" s="75"/>
      <c r="BL25" s="410"/>
      <c r="BM25" s="393">
        <v>14</v>
      </c>
      <c r="BN25" s="394" t="e">
        <f t="shared" si="27"/>
        <v>#VALUE!</v>
      </c>
      <c r="BO25" s="394" t="e">
        <f t="shared" si="28"/>
        <v>#VALUE!</v>
      </c>
      <c r="BP25" s="372" t="e">
        <f t="shared" si="10"/>
        <v>#VALUE!</v>
      </c>
      <c r="BQ25"/>
      <c r="BR25" s="75"/>
      <c r="BS25" s="410"/>
      <c r="BT25" s="393">
        <v>14</v>
      </c>
      <c r="BU25" s="394" t="e">
        <f t="shared" si="11"/>
        <v>#VALUE!</v>
      </c>
      <c r="BV25" s="394" t="e">
        <f t="shared" si="12"/>
        <v>#VALUE!</v>
      </c>
      <c r="BW25" s="395" t="e">
        <f t="shared" si="13"/>
        <v>#VALUE!</v>
      </c>
      <c r="BX25"/>
      <c r="BY25" s="75"/>
      <c r="BZ25" s="410"/>
      <c r="CA25" s="393">
        <v>14</v>
      </c>
      <c r="CB25" s="394" t="e">
        <f t="shared" si="14"/>
        <v>#VALUE!</v>
      </c>
      <c r="CC25" s="394" t="e">
        <f t="shared" si="15"/>
        <v>#VALUE!</v>
      </c>
      <c r="CD25" s="395" t="e">
        <f t="shared" si="1"/>
        <v>#VALUE!</v>
      </c>
      <c r="CE25"/>
      <c r="CF25" s="75"/>
      <c r="CG25" s="410"/>
      <c r="CH25" s="393">
        <v>14</v>
      </c>
      <c r="CI25" s="394" t="e">
        <f t="shared" si="16"/>
        <v>#VALUE!</v>
      </c>
      <c r="CJ25" s="394" t="e">
        <f t="shared" si="17"/>
        <v>#VALUE!</v>
      </c>
      <c r="CK25" s="395" t="e">
        <f t="shared" si="2"/>
        <v>#VALUE!</v>
      </c>
      <c r="CL25"/>
      <c r="CM25" s="75"/>
      <c r="CN25" s="410"/>
      <c r="CO25" s="393">
        <v>14</v>
      </c>
      <c r="CP25" s="394" t="e">
        <f t="shared" si="18"/>
        <v>#VALUE!</v>
      </c>
      <c r="CQ25" s="394" t="e">
        <f t="shared" si="19"/>
        <v>#VALUE!</v>
      </c>
      <c r="CR25" s="395" t="e">
        <f t="shared" si="3"/>
        <v>#VALUE!</v>
      </c>
      <c r="CS25"/>
      <c r="CT25" s="75"/>
      <c r="CU25" s="410"/>
      <c r="CV25" s="393">
        <v>14</v>
      </c>
      <c r="CW25" s="394" t="e">
        <f t="shared" si="20"/>
        <v>#VALUE!</v>
      </c>
      <c r="CX25" s="394" t="e">
        <f t="shared" si="21"/>
        <v>#VALUE!</v>
      </c>
      <c r="CY25" s="395" t="e">
        <f t="shared" si="4"/>
        <v>#VALUE!</v>
      </c>
      <c r="CZ25"/>
      <c r="DA25" s="75"/>
      <c r="DB25" s="410"/>
      <c r="DC25" s="393">
        <v>14</v>
      </c>
      <c r="DD25" s="394" t="e">
        <f t="shared" si="22"/>
        <v>#VALUE!</v>
      </c>
      <c r="DE25" s="394" t="e">
        <f t="shared" si="23"/>
        <v>#VALUE!</v>
      </c>
      <c r="DF25" s="395" t="e">
        <f t="shared" si="5"/>
        <v>#VALUE!</v>
      </c>
      <c r="DG25"/>
      <c r="DH25" s="75"/>
      <c r="DI25" s="410"/>
      <c r="DJ25" s="393">
        <v>14</v>
      </c>
      <c r="DK25" s="394" t="e">
        <f t="shared" si="24"/>
        <v>#VALUE!</v>
      </c>
      <c r="DL25" s="394" t="e">
        <f t="shared" si="25"/>
        <v>#VALUE!</v>
      </c>
      <c r="DM25" s="395" t="e">
        <f t="shared" si="6"/>
        <v>#VALUE!</v>
      </c>
      <c r="DN25"/>
      <c r="DO25" s="75"/>
    </row>
    <row r="26" spans="1:119" ht="15.75" customHeight="1" x14ac:dyDescent="0.25">
      <c r="A26" s="247" t="s">
        <v>570</v>
      </c>
      <c r="B26" s="12"/>
      <c r="C26" s="408"/>
      <c r="D26" s="12"/>
      <c r="E26" s="408"/>
      <c r="F26" s="12"/>
      <c r="G26" s="408"/>
      <c r="H26" s="12"/>
      <c r="I26" s="408"/>
      <c r="J26" s="12"/>
      <c r="K26" s="408"/>
      <c r="L26" s="12"/>
      <c r="M26" s="408"/>
      <c r="N26" s="12"/>
      <c r="O26" s="408"/>
      <c r="P26" s="12"/>
      <c r="Q26" s="408"/>
      <c r="R26" s="12"/>
      <c r="S26" s="408"/>
      <c r="T26" s="12"/>
      <c r="U26" s="408"/>
      <c r="AW26" s="403"/>
      <c r="AX26" s="368">
        <f t="shared" si="7"/>
        <v>14</v>
      </c>
      <c r="AY26" s="393">
        <v>15</v>
      </c>
      <c r="AZ26" s="394" t="e">
        <f t="shared" si="8"/>
        <v>#VALUE!</v>
      </c>
      <c r="BA26" s="394" t="e">
        <f t="shared" si="9"/>
        <v>#VALUE!</v>
      </c>
      <c r="BB26" s="395" t="e">
        <f t="shared" si="0"/>
        <v>#VALUE!</v>
      </c>
      <c r="BC26"/>
      <c r="BD26" s="75"/>
      <c r="BE26" s="403"/>
      <c r="BF26" s="393">
        <v>15</v>
      </c>
      <c r="BG26" s="394" t="e">
        <f t="shared" si="29"/>
        <v>#VALUE!</v>
      </c>
      <c r="BH26" s="400" t="e">
        <f t="shared" si="26"/>
        <v>#VALUE!</v>
      </c>
      <c r="BI26" s="395" t="e">
        <f t="shared" si="30"/>
        <v>#VALUE!</v>
      </c>
      <c r="BJ26"/>
      <c r="BK26" s="75"/>
      <c r="BL26" s="410"/>
      <c r="BM26" s="393">
        <v>15</v>
      </c>
      <c r="BN26" s="394" t="e">
        <f t="shared" si="27"/>
        <v>#VALUE!</v>
      </c>
      <c r="BO26" s="394" t="e">
        <f t="shared" si="28"/>
        <v>#VALUE!</v>
      </c>
      <c r="BP26" s="372" t="e">
        <f t="shared" si="10"/>
        <v>#VALUE!</v>
      </c>
      <c r="BQ26"/>
      <c r="BR26" s="75"/>
      <c r="BS26" s="410"/>
      <c r="BT26" s="393">
        <v>15</v>
      </c>
      <c r="BU26" s="394" t="e">
        <f t="shared" si="11"/>
        <v>#VALUE!</v>
      </c>
      <c r="BV26" s="394" t="e">
        <f t="shared" si="12"/>
        <v>#VALUE!</v>
      </c>
      <c r="BW26" s="395" t="e">
        <f t="shared" si="13"/>
        <v>#VALUE!</v>
      </c>
      <c r="BX26"/>
      <c r="BY26" s="75"/>
      <c r="BZ26" s="410"/>
      <c r="CA26" s="393">
        <v>15</v>
      </c>
      <c r="CB26" s="394" t="e">
        <f t="shared" si="14"/>
        <v>#VALUE!</v>
      </c>
      <c r="CC26" s="394" t="e">
        <f t="shared" si="15"/>
        <v>#VALUE!</v>
      </c>
      <c r="CD26" s="395" t="e">
        <f t="shared" si="1"/>
        <v>#VALUE!</v>
      </c>
      <c r="CE26"/>
      <c r="CF26" s="75"/>
      <c r="CG26" s="410"/>
      <c r="CH26" s="393">
        <v>15</v>
      </c>
      <c r="CI26" s="394" t="e">
        <f t="shared" si="16"/>
        <v>#VALUE!</v>
      </c>
      <c r="CJ26" s="394" t="e">
        <f t="shared" si="17"/>
        <v>#VALUE!</v>
      </c>
      <c r="CK26" s="395" t="e">
        <f t="shared" si="2"/>
        <v>#VALUE!</v>
      </c>
      <c r="CL26"/>
      <c r="CM26" s="75"/>
      <c r="CN26" s="410"/>
      <c r="CO26" s="393">
        <v>15</v>
      </c>
      <c r="CP26" s="394" t="e">
        <f t="shared" si="18"/>
        <v>#VALUE!</v>
      </c>
      <c r="CQ26" s="394" t="e">
        <f t="shared" si="19"/>
        <v>#VALUE!</v>
      </c>
      <c r="CR26" s="395" t="e">
        <f t="shared" si="3"/>
        <v>#VALUE!</v>
      </c>
      <c r="CS26"/>
      <c r="CT26" s="75"/>
      <c r="CU26" s="410"/>
      <c r="CV26" s="393">
        <v>15</v>
      </c>
      <c r="CW26" s="394" t="e">
        <f t="shared" si="20"/>
        <v>#VALUE!</v>
      </c>
      <c r="CX26" s="394" t="e">
        <f t="shared" si="21"/>
        <v>#VALUE!</v>
      </c>
      <c r="CY26" s="395" t="e">
        <f t="shared" si="4"/>
        <v>#VALUE!</v>
      </c>
      <c r="CZ26"/>
      <c r="DA26" s="75"/>
      <c r="DB26" s="410"/>
      <c r="DC26" s="393">
        <v>15</v>
      </c>
      <c r="DD26" s="394" t="e">
        <f t="shared" si="22"/>
        <v>#VALUE!</v>
      </c>
      <c r="DE26" s="394" t="e">
        <f t="shared" si="23"/>
        <v>#VALUE!</v>
      </c>
      <c r="DF26" s="395" t="e">
        <f t="shared" si="5"/>
        <v>#VALUE!</v>
      </c>
      <c r="DG26"/>
      <c r="DH26" s="75"/>
      <c r="DI26" s="410"/>
      <c r="DJ26" s="393">
        <v>15</v>
      </c>
      <c r="DK26" s="394" t="e">
        <f t="shared" si="24"/>
        <v>#VALUE!</v>
      </c>
      <c r="DL26" s="394" t="e">
        <f t="shared" si="25"/>
        <v>#VALUE!</v>
      </c>
      <c r="DM26" s="395" t="e">
        <f t="shared" si="6"/>
        <v>#VALUE!</v>
      </c>
      <c r="DN26"/>
      <c r="DO26" s="75"/>
    </row>
    <row r="27" spans="1:119" ht="15.75" customHeight="1" x14ac:dyDescent="0.35">
      <c r="A27" s="247" t="s">
        <v>10</v>
      </c>
      <c r="B27" s="413" t="str">
        <f>+IFERROR(VLOOKUP(B26,'References Assumptions'!$A$165:$B$168,2,FALSE),"N/A")</f>
        <v>N/A</v>
      </c>
      <c r="C27" s="408"/>
      <c r="D27" s="413" t="str">
        <f>+IFERROR(VLOOKUP(D26,'References Assumptions'!$A$165:$B$168,2,FALSE),"N/A")</f>
        <v>N/A</v>
      </c>
      <c r="E27" s="408"/>
      <c r="F27" s="413" t="str">
        <f>+IFERROR(VLOOKUP(F26,'References Assumptions'!$A$165:$B$168,2,FALSE),"N/A")</f>
        <v>N/A</v>
      </c>
      <c r="G27" s="408"/>
      <c r="H27" s="413" t="str">
        <f>+IFERROR(VLOOKUP(H26,'References Assumptions'!$A$165:$B$168,2,FALSE),"N/A")</f>
        <v>N/A</v>
      </c>
      <c r="I27" s="408"/>
      <c r="J27" s="413" t="str">
        <f>+IFERROR(VLOOKUP(J26,'References Assumptions'!$A$165:$B$168,2,FALSE),"N/A")</f>
        <v>N/A</v>
      </c>
      <c r="K27" s="408"/>
      <c r="L27" s="413" t="str">
        <f>+IFERROR(VLOOKUP(L26,'References Assumptions'!$A$165:$B$168,2,FALSE),"N/A")</f>
        <v>N/A</v>
      </c>
      <c r="M27" s="408"/>
      <c r="N27" s="413" t="str">
        <f>+IFERROR(VLOOKUP(N26,'References Assumptions'!$A$165:$B$168,2,FALSE),"N/A")</f>
        <v>N/A</v>
      </c>
      <c r="O27" s="408"/>
      <c r="P27" s="413" t="str">
        <f>+IFERROR(VLOOKUP(P26,'References Assumptions'!$A$165:$B$168,2,FALSE),"N/A")</f>
        <v>N/A</v>
      </c>
      <c r="Q27" s="408"/>
      <c r="R27" s="413" t="str">
        <f>+IFERROR(VLOOKUP(R26,'References Assumptions'!$A$165:$B$168,2,FALSE),"N/A")</f>
        <v>N/A</v>
      </c>
      <c r="S27" s="408"/>
      <c r="T27" s="413" t="str">
        <f>+IFERROR(VLOOKUP(T26,'References Assumptions'!$A$165:$B$168,2,FALSE),"N/A")</f>
        <v>N/A</v>
      </c>
      <c r="U27" s="408"/>
      <c r="AW27" s="403"/>
      <c r="AX27" s="368">
        <f t="shared" ref="AX27:AX41" si="31">AY27-1</f>
        <v>15</v>
      </c>
      <c r="AY27" s="393">
        <v>16</v>
      </c>
      <c r="AZ27" s="394" t="e">
        <f t="shared" ref="AZ27:AZ41" si="32">AZ26-(AZ26*$AZ$10)</f>
        <v>#VALUE!</v>
      </c>
      <c r="BA27" s="394" t="e">
        <f t="shared" ref="BA27:BA41" si="33">(AZ26*$AZ$10)</f>
        <v>#VALUE!</v>
      </c>
      <c r="BB27" s="395" t="e">
        <f t="shared" ref="BB27:BB41" si="34">+BA27/$AZ$9</f>
        <v>#VALUE!</v>
      </c>
      <c r="BC27"/>
      <c r="BD27" s="75"/>
      <c r="BE27" s="403"/>
      <c r="BF27" s="393">
        <v>16</v>
      </c>
      <c r="BG27" s="394" t="e">
        <f t="shared" ref="BG27:BG41" si="35">BG26-(BG26*$BG$10)</f>
        <v>#VALUE!</v>
      </c>
      <c r="BH27" s="400" t="e">
        <f t="shared" ref="BH27:BH41" si="36">$BG26*$BG$10</f>
        <v>#VALUE!</v>
      </c>
      <c r="BI27" s="395" t="e">
        <f t="shared" ref="BI27:BI41" si="37">+BH27/$BG$9</f>
        <v>#VALUE!</v>
      </c>
      <c r="BJ27"/>
      <c r="BK27" s="75"/>
      <c r="BL27" s="410"/>
      <c r="BM27" s="393">
        <v>16</v>
      </c>
      <c r="BN27" s="394" t="e">
        <f t="shared" ref="BN27:BN41" si="38">BN26-(BN26*$BN$10)</f>
        <v>#VALUE!</v>
      </c>
      <c r="BO27" s="394" t="e">
        <f t="shared" ref="BO27:BO41" si="39">BN26*$BN$10</f>
        <v>#VALUE!</v>
      </c>
      <c r="BP27" s="372" t="e">
        <f t="shared" si="10"/>
        <v>#VALUE!</v>
      </c>
      <c r="BQ27"/>
      <c r="BR27" s="75"/>
      <c r="BS27" s="410"/>
      <c r="BT27" s="393">
        <v>16</v>
      </c>
      <c r="BU27" s="394" t="e">
        <f t="shared" ref="BU27:BU41" si="40">BU26-(BU26*$BU$10)</f>
        <v>#VALUE!</v>
      </c>
      <c r="BV27" s="394" t="e">
        <f t="shared" ref="BV27:BV41" si="41">(BU26*$BU$10)</f>
        <v>#VALUE!</v>
      </c>
      <c r="BW27" s="395" t="e">
        <f t="shared" ref="BW27:BW41" si="42">+BV27/$BU$9</f>
        <v>#VALUE!</v>
      </c>
      <c r="BX27"/>
      <c r="BY27" s="75"/>
      <c r="BZ27" s="410"/>
      <c r="CA27" s="393">
        <v>16</v>
      </c>
      <c r="CB27" s="394" t="e">
        <f t="shared" ref="CB27:CB41" si="43">CB26-(CB26*$CB$10)</f>
        <v>#VALUE!</v>
      </c>
      <c r="CC27" s="394" t="e">
        <f t="shared" ref="CC27:CC41" si="44">(CB26*$CB$10)</f>
        <v>#VALUE!</v>
      </c>
      <c r="CD27" s="395" t="e">
        <f t="shared" ref="CD27:CD41" si="45">+CC27/$CB$9</f>
        <v>#VALUE!</v>
      </c>
      <c r="CE27"/>
      <c r="CF27" s="75"/>
      <c r="CG27" s="410"/>
      <c r="CH27" s="393">
        <v>16</v>
      </c>
      <c r="CI27" s="394" t="e">
        <f t="shared" ref="CI27:CI41" si="46">CI26-(CI26*$CI$10)</f>
        <v>#VALUE!</v>
      </c>
      <c r="CJ27" s="394" t="e">
        <f t="shared" ref="CJ27:CJ41" si="47">(CI26*$CI$10)</f>
        <v>#VALUE!</v>
      </c>
      <c r="CK27" s="395" t="e">
        <f t="shared" ref="CK27:CK41" si="48">+CJ27/$CI$9</f>
        <v>#VALUE!</v>
      </c>
      <c r="CL27"/>
      <c r="CM27" s="75"/>
      <c r="CN27" s="410"/>
      <c r="CO27" s="393">
        <v>16</v>
      </c>
      <c r="CP27" s="394" t="e">
        <f t="shared" ref="CP27:CP41" si="49">CP26-(CP26*$CP$10)</f>
        <v>#VALUE!</v>
      </c>
      <c r="CQ27" s="394" t="e">
        <f t="shared" ref="CQ27:CQ41" si="50">(CP26*$CP$10)</f>
        <v>#VALUE!</v>
      </c>
      <c r="CR27" s="395" t="e">
        <f t="shared" ref="CR27:CR41" si="51">+CQ27/$CP$9</f>
        <v>#VALUE!</v>
      </c>
      <c r="CS27"/>
      <c r="CT27" s="75"/>
      <c r="CU27" s="410"/>
      <c r="CV27" s="393">
        <v>16</v>
      </c>
      <c r="CW27" s="394" t="e">
        <f t="shared" ref="CW27:CW41" si="52">CW26-(CW26*$CW$10)</f>
        <v>#VALUE!</v>
      </c>
      <c r="CX27" s="394" t="e">
        <f t="shared" ref="CX27:CX41" si="53">(CW26*$CW$10)</f>
        <v>#VALUE!</v>
      </c>
      <c r="CY27" s="395" t="e">
        <f t="shared" ref="CY27:CY41" si="54">+CX27/$CW$9</f>
        <v>#VALUE!</v>
      </c>
      <c r="CZ27"/>
      <c r="DA27" s="75"/>
      <c r="DB27" s="410"/>
      <c r="DC27" s="393">
        <v>16</v>
      </c>
      <c r="DD27" s="394" t="e">
        <f t="shared" ref="DD27:DD41" si="55">DD26-(DD26*$DD$10)</f>
        <v>#VALUE!</v>
      </c>
      <c r="DE27" s="394" t="e">
        <f t="shared" ref="DE27:DE41" si="56">(DD26*$DD$10)</f>
        <v>#VALUE!</v>
      </c>
      <c r="DF27" s="395" t="e">
        <f t="shared" ref="DF27:DF41" si="57">+DE27/$DD$9</f>
        <v>#VALUE!</v>
      </c>
      <c r="DG27"/>
      <c r="DH27" s="75"/>
      <c r="DI27" s="410"/>
      <c r="DJ27" s="393">
        <v>16</v>
      </c>
      <c r="DK27" s="394" t="e">
        <f t="shared" ref="DK27:DK41" si="58">DK26-(DK26*$DK$10)</f>
        <v>#VALUE!</v>
      </c>
      <c r="DL27" s="394" t="e">
        <f t="shared" ref="DL27:DL41" si="59">(DK26*$DK$10)</f>
        <v>#VALUE!</v>
      </c>
      <c r="DM27" s="395" t="e">
        <f t="shared" ref="DM27:DM41" si="60">+DL27/$DK$9</f>
        <v>#VALUE!</v>
      </c>
      <c r="DN27"/>
      <c r="DO27" s="75"/>
    </row>
    <row r="28" spans="1:119" ht="15.75" customHeight="1" x14ac:dyDescent="0.25">
      <c r="A28" s="247" t="s">
        <v>929</v>
      </c>
      <c r="B28" s="12"/>
      <c r="C28" s="408"/>
      <c r="D28" s="12"/>
      <c r="E28" s="408"/>
      <c r="F28" s="12"/>
      <c r="G28" s="408"/>
      <c r="H28" s="12"/>
      <c r="I28" s="408"/>
      <c r="J28" s="12"/>
      <c r="K28" s="408"/>
      <c r="L28" s="12"/>
      <c r="M28" s="408"/>
      <c r="N28" s="12"/>
      <c r="O28" s="408"/>
      <c r="P28" s="12"/>
      <c r="Q28" s="408"/>
      <c r="R28" s="12"/>
      <c r="S28" s="408"/>
      <c r="T28" s="12"/>
      <c r="U28" s="408"/>
      <c r="AW28" s="403"/>
      <c r="AX28" s="368">
        <f t="shared" si="31"/>
        <v>16</v>
      </c>
      <c r="AY28" s="393">
        <v>17</v>
      </c>
      <c r="AZ28" s="394" t="e">
        <f t="shared" si="32"/>
        <v>#VALUE!</v>
      </c>
      <c r="BA28" s="394" t="e">
        <f t="shared" si="33"/>
        <v>#VALUE!</v>
      </c>
      <c r="BB28" s="395" t="e">
        <f t="shared" si="34"/>
        <v>#VALUE!</v>
      </c>
      <c r="BC28"/>
      <c r="BD28" s="75"/>
      <c r="BE28" s="96"/>
      <c r="BF28" s="393">
        <v>17</v>
      </c>
      <c r="BG28" s="394" t="e">
        <f t="shared" si="35"/>
        <v>#VALUE!</v>
      </c>
      <c r="BH28" s="400" t="e">
        <f t="shared" si="36"/>
        <v>#VALUE!</v>
      </c>
      <c r="BI28" s="395" t="e">
        <f t="shared" si="37"/>
        <v>#VALUE!</v>
      </c>
      <c r="BJ28"/>
      <c r="BK28" s="75"/>
      <c r="BL28" s="368"/>
      <c r="BM28" s="393">
        <v>17</v>
      </c>
      <c r="BN28" s="394" t="e">
        <f t="shared" si="38"/>
        <v>#VALUE!</v>
      </c>
      <c r="BO28" s="394" t="e">
        <f t="shared" si="39"/>
        <v>#VALUE!</v>
      </c>
      <c r="BP28" s="372" t="e">
        <f t="shared" si="10"/>
        <v>#VALUE!</v>
      </c>
      <c r="BQ28"/>
      <c r="BR28" s="75"/>
      <c r="BS28" s="368"/>
      <c r="BT28" s="393">
        <v>17</v>
      </c>
      <c r="BU28" s="394" t="e">
        <f t="shared" si="40"/>
        <v>#VALUE!</v>
      </c>
      <c r="BV28" s="394" t="e">
        <f t="shared" si="41"/>
        <v>#VALUE!</v>
      </c>
      <c r="BW28" s="395" t="e">
        <f t="shared" si="42"/>
        <v>#VALUE!</v>
      </c>
      <c r="BX28"/>
      <c r="BY28" s="75"/>
      <c r="BZ28" s="368"/>
      <c r="CA28" s="393">
        <v>17</v>
      </c>
      <c r="CB28" s="394" t="e">
        <f t="shared" si="43"/>
        <v>#VALUE!</v>
      </c>
      <c r="CC28" s="394" t="e">
        <f t="shared" si="44"/>
        <v>#VALUE!</v>
      </c>
      <c r="CD28" s="395" t="e">
        <f t="shared" si="45"/>
        <v>#VALUE!</v>
      </c>
      <c r="CE28"/>
      <c r="CF28" s="75"/>
      <c r="CG28" s="368"/>
      <c r="CH28" s="393">
        <v>17</v>
      </c>
      <c r="CI28" s="394" t="e">
        <f t="shared" si="46"/>
        <v>#VALUE!</v>
      </c>
      <c r="CJ28" s="394" t="e">
        <f t="shared" si="47"/>
        <v>#VALUE!</v>
      </c>
      <c r="CK28" s="395" t="e">
        <f t="shared" si="48"/>
        <v>#VALUE!</v>
      </c>
      <c r="CL28"/>
      <c r="CM28" s="75"/>
      <c r="CN28" s="368"/>
      <c r="CO28" s="393">
        <v>17</v>
      </c>
      <c r="CP28" s="394" t="e">
        <f t="shared" si="49"/>
        <v>#VALUE!</v>
      </c>
      <c r="CQ28" s="394" t="e">
        <f t="shared" si="50"/>
        <v>#VALUE!</v>
      </c>
      <c r="CR28" s="395" t="e">
        <f t="shared" si="51"/>
        <v>#VALUE!</v>
      </c>
      <c r="CS28"/>
      <c r="CT28" s="75"/>
      <c r="CU28" s="368"/>
      <c r="CV28" s="393">
        <v>17</v>
      </c>
      <c r="CW28" s="394" t="e">
        <f t="shared" si="52"/>
        <v>#VALUE!</v>
      </c>
      <c r="CX28" s="394" t="e">
        <f t="shared" si="53"/>
        <v>#VALUE!</v>
      </c>
      <c r="CY28" s="395" t="e">
        <f t="shared" si="54"/>
        <v>#VALUE!</v>
      </c>
      <c r="CZ28"/>
      <c r="DA28" s="75"/>
      <c r="DB28" s="368"/>
      <c r="DC28" s="393">
        <v>17</v>
      </c>
      <c r="DD28" s="394" t="e">
        <f t="shared" si="55"/>
        <v>#VALUE!</v>
      </c>
      <c r="DE28" s="394" t="e">
        <f t="shared" si="56"/>
        <v>#VALUE!</v>
      </c>
      <c r="DF28" s="395" t="e">
        <f t="shared" si="57"/>
        <v>#VALUE!</v>
      </c>
      <c r="DG28"/>
      <c r="DH28" s="75"/>
      <c r="DI28" s="368"/>
      <c r="DJ28" s="393">
        <v>17</v>
      </c>
      <c r="DK28" s="394" t="e">
        <f t="shared" si="58"/>
        <v>#VALUE!</v>
      </c>
      <c r="DL28" s="394" t="e">
        <f t="shared" si="59"/>
        <v>#VALUE!</v>
      </c>
      <c r="DM28" s="395" t="e">
        <f t="shared" si="60"/>
        <v>#VALUE!</v>
      </c>
      <c r="DN28"/>
      <c r="DO28" s="75"/>
    </row>
    <row r="29" spans="1:119" ht="15.75" customHeight="1" x14ac:dyDescent="0.25">
      <c r="A29" s="1103" t="s">
        <v>912</v>
      </c>
      <c r="B29" s="1104" t="str">
        <f>+IFERROR(VLOOKUP(B28,'References Assumptions'!$A$171:$B$175,2,FALSE),"N/A")</f>
        <v>N/A</v>
      </c>
      <c r="C29" s="1087"/>
      <c r="D29" s="1104" t="str">
        <f>+IFERROR(VLOOKUP(D28,'References Assumptions'!$A$171:$B$175,2,FALSE),"N/A")</f>
        <v>N/A</v>
      </c>
      <c r="E29" s="1087"/>
      <c r="F29" s="1104" t="str">
        <f>+IFERROR(VLOOKUP(F28,'References Assumptions'!$A$171:$B$175,2,FALSE),"N/A")</f>
        <v>N/A</v>
      </c>
      <c r="G29" s="1087"/>
      <c r="H29" s="1104" t="str">
        <f>+IFERROR(VLOOKUP(H28,'References Assumptions'!$A$171:$B$175,2,FALSE),"N/A")</f>
        <v>N/A</v>
      </c>
      <c r="I29" s="1087"/>
      <c r="J29" s="1104" t="str">
        <f>+IFERROR(VLOOKUP(J28,'References Assumptions'!$A$171:$B$175,2,FALSE),"N/A")</f>
        <v>N/A</v>
      </c>
      <c r="K29" s="1087"/>
      <c r="L29" s="1104" t="str">
        <f>+IFERROR(VLOOKUP(L28,'References Assumptions'!$A$171:$B$175,2,FALSE),"N/A")</f>
        <v>N/A</v>
      </c>
      <c r="M29" s="1087"/>
      <c r="N29" s="1104" t="str">
        <f>+IFERROR(VLOOKUP(N28,'References Assumptions'!$A$171:$B$175,2,FALSE),"N/A")</f>
        <v>N/A</v>
      </c>
      <c r="O29" s="1087"/>
      <c r="P29" s="1104" t="str">
        <f>+IFERROR(VLOOKUP(P28,'References Assumptions'!$A$171:$B$175,2,FALSE),"N/A")</f>
        <v>N/A</v>
      </c>
      <c r="Q29" s="1087"/>
      <c r="R29" s="1104" t="str">
        <f>+IFERROR(VLOOKUP(R28,'References Assumptions'!$A$171:$B$175,2,FALSE),"N/A")</f>
        <v>N/A</v>
      </c>
      <c r="S29" s="1087"/>
      <c r="T29" s="1104" t="str">
        <f>+IFERROR(VLOOKUP(T28,'References Assumptions'!$A$171:$B$175,2,FALSE),"N/A")</f>
        <v>N/A</v>
      </c>
      <c r="U29" s="1087"/>
      <c r="AW29" s="96"/>
      <c r="AX29" s="368">
        <f t="shared" si="31"/>
        <v>17</v>
      </c>
      <c r="AY29" s="393">
        <v>18</v>
      </c>
      <c r="AZ29" s="394" t="e">
        <f t="shared" si="32"/>
        <v>#VALUE!</v>
      </c>
      <c r="BA29" s="394" t="e">
        <f t="shared" si="33"/>
        <v>#VALUE!</v>
      </c>
      <c r="BB29" s="395" t="e">
        <f t="shared" si="34"/>
        <v>#VALUE!</v>
      </c>
      <c r="BC29"/>
      <c r="BD29" s="367"/>
      <c r="BE29" s="96"/>
      <c r="BF29" s="393">
        <v>18</v>
      </c>
      <c r="BG29" s="394" t="e">
        <f t="shared" si="35"/>
        <v>#VALUE!</v>
      </c>
      <c r="BH29" s="400" t="e">
        <f t="shared" si="36"/>
        <v>#VALUE!</v>
      </c>
      <c r="BI29" s="395" t="e">
        <f t="shared" si="37"/>
        <v>#VALUE!</v>
      </c>
      <c r="BJ29"/>
      <c r="BK29" s="367"/>
      <c r="BL29" s="368"/>
      <c r="BM29" s="393">
        <v>18</v>
      </c>
      <c r="BN29" s="394" t="e">
        <f t="shared" si="38"/>
        <v>#VALUE!</v>
      </c>
      <c r="BO29" s="394" t="e">
        <f t="shared" si="39"/>
        <v>#VALUE!</v>
      </c>
      <c r="BP29" s="372" t="e">
        <f t="shared" si="10"/>
        <v>#VALUE!</v>
      </c>
      <c r="BQ29"/>
      <c r="BR29" s="367"/>
      <c r="BS29" s="368"/>
      <c r="BT29" s="393">
        <v>18</v>
      </c>
      <c r="BU29" s="394" t="e">
        <f t="shared" si="40"/>
        <v>#VALUE!</v>
      </c>
      <c r="BV29" s="394" t="e">
        <f t="shared" si="41"/>
        <v>#VALUE!</v>
      </c>
      <c r="BW29" s="395" t="e">
        <f t="shared" si="42"/>
        <v>#VALUE!</v>
      </c>
      <c r="BX29"/>
      <c r="BY29" s="367"/>
      <c r="BZ29" s="368"/>
      <c r="CA29" s="393">
        <v>18</v>
      </c>
      <c r="CB29" s="394" t="e">
        <f t="shared" si="43"/>
        <v>#VALUE!</v>
      </c>
      <c r="CC29" s="394" t="e">
        <f t="shared" si="44"/>
        <v>#VALUE!</v>
      </c>
      <c r="CD29" s="395" t="e">
        <f t="shared" si="45"/>
        <v>#VALUE!</v>
      </c>
      <c r="CE29"/>
      <c r="CF29" s="367"/>
      <c r="CG29" s="368"/>
      <c r="CH29" s="393">
        <v>18</v>
      </c>
      <c r="CI29" s="394" t="e">
        <f t="shared" si="46"/>
        <v>#VALUE!</v>
      </c>
      <c r="CJ29" s="394" t="e">
        <f t="shared" si="47"/>
        <v>#VALUE!</v>
      </c>
      <c r="CK29" s="395" t="e">
        <f t="shared" si="48"/>
        <v>#VALUE!</v>
      </c>
      <c r="CL29"/>
      <c r="CM29" s="367"/>
      <c r="CN29" s="368"/>
      <c r="CO29" s="393">
        <v>18</v>
      </c>
      <c r="CP29" s="394" t="e">
        <f t="shared" si="49"/>
        <v>#VALUE!</v>
      </c>
      <c r="CQ29" s="394" t="e">
        <f t="shared" si="50"/>
        <v>#VALUE!</v>
      </c>
      <c r="CR29" s="395" t="e">
        <f t="shared" si="51"/>
        <v>#VALUE!</v>
      </c>
      <c r="CS29"/>
      <c r="CT29" s="367"/>
      <c r="CU29" s="368"/>
      <c r="CV29" s="393">
        <v>18</v>
      </c>
      <c r="CW29" s="394" t="e">
        <f t="shared" si="52"/>
        <v>#VALUE!</v>
      </c>
      <c r="CX29" s="394" t="e">
        <f t="shared" si="53"/>
        <v>#VALUE!</v>
      </c>
      <c r="CY29" s="395" t="e">
        <f t="shared" si="54"/>
        <v>#VALUE!</v>
      </c>
      <c r="CZ29"/>
      <c r="DA29" s="367"/>
      <c r="DB29" s="368"/>
      <c r="DC29" s="393">
        <v>18</v>
      </c>
      <c r="DD29" s="394" t="e">
        <f t="shared" si="55"/>
        <v>#VALUE!</v>
      </c>
      <c r="DE29" s="394" t="e">
        <f t="shared" si="56"/>
        <v>#VALUE!</v>
      </c>
      <c r="DF29" s="395" t="e">
        <f t="shared" si="57"/>
        <v>#VALUE!</v>
      </c>
      <c r="DG29"/>
      <c r="DH29" s="367"/>
      <c r="DI29" s="368"/>
      <c r="DJ29" s="393">
        <v>18</v>
      </c>
      <c r="DK29" s="394" t="e">
        <f t="shared" si="58"/>
        <v>#VALUE!</v>
      </c>
      <c r="DL29" s="394" t="e">
        <f t="shared" si="59"/>
        <v>#VALUE!</v>
      </c>
      <c r="DM29" s="395" t="e">
        <f t="shared" si="60"/>
        <v>#VALUE!</v>
      </c>
      <c r="DN29"/>
      <c r="DO29" s="367"/>
    </row>
    <row r="30" spans="1:119" ht="15.75" customHeight="1" thickBot="1" x14ac:dyDescent="0.3">
      <c r="A30" s="273"/>
      <c r="B30" s="229"/>
      <c r="C30" s="350"/>
      <c r="D30" s="421"/>
      <c r="E30" s="350"/>
      <c r="F30" s="421"/>
      <c r="G30" s="350"/>
      <c r="H30" s="421"/>
      <c r="I30" s="350"/>
      <c r="J30" s="421"/>
      <c r="K30" s="350"/>
      <c r="L30" s="421"/>
      <c r="M30" s="350"/>
      <c r="N30" s="421"/>
      <c r="O30" s="350"/>
      <c r="P30" s="421"/>
      <c r="Q30" s="350"/>
      <c r="R30" s="421"/>
      <c r="S30" s="350"/>
      <c r="T30" s="421"/>
      <c r="U30" s="350"/>
      <c r="AW30" s="96"/>
      <c r="AX30" s="368">
        <f t="shared" si="31"/>
        <v>18</v>
      </c>
      <c r="AY30" s="393">
        <v>19</v>
      </c>
      <c r="AZ30" s="394" t="e">
        <f t="shared" si="32"/>
        <v>#VALUE!</v>
      </c>
      <c r="BA30" s="394" t="e">
        <f t="shared" si="33"/>
        <v>#VALUE!</v>
      </c>
      <c r="BB30" s="395" t="e">
        <f t="shared" si="34"/>
        <v>#VALUE!</v>
      </c>
      <c r="BC30"/>
      <c r="BD30" s="367"/>
      <c r="BE30" s="96"/>
      <c r="BF30" s="393">
        <v>19</v>
      </c>
      <c r="BG30" s="394" t="e">
        <f t="shared" si="35"/>
        <v>#VALUE!</v>
      </c>
      <c r="BH30" s="400" t="e">
        <f t="shared" si="36"/>
        <v>#VALUE!</v>
      </c>
      <c r="BI30" s="395" t="e">
        <f t="shared" si="37"/>
        <v>#VALUE!</v>
      </c>
      <c r="BJ30"/>
      <c r="BK30" s="367"/>
      <c r="BL30" s="368"/>
      <c r="BM30" s="393">
        <v>19</v>
      </c>
      <c r="BN30" s="394" t="e">
        <f t="shared" si="38"/>
        <v>#VALUE!</v>
      </c>
      <c r="BO30" s="394" t="e">
        <f t="shared" si="39"/>
        <v>#VALUE!</v>
      </c>
      <c r="BP30" s="372" t="e">
        <f t="shared" si="10"/>
        <v>#VALUE!</v>
      </c>
      <c r="BQ30"/>
      <c r="BR30" s="367"/>
      <c r="BS30" s="368"/>
      <c r="BT30" s="393">
        <v>19</v>
      </c>
      <c r="BU30" s="394" t="e">
        <f t="shared" si="40"/>
        <v>#VALUE!</v>
      </c>
      <c r="BV30" s="394" t="e">
        <f t="shared" si="41"/>
        <v>#VALUE!</v>
      </c>
      <c r="BW30" s="395" t="e">
        <f t="shared" si="42"/>
        <v>#VALUE!</v>
      </c>
      <c r="BX30"/>
      <c r="BY30" s="367"/>
      <c r="BZ30" s="368"/>
      <c r="CA30" s="393">
        <v>19</v>
      </c>
      <c r="CB30" s="394" t="e">
        <f t="shared" si="43"/>
        <v>#VALUE!</v>
      </c>
      <c r="CC30" s="394" t="e">
        <f t="shared" si="44"/>
        <v>#VALUE!</v>
      </c>
      <c r="CD30" s="395" t="e">
        <f t="shared" si="45"/>
        <v>#VALUE!</v>
      </c>
      <c r="CE30"/>
      <c r="CF30" s="367"/>
      <c r="CG30" s="368"/>
      <c r="CH30" s="393">
        <v>19</v>
      </c>
      <c r="CI30" s="394" t="e">
        <f t="shared" si="46"/>
        <v>#VALUE!</v>
      </c>
      <c r="CJ30" s="394" t="e">
        <f t="shared" si="47"/>
        <v>#VALUE!</v>
      </c>
      <c r="CK30" s="395" t="e">
        <f t="shared" si="48"/>
        <v>#VALUE!</v>
      </c>
      <c r="CL30"/>
      <c r="CM30" s="367"/>
      <c r="CN30" s="368"/>
      <c r="CO30" s="393">
        <v>19</v>
      </c>
      <c r="CP30" s="394" t="e">
        <f t="shared" si="49"/>
        <v>#VALUE!</v>
      </c>
      <c r="CQ30" s="394" t="e">
        <f t="shared" si="50"/>
        <v>#VALUE!</v>
      </c>
      <c r="CR30" s="395" t="e">
        <f t="shared" si="51"/>
        <v>#VALUE!</v>
      </c>
      <c r="CS30"/>
      <c r="CT30" s="367"/>
      <c r="CU30" s="368"/>
      <c r="CV30" s="393">
        <v>19</v>
      </c>
      <c r="CW30" s="394" t="e">
        <f t="shared" si="52"/>
        <v>#VALUE!</v>
      </c>
      <c r="CX30" s="394" t="e">
        <f t="shared" si="53"/>
        <v>#VALUE!</v>
      </c>
      <c r="CY30" s="395" t="e">
        <f t="shared" si="54"/>
        <v>#VALUE!</v>
      </c>
      <c r="CZ30"/>
      <c r="DA30" s="367"/>
      <c r="DB30" s="368"/>
      <c r="DC30" s="393">
        <v>19</v>
      </c>
      <c r="DD30" s="394" t="e">
        <f t="shared" si="55"/>
        <v>#VALUE!</v>
      </c>
      <c r="DE30" s="394" t="e">
        <f t="shared" si="56"/>
        <v>#VALUE!</v>
      </c>
      <c r="DF30" s="395" t="e">
        <f t="shared" si="57"/>
        <v>#VALUE!</v>
      </c>
      <c r="DG30"/>
      <c r="DH30" s="367"/>
      <c r="DI30" s="368"/>
      <c r="DJ30" s="393">
        <v>19</v>
      </c>
      <c r="DK30" s="394" t="e">
        <f t="shared" si="58"/>
        <v>#VALUE!</v>
      </c>
      <c r="DL30" s="394" t="e">
        <f t="shared" si="59"/>
        <v>#VALUE!</v>
      </c>
      <c r="DM30" s="395" t="e">
        <f t="shared" si="60"/>
        <v>#VALUE!</v>
      </c>
      <c r="DN30"/>
      <c r="DO30" s="367"/>
    </row>
    <row r="31" spans="1:119" ht="15.75" customHeight="1" thickBot="1" x14ac:dyDescent="0.3">
      <c r="A31" s="1300" t="s">
        <v>282</v>
      </c>
      <c r="B31" s="1301"/>
      <c r="C31" s="1301"/>
      <c r="D31" s="1301"/>
      <c r="E31" s="1301"/>
      <c r="F31" s="1301"/>
      <c r="G31" s="1301"/>
      <c r="H31" s="1301"/>
      <c r="I31" s="1301"/>
      <c r="J31" s="1301"/>
      <c r="K31" s="1301"/>
      <c r="L31" s="1301"/>
      <c r="M31" s="1301"/>
      <c r="N31" s="1301"/>
      <c r="O31" s="1301"/>
      <c r="P31" s="1301"/>
      <c r="Q31" s="1301"/>
      <c r="R31" s="1301"/>
      <c r="S31" s="1301"/>
      <c r="T31" s="1301"/>
      <c r="U31" s="1302"/>
      <c r="AW31" s="96"/>
      <c r="AX31" s="368">
        <f t="shared" si="31"/>
        <v>19</v>
      </c>
      <c r="AY31" s="393">
        <v>20</v>
      </c>
      <c r="AZ31" s="394" t="e">
        <f t="shared" si="32"/>
        <v>#VALUE!</v>
      </c>
      <c r="BA31" s="394" t="e">
        <f t="shared" si="33"/>
        <v>#VALUE!</v>
      </c>
      <c r="BB31" s="395" t="e">
        <f t="shared" si="34"/>
        <v>#VALUE!</v>
      </c>
      <c r="BC31"/>
      <c r="BD31" s="367"/>
      <c r="BE31" s="96"/>
      <c r="BF31" s="393">
        <v>20</v>
      </c>
      <c r="BG31" s="394" t="e">
        <f t="shared" si="35"/>
        <v>#VALUE!</v>
      </c>
      <c r="BH31" s="400" t="e">
        <f t="shared" si="36"/>
        <v>#VALUE!</v>
      </c>
      <c r="BI31" s="395" t="e">
        <f t="shared" si="37"/>
        <v>#VALUE!</v>
      </c>
      <c r="BJ31"/>
      <c r="BK31" s="367"/>
      <c r="BL31" s="368"/>
      <c r="BM31" s="393">
        <v>20</v>
      </c>
      <c r="BN31" s="394" t="e">
        <f t="shared" si="38"/>
        <v>#VALUE!</v>
      </c>
      <c r="BO31" s="394" t="e">
        <f t="shared" si="39"/>
        <v>#VALUE!</v>
      </c>
      <c r="BP31" s="372" t="e">
        <f t="shared" si="10"/>
        <v>#VALUE!</v>
      </c>
      <c r="BQ31"/>
      <c r="BR31" s="367"/>
      <c r="BS31" s="368"/>
      <c r="BT31" s="393">
        <v>20</v>
      </c>
      <c r="BU31" s="394" t="e">
        <f t="shared" si="40"/>
        <v>#VALUE!</v>
      </c>
      <c r="BV31" s="394" t="e">
        <f t="shared" si="41"/>
        <v>#VALUE!</v>
      </c>
      <c r="BW31" s="395" t="e">
        <f t="shared" si="42"/>
        <v>#VALUE!</v>
      </c>
      <c r="BX31"/>
      <c r="BY31" s="367"/>
      <c r="BZ31" s="368"/>
      <c r="CA31" s="393">
        <v>20</v>
      </c>
      <c r="CB31" s="394" t="e">
        <f t="shared" si="43"/>
        <v>#VALUE!</v>
      </c>
      <c r="CC31" s="394" t="e">
        <f t="shared" si="44"/>
        <v>#VALUE!</v>
      </c>
      <c r="CD31" s="395" t="e">
        <f t="shared" si="45"/>
        <v>#VALUE!</v>
      </c>
      <c r="CE31"/>
      <c r="CF31" s="367"/>
      <c r="CG31" s="368"/>
      <c r="CH31" s="393">
        <v>20</v>
      </c>
      <c r="CI31" s="394" t="e">
        <f t="shared" si="46"/>
        <v>#VALUE!</v>
      </c>
      <c r="CJ31" s="394" t="e">
        <f t="shared" si="47"/>
        <v>#VALUE!</v>
      </c>
      <c r="CK31" s="395" t="e">
        <f t="shared" si="48"/>
        <v>#VALUE!</v>
      </c>
      <c r="CL31"/>
      <c r="CM31" s="367"/>
      <c r="CN31" s="368"/>
      <c r="CO31" s="393">
        <v>20</v>
      </c>
      <c r="CP31" s="394" t="e">
        <f t="shared" si="49"/>
        <v>#VALUE!</v>
      </c>
      <c r="CQ31" s="394" t="e">
        <f t="shared" si="50"/>
        <v>#VALUE!</v>
      </c>
      <c r="CR31" s="395" t="e">
        <f t="shared" si="51"/>
        <v>#VALUE!</v>
      </c>
      <c r="CS31"/>
      <c r="CT31" s="367"/>
      <c r="CU31" s="368"/>
      <c r="CV31" s="393">
        <v>20</v>
      </c>
      <c r="CW31" s="394" t="e">
        <f t="shared" si="52"/>
        <v>#VALUE!</v>
      </c>
      <c r="CX31" s="394" t="e">
        <f t="shared" si="53"/>
        <v>#VALUE!</v>
      </c>
      <c r="CY31" s="395" t="e">
        <f t="shared" si="54"/>
        <v>#VALUE!</v>
      </c>
      <c r="CZ31"/>
      <c r="DA31" s="367"/>
      <c r="DB31" s="368"/>
      <c r="DC31" s="393">
        <v>20</v>
      </c>
      <c r="DD31" s="394" t="e">
        <f t="shared" si="55"/>
        <v>#VALUE!</v>
      </c>
      <c r="DE31" s="394" t="e">
        <f t="shared" si="56"/>
        <v>#VALUE!</v>
      </c>
      <c r="DF31" s="395" t="e">
        <f t="shared" si="57"/>
        <v>#VALUE!</v>
      </c>
      <c r="DG31"/>
      <c r="DH31" s="367"/>
      <c r="DI31" s="368"/>
      <c r="DJ31" s="393">
        <v>20</v>
      </c>
      <c r="DK31" s="394" t="e">
        <f t="shared" si="58"/>
        <v>#VALUE!</v>
      </c>
      <c r="DL31" s="394" t="e">
        <f t="shared" si="59"/>
        <v>#VALUE!</v>
      </c>
      <c r="DM31" s="395" t="e">
        <f t="shared" si="60"/>
        <v>#VALUE!</v>
      </c>
      <c r="DN31"/>
      <c r="DO31" s="367"/>
    </row>
    <row r="32" spans="1:119" ht="15.75" customHeight="1" x14ac:dyDescent="0.35">
      <c r="A32" s="270" t="s">
        <v>527</v>
      </c>
      <c r="B32" s="449" t="str">
        <f>+IFERROR(B$20*landfill_uncertainty*C_to_CH4_conversion*CH4_in_landfill_gas*B$27*$AU$11*$BB$12*'Landfill Disposal CA Regulatory'!B$21,"N/A")</f>
        <v>N/A</v>
      </c>
      <c r="C32" s="414"/>
      <c r="D32" s="449" t="str">
        <f>+IFERROR(D$20*landfill_uncertainty*C_to_CH4_conversion*CH4_in_landfill_gas*D$27*$AU$11*$BI$12*'Landfill Disposal CA Regulatory'!D$21,"N/A")</f>
        <v>N/A</v>
      </c>
      <c r="E32" s="414"/>
      <c r="F32" s="449" t="str">
        <f>+IFERROR(F$20*landfill_uncertainty*C_to_CH4_conversion*CH4_in_landfill_gas*F$27*$AU$11*$BP$12*'Landfill Disposal CA Regulatory'!F$21,"N/A")</f>
        <v>N/A</v>
      </c>
      <c r="G32" s="414"/>
      <c r="H32" s="449" t="str">
        <f>+IFERROR(H$20*landfill_uncertainty*C_to_CH4_conversion*CH4_in_landfill_gas*H$27*$AU$11*$BW$12*'Landfill Disposal CA Regulatory'!H$21,"N/A")</f>
        <v>N/A</v>
      </c>
      <c r="I32" s="414"/>
      <c r="J32" s="449" t="str">
        <f>+IFERROR(J$20*landfill_uncertainty*C_to_CH4_conversion*CH4_in_landfill_gas*J$27*$AU$11*$CD$12*'Landfill Disposal CA Regulatory'!J$21,"N/A")</f>
        <v>N/A</v>
      </c>
      <c r="K32" s="414"/>
      <c r="L32" s="449" t="str">
        <f>+IFERROR(L$20*landfill_uncertainty*C_to_CH4_conversion*CH4_in_landfill_gas*L$27*$AU$11*$CK$12*'Landfill Disposal CA Regulatory'!L$21,"N/A")</f>
        <v>N/A</v>
      </c>
      <c r="M32" s="414"/>
      <c r="N32" s="449" t="str">
        <f>+IFERROR(N$20*landfill_uncertainty*C_to_CH4_conversion*CH4_in_landfill_gas*N$27*$AU$11*$CR$12*'Landfill Disposal CA Regulatory'!N$21,"N/A")</f>
        <v>N/A</v>
      </c>
      <c r="O32" s="414"/>
      <c r="P32" s="449" t="str">
        <f>+IFERROR(P$20*landfill_uncertainty*C_to_CH4_conversion*CH4_in_landfill_gas*P$27*$AU$11*$CY$12*'Landfill Disposal CA Regulatory'!P$21,"N/A")</f>
        <v>N/A</v>
      </c>
      <c r="Q32" s="414"/>
      <c r="R32" s="449" t="str">
        <f>+IFERROR(R$20*landfill_uncertainty*C_to_CH4_conversion*CH4_in_landfill_gas*R$27*$AU$11*$DF$12*'Landfill Disposal CA Regulatory'!R$21,"N/A")</f>
        <v>N/A</v>
      </c>
      <c r="S32" s="414"/>
      <c r="T32" s="449" t="str">
        <f>+IFERROR(T$20*landfill_uncertainty*C_to_CH4_conversion*CH4_in_landfill_gas*T$27*$AU$11*$DM$12*'Landfill Disposal CA Regulatory'!T$21,"N/A")</f>
        <v>N/A</v>
      </c>
      <c r="U32" s="414"/>
      <c r="AW32" s="96"/>
      <c r="AX32" s="368">
        <f t="shared" si="31"/>
        <v>20</v>
      </c>
      <c r="AY32" s="393">
        <v>21</v>
      </c>
      <c r="AZ32" s="394" t="e">
        <f t="shared" si="32"/>
        <v>#VALUE!</v>
      </c>
      <c r="BA32" s="394" t="e">
        <f t="shared" si="33"/>
        <v>#VALUE!</v>
      </c>
      <c r="BB32" s="395" t="e">
        <f t="shared" si="34"/>
        <v>#VALUE!</v>
      </c>
      <c r="BD32" s="367"/>
      <c r="BE32" s="96"/>
      <c r="BF32" s="393">
        <v>21</v>
      </c>
      <c r="BG32" s="394" t="e">
        <f t="shared" si="35"/>
        <v>#VALUE!</v>
      </c>
      <c r="BH32" s="400" t="e">
        <f t="shared" si="36"/>
        <v>#VALUE!</v>
      </c>
      <c r="BI32" s="395" t="e">
        <f t="shared" si="37"/>
        <v>#VALUE!</v>
      </c>
      <c r="BK32" s="367"/>
      <c r="BL32" s="368"/>
      <c r="BM32" s="393">
        <v>21</v>
      </c>
      <c r="BN32" s="394" t="e">
        <f t="shared" si="38"/>
        <v>#VALUE!</v>
      </c>
      <c r="BO32" s="394" t="e">
        <f t="shared" si="39"/>
        <v>#VALUE!</v>
      </c>
      <c r="BP32" s="372" t="e">
        <f t="shared" si="10"/>
        <v>#VALUE!</v>
      </c>
      <c r="BR32" s="367"/>
      <c r="BS32" s="368"/>
      <c r="BT32" s="393">
        <v>21</v>
      </c>
      <c r="BU32" s="394" t="e">
        <f t="shared" si="40"/>
        <v>#VALUE!</v>
      </c>
      <c r="BV32" s="394" t="e">
        <f t="shared" si="41"/>
        <v>#VALUE!</v>
      </c>
      <c r="BW32" s="395" t="e">
        <f t="shared" si="42"/>
        <v>#VALUE!</v>
      </c>
      <c r="BY32" s="367"/>
      <c r="BZ32" s="368"/>
      <c r="CA32" s="393">
        <v>21</v>
      </c>
      <c r="CB32" s="394" t="e">
        <f t="shared" si="43"/>
        <v>#VALUE!</v>
      </c>
      <c r="CC32" s="394" t="e">
        <f t="shared" si="44"/>
        <v>#VALUE!</v>
      </c>
      <c r="CD32" s="395" t="e">
        <f t="shared" si="45"/>
        <v>#VALUE!</v>
      </c>
      <c r="CF32" s="367"/>
      <c r="CG32" s="368"/>
      <c r="CH32" s="393">
        <v>21</v>
      </c>
      <c r="CI32" s="394" t="e">
        <f t="shared" si="46"/>
        <v>#VALUE!</v>
      </c>
      <c r="CJ32" s="394" t="e">
        <f t="shared" si="47"/>
        <v>#VALUE!</v>
      </c>
      <c r="CK32" s="395" t="e">
        <f t="shared" si="48"/>
        <v>#VALUE!</v>
      </c>
      <c r="CM32" s="367"/>
      <c r="CN32" s="368"/>
      <c r="CO32" s="393">
        <v>21</v>
      </c>
      <c r="CP32" s="394" t="e">
        <f t="shared" si="49"/>
        <v>#VALUE!</v>
      </c>
      <c r="CQ32" s="394" t="e">
        <f t="shared" si="50"/>
        <v>#VALUE!</v>
      </c>
      <c r="CR32" s="395" t="e">
        <f t="shared" si="51"/>
        <v>#VALUE!</v>
      </c>
      <c r="CT32" s="367"/>
      <c r="CU32" s="368"/>
      <c r="CV32" s="393">
        <v>21</v>
      </c>
      <c r="CW32" s="394" t="e">
        <f t="shared" si="52"/>
        <v>#VALUE!</v>
      </c>
      <c r="CX32" s="394" t="e">
        <f t="shared" si="53"/>
        <v>#VALUE!</v>
      </c>
      <c r="CY32" s="395" t="e">
        <f t="shared" si="54"/>
        <v>#VALUE!</v>
      </c>
      <c r="DA32" s="367"/>
      <c r="DB32" s="368"/>
      <c r="DC32" s="393">
        <v>21</v>
      </c>
      <c r="DD32" s="394" t="e">
        <f t="shared" si="55"/>
        <v>#VALUE!</v>
      </c>
      <c r="DE32" s="394" t="e">
        <f t="shared" si="56"/>
        <v>#VALUE!</v>
      </c>
      <c r="DF32" s="395" t="e">
        <f t="shared" si="57"/>
        <v>#VALUE!</v>
      </c>
      <c r="DH32" s="367"/>
      <c r="DI32" s="368"/>
      <c r="DJ32" s="393">
        <v>21</v>
      </c>
      <c r="DK32" s="394" t="e">
        <f t="shared" si="58"/>
        <v>#VALUE!</v>
      </c>
      <c r="DL32" s="394" t="e">
        <f t="shared" si="59"/>
        <v>#VALUE!</v>
      </c>
      <c r="DM32" s="395" t="e">
        <f t="shared" si="60"/>
        <v>#VALUE!</v>
      </c>
      <c r="DO32" s="367"/>
    </row>
    <row r="33" spans="1:119" ht="15.75" customHeight="1" x14ac:dyDescent="0.35">
      <c r="A33" s="245" t="s">
        <v>529</v>
      </c>
      <c r="B33" s="450" t="str">
        <f>+IFERROR(B$20*landfill_uncertainty*C_to_CH4_conversion*CH4_in_landfill_gas*B$27*$AU$12*$BB$13*'Landfill Disposal CA Regulatory'!B$21,"N/A")</f>
        <v>N/A</v>
      </c>
      <c r="C33" s="416"/>
      <c r="D33" s="450" t="str">
        <f>+IFERROR(D$20*landfill_uncertainty*C_to_CH4_conversion*CH4_in_landfill_gas*D$27*$AU$12*$BI$13*'Landfill Disposal CA Regulatory'!D$21,"N/A")</f>
        <v>N/A</v>
      </c>
      <c r="E33" s="416"/>
      <c r="F33" s="450" t="str">
        <f>+IFERROR(F$20*landfill_uncertainty*C_to_CH4_conversion*CH4_in_landfill_gas*F$27*$AU$12*$BP$13*'Landfill Disposal CA Regulatory'!F$21,"N/A")</f>
        <v>N/A</v>
      </c>
      <c r="G33" s="416"/>
      <c r="H33" s="450" t="str">
        <f>+IFERROR(H$20*landfill_uncertainty*C_to_CH4_conversion*CH4_in_landfill_gas*H$27*$AU$12*$BW$13*'Landfill Disposal CA Regulatory'!H$21,"N/A")</f>
        <v>N/A</v>
      </c>
      <c r="I33" s="416"/>
      <c r="J33" s="450" t="str">
        <f>+IFERROR(J$20*landfill_uncertainty*C_to_CH4_conversion*CH4_in_landfill_gas*J$27*$AU$12*$CD$13*'Landfill Disposal CA Regulatory'!J$21,"N/A")</f>
        <v>N/A</v>
      </c>
      <c r="K33" s="416"/>
      <c r="L33" s="450" t="str">
        <f>+IFERROR(L$20*landfill_uncertainty*C_to_CH4_conversion*CH4_in_landfill_gas*L$27*$AU$12*$CK$13*'Landfill Disposal CA Regulatory'!L$21,"N/A")</f>
        <v>N/A</v>
      </c>
      <c r="M33" s="416"/>
      <c r="N33" s="450" t="str">
        <f>+IFERROR(N$20*landfill_uncertainty*C_to_CH4_conversion*CH4_in_landfill_gas*N$27*$AU$12*$CR$13*'Landfill Disposal CA Regulatory'!N$21,"N/A")</f>
        <v>N/A</v>
      </c>
      <c r="O33" s="416"/>
      <c r="P33" s="450" t="str">
        <f>+IFERROR(P$20*landfill_uncertainty*C_to_CH4_conversion*CH4_in_landfill_gas*P$27*$AU$12*$CY$13*'Landfill Disposal CA Regulatory'!P$21,"N/A")</f>
        <v>N/A</v>
      </c>
      <c r="Q33" s="416"/>
      <c r="R33" s="450" t="str">
        <f>+IFERROR(R$20*landfill_uncertainty*C_to_CH4_conversion*CH4_in_landfill_gas*R$27*$AU$12*$DF$13*'Landfill Disposal CA Regulatory'!R$21,"N/A")</f>
        <v>N/A</v>
      </c>
      <c r="S33" s="416"/>
      <c r="T33" s="450" t="str">
        <f>+IFERROR(T$20*landfill_uncertainty*C_to_CH4_conversion*CH4_in_landfill_gas*T$27*$AU$12*$DM$13*'Landfill Disposal CA Regulatory'!T$21,"N/A")</f>
        <v>N/A</v>
      </c>
      <c r="U33" s="416"/>
      <c r="AW33" s="96"/>
      <c r="AX33" s="368">
        <f t="shared" si="31"/>
        <v>21</v>
      </c>
      <c r="AY33" s="393">
        <v>22</v>
      </c>
      <c r="AZ33" s="394" t="e">
        <f t="shared" si="32"/>
        <v>#VALUE!</v>
      </c>
      <c r="BA33" s="394" t="e">
        <f t="shared" si="33"/>
        <v>#VALUE!</v>
      </c>
      <c r="BB33" s="395" t="e">
        <f t="shared" si="34"/>
        <v>#VALUE!</v>
      </c>
      <c r="BD33" s="367"/>
      <c r="BE33" s="96"/>
      <c r="BF33" s="393">
        <v>22</v>
      </c>
      <c r="BG33" s="394" t="e">
        <f t="shared" si="35"/>
        <v>#VALUE!</v>
      </c>
      <c r="BH33" s="400" t="e">
        <f t="shared" si="36"/>
        <v>#VALUE!</v>
      </c>
      <c r="BI33" s="395" t="e">
        <f t="shared" si="37"/>
        <v>#VALUE!</v>
      </c>
      <c r="BK33" s="367"/>
      <c r="BL33" s="368"/>
      <c r="BM33" s="393">
        <v>22</v>
      </c>
      <c r="BN33" s="394" t="e">
        <f t="shared" si="38"/>
        <v>#VALUE!</v>
      </c>
      <c r="BO33" s="394" t="e">
        <f t="shared" si="39"/>
        <v>#VALUE!</v>
      </c>
      <c r="BP33" s="372" t="e">
        <f t="shared" si="10"/>
        <v>#VALUE!</v>
      </c>
      <c r="BR33" s="367"/>
      <c r="BS33" s="368"/>
      <c r="BT33" s="393">
        <v>22</v>
      </c>
      <c r="BU33" s="394" t="e">
        <f t="shared" si="40"/>
        <v>#VALUE!</v>
      </c>
      <c r="BV33" s="394" t="e">
        <f t="shared" si="41"/>
        <v>#VALUE!</v>
      </c>
      <c r="BW33" s="395" t="e">
        <f t="shared" si="42"/>
        <v>#VALUE!</v>
      </c>
      <c r="BY33" s="367"/>
      <c r="BZ33" s="368"/>
      <c r="CA33" s="393">
        <v>22</v>
      </c>
      <c r="CB33" s="394" t="e">
        <f t="shared" si="43"/>
        <v>#VALUE!</v>
      </c>
      <c r="CC33" s="394" t="e">
        <f t="shared" si="44"/>
        <v>#VALUE!</v>
      </c>
      <c r="CD33" s="395" t="e">
        <f t="shared" si="45"/>
        <v>#VALUE!</v>
      </c>
      <c r="CF33" s="367"/>
      <c r="CG33" s="368"/>
      <c r="CH33" s="393">
        <v>22</v>
      </c>
      <c r="CI33" s="394" t="e">
        <f t="shared" si="46"/>
        <v>#VALUE!</v>
      </c>
      <c r="CJ33" s="394" t="e">
        <f t="shared" si="47"/>
        <v>#VALUE!</v>
      </c>
      <c r="CK33" s="395" t="e">
        <f t="shared" si="48"/>
        <v>#VALUE!</v>
      </c>
      <c r="CM33" s="367"/>
      <c r="CN33" s="368"/>
      <c r="CO33" s="393">
        <v>22</v>
      </c>
      <c r="CP33" s="394" t="e">
        <f t="shared" si="49"/>
        <v>#VALUE!</v>
      </c>
      <c r="CQ33" s="394" t="e">
        <f t="shared" si="50"/>
        <v>#VALUE!</v>
      </c>
      <c r="CR33" s="395" t="e">
        <f t="shared" si="51"/>
        <v>#VALUE!</v>
      </c>
      <c r="CT33" s="367"/>
      <c r="CU33" s="368"/>
      <c r="CV33" s="393">
        <v>22</v>
      </c>
      <c r="CW33" s="394" t="e">
        <f t="shared" si="52"/>
        <v>#VALUE!</v>
      </c>
      <c r="CX33" s="394" t="e">
        <f t="shared" si="53"/>
        <v>#VALUE!</v>
      </c>
      <c r="CY33" s="395" t="e">
        <f t="shared" si="54"/>
        <v>#VALUE!</v>
      </c>
      <c r="DA33" s="367"/>
      <c r="DB33" s="368"/>
      <c r="DC33" s="393">
        <v>22</v>
      </c>
      <c r="DD33" s="394" t="e">
        <f t="shared" si="55"/>
        <v>#VALUE!</v>
      </c>
      <c r="DE33" s="394" t="e">
        <f t="shared" si="56"/>
        <v>#VALUE!</v>
      </c>
      <c r="DF33" s="395" t="e">
        <f t="shared" si="57"/>
        <v>#VALUE!</v>
      </c>
      <c r="DH33" s="367"/>
      <c r="DI33" s="368"/>
      <c r="DJ33" s="393">
        <v>22</v>
      </c>
      <c r="DK33" s="394" t="e">
        <f t="shared" si="58"/>
        <v>#VALUE!</v>
      </c>
      <c r="DL33" s="394" t="e">
        <f t="shared" si="59"/>
        <v>#VALUE!</v>
      </c>
      <c r="DM33" s="395" t="e">
        <f t="shared" si="60"/>
        <v>#VALUE!</v>
      </c>
      <c r="DO33" s="367"/>
    </row>
    <row r="34" spans="1:119" ht="15.75" customHeight="1" x14ac:dyDescent="0.35">
      <c r="A34" s="245" t="s">
        <v>528</v>
      </c>
      <c r="B34" s="450" t="str">
        <f>+IFERROR(B$20*landfill_uncertainty*C_to_CH4_conversion*CH4_in_landfill_gas*B$27*$AU$13*SUM($BB$14:$BB$19)*'Landfill Disposal CA Regulatory'!B$21,"N/A")</f>
        <v>N/A</v>
      </c>
      <c r="C34" s="416"/>
      <c r="D34" s="450" t="str">
        <f>+IFERROR(D$20*landfill_uncertainty*C_to_CH4_conversion*CH4_in_landfill_gas*D$27*$AU$13*SUM($BI$14:$BI$19)*'Landfill Disposal CA Regulatory'!D$21,"N/A")</f>
        <v>N/A</v>
      </c>
      <c r="E34" s="416"/>
      <c r="F34" s="450" t="str">
        <f>+IFERROR(F$20*landfill_uncertainty*C_to_CH4_conversion*CH4_in_landfill_gas*F$27*$AU$13*SUM($BP$14:$BP$19)*'Landfill Disposal CA Regulatory'!F$21,"N/A")</f>
        <v>N/A</v>
      </c>
      <c r="G34" s="416"/>
      <c r="H34" s="450" t="str">
        <f>+IFERROR(H$20*landfill_uncertainty*C_to_CH4_conversion*CH4_in_landfill_gas*H$27*$AU$13*SUM($BW$14:$BW$19)*'Landfill Disposal CA Regulatory'!H$21,"N/A")</f>
        <v>N/A</v>
      </c>
      <c r="I34" s="416"/>
      <c r="J34" s="450" t="str">
        <f>+IFERROR(J$20*landfill_uncertainty*C_to_CH4_conversion*CH4_in_landfill_gas*J$27*$AU$13*SUM($CD$14:$CD$19)*'Landfill Disposal CA Regulatory'!J$21,"N/A")</f>
        <v>N/A</v>
      </c>
      <c r="K34" s="416"/>
      <c r="L34" s="450" t="str">
        <f>+IFERROR(L$20*landfill_uncertainty*C_to_CH4_conversion*CH4_in_landfill_gas*L$27*$AU$13*SUM($CK$14:$CK$19)*'Landfill Disposal CA Regulatory'!L$21,"N/A")</f>
        <v>N/A</v>
      </c>
      <c r="M34" s="416"/>
      <c r="N34" s="450" t="str">
        <f>+IFERROR(N$20*landfill_uncertainty*C_to_CH4_conversion*CH4_in_landfill_gas*N$27*$AU$13*SUM($CR$14:$CR$19)*'Landfill Disposal CA Regulatory'!N$21,"N/A")</f>
        <v>N/A</v>
      </c>
      <c r="O34" s="416"/>
      <c r="P34" s="450" t="str">
        <f>+IFERROR(P$20*landfill_uncertainty*C_to_CH4_conversion*CH4_in_landfill_gas*P$27*$AU$13*SUM($CY$14:$CY$19)*'Landfill Disposal CA Regulatory'!P$21,"N/A")</f>
        <v>N/A</v>
      </c>
      <c r="Q34" s="416"/>
      <c r="R34" s="450" t="str">
        <f>+IFERROR(R$20*landfill_uncertainty*C_to_CH4_conversion*CH4_in_landfill_gas*R$27*$AU$13*SUM($DF$14:$DF$19)*'Landfill Disposal CA Regulatory'!R$21,"N/A")</f>
        <v>N/A</v>
      </c>
      <c r="S34" s="416"/>
      <c r="T34" s="450" t="str">
        <f>+IFERROR(T$20*landfill_uncertainty*C_to_CH4_conversion*CH4_in_landfill_gas*T$27*$AU$13*SUM($DM$14:$DM$19)*'Landfill Disposal CA Regulatory'!T$21,"N/A")</f>
        <v>N/A</v>
      </c>
      <c r="U34" s="416"/>
      <c r="AW34" s="96"/>
      <c r="AX34" s="368">
        <f t="shared" si="31"/>
        <v>22</v>
      </c>
      <c r="AY34" s="393">
        <v>23</v>
      </c>
      <c r="AZ34" s="394" t="e">
        <f t="shared" si="32"/>
        <v>#VALUE!</v>
      </c>
      <c r="BA34" s="394" t="e">
        <f t="shared" si="33"/>
        <v>#VALUE!</v>
      </c>
      <c r="BB34" s="395" t="e">
        <f t="shared" si="34"/>
        <v>#VALUE!</v>
      </c>
      <c r="BD34" s="367"/>
      <c r="BE34" s="96"/>
      <c r="BF34" s="393">
        <v>23</v>
      </c>
      <c r="BG34" s="394" t="e">
        <f t="shared" si="35"/>
        <v>#VALUE!</v>
      </c>
      <c r="BH34" s="400" t="e">
        <f t="shared" si="36"/>
        <v>#VALUE!</v>
      </c>
      <c r="BI34" s="395" t="e">
        <f t="shared" si="37"/>
        <v>#VALUE!</v>
      </c>
      <c r="BK34" s="367"/>
      <c r="BL34" s="368"/>
      <c r="BM34" s="393">
        <v>23</v>
      </c>
      <c r="BN34" s="394" t="e">
        <f t="shared" si="38"/>
        <v>#VALUE!</v>
      </c>
      <c r="BO34" s="394" t="e">
        <f t="shared" si="39"/>
        <v>#VALUE!</v>
      </c>
      <c r="BP34" s="372" t="e">
        <f t="shared" si="10"/>
        <v>#VALUE!</v>
      </c>
      <c r="BR34" s="367"/>
      <c r="BS34" s="368"/>
      <c r="BT34" s="393">
        <v>23</v>
      </c>
      <c r="BU34" s="394" t="e">
        <f t="shared" si="40"/>
        <v>#VALUE!</v>
      </c>
      <c r="BV34" s="394" t="e">
        <f t="shared" si="41"/>
        <v>#VALUE!</v>
      </c>
      <c r="BW34" s="395" t="e">
        <f t="shared" si="42"/>
        <v>#VALUE!</v>
      </c>
      <c r="BY34" s="367"/>
      <c r="BZ34" s="368"/>
      <c r="CA34" s="393">
        <v>23</v>
      </c>
      <c r="CB34" s="394" t="e">
        <f t="shared" si="43"/>
        <v>#VALUE!</v>
      </c>
      <c r="CC34" s="394" t="e">
        <f t="shared" si="44"/>
        <v>#VALUE!</v>
      </c>
      <c r="CD34" s="395" t="e">
        <f t="shared" si="45"/>
        <v>#VALUE!</v>
      </c>
      <c r="CF34" s="367"/>
      <c r="CG34" s="368"/>
      <c r="CH34" s="393">
        <v>23</v>
      </c>
      <c r="CI34" s="394" t="e">
        <f t="shared" si="46"/>
        <v>#VALUE!</v>
      </c>
      <c r="CJ34" s="394" t="e">
        <f t="shared" si="47"/>
        <v>#VALUE!</v>
      </c>
      <c r="CK34" s="395" t="e">
        <f t="shared" si="48"/>
        <v>#VALUE!</v>
      </c>
      <c r="CM34" s="367"/>
      <c r="CN34" s="368"/>
      <c r="CO34" s="393">
        <v>23</v>
      </c>
      <c r="CP34" s="394" t="e">
        <f t="shared" si="49"/>
        <v>#VALUE!</v>
      </c>
      <c r="CQ34" s="394" t="e">
        <f t="shared" si="50"/>
        <v>#VALUE!</v>
      </c>
      <c r="CR34" s="395" t="e">
        <f t="shared" si="51"/>
        <v>#VALUE!</v>
      </c>
      <c r="CT34" s="367"/>
      <c r="CU34" s="368"/>
      <c r="CV34" s="393">
        <v>23</v>
      </c>
      <c r="CW34" s="394" t="e">
        <f t="shared" si="52"/>
        <v>#VALUE!</v>
      </c>
      <c r="CX34" s="394" t="e">
        <f t="shared" si="53"/>
        <v>#VALUE!</v>
      </c>
      <c r="CY34" s="395" t="e">
        <f t="shared" si="54"/>
        <v>#VALUE!</v>
      </c>
      <c r="DA34" s="367"/>
      <c r="DB34" s="368"/>
      <c r="DC34" s="393">
        <v>23</v>
      </c>
      <c r="DD34" s="394" t="e">
        <f t="shared" si="55"/>
        <v>#VALUE!</v>
      </c>
      <c r="DE34" s="394" t="e">
        <f t="shared" si="56"/>
        <v>#VALUE!</v>
      </c>
      <c r="DF34" s="395" t="e">
        <f t="shared" si="57"/>
        <v>#VALUE!</v>
      </c>
      <c r="DH34" s="367"/>
      <c r="DI34" s="368"/>
      <c r="DJ34" s="393">
        <v>23</v>
      </c>
      <c r="DK34" s="394" t="e">
        <f t="shared" si="58"/>
        <v>#VALUE!</v>
      </c>
      <c r="DL34" s="394" t="e">
        <f t="shared" si="59"/>
        <v>#VALUE!</v>
      </c>
      <c r="DM34" s="395" t="e">
        <f t="shared" si="60"/>
        <v>#VALUE!</v>
      </c>
      <c r="DO34" s="367"/>
    </row>
    <row r="35" spans="1:119" ht="15.75" customHeight="1" x14ac:dyDescent="0.35">
      <c r="A35" s="245" t="s">
        <v>428</v>
      </c>
      <c r="B35" s="450" t="str">
        <f>+IFERROR(B$20*landfill_uncertainty*$AU$14*(1-B$23)*C_to_CH4_conversion*CH4_in_landfill_gas*B$27*$AU$14*(SUM($BB$20:$BB$41))*B$21,"N/A")</f>
        <v>N/A</v>
      </c>
      <c r="C35" s="416"/>
      <c r="D35" s="450" t="str">
        <f>+IFERROR(D$20*landfill_uncertainty*$AU$14*(1-D$23)*C_to_CH4_conversion*CH4_in_landfill_gas*D$27*$AU$14*(SUM($BI$20:$BI$41))*D$21,"N/A")</f>
        <v>N/A</v>
      </c>
      <c r="E35" s="416"/>
      <c r="F35" s="450" t="str">
        <f>+IFERROR(F$20*landfill_uncertainty*$AU$14*(1-F$23)*C_to_CH4_conversion*CH4_in_landfill_gas*F$27*$AU$14*(SUM($BP$20:$BP$41))*F$21,"N/A")</f>
        <v>N/A</v>
      </c>
      <c r="G35" s="416"/>
      <c r="H35" s="450" t="str">
        <f>+IFERROR(H$20*landfill_uncertainty*$AU$14*(1-H$23)*C_to_CH4_conversion*CH4_in_landfill_gas*H$27*$AU$14*(SUM($BW$20:$BW$41))*H$21,"N/A")</f>
        <v>N/A</v>
      </c>
      <c r="I35" s="416"/>
      <c r="J35" s="450" t="str">
        <f>+IFERROR(J$20*landfill_uncertainty*$AU$14*(1-J$23)*C_to_CH4_conversion*CH4_in_landfill_gas*J$27*$AU$14*(SUM($CD$20:$CD$41))*J$21,"N/A")</f>
        <v>N/A</v>
      </c>
      <c r="K35" s="416"/>
      <c r="L35" s="450" t="str">
        <f>+IFERROR(L$20*landfill_uncertainty*$AU$14*(1-L$23)*C_to_CH4_conversion*CH4_in_landfill_gas*L$27*$AU$14*(SUM($CK$20:$CK$41))*L$21,"N/A")</f>
        <v>N/A</v>
      </c>
      <c r="M35" s="416"/>
      <c r="N35" s="450" t="str">
        <f>+IFERROR(N$20*landfill_uncertainty*$AU$14*(1-N$23)*C_to_CH4_conversion*CH4_in_landfill_gas*N$27*$AU$14*(SUM($CR$20:$CR$41))*N$21,"N/A")</f>
        <v>N/A</v>
      </c>
      <c r="O35" s="416"/>
      <c r="P35" s="450" t="str">
        <f>+IFERROR(P$20*landfill_uncertainty*$AU$14*(1-P$23)*C_to_CH4_conversion*CH4_in_landfill_gas*P$27*$AU$14*(SUM($CY$20:$CY$41))*P$21,"N/A")</f>
        <v>N/A</v>
      </c>
      <c r="Q35" s="416"/>
      <c r="R35" s="450" t="str">
        <f>+IFERROR(R$20*landfill_uncertainty*$AU$14*(1-R$23)*C_to_CH4_conversion*CH4_in_landfill_gas*R$27*$AU$14*(SUM($DF$20:$DF$41))*R$21,"N/A")</f>
        <v>N/A</v>
      </c>
      <c r="S35" s="416"/>
      <c r="T35" s="450" t="str">
        <f>+IFERROR(T$20*landfill_uncertainty*$AU$14*(1-T$23)*C_to_CH4_conversion*CH4_in_landfill_gas*T$27*$AU$14*(SUM($DM$20:$DM$41))*T$21,"N/A")</f>
        <v>N/A</v>
      </c>
      <c r="U35" s="416"/>
      <c r="AW35" s="96"/>
      <c r="AX35" s="368">
        <f t="shared" si="31"/>
        <v>23</v>
      </c>
      <c r="AY35" s="393">
        <v>24</v>
      </c>
      <c r="AZ35" s="394" t="e">
        <f t="shared" si="32"/>
        <v>#VALUE!</v>
      </c>
      <c r="BA35" s="394" t="e">
        <f t="shared" si="33"/>
        <v>#VALUE!</v>
      </c>
      <c r="BB35" s="395" t="e">
        <f t="shared" si="34"/>
        <v>#VALUE!</v>
      </c>
      <c r="BD35" s="367"/>
      <c r="BE35" s="96"/>
      <c r="BF35" s="393">
        <v>24</v>
      </c>
      <c r="BG35" s="394" t="e">
        <f t="shared" si="35"/>
        <v>#VALUE!</v>
      </c>
      <c r="BH35" s="400" t="e">
        <f t="shared" si="36"/>
        <v>#VALUE!</v>
      </c>
      <c r="BI35" s="395" t="e">
        <f t="shared" si="37"/>
        <v>#VALUE!</v>
      </c>
      <c r="BK35" s="367"/>
      <c r="BL35" s="368"/>
      <c r="BM35" s="393">
        <v>24</v>
      </c>
      <c r="BN35" s="394" t="e">
        <f t="shared" si="38"/>
        <v>#VALUE!</v>
      </c>
      <c r="BO35" s="394" t="e">
        <f t="shared" si="39"/>
        <v>#VALUE!</v>
      </c>
      <c r="BP35" s="372" t="e">
        <f t="shared" si="10"/>
        <v>#VALUE!</v>
      </c>
      <c r="BR35" s="367"/>
      <c r="BS35" s="368"/>
      <c r="BT35" s="393">
        <v>24</v>
      </c>
      <c r="BU35" s="394" t="e">
        <f t="shared" si="40"/>
        <v>#VALUE!</v>
      </c>
      <c r="BV35" s="394" t="e">
        <f t="shared" si="41"/>
        <v>#VALUE!</v>
      </c>
      <c r="BW35" s="395" t="e">
        <f t="shared" si="42"/>
        <v>#VALUE!</v>
      </c>
      <c r="BY35" s="367"/>
      <c r="BZ35" s="368"/>
      <c r="CA35" s="393">
        <v>24</v>
      </c>
      <c r="CB35" s="394" t="e">
        <f t="shared" si="43"/>
        <v>#VALUE!</v>
      </c>
      <c r="CC35" s="394" t="e">
        <f t="shared" si="44"/>
        <v>#VALUE!</v>
      </c>
      <c r="CD35" s="395" t="e">
        <f t="shared" si="45"/>
        <v>#VALUE!</v>
      </c>
      <c r="CF35" s="367"/>
      <c r="CG35" s="368"/>
      <c r="CH35" s="393">
        <v>24</v>
      </c>
      <c r="CI35" s="394" t="e">
        <f t="shared" si="46"/>
        <v>#VALUE!</v>
      </c>
      <c r="CJ35" s="394" t="e">
        <f t="shared" si="47"/>
        <v>#VALUE!</v>
      </c>
      <c r="CK35" s="395" t="e">
        <f t="shared" si="48"/>
        <v>#VALUE!</v>
      </c>
      <c r="CM35" s="367"/>
      <c r="CN35" s="368"/>
      <c r="CO35" s="393">
        <v>24</v>
      </c>
      <c r="CP35" s="394" t="e">
        <f t="shared" si="49"/>
        <v>#VALUE!</v>
      </c>
      <c r="CQ35" s="394" t="e">
        <f t="shared" si="50"/>
        <v>#VALUE!</v>
      </c>
      <c r="CR35" s="395" t="e">
        <f t="shared" si="51"/>
        <v>#VALUE!</v>
      </c>
      <c r="CT35" s="367"/>
      <c r="CU35" s="368"/>
      <c r="CV35" s="393">
        <v>24</v>
      </c>
      <c r="CW35" s="394" t="e">
        <f t="shared" si="52"/>
        <v>#VALUE!</v>
      </c>
      <c r="CX35" s="394" t="e">
        <f t="shared" si="53"/>
        <v>#VALUE!</v>
      </c>
      <c r="CY35" s="395" t="e">
        <f t="shared" si="54"/>
        <v>#VALUE!</v>
      </c>
      <c r="DA35" s="367"/>
      <c r="DB35" s="368"/>
      <c r="DC35" s="393">
        <v>24</v>
      </c>
      <c r="DD35" s="394" t="e">
        <f t="shared" si="55"/>
        <v>#VALUE!</v>
      </c>
      <c r="DE35" s="394" t="e">
        <f t="shared" si="56"/>
        <v>#VALUE!</v>
      </c>
      <c r="DF35" s="395" t="e">
        <f t="shared" si="57"/>
        <v>#VALUE!</v>
      </c>
      <c r="DH35" s="367"/>
      <c r="DI35" s="368"/>
      <c r="DJ35" s="393">
        <v>24</v>
      </c>
      <c r="DK35" s="394" t="e">
        <f t="shared" si="58"/>
        <v>#VALUE!</v>
      </c>
      <c r="DL35" s="394" t="e">
        <f t="shared" si="59"/>
        <v>#VALUE!</v>
      </c>
      <c r="DM35" s="395" t="e">
        <f t="shared" si="60"/>
        <v>#VALUE!</v>
      </c>
      <c r="DO35" s="367"/>
    </row>
    <row r="36" spans="1:119" ht="15.75" customHeight="1" x14ac:dyDescent="0.35">
      <c r="A36" s="245" t="s">
        <v>11</v>
      </c>
      <c r="B36" s="1165" t="str">
        <f>+IFERROR(B$20*landfill_uncertainty*C_to_CH4_conversion*CH4_in_landfill_gas*B$27*B$21*(($AS$11*$BB$12+($AS$12*$BB$13+($AS$13*SUM($BB$14:$BB$19))+($AS$14*SUM($BB$20:$BB$41)))*fugitive_methane_combustion_IPCC)),"N/A")</f>
        <v>N/A</v>
      </c>
      <c r="C36" s="1166"/>
      <c r="D36" s="1165" t="str">
        <f>+IFERROR(D$20*landfill_uncertainty*C_to_CH4_conversion*CH4_in_landfill_gas*D$27*D$21*(($AS$11*$BI$12+($AS$12*$BI$13+($AS$13*SUM($BI$14:$BI$19))+($AS$14*SUM($BI$20:$BI$41)))*fugitive_methane_combustion_IPCC)),"N/A")</f>
        <v>N/A</v>
      </c>
      <c r="E36" s="1166"/>
      <c r="F36" s="1165" t="str">
        <f>+IFERROR(F$20*landfill_uncertainty*C_to_CH4_conversion*CH4_in_landfill_gas*F$27*F$21*(($AS$11*$BP$12+($AS$12*$BP$13+($AS$13*SUM($BP$14:$BP$19))+($AS$14*SUM($BP$20:$BP$41)))*fugitive_methane_combustion_IPCC)),"N/A")</f>
        <v>N/A</v>
      </c>
      <c r="G36" s="1166"/>
      <c r="H36" s="1165" t="str">
        <f>+IFERROR(H$20*landfill_uncertainty*C_to_CH4_conversion*CH4_in_landfill_gas*H$27*H$21*(($AS$11*$BW$12+($AS$12*$BW$13+($AS$13*SUM($BW$14:$BW$19))+($AS$14*SUM($BW$20:$BW$41)))*fugitive_methane_combustion_IPCC)),"N/A")</f>
        <v>N/A</v>
      </c>
      <c r="I36" s="1166"/>
      <c r="J36" s="1165" t="str">
        <f>+IFERROR(J$20*landfill_uncertainty*C_to_CH4_conversion*CH4_in_landfill_gas*J$27*J$21*(($AS$11*$CD$12+($AS$12*$CD$13+($AS$13*SUM($CD$14:$CD$19))+($AS$14*SUM($CD$20:$CD$41)))*fugitive_methane_combustion_IPCC)),"N/A")</f>
        <v>N/A</v>
      </c>
      <c r="K36" s="1166"/>
      <c r="L36" s="1165" t="str">
        <f>+IFERROR(L$20*landfill_uncertainty*C_to_CH4_conversion*CH4_in_landfill_gas*L$27*L$21*(($AS$11*$CK$12+($AS$12*$CK$13+($AS$13*SUM($CK$14:$CK$19))+($AS$14*SUM($CK$20:$CK$41)))*fugitive_methane_combustion_IPCC)),"N/A")</f>
        <v>N/A</v>
      </c>
      <c r="M36" s="1166"/>
      <c r="N36" s="1165" t="str">
        <f>+IFERROR(N$20*landfill_uncertainty*C_to_CH4_conversion*CH4_in_landfill_gas*N$27*N$21*(($AS$11*$CR$12+($AS$12*$CR$13+($AS$13*SUM($CR$14:$CR$19))+($AS$14*SUM($CR$20:$CR$41)))*fugitive_methane_combustion_IPCC)),"N/A")</f>
        <v>N/A</v>
      </c>
      <c r="O36" s="1166"/>
      <c r="P36" s="1165" t="str">
        <f>+IFERROR(P$20*landfill_uncertainty*C_to_CH4_conversion*CH4_in_landfill_gas*P$27*P$21*(($AS$11*$CY$12+($AS$12*$CY$13+($AS$13*SUM($CY$14:$CY$19))+($AS$14*SUM($CY$20:$CY$41)))*fugitive_methane_combustion_IPCC)),"N/A")</f>
        <v>N/A</v>
      </c>
      <c r="Q36" s="1166"/>
      <c r="R36" s="1165" t="str">
        <f>+IFERROR(R$20*landfill_uncertainty*C_to_CH4_conversion*CH4_in_landfill_gas*R$27*R$21*(($AS$11*$DF$12+($AS$12*$DF$13+($AS$13*SUM($DF$14:$DF$19))+($AS$14*SUM($DF$20:$DF$41)))*fugitive_methane_combustion_IPCC)),"N/A")</f>
        <v>N/A</v>
      </c>
      <c r="S36" s="1166"/>
      <c r="T36" s="1165" t="str">
        <f>+IFERROR(T$20*landfill_uncertainty*C_to_CH4_conversion*CH4_in_landfill_gas*T$27*T$21*(($AS$11*$DM$12+($AS$12*$DM$13+($AS$13*SUM($DM$14:$DM$19))+($AS$14*SUM($DM$20:$DM$41)))*fugitive_methane_combustion_IPCC)),"N/A")</f>
        <v>N/A</v>
      </c>
      <c r="U36" s="416"/>
      <c r="AW36" s="96"/>
      <c r="AX36" s="368">
        <f t="shared" si="31"/>
        <v>24</v>
      </c>
      <c r="AY36" s="393">
        <v>25</v>
      </c>
      <c r="AZ36" s="394" t="e">
        <f t="shared" si="32"/>
        <v>#VALUE!</v>
      </c>
      <c r="BA36" s="394" t="e">
        <f t="shared" si="33"/>
        <v>#VALUE!</v>
      </c>
      <c r="BB36" s="395" t="e">
        <f t="shared" si="34"/>
        <v>#VALUE!</v>
      </c>
      <c r="BD36" s="367"/>
      <c r="BE36" s="96"/>
      <c r="BF36" s="393">
        <v>25</v>
      </c>
      <c r="BG36" s="394" t="e">
        <f t="shared" si="35"/>
        <v>#VALUE!</v>
      </c>
      <c r="BH36" s="400" t="e">
        <f t="shared" si="36"/>
        <v>#VALUE!</v>
      </c>
      <c r="BI36" s="395" t="e">
        <f t="shared" si="37"/>
        <v>#VALUE!</v>
      </c>
      <c r="BK36" s="367"/>
      <c r="BL36" s="368"/>
      <c r="BM36" s="393">
        <v>25</v>
      </c>
      <c r="BN36" s="394" t="e">
        <f t="shared" si="38"/>
        <v>#VALUE!</v>
      </c>
      <c r="BO36" s="394" t="e">
        <f t="shared" si="39"/>
        <v>#VALUE!</v>
      </c>
      <c r="BP36" s="372" t="e">
        <f t="shared" si="10"/>
        <v>#VALUE!</v>
      </c>
      <c r="BR36" s="367"/>
      <c r="BS36" s="368"/>
      <c r="BT36" s="393">
        <v>25</v>
      </c>
      <c r="BU36" s="394" t="e">
        <f t="shared" si="40"/>
        <v>#VALUE!</v>
      </c>
      <c r="BV36" s="394" t="e">
        <f t="shared" si="41"/>
        <v>#VALUE!</v>
      </c>
      <c r="BW36" s="395" t="e">
        <f t="shared" si="42"/>
        <v>#VALUE!</v>
      </c>
      <c r="BY36" s="367"/>
      <c r="BZ36" s="368"/>
      <c r="CA36" s="393">
        <v>25</v>
      </c>
      <c r="CB36" s="394" t="e">
        <f t="shared" si="43"/>
        <v>#VALUE!</v>
      </c>
      <c r="CC36" s="394" t="e">
        <f t="shared" si="44"/>
        <v>#VALUE!</v>
      </c>
      <c r="CD36" s="395" t="e">
        <f t="shared" si="45"/>
        <v>#VALUE!</v>
      </c>
      <c r="CF36" s="367"/>
      <c r="CG36" s="368"/>
      <c r="CH36" s="393">
        <v>25</v>
      </c>
      <c r="CI36" s="394" t="e">
        <f t="shared" si="46"/>
        <v>#VALUE!</v>
      </c>
      <c r="CJ36" s="394" t="e">
        <f t="shared" si="47"/>
        <v>#VALUE!</v>
      </c>
      <c r="CK36" s="395" t="e">
        <f t="shared" si="48"/>
        <v>#VALUE!</v>
      </c>
      <c r="CM36" s="367"/>
      <c r="CN36" s="368"/>
      <c r="CO36" s="393">
        <v>25</v>
      </c>
      <c r="CP36" s="394" t="e">
        <f t="shared" si="49"/>
        <v>#VALUE!</v>
      </c>
      <c r="CQ36" s="394" t="e">
        <f t="shared" si="50"/>
        <v>#VALUE!</v>
      </c>
      <c r="CR36" s="395" t="e">
        <f t="shared" si="51"/>
        <v>#VALUE!</v>
      </c>
      <c r="CT36" s="367"/>
      <c r="CU36" s="368"/>
      <c r="CV36" s="393">
        <v>25</v>
      </c>
      <c r="CW36" s="394" t="e">
        <f t="shared" si="52"/>
        <v>#VALUE!</v>
      </c>
      <c r="CX36" s="394" t="e">
        <f t="shared" si="53"/>
        <v>#VALUE!</v>
      </c>
      <c r="CY36" s="395" t="e">
        <f t="shared" si="54"/>
        <v>#VALUE!</v>
      </c>
      <c r="DA36" s="367"/>
      <c r="DB36" s="368"/>
      <c r="DC36" s="393">
        <v>25</v>
      </c>
      <c r="DD36" s="394" t="e">
        <f t="shared" si="55"/>
        <v>#VALUE!</v>
      </c>
      <c r="DE36" s="394" t="e">
        <f t="shared" si="56"/>
        <v>#VALUE!</v>
      </c>
      <c r="DF36" s="395" t="e">
        <f t="shared" si="57"/>
        <v>#VALUE!</v>
      </c>
      <c r="DH36" s="367"/>
      <c r="DI36" s="368"/>
      <c r="DJ36" s="393">
        <v>25</v>
      </c>
      <c r="DK36" s="394" t="e">
        <f t="shared" si="58"/>
        <v>#VALUE!</v>
      </c>
      <c r="DL36" s="394" t="e">
        <f t="shared" si="59"/>
        <v>#VALUE!</v>
      </c>
      <c r="DM36" s="395" t="e">
        <f t="shared" si="60"/>
        <v>#VALUE!</v>
      </c>
      <c r="DO36" s="367"/>
    </row>
    <row r="37" spans="1:119" ht="15.75" customHeight="1" x14ac:dyDescent="0.3">
      <c r="A37" s="417" t="s">
        <v>337</v>
      </c>
      <c r="B37" s="250">
        <f>SUM(B32:B36)*CO2E_of_CH4_ClimateReg</f>
        <v>0</v>
      </c>
      <c r="C37" s="1167"/>
      <c r="D37" s="250">
        <f>SUM(D32:D36)*CO2E_of_CH4_ClimateReg</f>
        <v>0</v>
      </c>
      <c r="E37" s="1167"/>
      <c r="F37" s="250">
        <f>SUM(F32:F36)*CO2E_of_CH4_ClimateReg</f>
        <v>0</v>
      </c>
      <c r="G37" s="1167"/>
      <c r="H37" s="250">
        <f>SUM(H32:H36)*CO2E_of_CH4_ClimateReg</f>
        <v>0</v>
      </c>
      <c r="I37" s="1167"/>
      <c r="J37" s="250">
        <f>SUM(J32:J36)*CO2E_of_CH4_ClimateReg</f>
        <v>0</v>
      </c>
      <c r="K37" s="1167"/>
      <c r="L37" s="250">
        <f>SUM(L32:L36)*CO2E_of_CH4_ClimateReg</f>
        <v>0</v>
      </c>
      <c r="M37" s="1167"/>
      <c r="N37" s="250">
        <f>SUM(N32:N36)*CO2E_of_CH4_ClimateReg</f>
        <v>0</v>
      </c>
      <c r="O37" s="1167"/>
      <c r="P37" s="250">
        <f>SUM(P32:P36)*CO2E_of_CH4_ClimateReg</f>
        <v>0</v>
      </c>
      <c r="Q37" s="1167"/>
      <c r="R37" s="250">
        <f>SUM(R32:R36)*CO2E_of_CH4_ClimateReg</f>
        <v>0</v>
      </c>
      <c r="S37" s="1167"/>
      <c r="T37" s="250">
        <f>SUM(T32:T36)*CO2E_of_CH4_ClimateReg</f>
        <v>0</v>
      </c>
      <c r="U37" s="419"/>
      <c r="AW37" s="96"/>
      <c r="AX37" s="368">
        <f t="shared" si="31"/>
        <v>25</v>
      </c>
      <c r="AY37" s="393">
        <v>26</v>
      </c>
      <c r="AZ37" s="394" t="e">
        <f t="shared" si="32"/>
        <v>#VALUE!</v>
      </c>
      <c r="BA37" s="394" t="e">
        <f t="shared" si="33"/>
        <v>#VALUE!</v>
      </c>
      <c r="BB37" s="395" t="e">
        <f t="shared" si="34"/>
        <v>#VALUE!</v>
      </c>
      <c r="BD37" s="367"/>
      <c r="BE37" s="96"/>
      <c r="BF37" s="393">
        <v>26</v>
      </c>
      <c r="BG37" s="394" t="e">
        <f t="shared" si="35"/>
        <v>#VALUE!</v>
      </c>
      <c r="BH37" s="400" t="e">
        <f t="shared" si="36"/>
        <v>#VALUE!</v>
      </c>
      <c r="BI37" s="395" t="e">
        <f t="shared" si="37"/>
        <v>#VALUE!</v>
      </c>
      <c r="BK37" s="367"/>
      <c r="BL37" s="368"/>
      <c r="BM37" s="393">
        <v>26</v>
      </c>
      <c r="BN37" s="394" t="e">
        <f t="shared" si="38"/>
        <v>#VALUE!</v>
      </c>
      <c r="BO37" s="394" t="e">
        <f t="shared" si="39"/>
        <v>#VALUE!</v>
      </c>
      <c r="BP37" s="372" t="e">
        <f t="shared" si="10"/>
        <v>#VALUE!</v>
      </c>
      <c r="BR37" s="367"/>
      <c r="BS37" s="368"/>
      <c r="BT37" s="393">
        <v>26</v>
      </c>
      <c r="BU37" s="394" t="e">
        <f t="shared" si="40"/>
        <v>#VALUE!</v>
      </c>
      <c r="BV37" s="394" t="e">
        <f t="shared" si="41"/>
        <v>#VALUE!</v>
      </c>
      <c r="BW37" s="395" t="e">
        <f t="shared" si="42"/>
        <v>#VALUE!</v>
      </c>
      <c r="BY37" s="367"/>
      <c r="BZ37" s="368"/>
      <c r="CA37" s="393">
        <v>26</v>
      </c>
      <c r="CB37" s="394" t="e">
        <f t="shared" si="43"/>
        <v>#VALUE!</v>
      </c>
      <c r="CC37" s="394" t="e">
        <f t="shared" si="44"/>
        <v>#VALUE!</v>
      </c>
      <c r="CD37" s="395" t="e">
        <f t="shared" si="45"/>
        <v>#VALUE!</v>
      </c>
      <c r="CF37" s="367"/>
      <c r="CG37" s="368"/>
      <c r="CH37" s="393">
        <v>26</v>
      </c>
      <c r="CI37" s="394" t="e">
        <f t="shared" si="46"/>
        <v>#VALUE!</v>
      </c>
      <c r="CJ37" s="394" t="e">
        <f t="shared" si="47"/>
        <v>#VALUE!</v>
      </c>
      <c r="CK37" s="395" t="e">
        <f t="shared" si="48"/>
        <v>#VALUE!</v>
      </c>
      <c r="CM37" s="367"/>
      <c r="CN37" s="368"/>
      <c r="CO37" s="393">
        <v>26</v>
      </c>
      <c r="CP37" s="394" t="e">
        <f t="shared" si="49"/>
        <v>#VALUE!</v>
      </c>
      <c r="CQ37" s="394" t="e">
        <f t="shared" si="50"/>
        <v>#VALUE!</v>
      </c>
      <c r="CR37" s="395" t="e">
        <f t="shared" si="51"/>
        <v>#VALUE!</v>
      </c>
      <c r="CT37" s="367"/>
      <c r="CU37" s="368"/>
      <c r="CV37" s="393">
        <v>26</v>
      </c>
      <c r="CW37" s="394" t="e">
        <f t="shared" si="52"/>
        <v>#VALUE!</v>
      </c>
      <c r="CX37" s="394" t="e">
        <f t="shared" si="53"/>
        <v>#VALUE!</v>
      </c>
      <c r="CY37" s="395" t="e">
        <f t="shared" si="54"/>
        <v>#VALUE!</v>
      </c>
      <c r="DA37" s="367"/>
      <c r="DB37" s="368"/>
      <c r="DC37" s="393">
        <v>26</v>
      </c>
      <c r="DD37" s="394" t="e">
        <f t="shared" si="55"/>
        <v>#VALUE!</v>
      </c>
      <c r="DE37" s="394" t="e">
        <f t="shared" si="56"/>
        <v>#VALUE!</v>
      </c>
      <c r="DF37" s="395" t="e">
        <f t="shared" si="57"/>
        <v>#VALUE!</v>
      </c>
      <c r="DH37" s="367"/>
      <c r="DI37" s="368"/>
      <c r="DJ37" s="393">
        <v>26</v>
      </c>
      <c r="DK37" s="394" t="e">
        <f t="shared" si="58"/>
        <v>#VALUE!</v>
      </c>
      <c r="DL37" s="394" t="e">
        <f t="shared" si="59"/>
        <v>#VALUE!</v>
      </c>
      <c r="DM37" s="395" t="e">
        <f t="shared" si="60"/>
        <v>#VALUE!</v>
      </c>
      <c r="DO37" s="367"/>
    </row>
    <row r="38" spans="1:119" ht="15.75" customHeight="1" thickBot="1" x14ac:dyDescent="0.3">
      <c r="A38" s="273"/>
      <c r="B38" s="229"/>
      <c r="C38" s="350"/>
      <c r="D38" s="421"/>
      <c r="E38" s="350"/>
      <c r="F38" s="421"/>
      <c r="G38" s="350"/>
      <c r="H38" s="421"/>
      <c r="I38" s="350"/>
      <c r="J38" s="421"/>
      <c r="K38" s="350"/>
      <c r="L38" s="421"/>
      <c r="M38" s="350"/>
      <c r="N38" s="421"/>
      <c r="O38" s="350"/>
      <c r="P38" s="421"/>
      <c r="Q38" s="350"/>
      <c r="R38" s="421"/>
      <c r="S38" s="350"/>
      <c r="T38" s="421"/>
      <c r="U38" s="350"/>
      <c r="AS38" s="386">
        <v>1</v>
      </c>
      <c r="AT38" t="s">
        <v>413</v>
      </c>
      <c r="AU38"/>
      <c r="AV38"/>
      <c r="AW38" s="96"/>
      <c r="AX38" s="368">
        <f t="shared" si="31"/>
        <v>26</v>
      </c>
      <c r="AY38" s="393">
        <v>27</v>
      </c>
      <c r="AZ38" s="394" t="e">
        <f t="shared" si="32"/>
        <v>#VALUE!</v>
      </c>
      <c r="BA38" s="394" t="e">
        <f t="shared" si="33"/>
        <v>#VALUE!</v>
      </c>
      <c r="BB38" s="395" t="e">
        <f t="shared" si="34"/>
        <v>#VALUE!</v>
      </c>
      <c r="BD38" s="367"/>
      <c r="BE38" s="96"/>
      <c r="BF38" s="393">
        <v>27</v>
      </c>
      <c r="BG38" s="394" t="e">
        <f t="shared" si="35"/>
        <v>#VALUE!</v>
      </c>
      <c r="BH38" s="400" t="e">
        <f t="shared" si="36"/>
        <v>#VALUE!</v>
      </c>
      <c r="BI38" s="395" t="e">
        <f t="shared" si="37"/>
        <v>#VALUE!</v>
      </c>
      <c r="BK38" s="367"/>
      <c r="BL38" s="368"/>
      <c r="BM38" s="393">
        <v>27</v>
      </c>
      <c r="BN38" s="394" t="e">
        <f t="shared" si="38"/>
        <v>#VALUE!</v>
      </c>
      <c r="BO38" s="394" t="e">
        <f t="shared" si="39"/>
        <v>#VALUE!</v>
      </c>
      <c r="BP38" s="372" t="e">
        <f t="shared" si="10"/>
        <v>#VALUE!</v>
      </c>
      <c r="BR38" s="367"/>
      <c r="BS38" s="368"/>
      <c r="BT38" s="393">
        <v>27</v>
      </c>
      <c r="BU38" s="394" t="e">
        <f t="shared" si="40"/>
        <v>#VALUE!</v>
      </c>
      <c r="BV38" s="394" t="e">
        <f t="shared" si="41"/>
        <v>#VALUE!</v>
      </c>
      <c r="BW38" s="395" t="e">
        <f t="shared" si="42"/>
        <v>#VALUE!</v>
      </c>
      <c r="BY38" s="367"/>
      <c r="BZ38" s="368"/>
      <c r="CA38" s="393">
        <v>27</v>
      </c>
      <c r="CB38" s="394" t="e">
        <f t="shared" si="43"/>
        <v>#VALUE!</v>
      </c>
      <c r="CC38" s="394" t="e">
        <f t="shared" si="44"/>
        <v>#VALUE!</v>
      </c>
      <c r="CD38" s="395" t="e">
        <f t="shared" si="45"/>
        <v>#VALUE!</v>
      </c>
      <c r="CF38" s="367"/>
      <c r="CG38" s="368"/>
      <c r="CH38" s="393">
        <v>27</v>
      </c>
      <c r="CI38" s="394" t="e">
        <f t="shared" si="46"/>
        <v>#VALUE!</v>
      </c>
      <c r="CJ38" s="394" t="e">
        <f t="shared" si="47"/>
        <v>#VALUE!</v>
      </c>
      <c r="CK38" s="395" t="e">
        <f t="shared" si="48"/>
        <v>#VALUE!</v>
      </c>
      <c r="CM38" s="367"/>
      <c r="CN38" s="368"/>
      <c r="CO38" s="393">
        <v>27</v>
      </c>
      <c r="CP38" s="394" t="e">
        <f t="shared" si="49"/>
        <v>#VALUE!</v>
      </c>
      <c r="CQ38" s="394" t="e">
        <f t="shared" si="50"/>
        <v>#VALUE!</v>
      </c>
      <c r="CR38" s="395" t="e">
        <f t="shared" si="51"/>
        <v>#VALUE!</v>
      </c>
      <c r="CT38" s="367"/>
      <c r="CU38" s="368"/>
      <c r="CV38" s="393">
        <v>27</v>
      </c>
      <c r="CW38" s="394" t="e">
        <f t="shared" si="52"/>
        <v>#VALUE!</v>
      </c>
      <c r="CX38" s="394" t="e">
        <f t="shared" si="53"/>
        <v>#VALUE!</v>
      </c>
      <c r="CY38" s="395" t="e">
        <f t="shared" si="54"/>
        <v>#VALUE!</v>
      </c>
      <c r="DA38" s="367"/>
      <c r="DB38" s="368"/>
      <c r="DC38" s="393">
        <v>27</v>
      </c>
      <c r="DD38" s="394" t="e">
        <f t="shared" si="55"/>
        <v>#VALUE!</v>
      </c>
      <c r="DE38" s="394" t="e">
        <f t="shared" si="56"/>
        <v>#VALUE!</v>
      </c>
      <c r="DF38" s="395" t="e">
        <f t="shared" si="57"/>
        <v>#VALUE!</v>
      </c>
      <c r="DH38" s="367"/>
      <c r="DI38" s="368"/>
      <c r="DJ38" s="393">
        <v>27</v>
      </c>
      <c r="DK38" s="394" t="e">
        <f t="shared" si="58"/>
        <v>#VALUE!</v>
      </c>
      <c r="DL38" s="394" t="e">
        <f t="shared" si="59"/>
        <v>#VALUE!</v>
      </c>
      <c r="DM38" s="395" t="e">
        <f t="shared" si="60"/>
        <v>#VALUE!</v>
      </c>
      <c r="DO38" s="367"/>
    </row>
    <row r="39" spans="1:119" ht="15.75" customHeight="1" thickBot="1" x14ac:dyDescent="0.3">
      <c r="A39" s="1300" t="s">
        <v>202</v>
      </c>
      <c r="B39" s="1301"/>
      <c r="C39" s="1301"/>
      <c r="D39" s="1301"/>
      <c r="E39" s="1301"/>
      <c r="F39" s="1301"/>
      <c r="G39" s="1301"/>
      <c r="H39" s="1301"/>
      <c r="I39" s="1301"/>
      <c r="J39" s="1301"/>
      <c r="K39" s="1301"/>
      <c r="L39" s="1301"/>
      <c r="M39" s="1301"/>
      <c r="N39" s="1301"/>
      <c r="O39" s="1301"/>
      <c r="P39" s="1301"/>
      <c r="Q39" s="1301"/>
      <c r="R39" s="1301"/>
      <c r="S39" s="1301"/>
      <c r="T39" s="1301"/>
      <c r="U39" s="1302"/>
      <c r="AT39" t="s">
        <v>414</v>
      </c>
      <c r="AU39"/>
      <c r="AV39"/>
      <c r="AW39" s="96"/>
      <c r="AX39" s="368">
        <f t="shared" si="31"/>
        <v>27</v>
      </c>
      <c r="AY39" s="393">
        <v>28</v>
      </c>
      <c r="AZ39" s="394" t="e">
        <f t="shared" si="32"/>
        <v>#VALUE!</v>
      </c>
      <c r="BA39" s="394" t="e">
        <f t="shared" si="33"/>
        <v>#VALUE!</v>
      </c>
      <c r="BB39" s="395" t="e">
        <f t="shared" si="34"/>
        <v>#VALUE!</v>
      </c>
      <c r="BD39" s="367"/>
      <c r="BE39" s="96"/>
      <c r="BF39" s="393">
        <v>28</v>
      </c>
      <c r="BG39" s="394" t="e">
        <f t="shared" si="35"/>
        <v>#VALUE!</v>
      </c>
      <c r="BH39" s="400" t="e">
        <f t="shared" si="36"/>
        <v>#VALUE!</v>
      </c>
      <c r="BI39" s="395" t="e">
        <f t="shared" si="37"/>
        <v>#VALUE!</v>
      </c>
      <c r="BK39" s="367"/>
      <c r="BL39" s="368"/>
      <c r="BM39" s="393">
        <v>28</v>
      </c>
      <c r="BN39" s="394" t="e">
        <f t="shared" si="38"/>
        <v>#VALUE!</v>
      </c>
      <c r="BO39" s="394" t="e">
        <f t="shared" si="39"/>
        <v>#VALUE!</v>
      </c>
      <c r="BP39" s="372" t="e">
        <f t="shared" si="10"/>
        <v>#VALUE!</v>
      </c>
      <c r="BR39" s="367"/>
      <c r="BS39" s="368"/>
      <c r="BT39" s="393">
        <v>28</v>
      </c>
      <c r="BU39" s="394" t="e">
        <f t="shared" si="40"/>
        <v>#VALUE!</v>
      </c>
      <c r="BV39" s="394" t="e">
        <f t="shared" si="41"/>
        <v>#VALUE!</v>
      </c>
      <c r="BW39" s="395" t="e">
        <f t="shared" si="42"/>
        <v>#VALUE!</v>
      </c>
      <c r="BY39" s="367"/>
      <c r="BZ39" s="368"/>
      <c r="CA39" s="393">
        <v>28</v>
      </c>
      <c r="CB39" s="394" t="e">
        <f t="shared" si="43"/>
        <v>#VALUE!</v>
      </c>
      <c r="CC39" s="394" t="e">
        <f t="shared" si="44"/>
        <v>#VALUE!</v>
      </c>
      <c r="CD39" s="395" t="e">
        <f t="shared" si="45"/>
        <v>#VALUE!</v>
      </c>
      <c r="CF39" s="367"/>
      <c r="CG39" s="368"/>
      <c r="CH39" s="393">
        <v>28</v>
      </c>
      <c r="CI39" s="394" t="e">
        <f t="shared" si="46"/>
        <v>#VALUE!</v>
      </c>
      <c r="CJ39" s="394" t="e">
        <f t="shared" si="47"/>
        <v>#VALUE!</v>
      </c>
      <c r="CK39" s="395" t="e">
        <f t="shared" si="48"/>
        <v>#VALUE!</v>
      </c>
      <c r="CM39" s="367"/>
      <c r="CN39" s="368"/>
      <c r="CO39" s="393">
        <v>28</v>
      </c>
      <c r="CP39" s="394" t="e">
        <f t="shared" si="49"/>
        <v>#VALUE!</v>
      </c>
      <c r="CQ39" s="394" t="e">
        <f t="shared" si="50"/>
        <v>#VALUE!</v>
      </c>
      <c r="CR39" s="395" t="e">
        <f t="shared" si="51"/>
        <v>#VALUE!</v>
      </c>
      <c r="CT39" s="367"/>
      <c r="CU39" s="368"/>
      <c r="CV39" s="393">
        <v>28</v>
      </c>
      <c r="CW39" s="394" t="e">
        <f t="shared" si="52"/>
        <v>#VALUE!</v>
      </c>
      <c r="CX39" s="394" t="e">
        <f t="shared" si="53"/>
        <v>#VALUE!</v>
      </c>
      <c r="CY39" s="395" t="e">
        <f t="shared" si="54"/>
        <v>#VALUE!</v>
      </c>
      <c r="DA39" s="367"/>
      <c r="DB39" s="368"/>
      <c r="DC39" s="393">
        <v>28</v>
      </c>
      <c r="DD39" s="394" t="e">
        <f t="shared" si="55"/>
        <v>#VALUE!</v>
      </c>
      <c r="DE39" s="394" t="e">
        <f t="shared" si="56"/>
        <v>#VALUE!</v>
      </c>
      <c r="DF39" s="395" t="e">
        <f t="shared" si="57"/>
        <v>#VALUE!</v>
      </c>
      <c r="DH39" s="367"/>
      <c r="DI39" s="368"/>
      <c r="DJ39" s="393">
        <v>28</v>
      </c>
      <c r="DK39" s="394" t="e">
        <f t="shared" si="58"/>
        <v>#VALUE!</v>
      </c>
      <c r="DL39" s="394" t="e">
        <f t="shared" si="59"/>
        <v>#VALUE!</v>
      </c>
      <c r="DM39" s="395" t="e">
        <f t="shared" si="60"/>
        <v>#VALUE!</v>
      </c>
      <c r="DO39" s="367"/>
    </row>
    <row r="40" spans="1:119" ht="15.75" customHeight="1" x14ac:dyDescent="0.35">
      <c r="A40" s="67" t="s">
        <v>857</v>
      </c>
      <c r="B40" s="1168">
        <f>+IFERROR(IF(B19/B17&lt;Cut_off_between_low_and_high_C_N,B15*B17*n2o_landfill*N_to_N2O_conversion,0),"N/A")</f>
        <v>3.9646022551205595E-3</v>
      </c>
      <c r="C40" s="1169"/>
      <c r="D40" s="1168">
        <f>+IFERROR(IF(D19/D17&lt;Cut_off_between_low_and_high_C_N,D15*D17*n2o_landfill*N_to_N2O_conversion,0),"N/A")</f>
        <v>0</v>
      </c>
      <c r="E40" s="1170"/>
      <c r="F40" s="1168">
        <f>+IFERROR(IF(F19/F17&lt;Cut_off_between_low_and_high_C_N,F15*F17*n2o_landfill*N_to_N2O_conversion,0),"N/A")</f>
        <v>0</v>
      </c>
      <c r="G40" s="1170"/>
      <c r="H40" s="1168">
        <f>+IFERROR(IF(H19/H17&lt;Cut_off_between_low_and_high_C_N,H15*H17*n2o_landfill*N_to_N2O_conversion,0),"N/A")</f>
        <v>0</v>
      </c>
      <c r="I40" s="1170"/>
      <c r="J40" s="1168">
        <f>+IFERROR(IF(J19/J17&lt;Cut_off_between_low_and_high_C_N,J15*J17*n2o_landfill*N_to_N2O_conversion,0),"N/A")</f>
        <v>0</v>
      </c>
      <c r="K40" s="1170"/>
      <c r="L40" s="1168">
        <f>+IFERROR(IF(L19/L17&lt;Cut_off_between_low_and_high_C_N,L15*L17*n2o_landfill*N_to_N2O_conversion,0),"N/A")</f>
        <v>0</v>
      </c>
      <c r="M40" s="1170"/>
      <c r="N40" s="1168">
        <f>+IFERROR(IF(N19/N17&lt;Cut_off_between_low_and_high_C_N,N15*N17*n2o_landfill*N_to_N2O_conversion,0),"N/A")</f>
        <v>0</v>
      </c>
      <c r="O40" s="1170"/>
      <c r="P40" s="1168">
        <f>+IFERROR(IF(P19/P17&lt;Cut_off_between_low_and_high_C_N,P15*P17*n2o_landfill*N_to_N2O_conversion,0),"N/A")</f>
        <v>0</v>
      </c>
      <c r="Q40" s="1170"/>
      <c r="R40" s="1168">
        <f>+IFERROR(IF(R19/R17&lt;Cut_off_between_low_and_high_C_N,R15*R17*n2o_landfill*N_to_N2O_conversion,0),"N/A")</f>
        <v>0</v>
      </c>
      <c r="S40" s="1170"/>
      <c r="T40" s="1168">
        <f>+IFERROR(IF(T19/T17&lt;Cut_off_between_low_and_high_C_N,T15*T17*n2o_landfill*N_to_N2O_conversion,0),"N/A")</f>
        <v>0</v>
      </c>
      <c r="U40" s="423"/>
      <c r="AS40" t="s">
        <v>415</v>
      </c>
      <c r="AU40"/>
      <c r="AV40"/>
      <c r="AW40" s="96"/>
      <c r="AX40" s="368">
        <f t="shared" si="31"/>
        <v>28</v>
      </c>
      <c r="AY40" s="393">
        <v>29</v>
      </c>
      <c r="AZ40" s="394" t="e">
        <f t="shared" si="32"/>
        <v>#VALUE!</v>
      </c>
      <c r="BA40" s="394" t="e">
        <f t="shared" si="33"/>
        <v>#VALUE!</v>
      </c>
      <c r="BB40" s="395" t="e">
        <f t="shared" si="34"/>
        <v>#VALUE!</v>
      </c>
      <c r="BD40" s="367"/>
      <c r="BE40" s="96"/>
      <c r="BF40" s="393">
        <v>29</v>
      </c>
      <c r="BG40" s="394" t="e">
        <f t="shared" si="35"/>
        <v>#VALUE!</v>
      </c>
      <c r="BH40" s="400" t="e">
        <f t="shared" si="36"/>
        <v>#VALUE!</v>
      </c>
      <c r="BI40" s="395" t="e">
        <f t="shared" si="37"/>
        <v>#VALUE!</v>
      </c>
      <c r="BK40" s="367"/>
      <c r="BL40" s="368"/>
      <c r="BM40" s="393">
        <v>29</v>
      </c>
      <c r="BN40" s="394" t="e">
        <f t="shared" si="38"/>
        <v>#VALUE!</v>
      </c>
      <c r="BO40" s="394" t="e">
        <f t="shared" si="39"/>
        <v>#VALUE!</v>
      </c>
      <c r="BP40" s="372" t="e">
        <f t="shared" si="10"/>
        <v>#VALUE!</v>
      </c>
      <c r="BR40" s="367"/>
      <c r="BS40" s="368"/>
      <c r="BT40" s="393">
        <v>29</v>
      </c>
      <c r="BU40" s="394" t="e">
        <f t="shared" si="40"/>
        <v>#VALUE!</v>
      </c>
      <c r="BV40" s="394" t="e">
        <f t="shared" si="41"/>
        <v>#VALUE!</v>
      </c>
      <c r="BW40" s="395" t="e">
        <f t="shared" si="42"/>
        <v>#VALUE!</v>
      </c>
      <c r="BY40" s="367"/>
      <c r="BZ40" s="368"/>
      <c r="CA40" s="393">
        <v>29</v>
      </c>
      <c r="CB40" s="394" t="e">
        <f t="shared" si="43"/>
        <v>#VALUE!</v>
      </c>
      <c r="CC40" s="394" t="e">
        <f t="shared" si="44"/>
        <v>#VALUE!</v>
      </c>
      <c r="CD40" s="395" t="e">
        <f t="shared" si="45"/>
        <v>#VALUE!</v>
      </c>
      <c r="CF40" s="367"/>
      <c r="CG40" s="368"/>
      <c r="CH40" s="393">
        <v>29</v>
      </c>
      <c r="CI40" s="394" t="e">
        <f t="shared" si="46"/>
        <v>#VALUE!</v>
      </c>
      <c r="CJ40" s="394" t="e">
        <f t="shared" si="47"/>
        <v>#VALUE!</v>
      </c>
      <c r="CK40" s="395" t="e">
        <f t="shared" si="48"/>
        <v>#VALUE!</v>
      </c>
      <c r="CM40" s="367"/>
      <c r="CN40" s="368"/>
      <c r="CO40" s="393">
        <v>29</v>
      </c>
      <c r="CP40" s="394" t="e">
        <f t="shared" si="49"/>
        <v>#VALUE!</v>
      </c>
      <c r="CQ40" s="394" t="e">
        <f t="shared" si="50"/>
        <v>#VALUE!</v>
      </c>
      <c r="CR40" s="395" t="e">
        <f t="shared" si="51"/>
        <v>#VALUE!</v>
      </c>
      <c r="CT40" s="367"/>
      <c r="CU40" s="368"/>
      <c r="CV40" s="393">
        <v>29</v>
      </c>
      <c r="CW40" s="394" t="e">
        <f t="shared" si="52"/>
        <v>#VALUE!</v>
      </c>
      <c r="CX40" s="394" t="e">
        <f t="shared" si="53"/>
        <v>#VALUE!</v>
      </c>
      <c r="CY40" s="395" t="e">
        <f t="shared" si="54"/>
        <v>#VALUE!</v>
      </c>
      <c r="DA40" s="367"/>
      <c r="DB40" s="368"/>
      <c r="DC40" s="393">
        <v>29</v>
      </c>
      <c r="DD40" s="394" t="e">
        <f t="shared" si="55"/>
        <v>#VALUE!</v>
      </c>
      <c r="DE40" s="394" t="e">
        <f t="shared" si="56"/>
        <v>#VALUE!</v>
      </c>
      <c r="DF40" s="395" t="e">
        <f t="shared" si="57"/>
        <v>#VALUE!</v>
      </c>
      <c r="DH40" s="367"/>
      <c r="DI40" s="368"/>
      <c r="DJ40" s="393">
        <v>29</v>
      </c>
      <c r="DK40" s="394" t="e">
        <f t="shared" si="58"/>
        <v>#VALUE!</v>
      </c>
      <c r="DL40" s="394" t="e">
        <f t="shared" si="59"/>
        <v>#VALUE!</v>
      </c>
      <c r="DM40" s="395" t="e">
        <f t="shared" si="60"/>
        <v>#VALUE!</v>
      </c>
      <c r="DO40" s="367"/>
    </row>
    <row r="41" spans="1:119" ht="15.75" customHeight="1" thickBot="1" x14ac:dyDescent="0.35">
      <c r="A41" s="417" t="s">
        <v>12</v>
      </c>
      <c r="B41" s="250">
        <f>+B40*CO2E_of_N2O_Climate_Reg</f>
        <v>1.1814514720259268</v>
      </c>
      <c r="C41" s="276"/>
      <c r="D41" s="250">
        <f>+D40*CO2E_of_N2O_Climate_Reg</f>
        <v>0</v>
      </c>
      <c r="E41" s="276"/>
      <c r="F41" s="250">
        <f>+F40*CO2E_of_N2O_Climate_Reg</f>
        <v>0</v>
      </c>
      <c r="G41" s="276"/>
      <c r="H41" s="250">
        <f>+H40*CO2E_of_N2O_Climate_Reg</f>
        <v>0</v>
      </c>
      <c r="I41" s="276"/>
      <c r="J41" s="250">
        <f>+J40*CO2E_of_N2O_Climate_Reg</f>
        <v>0</v>
      </c>
      <c r="K41" s="276"/>
      <c r="L41" s="250">
        <f>+L40*CO2E_of_N2O_Climate_Reg</f>
        <v>0</v>
      </c>
      <c r="M41" s="276"/>
      <c r="N41" s="250">
        <f>+N40*CO2E_of_N2O_Climate_Reg</f>
        <v>0</v>
      </c>
      <c r="O41" s="276"/>
      <c r="P41" s="250">
        <f>+P40*CO2E_of_N2O_Climate_Reg</f>
        <v>0</v>
      </c>
      <c r="Q41" s="276"/>
      <c r="R41" s="250">
        <f>+R40*CO2E_of_N2O_Climate_Reg</f>
        <v>0</v>
      </c>
      <c r="S41" s="276"/>
      <c r="T41" s="250">
        <f>+T40*CO2E_of_N2O_Climate_Reg</f>
        <v>0</v>
      </c>
      <c r="U41" s="433"/>
      <c r="AS41" t="s">
        <v>416</v>
      </c>
      <c r="AU41"/>
      <c r="AV41"/>
      <c r="AW41" s="96"/>
      <c r="AX41" s="424">
        <f t="shared" si="31"/>
        <v>29</v>
      </c>
      <c r="AY41" s="425">
        <v>30</v>
      </c>
      <c r="AZ41" s="426" t="e">
        <f t="shared" si="32"/>
        <v>#VALUE!</v>
      </c>
      <c r="BA41" s="426" t="e">
        <f t="shared" si="33"/>
        <v>#VALUE!</v>
      </c>
      <c r="BB41" s="427" t="e">
        <f t="shared" si="34"/>
        <v>#VALUE!</v>
      </c>
      <c r="BC41" s="428"/>
      <c r="BD41" s="429"/>
      <c r="BE41" s="430"/>
      <c r="BF41" s="425">
        <v>30</v>
      </c>
      <c r="BG41" s="426" t="e">
        <f t="shared" si="35"/>
        <v>#VALUE!</v>
      </c>
      <c r="BH41" s="431" t="e">
        <f t="shared" si="36"/>
        <v>#VALUE!</v>
      </c>
      <c r="BI41" s="427" t="e">
        <f t="shared" si="37"/>
        <v>#VALUE!</v>
      </c>
      <c r="BJ41" s="428"/>
      <c r="BK41" s="429"/>
      <c r="BL41" s="424"/>
      <c r="BM41" s="425">
        <v>30</v>
      </c>
      <c r="BN41" s="426" t="e">
        <f t="shared" si="38"/>
        <v>#VALUE!</v>
      </c>
      <c r="BO41" s="426" t="e">
        <f t="shared" si="39"/>
        <v>#VALUE!</v>
      </c>
      <c r="BP41" s="610" t="e">
        <f t="shared" si="10"/>
        <v>#VALUE!</v>
      </c>
      <c r="BQ41" s="428"/>
      <c r="BR41" s="429"/>
      <c r="BS41" s="424"/>
      <c r="BT41" s="425">
        <v>30</v>
      </c>
      <c r="BU41" s="426" t="e">
        <f t="shared" si="40"/>
        <v>#VALUE!</v>
      </c>
      <c r="BV41" s="426" t="e">
        <f t="shared" si="41"/>
        <v>#VALUE!</v>
      </c>
      <c r="BW41" s="427" t="e">
        <f t="shared" si="42"/>
        <v>#VALUE!</v>
      </c>
      <c r="BX41" s="428"/>
      <c r="BY41" s="429"/>
      <c r="BZ41" s="424"/>
      <c r="CA41" s="425">
        <v>30</v>
      </c>
      <c r="CB41" s="426" t="e">
        <f t="shared" si="43"/>
        <v>#VALUE!</v>
      </c>
      <c r="CC41" s="426" t="e">
        <f t="shared" si="44"/>
        <v>#VALUE!</v>
      </c>
      <c r="CD41" s="427" t="e">
        <f t="shared" si="45"/>
        <v>#VALUE!</v>
      </c>
      <c r="CE41" s="428"/>
      <c r="CF41" s="429"/>
      <c r="CG41" s="424"/>
      <c r="CH41" s="425">
        <v>30</v>
      </c>
      <c r="CI41" s="426" t="e">
        <f t="shared" si="46"/>
        <v>#VALUE!</v>
      </c>
      <c r="CJ41" s="426" t="e">
        <f t="shared" si="47"/>
        <v>#VALUE!</v>
      </c>
      <c r="CK41" s="427" t="e">
        <f t="shared" si="48"/>
        <v>#VALUE!</v>
      </c>
      <c r="CL41" s="428"/>
      <c r="CM41" s="429"/>
      <c r="CN41" s="424"/>
      <c r="CO41" s="425">
        <v>30</v>
      </c>
      <c r="CP41" s="426" t="e">
        <f t="shared" si="49"/>
        <v>#VALUE!</v>
      </c>
      <c r="CQ41" s="426" t="e">
        <f t="shared" si="50"/>
        <v>#VALUE!</v>
      </c>
      <c r="CR41" s="427" t="e">
        <f t="shared" si="51"/>
        <v>#VALUE!</v>
      </c>
      <c r="CS41" s="428"/>
      <c r="CT41" s="429"/>
      <c r="CU41" s="424"/>
      <c r="CV41" s="425">
        <v>30</v>
      </c>
      <c r="CW41" s="426" t="e">
        <f t="shared" si="52"/>
        <v>#VALUE!</v>
      </c>
      <c r="CX41" s="426" t="e">
        <f t="shared" si="53"/>
        <v>#VALUE!</v>
      </c>
      <c r="CY41" s="427" t="e">
        <f t="shared" si="54"/>
        <v>#VALUE!</v>
      </c>
      <c r="CZ41" s="428"/>
      <c r="DA41" s="429"/>
      <c r="DB41" s="424"/>
      <c r="DC41" s="425">
        <v>30</v>
      </c>
      <c r="DD41" s="426" t="e">
        <f t="shared" si="55"/>
        <v>#VALUE!</v>
      </c>
      <c r="DE41" s="426" t="e">
        <f t="shared" si="56"/>
        <v>#VALUE!</v>
      </c>
      <c r="DF41" s="427" t="e">
        <f t="shared" si="57"/>
        <v>#VALUE!</v>
      </c>
      <c r="DG41" s="428"/>
      <c r="DH41" s="429"/>
      <c r="DI41" s="424"/>
      <c r="DJ41" s="425">
        <v>30</v>
      </c>
      <c r="DK41" s="426" t="e">
        <f t="shared" si="58"/>
        <v>#VALUE!</v>
      </c>
      <c r="DL41" s="426" t="e">
        <f t="shared" si="59"/>
        <v>#VALUE!</v>
      </c>
      <c r="DM41" s="427" t="e">
        <f t="shared" si="60"/>
        <v>#VALUE!</v>
      </c>
      <c r="DN41" s="428"/>
      <c r="DO41" s="429"/>
    </row>
    <row r="42" spans="1:119" ht="15.75" customHeight="1" thickBot="1" x14ac:dyDescent="0.3">
      <c r="A42" s="277"/>
      <c r="B42" s="337"/>
      <c r="C42" s="302"/>
      <c r="D42" s="434"/>
      <c r="E42" s="302"/>
      <c r="F42" s="434"/>
      <c r="G42" s="302"/>
      <c r="H42" s="434"/>
      <c r="I42" s="302"/>
      <c r="J42" s="434"/>
      <c r="K42" s="302"/>
      <c r="L42" s="434"/>
      <c r="M42" s="302"/>
      <c r="N42" s="434"/>
      <c r="O42" s="302"/>
      <c r="P42" s="434"/>
      <c r="Q42" s="302"/>
      <c r="R42" s="434"/>
      <c r="S42" s="302"/>
      <c r="T42" s="434"/>
      <c r="U42" s="302"/>
      <c r="AS42" t="s">
        <v>420</v>
      </c>
      <c r="AU42"/>
      <c r="AV42"/>
      <c r="AW42" s="96"/>
    </row>
    <row r="43" spans="1:119" ht="15.75" customHeight="1" thickBot="1" x14ac:dyDescent="0.3">
      <c r="A43" s="1300" t="s">
        <v>235</v>
      </c>
      <c r="B43" s="1301"/>
      <c r="C43" s="1301"/>
      <c r="D43" s="1301"/>
      <c r="E43" s="1301"/>
      <c r="F43" s="1301"/>
      <c r="G43" s="1301"/>
      <c r="H43" s="1301"/>
      <c r="I43" s="1301"/>
      <c r="J43" s="1301"/>
      <c r="K43" s="1301"/>
      <c r="L43" s="1301"/>
      <c r="M43" s="1301"/>
      <c r="N43" s="1301"/>
      <c r="O43" s="1301"/>
      <c r="P43" s="1301"/>
      <c r="Q43" s="1301"/>
      <c r="R43" s="1301"/>
      <c r="S43" s="1301"/>
      <c r="T43" s="1301"/>
      <c r="U43" s="1302"/>
      <c r="AS43" t="s">
        <v>422</v>
      </c>
      <c r="AU43" s="105"/>
      <c r="AV43"/>
      <c r="AW43" s="96"/>
      <c r="AX43" s="96"/>
      <c r="AY43" s="96"/>
    </row>
    <row r="44" spans="1:119" ht="15.75" customHeight="1" x14ac:dyDescent="0.3">
      <c r="A44" s="241" t="s">
        <v>858</v>
      </c>
      <c r="B44" s="454" t="e">
        <f>+-B20*(1-B27)*C_to_CO2_conversion</f>
        <v>#VALUE!</v>
      </c>
      <c r="C44" s="455"/>
      <c r="D44" s="435" t="e">
        <f>+-D20*(1-D27)*C_to_CO2_conversion</f>
        <v>#VALUE!</v>
      </c>
      <c r="E44" s="436"/>
      <c r="F44" s="435" t="e">
        <f>+-F20*(1-F27)*C_to_CO2_conversion</f>
        <v>#VALUE!</v>
      </c>
      <c r="G44" s="436"/>
      <c r="H44" s="435" t="e">
        <f>+-H20*(1-H27)*C_to_CO2_conversion</f>
        <v>#VALUE!</v>
      </c>
      <c r="I44" s="436"/>
      <c r="J44" s="435" t="e">
        <f>+-J20*(1-J27)*C_to_CO2_conversion</f>
        <v>#VALUE!</v>
      </c>
      <c r="K44" s="436"/>
      <c r="L44" s="435" t="e">
        <f>+-L20*(1-L27)*C_to_CO2_conversion</f>
        <v>#VALUE!</v>
      </c>
      <c r="M44" s="436"/>
      <c r="N44" s="435" t="e">
        <f>+-N20*(1-N27)*C_to_CO2_conversion</f>
        <v>#VALUE!</v>
      </c>
      <c r="O44" s="436"/>
      <c r="P44" s="435" t="e">
        <f>+-P20*(1-P27)*C_to_CO2_conversion</f>
        <v>#VALUE!</v>
      </c>
      <c r="Q44" s="436"/>
      <c r="R44" s="435" t="e">
        <f>+-R20*(1-R27)*C_to_CO2_conversion</f>
        <v>#VALUE!</v>
      </c>
      <c r="S44" s="436"/>
      <c r="T44" s="435" t="e">
        <f>+-T20*(1-T27)*C_to_CO2_conversion</f>
        <v>#VALUE!</v>
      </c>
      <c r="U44" s="436"/>
      <c r="AV44"/>
    </row>
    <row r="45" spans="1:119" ht="15.75" customHeight="1" thickBot="1" x14ac:dyDescent="0.3">
      <c r="A45" s="456"/>
      <c r="B45" s="344"/>
      <c r="C45" s="281"/>
      <c r="D45" s="437"/>
      <c r="E45" s="433"/>
      <c r="F45" s="437"/>
      <c r="G45" s="433"/>
      <c r="H45" s="437"/>
      <c r="I45" s="433"/>
      <c r="J45" s="437"/>
      <c r="K45" s="433"/>
      <c r="L45" s="437"/>
      <c r="M45" s="433"/>
      <c r="N45" s="437"/>
      <c r="O45" s="433"/>
      <c r="P45" s="437"/>
      <c r="Q45" s="433"/>
      <c r="R45" s="437"/>
      <c r="S45" s="433"/>
      <c r="T45" s="437"/>
      <c r="U45" s="433"/>
      <c r="AV45"/>
    </row>
    <row r="46" spans="1:119" ht="15.75" customHeight="1" thickBot="1" x14ac:dyDescent="0.3">
      <c r="A46" s="1300" t="s">
        <v>155</v>
      </c>
      <c r="B46" s="1301"/>
      <c r="C46" s="1301"/>
      <c r="D46" s="1301"/>
      <c r="E46" s="1301"/>
      <c r="F46" s="1301"/>
      <c r="G46" s="1301"/>
      <c r="H46" s="1301"/>
      <c r="I46" s="1301"/>
      <c r="J46" s="1301"/>
      <c r="K46" s="1301"/>
      <c r="L46" s="1301"/>
      <c r="M46" s="1301"/>
      <c r="N46" s="1301"/>
      <c r="O46" s="1301"/>
      <c r="P46" s="1301"/>
      <c r="Q46" s="1301"/>
      <c r="R46" s="1301"/>
      <c r="S46" s="1301"/>
      <c r="T46" s="1301"/>
      <c r="U46" s="1302"/>
      <c r="AV46"/>
    </row>
    <row r="47" spans="1:119" ht="15.75" customHeight="1" x14ac:dyDescent="0.25">
      <c r="A47" s="457" t="s">
        <v>284</v>
      </c>
      <c r="B47" s="467" t="str">
        <f>+IFERROR(B$20*landfill_uncertainty*C_to_CH4_conversion*CH4_in_landfill_gas*B$27*B$21*(($AS$11*$BB$12)+($AS$12*$BB$13)+($AS$13*SUM($BB$14:$BB$19))+($AS$14*SUM($BB$20:$BB$41)))*B$25*btu_value_methane_epa_2004*Conversion_of_BtU_to_kWh*Net_capacity_factor_EPA_2006*Mg_kg/density_of_CH4_at_STP,"N/A")</f>
        <v>N/A</v>
      </c>
      <c r="C47" s="471"/>
      <c r="D47" s="467" t="str">
        <f>+IFERROR(D$20*landfill_uncertainty*C_to_CH4_conversion*CH4_in_landfill_gas*D$27*D$21*(($AS$11*$BI$12)+($AS$12*$BI$13)+($AS$13*SUM($BI$14:$BI$19))+($AS$14*SUM($BI$20:$BI$41)))*D$25*btu_value_methane_epa_2004*Conversion_of_BtU_to_kWh*Net_capacity_factor_EPA_2006*Mg_kg/density_of_CH4_at_STP,"N/A")</f>
        <v>N/A</v>
      </c>
      <c r="E47" s="438"/>
      <c r="F47" s="467" t="str">
        <f>+IFERROR(F$20*landfill_uncertainty*C_to_CH4_conversion*CH4_in_landfill_gas*F$27*F$21*(($AS$11*$BP$12)+($AS$12*$BP$13)+($AS$13*SUM($BP$14:$BP$19))+($AS$14*SUM($BP$20:$BP$41)))*F$25*btu_value_methane_epa_2004*Conversion_of_BtU_to_kWh*Net_capacity_factor_EPA_2006*Mg_kg/density_of_CH4_at_STP,"N/A")</f>
        <v>N/A</v>
      </c>
      <c r="G47" s="438"/>
      <c r="H47" s="467" t="str">
        <f>+IFERROR(H$20*landfill_uncertainty*C_to_CH4_conversion*CH4_in_landfill_gas*H$27*H$21*(($AS$11*$BW$12)+($AS$12*$BW$13)+($AS$13*SUM($BW$14:$BW$19))+($AS$14*SUM($BW$20:$BW$41)))*H$25*btu_value_methane_epa_2004*Conversion_of_BtU_to_kWh*Net_capacity_factor_EPA_2006*Mg_kg/density_of_CH4_at_STP,"N/A")</f>
        <v>N/A</v>
      </c>
      <c r="I47" s="438"/>
      <c r="J47" s="467" t="str">
        <f>+IFERROR(J$20*landfill_uncertainty*C_to_CH4_conversion*CH4_in_landfill_gas*J$27*J$21*(($AS$11*$CD$12)+($AS$12*$CD$13)+($AS$13*SUM($CD$14:$CD$19))+($AS$14*SUM($CD$20:$CD$41)))*J$25*btu_value_methane_epa_2004*Conversion_of_BtU_to_kWh*Net_capacity_factor_EPA_2006*Mg_kg/density_of_CH4_at_STP,"N/A")</f>
        <v>N/A</v>
      </c>
      <c r="K47" s="438"/>
      <c r="L47" s="467" t="str">
        <f>+IFERROR(L$20*landfill_uncertainty*C_to_CH4_conversion*CH4_in_landfill_gas*L$27*L$21*(($AS$11*$CK$12)+($AS$12*$CK$13)+($AS$13*SUM($CK$14:$CK$19))+($AS$14*SUM($CK$20:$CK$41)))*L$25*btu_value_methane_epa_2004*Conversion_of_BtU_to_kWh*Net_capacity_factor_EPA_2006*Mg_kg/density_of_CH4_at_STP,"N/A")</f>
        <v>N/A</v>
      </c>
      <c r="M47" s="438"/>
      <c r="N47" s="467" t="str">
        <f>+IFERROR(N$20*landfill_uncertainty*C_to_CH4_conversion*CH4_in_landfill_gas*N$27*N$21*(($AS$11*$CR$12)+($AS$12*$CR$13)+($AS$13*SUM($CR$14:$CR$19))+($AS$14*SUM($CR$20:$CR$41)))*N$25*btu_value_methane_epa_2004*Conversion_of_BtU_to_kWh*Net_capacity_factor_EPA_2006*Mg_kg/density_of_CH4_at_STP,"N/A")</f>
        <v>N/A</v>
      </c>
      <c r="O47" s="438"/>
      <c r="P47" s="467" t="str">
        <f>+IFERROR(P$20*landfill_uncertainty*C_to_CH4_conversion*CH4_in_landfill_gas*P$27*P$21*(($AS$11*$CY$12)+($AS$12*$CY$13)+($AS$13*SUM($CY$14:$CY$19))+($AS$14*SUM($CY$20:$CY$41)))*P$25*btu_value_methane_epa_2004*Conversion_of_BtU_to_kWh*Net_capacity_factor_EPA_2006*Mg_kg/density_of_CH4_at_STP,"N/A")</f>
        <v>N/A</v>
      </c>
      <c r="Q47" s="438"/>
      <c r="R47" s="467" t="str">
        <f>+IFERROR(R$20*landfill_uncertainty*C_to_CH4_conversion*CH4_in_landfill_gas*R$27*R$21*(($AS$11*$DF$12)+($AS$12*$DF$13)+($AS$13*SUM($DF$14:$DF$19))+($AS$14*SUM($DF$20:$DF$41)))*R$25*btu_value_methane_epa_2004*Conversion_of_BtU_to_kWh*Net_capacity_factor_EPA_2006*Mg_kg/density_of_CH4_at_STP,"N/A")</f>
        <v>N/A</v>
      </c>
      <c r="S47" s="438"/>
      <c r="T47" s="467" t="str">
        <f>+IFERROR(T$20*landfill_uncertainty*C_to_CH4_conversion*CH4_in_landfill_gas*T$27*T$21*(($AS$11*$DM$12)+($AS$12*$DM$13)+($AS$13*SUM($DM$14:$DM$19))+($AS$14*SUM($DM$20:$DM$41)))*T$25*btu_value_methane_epa_2004*Conversion_of_BtU_to_kWh*Net_capacity_factor_EPA_2006*Mg_kg/density_of_CH4_at_STP,"N/A")</f>
        <v>N/A</v>
      </c>
      <c r="U47" s="438"/>
      <c r="AV47"/>
    </row>
    <row r="48" spans="1:119" ht="15.75" customHeight="1" x14ac:dyDescent="0.3">
      <c r="A48" s="168" t="s">
        <v>16</v>
      </c>
      <c r="B48" s="252" t="e">
        <f>-B47*GHG_emissions_factors_by_province/1000000</f>
        <v>#VALUE!</v>
      </c>
      <c r="C48" s="276"/>
      <c r="D48" s="236" t="e">
        <f>-D47*GHG_emissions_factors_by_province/1000000</f>
        <v>#VALUE!</v>
      </c>
      <c r="E48" s="276"/>
      <c r="F48" s="236" t="e">
        <f>-F47*GHG_emissions_factors_by_province/1000000</f>
        <v>#VALUE!</v>
      </c>
      <c r="G48" s="276"/>
      <c r="H48" s="236" t="e">
        <f>-H47*GHG_emissions_factors_by_province/1000000</f>
        <v>#VALUE!</v>
      </c>
      <c r="I48" s="276"/>
      <c r="J48" s="236" t="e">
        <f>-J47*GHG_emissions_factors_by_province/1000000</f>
        <v>#VALUE!</v>
      </c>
      <c r="K48" s="276"/>
      <c r="L48" s="236" t="e">
        <f>-L47*GHG_emissions_factors_by_province/1000000</f>
        <v>#VALUE!</v>
      </c>
      <c r="M48" s="276"/>
      <c r="N48" s="236" t="e">
        <f>-N47*GHG_emissions_factors_by_province/1000000</f>
        <v>#VALUE!</v>
      </c>
      <c r="O48" s="276"/>
      <c r="P48" s="236" t="e">
        <f>-P47*GHG_emissions_factors_by_province/1000000</f>
        <v>#VALUE!</v>
      </c>
      <c r="Q48" s="276"/>
      <c r="R48" s="236" t="e">
        <f>-R47*GHG_emissions_factors_by_province/1000000</f>
        <v>#VALUE!</v>
      </c>
      <c r="S48" s="276"/>
      <c r="T48" s="236" t="e">
        <f>-T47*GHG_emissions_factors_by_province/1000000</f>
        <v>#VALUE!</v>
      </c>
      <c r="U48" s="276"/>
      <c r="AV48"/>
    </row>
    <row r="49" spans="1:67" ht="15.75" customHeight="1" x14ac:dyDescent="0.3">
      <c r="A49" s="417" t="s">
        <v>81</v>
      </c>
      <c r="B49" s="1110" t="e">
        <f>+B$20*landfill_uncertainty*CH4_in_landfill_gas*B$27*'Landfill Disposal Typical'!B21*(($AS$11*$BB$12)+($AS$12*$BB$13)+($AS$13*SUM($BB$14:$BB$19))+($AS$14*SUM($BB$20:$BB$41)))*(1-methane_fugitive_during_combustion_IPCC)*C_to_CO2_conversion</f>
        <v>#VALUE!</v>
      </c>
      <c r="C49" s="433"/>
      <c r="D49" s="1110" t="e">
        <f>+D$20*landfill_uncertainty*CH4_in_landfill_gas*D$27*'Landfill Disposal Typical'!D21*(($AS$11*$BI$12)+($AS$12*$BI$13)+($AS$13*SUM($BI$14:$BI$19))+($AS$14*SUM($BI$20:$BI$41)))*(1-methane_fugitive_during_combustion_IPCC)*C_to_CO2_conversion</f>
        <v>#VALUE!</v>
      </c>
      <c r="E49" s="433"/>
      <c r="F49" s="1110" t="e">
        <f>+F$20*landfill_uncertainty*CH4_in_landfill_gas*F$27*'Landfill Disposal Typical'!F21*(($AS$11*$BP$12)+($AS$12*$BP$13)+($AS$13*SUM($BP$14:$BP$19))+($AS$14*SUM($BP$20:$BP$41)))*(1-methane_fugitive_during_combustion_IPCC)*C_to_CO2_conversion</f>
        <v>#VALUE!</v>
      </c>
      <c r="G49" s="433"/>
      <c r="H49" s="1110" t="e">
        <f>+H$20*landfill_uncertainty*CH4_in_landfill_gas*H$27*'Landfill Disposal Typical'!H21*(($AS$11*$BW$12)+($AS$12*$BW$13)+($AS$13*SUM($BW$14:$BW$19))+($AS$14*SUM($BW$20:$BW$41)))*(1-methane_fugitive_during_combustion_IPCC)*C_to_CO2_conversion</f>
        <v>#VALUE!</v>
      </c>
      <c r="I49" s="433"/>
      <c r="J49" s="1110" t="e">
        <f>+J$20*landfill_uncertainty*CH4_in_landfill_gas*J$27*'Landfill Disposal Typical'!J21*(($AS$11*$CD$12)+($AS$12*$CD$13)+($AS$13*SUM($CD$14:$CD$19))+($AS$14*SUM($CD$20:$CD$41)))*(1-methane_fugitive_during_combustion_IPCC)*C_to_CO2_conversion</f>
        <v>#VALUE!</v>
      </c>
      <c r="K49" s="433"/>
      <c r="L49" s="1110" t="e">
        <f>+L$20*landfill_uncertainty*CH4_in_landfill_gas*L$27*'Landfill Disposal Typical'!L21*(($AS$11*$CK$12)+($AS$12*$CK$13)+($AS$13*SUM($CK$14:$CK$19))+($AS$14*SUM($CK$20:$CK$41)))*(1-methane_fugitive_during_combustion_IPCC)*C_to_CO2_conversion</f>
        <v>#VALUE!</v>
      </c>
      <c r="M49" s="433"/>
      <c r="N49" s="1110" t="e">
        <f>+N$20*landfill_uncertainty*CH4_in_landfill_gas*N$27*'Landfill Disposal Typical'!N21*(($AS$11*$CR$12)+($AS$12*$CR$13)+($AS$13*SUM($CR$14:$CR$19))+($AS$14*SUM($CR$20:$CR$41)))*(1-methane_fugitive_during_combustion_IPCC)*C_to_CO2_conversion</f>
        <v>#VALUE!</v>
      </c>
      <c r="O49" s="433"/>
      <c r="P49" s="1110" t="e">
        <f>+P$20*landfill_uncertainty*CH4_in_landfill_gas*P$27*'Landfill Disposal Typical'!P21*(($AS$11*$CY$12)+($AS$12*$CY$13)+($AS$13*SUM($CY$14:$CY$19))+($AS$14*SUM($CY$20:$CY$41)))*(1-methane_fugitive_during_combustion_IPCC)*C_to_CO2_conversion</f>
        <v>#VALUE!</v>
      </c>
      <c r="Q49" s="433"/>
      <c r="R49" s="1110" t="e">
        <f>+R$20*landfill_uncertainty*CH4_in_landfill_gas*R$27*'Landfill Disposal Typical'!R21*(($AS$11*$DF$12)+($AS$12*$DF$13)+($AS$13*SUM($DF$14:$DF$19))+($AS$14*SUM($DF$20:$DF$41)))*(1-methane_fugitive_during_combustion_IPCC)*C_to_CO2_conversion</f>
        <v>#VALUE!</v>
      </c>
      <c r="S49" s="433"/>
      <c r="T49" s="1110" t="e">
        <f>+T$20*landfill_uncertainty*CH4_in_landfill_gas*T$27*'Landfill Disposal Typical'!T21*(($AS$11*$DM$12)+($AS$12*$DM$13)+($AS$13*SUM($DM$14:$DM$19))+($AS$14*SUM($DM$20:$DM$41)))*(1-methane_fugitive_during_combustion_IPCC)*C_to_CO2_conversion</f>
        <v>#VALUE!</v>
      </c>
      <c r="U49" s="433"/>
      <c r="AV49"/>
    </row>
    <row r="50" spans="1:67" ht="15.75" customHeight="1" thickBot="1" x14ac:dyDescent="0.3">
      <c r="A50" s="273"/>
      <c r="B50" s="344"/>
      <c r="C50" s="281"/>
      <c r="D50" s="1112"/>
      <c r="E50" s="281"/>
      <c r="F50" s="1112"/>
      <c r="G50" s="281"/>
      <c r="H50" s="1112"/>
      <c r="I50" s="281"/>
      <c r="J50" s="1112"/>
      <c r="K50" s="281"/>
      <c r="L50" s="1112"/>
      <c r="M50" s="281"/>
      <c r="N50" s="1112"/>
      <c r="O50" s="281"/>
      <c r="P50" s="1112"/>
      <c r="Q50" s="281"/>
      <c r="R50" s="1112"/>
      <c r="S50" s="281"/>
      <c r="T50" s="1112"/>
      <c r="U50" s="281"/>
      <c r="AV50"/>
    </row>
    <row r="51" spans="1:67" ht="15.75" customHeight="1" thickBot="1" x14ac:dyDescent="0.3">
      <c r="A51" s="1300"/>
      <c r="B51" s="1301"/>
      <c r="C51" s="1301"/>
      <c r="D51" s="1301"/>
      <c r="E51" s="1301"/>
      <c r="F51" s="1301"/>
      <c r="G51" s="1301"/>
      <c r="H51" s="1301"/>
      <c r="I51" s="1301"/>
      <c r="J51" s="1301"/>
      <c r="K51" s="1301"/>
      <c r="L51" s="1301"/>
      <c r="M51" s="1301"/>
      <c r="N51" s="1301"/>
      <c r="O51" s="1301"/>
      <c r="P51" s="1301"/>
      <c r="Q51" s="1301"/>
      <c r="R51" s="1301"/>
      <c r="S51" s="1301"/>
      <c r="T51" s="1301"/>
      <c r="U51" s="1302"/>
      <c r="AV51"/>
    </row>
    <row r="52" spans="1:67" ht="15.75" customHeight="1" thickBot="1" x14ac:dyDescent="0.3">
      <c r="A52" s="254" t="s">
        <v>44</v>
      </c>
      <c r="B52" s="282" t="e">
        <f>(B37+B41+B44+B48)*days_yr</f>
        <v>#VALUE!</v>
      </c>
      <c r="C52" s="440"/>
      <c r="D52" s="282" t="e">
        <f>(D37+D41+D44+D48)*days_yr</f>
        <v>#VALUE!</v>
      </c>
      <c r="E52" s="439"/>
      <c r="F52" s="282" t="e">
        <f>(F37+F41+F44+F48)*days_yr</f>
        <v>#VALUE!</v>
      </c>
      <c r="G52" s="439"/>
      <c r="H52" s="282" t="e">
        <f>(H37+H41+H44+H48)*days_yr</f>
        <v>#VALUE!</v>
      </c>
      <c r="I52" s="439"/>
      <c r="J52" s="282" t="e">
        <f>(J37+J41+J44+J48)*days_yr</f>
        <v>#VALUE!</v>
      </c>
      <c r="K52" s="439"/>
      <c r="L52" s="282" t="e">
        <f>(L37+L41+L44+L48)*days_yr</f>
        <v>#VALUE!</v>
      </c>
      <c r="M52" s="439"/>
      <c r="N52" s="282" t="e">
        <f>(N37+N41+N44+N48)*days_yr</f>
        <v>#VALUE!</v>
      </c>
      <c r="O52" s="439"/>
      <c r="P52" s="282" t="e">
        <f>(P37+P41+P44+P48)*days_yr</f>
        <v>#VALUE!</v>
      </c>
      <c r="Q52" s="439"/>
      <c r="R52" s="282" t="e">
        <f>(R37+R41+R44+R48)*days_yr</f>
        <v>#VALUE!</v>
      </c>
      <c r="S52" s="439"/>
      <c r="T52" s="282" t="e">
        <f>(T37+T41+T44+T48)*days_yr</f>
        <v>#VALUE!</v>
      </c>
      <c r="U52" s="440"/>
      <c r="AV52"/>
    </row>
    <row r="53" spans="1:67" ht="15.75" customHeight="1" x14ac:dyDescent="0.25">
      <c r="A53" s="161" t="s">
        <v>228</v>
      </c>
      <c r="B53" s="137" t="e">
        <f>(B37+B41+B44)*days_yr</f>
        <v>#VALUE!</v>
      </c>
      <c r="C53" s="305"/>
      <c r="D53" s="137" t="e">
        <f>(D37+D41+D44)*days_yr</f>
        <v>#VALUE!</v>
      </c>
      <c r="E53" s="96"/>
      <c r="F53" s="137" t="e">
        <f>(F37+F41+F44)*days_yr</f>
        <v>#VALUE!</v>
      </c>
      <c r="G53" s="96"/>
      <c r="H53" s="137" t="e">
        <f>(H37+H41+H44)*days_yr</f>
        <v>#VALUE!</v>
      </c>
      <c r="I53" s="96"/>
      <c r="J53" s="137" t="e">
        <f>(J37+J41+J44)*days_yr</f>
        <v>#VALUE!</v>
      </c>
      <c r="K53" s="96"/>
      <c r="L53" s="137" t="e">
        <f>(L37+L41+L44)*days_yr</f>
        <v>#VALUE!</v>
      </c>
      <c r="M53" s="96"/>
      <c r="N53" s="137" t="e">
        <f>(N37+N41+N44)*days_yr</f>
        <v>#VALUE!</v>
      </c>
      <c r="O53" s="96"/>
      <c r="P53" s="137" t="e">
        <f>(P37+P41+P44)*days_yr</f>
        <v>#VALUE!</v>
      </c>
      <c r="Q53" s="96"/>
      <c r="R53" s="137" t="e">
        <f>(R37+R41+R44)*days_yr</f>
        <v>#VALUE!</v>
      </c>
      <c r="S53" s="96"/>
      <c r="T53" s="137" t="e">
        <f>(T37+T41+T44)*days_yr</f>
        <v>#VALUE!</v>
      </c>
      <c r="U53" s="305"/>
      <c r="AV53"/>
    </row>
    <row r="54" spans="1:67" ht="18.75" customHeight="1" x14ac:dyDescent="0.25">
      <c r="A54" s="168" t="s">
        <v>229</v>
      </c>
      <c r="B54" s="138" t="e">
        <f>B48*days_yr</f>
        <v>#VALUE!</v>
      </c>
      <c r="C54" s="305"/>
      <c r="D54" s="138" t="e">
        <f>D48*days_yr</f>
        <v>#VALUE!</v>
      </c>
      <c r="E54" s="96"/>
      <c r="F54" s="138" t="e">
        <f>F48*days_yr</f>
        <v>#VALUE!</v>
      </c>
      <c r="G54" s="96"/>
      <c r="H54" s="138" t="e">
        <f>H48*days_yr</f>
        <v>#VALUE!</v>
      </c>
      <c r="I54" s="96"/>
      <c r="J54" s="138" t="e">
        <f>J48*days_yr</f>
        <v>#VALUE!</v>
      </c>
      <c r="K54" s="96"/>
      <c r="L54" s="138" t="e">
        <f>L48*days_yr</f>
        <v>#VALUE!</v>
      </c>
      <c r="M54" s="96"/>
      <c r="N54" s="138" t="e">
        <f>N48*days_yr</f>
        <v>#VALUE!</v>
      </c>
      <c r="O54" s="96"/>
      <c r="P54" s="138" t="e">
        <f>P48*days_yr</f>
        <v>#VALUE!</v>
      </c>
      <c r="Q54" s="96"/>
      <c r="R54" s="138" t="e">
        <f>R48*days_yr</f>
        <v>#VALUE!</v>
      </c>
      <c r="S54" s="96"/>
      <c r="T54" s="138" t="e">
        <f>T48*days_yr</f>
        <v>#VALUE!</v>
      </c>
      <c r="U54" s="305"/>
      <c r="AV54"/>
    </row>
    <row r="55" spans="1:67" ht="15.75" customHeight="1" x14ac:dyDescent="0.25">
      <c r="A55" s="168" t="s">
        <v>207</v>
      </c>
      <c r="B55" s="138" t="e">
        <f>B53+B54</f>
        <v>#VALUE!</v>
      </c>
      <c r="C55" s="442"/>
      <c r="D55" s="138" t="e">
        <f>D53+D54</f>
        <v>#VALUE!</v>
      </c>
      <c r="E55" s="441"/>
      <c r="F55" s="138" t="e">
        <f>F53+F54</f>
        <v>#VALUE!</v>
      </c>
      <c r="G55" s="441"/>
      <c r="H55" s="138" t="e">
        <f>H53+H54</f>
        <v>#VALUE!</v>
      </c>
      <c r="I55" s="441"/>
      <c r="J55" s="138" t="e">
        <f>J53+J54</f>
        <v>#VALUE!</v>
      </c>
      <c r="K55" s="441"/>
      <c r="L55" s="138" t="e">
        <f>L53+L54</f>
        <v>#VALUE!</v>
      </c>
      <c r="M55" s="441"/>
      <c r="N55" s="138" t="e">
        <f>N53+N54</f>
        <v>#VALUE!</v>
      </c>
      <c r="O55" s="441"/>
      <c r="P55" s="138" t="e">
        <f>P53+P54</f>
        <v>#VALUE!</v>
      </c>
      <c r="Q55" s="441"/>
      <c r="R55" s="138" t="e">
        <f>R53+R54</f>
        <v>#VALUE!</v>
      </c>
      <c r="S55" s="441"/>
      <c r="T55" s="138" t="e">
        <f>T53+T54</f>
        <v>#VALUE!</v>
      </c>
      <c r="U55" s="442"/>
      <c r="AT55" s="105"/>
      <c r="AU55" s="130"/>
      <c r="AV55"/>
      <c r="AW55" s="96"/>
      <c r="AX55" s="96"/>
      <c r="AY55" s="96"/>
    </row>
    <row r="56" spans="1:67" ht="15.75" customHeight="1" x14ac:dyDescent="0.25">
      <c r="A56" s="168" t="s">
        <v>230</v>
      </c>
      <c r="B56" s="138">
        <v>0</v>
      </c>
      <c r="C56" s="305"/>
      <c r="D56" s="138">
        <v>0</v>
      </c>
      <c r="E56" s="96"/>
      <c r="F56" s="138">
        <v>0</v>
      </c>
      <c r="G56" s="96"/>
      <c r="H56" s="138">
        <v>0</v>
      </c>
      <c r="I56" s="96"/>
      <c r="J56" s="138">
        <v>0</v>
      </c>
      <c r="K56" s="96"/>
      <c r="L56" s="138">
        <v>0</v>
      </c>
      <c r="M56" s="96"/>
      <c r="N56" s="138">
        <v>0</v>
      </c>
      <c r="O56" s="96"/>
      <c r="P56" s="138">
        <v>0</v>
      </c>
      <c r="Q56" s="96"/>
      <c r="R56" s="138">
        <v>0</v>
      </c>
      <c r="S56" s="96"/>
      <c r="T56" s="138">
        <v>0</v>
      </c>
      <c r="U56" s="305"/>
      <c r="AU56" s="130"/>
      <c r="AV56"/>
      <c r="AW56" s="96"/>
      <c r="AX56" s="96"/>
      <c r="AY56" s="96"/>
    </row>
    <row r="57" spans="1:67" ht="15.75" customHeight="1" thickBot="1" x14ac:dyDescent="0.3">
      <c r="A57" s="169" t="s">
        <v>325</v>
      </c>
      <c r="B57" s="140" t="e">
        <f>+B49*days_yr</f>
        <v>#VALUE!</v>
      </c>
      <c r="C57" s="351"/>
      <c r="D57" s="140" t="e">
        <f>+D49*days_yr</f>
        <v>#VALUE!</v>
      </c>
      <c r="E57" s="430"/>
      <c r="F57" s="140" t="e">
        <f>+F49*days_yr</f>
        <v>#VALUE!</v>
      </c>
      <c r="G57" s="430"/>
      <c r="H57" s="140" t="e">
        <f>+H49*days_yr</f>
        <v>#VALUE!</v>
      </c>
      <c r="I57" s="430"/>
      <c r="J57" s="140" t="e">
        <f>+J49*days_yr</f>
        <v>#VALUE!</v>
      </c>
      <c r="K57" s="430"/>
      <c r="L57" s="140" t="e">
        <f>+L49*days_yr</f>
        <v>#VALUE!</v>
      </c>
      <c r="M57" s="430"/>
      <c r="N57" s="140" t="e">
        <f>+N49*days_yr</f>
        <v>#VALUE!</v>
      </c>
      <c r="O57" s="430"/>
      <c r="P57" s="140" t="e">
        <f>+P49*days_yr</f>
        <v>#VALUE!</v>
      </c>
      <c r="Q57" s="430"/>
      <c r="R57" s="140" t="e">
        <f>+R49*days_yr</f>
        <v>#VALUE!</v>
      </c>
      <c r="S57" s="430"/>
      <c r="T57" s="140" t="e">
        <f>+T49*days_yr</f>
        <v>#VALUE!</v>
      </c>
      <c r="U57" s="351"/>
      <c r="AU57" s="130"/>
      <c r="AV57"/>
      <c r="AW57" s="96"/>
      <c r="AX57" s="96"/>
      <c r="AY57" s="96"/>
    </row>
    <row r="58" spans="1:67" ht="15.75" customHeight="1" x14ac:dyDescent="0.25">
      <c r="AU58" s="96"/>
      <c r="AV58"/>
      <c r="AW58" s="96"/>
      <c r="AX58" s="96"/>
      <c r="AY58" s="96"/>
    </row>
    <row r="59" spans="1:67" ht="15.75" customHeight="1" x14ac:dyDescent="0.25">
      <c r="AU59" s="96"/>
      <c r="AV59"/>
      <c r="AW59" s="96"/>
      <c r="AX59" s="96"/>
      <c r="AY59" s="96"/>
    </row>
    <row r="60" spans="1:67" x14ac:dyDescent="0.25">
      <c r="A60" s="96"/>
      <c r="B60" s="444"/>
      <c r="C60" s="96"/>
      <c r="D60" s="96" t="s">
        <v>412</v>
      </c>
      <c r="AU60" s="96"/>
      <c r="AV60"/>
      <c r="AW60" s="96"/>
      <c r="AX60" s="96"/>
      <c r="AY60" s="96"/>
    </row>
    <row r="61" spans="1:67" s="105" customFormat="1" ht="18" x14ac:dyDescent="0.25">
      <c r="A61" s="176" t="s">
        <v>97</v>
      </c>
      <c r="B61" s="155"/>
      <c r="AU61" s="96"/>
      <c r="AV61"/>
      <c r="AW61" s="96"/>
      <c r="AX61" s="96"/>
      <c r="AY61" s="96"/>
      <c r="AZ61" s="355"/>
      <c r="BA61" s="355"/>
      <c r="BB61" s="355"/>
      <c r="BC61" s="355"/>
      <c r="BD61" s="355"/>
      <c r="BE61" s="355"/>
      <c r="BF61" s="355"/>
      <c r="BG61" s="355"/>
      <c r="BH61" s="355"/>
      <c r="BI61" s="355"/>
      <c r="BJ61" s="355"/>
      <c r="BK61" s="355"/>
      <c r="BL61" s="355"/>
      <c r="BM61" s="355"/>
      <c r="BN61" s="355"/>
      <c r="BO61" s="355"/>
    </row>
    <row r="62" spans="1:67" s="105" customFormat="1" ht="54.75" customHeight="1" x14ac:dyDescent="0.25">
      <c r="A62" s="1335" t="s">
        <v>33</v>
      </c>
      <c r="B62" s="1336"/>
      <c r="C62" s="1336"/>
      <c r="AV62"/>
    </row>
    <row r="63" spans="1:67" s="105" customFormat="1" ht="15.75" customHeight="1" x14ac:dyDescent="0.25">
      <c r="A63" s="1035" t="s">
        <v>107</v>
      </c>
      <c r="B63" s="1036"/>
      <c r="C63" s="1036"/>
      <c r="AV63"/>
    </row>
    <row r="64" spans="1:67" s="96" customFormat="1" ht="15" x14ac:dyDescent="0.25">
      <c r="B64" s="1234" t="s">
        <v>110</v>
      </c>
      <c r="C64" s="1235"/>
      <c r="D64" s="1235"/>
      <c r="E64" s="1236"/>
      <c r="AU64" s="105"/>
      <c r="AV64"/>
      <c r="AW64" s="105"/>
      <c r="AX64" s="105"/>
      <c r="AY64" s="105"/>
      <c r="AZ64" s="105"/>
      <c r="BA64" s="105"/>
      <c r="BB64" s="105"/>
      <c r="BC64" s="105"/>
      <c r="BD64" s="105"/>
      <c r="BE64" s="105"/>
      <c r="BF64" s="105"/>
      <c r="BG64" s="105"/>
      <c r="BH64" s="105"/>
      <c r="BI64" s="105"/>
      <c r="BJ64" s="105"/>
      <c r="BK64" s="105"/>
      <c r="BL64" s="105"/>
      <c r="BM64" s="105"/>
      <c r="BN64" s="105"/>
      <c r="BO64" s="105"/>
    </row>
    <row r="65" spans="1:67" x14ac:dyDescent="0.25">
      <c r="A65" s="96"/>
      <c r="B65" s="1231" t="s">
        <v>31</v>
      </c>
      <c r="C65" s="1232"/>
      <c r="D65" s="1233"/>
      <c r="E65" s="563">
        <v>0</v>
      </c>
      <c r="AU65" s="96"/>
      <c r="AV65"/>
      <c r="AW65" s="96"/>
      <c r="AX65" s="96"/>
      <c r="AY65" s="96"/>
      <c r="AZ65" s="96"/>
      <c r="BA65" s="96"/>
      <c r="BB65" s="96"/>
      <c r="BC65" s="96"/>
      <c r="BD65" s="96"/>
      <c r="BE65" s="96"/>
      <c r="BF65" s="96"/>
      <c r="BG65" s="96"/>
      <c r="BH65" s="96"/>
      <c r="BI65" s="96"/>
      <c r="BJ65" s="96"/>
      <c r="BK65" s="96"/>
      <c r="BL65" s="96"/>
      <c r="BM65" s="96"/>
      <c r="BN65" s="96"/>
      <c r="BO65" s="96"/>
    </row>
    <row r="66" spans="1:67" x14ac:dyDescent="0.25">
      <c r="A66" s="96"/>
      <c r="B66" s="1231" t="s">
        <v>32</v>
      </c>
      <c r="C66" s="1232"/>
      <c r="D66" s="1233"/>
      <c r="E66" s="564">
        <v>0</v>
      </c>
      <c r="AU66" s="96"/>
      <c r="AV66"/>
      <c r="AW66" s="96"/>
      <c r="AX66" s="96"/>
      <c r="AY66" s="96"/>
    </row>
    <row r="67" spans="1:67" x14ac:dyDescent="0.25">
      <c r="A67" s="96"/>
      <c r="B67" s="1231" t="s">
        <v>615</v>
      </c>
      <c r="C67" s="1232"/>
      <c r="D67" s="1233"/>
      <c r="E67" s="565">
        <v>0</v>
      </c>
      <c r="AU67" s="96"/>
      <c r="AV67"/>
      <c r="AW67" s="96"/>
      <c r="AX67" s="96"/>
      <c r="AY67" s="96"/>
    </row>
    <row r="68" spans="1:67" x14ac:dyDescent="0.25">
      <c r="A68" s="96"/>
      <c r="B68" s="1231" t="s">
        <v>70</v>
      </c>
      <c r="C68" s="1232"/>
      <c r="D68" s="1233"/>
      <c r="E68" s="566">
        <v>0</v>
      </c>
      <c r="AU68" s="96"/>
      <c r="AV68"/>
      <c r="AW68" s="96"/>
      <c r="AX68" s="96"/>
      <c r="AY68" s="96"/>
    </row>
    <row r="69" spans="1:67" x14ac:dyDescent="0.25">
      <c r="A69" s="96"/>
      <c r="B69" s="1231" t="s">
        <v>550</v>
      </c>
      <c r="C69" s="1232"/>
      <c r="D69" s="1233"/>
      <c r="E69" s="567">
        <v>0</v>
      </c>
      <c r="AU69" s="96"/>
      <c r="AV69"/>
      <c r="AW69" s="96"/>
      <c r="AX69" s="96"/>
      <c r="AY69" s="96"/>
    </row>
    <row r="70" spans="1:67" x14ac:dyDescent="0.25">
      <c r="A70" s="96"/>
      <c r="B70" s="1231" t="s">
        <v>610</v>
      </c>
      <c r="C70" s="1232"/>
      <c r="D70" s="1233"/>
      <c r="E70" s="227">
        <v>0</v>
      </c>
      <c r="AU70" s="96"/>
      <c r="AV70"/>
      <c r="AW70" s="96"/>
      <c r="AX70" s="96"/>
      <c r="AY70" s="96"/>
    </row>
    <row r="71" spans="1:67" x14ac:dyDescent="0.25">
      <c r="A71" s="96"/>
      <c r="B71" s="96"/>
      <c r="C71" s="96"/>
      <c r="D71" s="96"/>
      <c r="AU71" s="96"/>
      <c r="AV71"/>
      <c r="AW71" s="96"/>
      <c r="AX71" s="96"/>
      <c r="AY71" s="96"/>
    </row>
    <row r="72" spans="1:67" x14ac:dyDescent="0.25">
      <c r="A72" s="96"/>
      <c r="B72" s="96"/>
      <c r="C72" s="96"/>
      <c r="D72" s="96"/>
      <c r="AU72" s="96"/>
      <c r="AV72"/>
      <c r="AW72" s="96"/>
      <c r="AX72" s="96"/>
      <c r="AY72" s="96"/>
    </row>
    <row r="73" spans="1:67" x14ac:dyDescent="0.25">
      <c r="A73" s="96"/>
      <c r="B73" s="96"/>
      <c r="C73" s="96"/>
      <c r="D73" s="96"/>
      <c r="AU73" s="96"/>
      <c r="AV73"/>
      <c r="AW73" s="96"/>
      <c r="AX73" s="96"/>
      <c r="AY73" s="96"/>
    </row>
    <row r="74" spans="1:67" x14ac:dyDescent="0.25">
      <c r="A74" s="96"/>
      <c r="B74" s="96"/>
      <c r="C74" s="96"/>
      <c r="D74" s="96"/>
      <c r="AU74" s="96"/>
      <c r="AV74"/>
      <c r="AW74" s="96"/>
      <c r="AX74" s="96"/>
      <c r="AY74" s="96"/>
    </row>
    <row r="75" spans="1:67" x14ac:dyDescent="0.25">
      <c r="A75" s="96"/>
      <c r="B75" s="96"/>
      <c r="C75" s="96"/>
      <c r="D75" s="96"/>
      <c r="AU75" s="96"/>
      <c r="AV75"/>
      <c r="AW75" s="96"/>
      <c r="AX75" s="96"/>
      <c r="AY75" s="96"/>
    </row>
    <row r="76" spans="1:67" x14ac:dyDescent="0.25">
      <c r="A76" s="96"/>
      <c r="B76" s="96"/>
      <c r="C76" s="96"/>
      <c r="D76" s="96"/>
      <c r="AU76" s="96"/>
      <c r="AV76"/>
      <c r="AW76" s="96"/>
      <c r="AX76" s="96"/>
      <c r="AY76" s="96"/>
    </row>
    <row r="77" spans="1:67" x14ac:dyDescent="0.25">
      <c r="A77" s="96"/>
      <c r="B77" s="96"/>
      <c r="C77" s="96"/>
      <c r="D77" s="96"/>
      <c r="AU77" s="96"/>
      <c r="AV77"/>
      <c r="AW77" s="96"/>
      <c r="AX77" s="96"/>
      <c r="AY77" s="96"/>
    </row>
    <row r="78" spans="1:67" x14ac:dyDescent="0.25">
      <c r="A78" s="96"/>
      <c r="B78" s="96"/>
      <c r="C78" s="96"/>
      <c r="D78" s="96"/>
      <c r="AU78" s="96"/>
      <c r="AV78"/>
      <c r="AW78" s="96"/>
      <c r="AX78" s="96"/>
      <c r="AY78" s="96"/>
    </row>
    <row r="79" spans="1:67" x14ac:dyDescent="0.25">
      <c r="A79" s="96"/>
      <c r="B79" s="96"/>
      <c r="C79" s="96"/>
      <c r="D79" s="96"/>
      <c r="AU79" s="96"/>
      <c r="AV79"/>
      <c r="AW79" s="96"/>
      <c r="AX79" s="96"/>
      <c r="AY79" s="96"/>
    </row>
    <row r="80" spans="1:67" x14ac:dyDescent="0.25">
      <c r="A80" s="96"/>
      <c r="C80" s="459"/>
      <c r="AU80" s="96"/>
      <c r="AV80"/>
      <c r="AW80" s="96"/>
      <c r="AX80" s="96"/>
      <c r="AY80" s="96"/>
    </row>
    <row r="81" spans="1:51" x14ac:dyDescent="0.25">
      <c r="A81" s="96"/>
      <c r="C81" s="459"/>
      <c r="AU81" s="96"/>
      <c r="AV81"/>
      <c r="AW81" s="96"/>
      <c r="AX81" s="96"/>
      <c r="AY81" s="96"/>
    </row>
    <row r="82" spans="1:51" x14ac:dyDescent="0.25">
      <c r="A82" s="96"/>
      <c r="C82" s="460"/>
      <c r="AU82" s="96"/>
      <c r="AV82"/>
      <c r="AW82" s="96"/>
      <c r="AX82" s="96"/>
      <c r="AY82" s="96"/>
    </row>
    <row r="83" spans="1:51" x14ac:dyDescent="0.25">
      <c r="A83" s="96"/>
      <c r="C83" s="460"/>
      <c r="AU83" s="96"/>
      <c r="AV83"/>
      <c r="AW83" s="96"/>
      <c r="AX83" s="96"/>
      <c r="AY83" s="96"/>
    </row>
    <row r="84" spans="1:51" x14ac:dyDescent="0.25">
      <c r="A84" s="96"/>
      <c r="C84" s="460"/>
      <c r="AU84" s="96"/>
      <c r="AV84"/>
      <c r="AW84" s="96"/>
      <c r="AX84" s="96"/>
      <c r="AY84" s="96"/>
    </row>
    <row r="85" spans="1:51" x14ac:dyDescent="0.25">
      <c r="A85" s="96"/>
      <c r="B85" s="96"/>
      <c r="C85" s="96"/>
      <c r="D85" s="96"/>
      <c r="AU85" s="96"/>
      <c r="AV85"/>
      <c r="AW85" s="96"/>
      <c r="AX85" s="96"/>
      <c r="AY85" s="96"/>
    </row>
    <row r="86" spans="1:51" x14ac:dyDescent="0.25">
      <c r="A86" s="96"/>
      <c r="B86" s="96"/>
      <c r="C86" s="96"/>
      <c r="D86" s="96"/>
      <c r="AU86" s="96"/>
      <c r="AV86"/>
      <c r="AW86" s="96"/>
      <c r="AX86" s="96"/>
      <c r="AY86" s="96"/>
    </row>
    <row r="87" spans="1:51" x14ac:dyDescent="0.25">
      <c r="A87" s="96"/>
      <c r="B87" s="96"/>
      <c r="C87" s="96"/>
      <c r="D87" s="96"/>
      <c r="AU87" s="96"/>
      <c r="AV87"/>
      <c r="AW87" s="96"/>
      <c r="AX87" s="96"/>
      <c r="AY87" s="96"/>
    </row>
    <row r="88" spans="1:51" x14ac:dyDescent="0.25">
      <c r="A88" s="96"/>
      <c r="B88" s="96"/>
      <c r="C88" s="96"/>
      <c r="D88" s="96"/>
      <c r="AU88" s="96"/>
      <c r="AV88"/>
      <c r="AW88" s="96"/>
      <c r="AX88" s="96"/>
      <c r="AY88" s="96"/>
    </row>
    <row r="89" spans="1:51" x14ac:dyDescent="0.25">
      <c r="A89" s="96"/>
      <c r="B89" s="96"/>
      <c r="C89" s="96"/>
      <c r="D89" s="96"/>
      <c r="AU89" s="96"/>
      <c r="AV89"/>
      <c r="AW89" s="96"/>
      <c r="AX89" s="96"/>
      <c r="AY89" s="96"/>
    </row>
    <row r="90" spans="1:51" x14ac:dyDescent="0.25">
      <c r="A90" s="96"/>
      <c r="B90" s="96"/>
      <c r="C90" s="96"/>
      <c r="D90" s="96"/>
      <c r="AU90" s="96"/>
      <c r="AV90"/>
      <c r="AW90" s="96"/>
      <c r="AX90" s="96"/>
      <c r="AY90" s="96"/>
    </row>
    <row r="91" spans="1:51" x14ac:dyDescent="0.25">
      <c r="A91" s="96"/>
      <c r="B91" s="96"/>
      <c r="C91" s="96"/>
      <c r="D91" s="96"/>
      <c r="AU91" s="96"/>
      <c r="AV91"/>
      <c r="AW91" s="96"/>
      <c r="AX91" s="96"/>
      <c r="AY91" s="96"/>
    </row>
    <row r="92" spans="1:51" x14ac:dyDescent="0.25">
      <c r="A92" s="96"/>
      <c r="B92" s="96"/>
      <c r="C92" s="96"/>
      <c r="D92" s="96"/>
      <c r="AU92" s="96"/>
      <c r="AV92"/>
      <c r="AW92" s="96"/>
      <c r="AX92" s="96"/>
      <c r="AY92" s="96"/>
    </row>
    <row r="93" spans="1:51" x14ac:dyDescent="0.25">
      <c r="A93" s="96"/>
      <c r="B93" s="96"/>
      <c r="C93" s="96"/>
      <c r="D93" s="96"/>
      <c r="AU93" s="96"/>
      <c r="AV93"/>
      <c r="AW93" s="96"/>
      <c r="AX93" s="96"/>
      <c r="AY93" s="96"/>
    </row>
    <row r="94" spans="1:51" x14ac:dyDescent="0.25">
      <c r="A94" s="96"/>
      <c r="B94" s="96"/>
      <c r="C94" s="96"/>
      <c r="D94" s="96"/>
      <c r="AU94" s="96"/>
      <c r="AV94"/>
      <c r="AW94" s="96"/>
      <c r="AX94" s="96"/>
      <c r="AY94" s="96"/>
    </row>
    <row r="95" spans="1:51" x14ac:dyDescent="0.25">
      <c r="A95" s="96"/>
      <c r="B95" s="96"/>
      <c r="C95" s="96"/>
      <c r="D95" s="96"/>
      <c r="AU95" s="96"/>
      <c r="AV95"/>
      <c r="AW95" s="96"/>
      <c r="AX95" s="96"/>
      <c r="AY95" s="96"/>
    </row>
    <row r="96" spans="1:51" x14ac:dyDescent="0.25">
      <c r="A96" s="96"/>
      <c r="B96" s="96"/>
      <c r="C96" s="96"/>
      <c r="D96" s="96"/>
      <c r="AU96" s="96"/>
      <c r="AV96"/>
      <c r="AW96" s="96"/>
      <c r="AX96" s="96"/>
      <c r="AY96" s="96"/>
    </row>
    <row r="97" spans="1:51" x14ac:dyDescent="0.25">
      <c r="A97" s="96"/>
      <c r="B97" s="96"/>
      <c r="C97" s="96"/>
      <c r="D97" s="96"/>
      <c r="AU97" s="96"/>
      <c r="AV97"/>
      <c r="AW97" s="96"/>
      <c r="AX97" s="96"/>
      <c r="AY97" s="96"/>
    </row>
    <row r="98" spans="1:51" x14ac:dyDescent="0.25">
      <c r="A98" s="96"/>
      <c r="B98" s="96"/>
      <c r="C98" s="96"/>
      <c r="D98" s="96"/>
      <c r="AU98" s="96"/>
      <c r="AV98"/>
      <c r="AW98" s="96"/>
      <c r="AX98" s="96"/>
      <c r="AY98" s="96"/>
    </row>
    <row r="99" spans="1:51" x14ac:dyDescent="0.25">
      <c r="A99" s="96"/>
      <c r="B99" s="96"/>
      <c r="C99" s="96"/>
      <c r="D99" s="96"/>
      <c r="AU99" s="96"/>
      <c r="AV99"/>
      <c r="AW99" s="96"/>
      <c r="AX99" s="96"/>
      <c r="AY99" s="96"/>
    </row>
    <row r="100" spans="1:51" x14ac:dyDescent="0.25">
      <c r="A100" s="96"/>
      <c r="B100" s="96"/>
      <c r="C100" s="96"/>
      <c r="D100" s="96"/>
      <c r="AU100" s="96"/>
      <c r="AV100"/>
      <c r="AW100" s="96"/>
      <c r="AX100" s="96"/>
      <c r="AY100" s="96"/>
    </row>
    <row r="101" spans="1:51" x14ac:dyDescent="0.25">
      <c r="A101" s="96"/>
      <c r="B101" s="96"/>
      <c r="C101" s="96"/>
      <c r="D101" s="96"/>
      <c r="AU101" s="96"/>
      <c r="AV101"/>
      <c r="AW101" s="96"/>
      <c r="AX101" s="96"/>
      <c r="AY101" s="96"/>
    </row>
    <row r="102" spans="1:51" x14ac:dyDescent="0.25">
      <c r="A102" s="96"/>
      <c r="B102" s="96"/>
      <c r="C102" s="96"/>
      <c r="D102" s="96"/>
      <c r="AU102" s="96"/>
      <c r="AV102"/>
      <c r="AW102" s="96"/>
      <c r="AX102" s="96"/>
      <c r="AY102" s="96"/>
    </row>
    <row r="103" spans="1:51" x14ac:dyDescent="0.25">
      <c r="A103" s="96"/>
      <c r="B103" s="96"/>
      <c r="C103" s="96"/>
      <c r="D103" s="96"/>
      <c r="AU103" s="96"/>
      <c r="AV103"/>
      <c r="AW103" s="96"/>
      <c r="AX103" s="96"/>
      <c r="AY103" s="96"/>
    </row>
    <row r="104" spans="1:51" x14ac:dyDescent="0.25">
      <c r="A104" s="96"/>
      <c r="B104" s="96"/>
      <c r="C104" s="96"/>
      <c r="D104" s="96"/>
      <c r="AU104" s="96"/>
      <c r="AV104"/>
      <c r="AW104" s="96"/>
      <c r="AX104" s="96"/>
      <c r="AY104" s="96"/>
    </row>
    <row r="105" spans="1:51" x14ac:dyDescent="0.25">
      <c r="A105" s="96"/>
      <c r="B105" s="96"/>
      <c r="C105" s="96"/>
      <c r="D105" s="96"/>
      <c r="AU105" s="96"/>
      <c r="AV105"/>
      <c r="AW105" s="96"/>
      <c r="AX105" s="96"/>
      <c r="AY105" s="96"/>
    </row>
    <row r="106" spans="1:51" x14ac:dyDescent="0.25">
      <c r="A106" s="96"/>
      <c r="B106" s="96"/>
      <c r="C106" s="96"/>
      <c r="D106" s="96"/>
      <c r="AU106" s="96"/>
      <c r="AV106"/>
      <c r="AW106" s="96"/>
      <c r="AX106" s="96"/>
      <c r="AY106" s="96"/>
    </row>
    <row r="107" spans="1:51" x14ac:dyDescent="0.25">
      <c r="A107" s="96"/>
      <c r="B107" s="96"/>
      <c r="C107" s="96"/>
      <c r="D107" s="96"/>
      <c r="AU107" s="96"/>
      <c r="AV107"/>
      <c r="AW107" s="96"/>
      <c r="AX107" s="96"/>
      <c r="AY107" s="96"/>
    </row>
    <row r="108" spans="1:51" x14ac:dyDescent="0.25">
      <c r="A108" s="96"/>
      <c r="B108" s="96"/>
      <c r="C108" s="96"/>
      <c r="D108" s="96"/>
      <c r="AU108" s="96"/>
      <c r="AV108"/>
      <c r="AW108" s="96"/>
      <c r="AX108" s="96"/>
      <c r="AY108" s="96"/>
    </row>
    <row r="109" spans="1:51" x14ac:dyDescent="0.25">
      <c r="A109" s="96"/>
      <c r="B109" s="96"/>
      <c r="C109" s="96"/>
      <c r="D109" s="96"/>
      <c r="AU109" s="96"/>
      <c r="AV109"/>
      <c r="AW109" s="96"/>
      <c r="AX109" s="96"/>
      <c r="AY109" s="96"/>
    </row>
    <row r="110" spans="1:51" x14ac:dyDescent="0.25">
      <c r="A110" s="96"/>
      <c r="B110" s="96"/>
      <c r="C110" s="96"/>
      <c r="D110" s="96"/>
      <c r="AU110" s="96"/>
      <c r="AV110"/>
      <c r="AW110" s="96"/>
      <c r="AX110" s="96"/>
      <c r="AY110" s="96"/>
    </row>
    <row r="111" spans="1:51" x14ac:dyDescent="0.25">
      <c r="A111" s="96"/>
      <c r="B111" s="96"/>
      <c r="C111" s="96"/>
      <c r="D111" s="96"/>
      <c r="AU111" s="96"/>
      <c r="AV111"/>
      <c r="AW111" s="96"/>
      <c r="AX111" s="96"/>
      <c r="AY111" s="96"/>
    </row>
    <row r="112" spans="1:51" x14ac:dyDescent="0.25">
      <c r="A112" s="96"/>
      <c r="B112" s="96"/>
      <c r="C112" s="96"/>
      <c r="D112" s="96"/>
      <c r="AU112" s="96"/>
      <c r="AV112"/>
      <c r="AW112" s="96"/>
      <c r="AX112" s="96"/>
      <c r="AY112" s="96"/>
    </row>
    <row r="113" spans="1:51" x14ac:dyDescent="0.25">
      <c r="A113" s="96"/>
      <c r="B113" s="96"/>
      <c r="C113" s="96"/>
      <c r="D113" s="96"/>
      <c r="AU113" s="96"/>
      <c r="AV113"/>
      <c r="AW113" s="96"/>
      <c r="AX113" s="96"/>
      <c r="AY113" s="96"/>
    </row>
    <row r="114" spans="1:51" x14ac:dyDescent="0.25">
      <c r="A114" s="96"/>
      <c r="B114" s="96"/>
      <c r="C114" s="96"/>
      <c r="D114" s="96"/>
      <c r="AU114" s="96"/>
      <c r="AV114"/>
      <c r="AW114" s="96"/>
      <c r="AX114" s="96"/>
      <c r="AY114" s="96"/>
    </row>
    <row r="115" spans="1:51" x14ac:dyDescent="0.25">
      <c r="A115" s="96"/>
      <c r="B115" s="96"/>
      <c r="C115" s="96"/>
      <c r="D115" s="96"/>
      <c r="AU115" s="96"/>
      <c r="AV115"/>
      <c r="AW115" s="96"/>
      <c r="AX115" s="96"/>
      <c r="AY115" s="96"/>
    </row>
    <row r="116" spans="1:51" x14ac:dyDescent="0.25">
      <c r="A116" s="96"/>
      <c r="B116" s="96"/>
      <c r="C116" s="96"/>
      <c r="D116" s="96"/>
      <c r="AU116" s="96"/>
      <c r="AV116"/>
      <c r="AW116" s="96"/>
      <c r="AX116" s="96"/>
      <c r="AY116" s="96"/>
    </row>
    <row r="117" spans="1:51" x14ac:dyDescent="0.25">
      <c r="A117" s="96"/>
      <c r="B117" s="96"/>
      <c r="C117" s="96"/>
      <c r="D117" s="96"/>
      <c r="AU117" s="96"/>
      <c r="AV117"/>
      <c r="AW117" s="96"/>
      <c r="AX117" s="96"/>
      <c r="AY117" s="96"/>
    </row>
    <row r="118" spans="1:51" x14ac:dyDescent="0.25">
      <c r="A118" s="96"/>
      <c r="B118" s="96"/>
      <c r="C118" s="96"/>
      <c r="D118" s="96"/>
      <c r="AU118" s="96"/>
      <c r="AV118"/>
      <c r="AW118" s="96"/>
      <c r="AX118" s="96"/>
      <c r="AY118" s="96"/>
    </row>
    <row r="119" spans="1:51" x14ac:dyDescent="0.25">
      <c r="A119" s="96"/>
      <c r="B119" s="96"/>
      <c r="C119" s="96"/>
      <c r="D119" s="96"/>
      <c r="AU119" s="96"/>
      <c r="AV119" s="96"/>
      <c r="AW119" s="96"/>
      <c r="AX119" s="96"/>
      <c r="AY119" s="96"/>
    </row>
    <row r="120" spans="1:51" x14ac:dyDescent="0.25">
      <c r="A120" s="96"/>
      <c r="B120" s="96"/>
      <c r="C120" s="96"/>
      <c r="D120" s="96"/>
      <c r="AU120" s="96"/>
      <c r="AV120" s="96"/>
      <c r="AW120" s="96"/>
      <c r="AX120" s="96"/>
      <c r="AY120" s="96"/>
    </row>
    <row r="121" spans="1:51" x14ac:dyDescent="0.25">
      <c r="A121" s="96"/>
      <c r="B121" s="96"/>
      <c r="C121" s="96"/>
      <c r="D121" s="96"/>
      <c r="AU121" s="96"/>
      <c r="AV121" s="96"/>
      <c r="AW121" s="96"/>
      <c r="AX121" s="96"/>
      <c r="AY121" s="96"/>
    </row>
    <row r="122" spans="1:51" x14ac:dyDescent="0.25">
      <c r="A122" s="96"/>
      <c r="B122" s="96"/>
      <c r="C122" s="96"/>
      <c r="D122" s="96"/>
      <c r="AU122" s="96"/>
      <c r="AV122" s="96"/>
      <c r="AW122" s="96"/>
      <c r="AX122" s="96"/>
      <c r="AY122" s="96"/>
    </row>
    <row r="123" spans="1:51" x14ac:dyDescent="0.25">
      <c r="A123" s="96"/>
      <c r="B123" s="96"/>
      <c r="C123" s="96"/>
      <c r="D123" s="96"/>
      <c r="AU123" s="96"/>
      <c r="AV123" s="96"/>
      <c r="AW123" s="96"/>
      <c r="AX123" s="96"/>
      <c r="AY123" s="96"/>
    </row>
    <row r="124" spans="1:51" x14ac:dyDescent="0.25">
      <c r="A124" s="96"/>
      <c r="B124" s="96"/>
      <c r="C124" s="96"/>
      <c r="D124" s="96"/>
      <c r="AU124" s="96"/>
      <c r="AV124" s="96"/>
      <c r="AW124" s="96"/>
      <c r="AX124" s="96"/>
      <c r="AY124" s="96"/>
    </row>
    <row r="125" spans="1:51" x14ac:dyDescent="0.25">
      <c r="A125" s="96"/>
      <c r="B125" s="96"/>
      <c r="C125" s="96"/>
      <c r="D125" s="96"/>
      <c r="AU125" s="96"/>
      <c r="AV125" s="96"/>
      <c r="AW125" s="96"/>
      <c r="AX125" s="96"/>
      <c r="AY125" s="96"/>
    </row>
    <row r="126" spans="1:51" x14ac:dyDescent="0.25">
      <c r="A126" s="96"/>
      <c r="B126" s="96"/>
      <c r="C126" s="96"/>
      <c r="D126" s="96"/>
      <c r="E126" s="96"/>
      <c r="F126" s="96"/>
      <c r="G126" s="96"/>
      <c r="H126" s="96"/>
      <c r="I126" s="96"/>
      <c r="AU126" s="96"/>
      <c r="AV126" s="96"/>
      <c r="AW126" s="96"/>
      <c r="AX126" s="96"/>
      <c r="AY126" s="96"/>
    </row>
  </sheetData>
  <sheetProtection algorithmName="SHA-512" hashValue="uDjjBx/s3vZEgeRIuE0soWQtkfwSV/lRq62ZXBVcfKrtkrhK4+u58kfR05BSj0SA4IETmUCjEIt3AvbUeevdHQ==" saltValue="MJoedqQFs/yj93y9SHDHDQ==" spinCount="100000" sheet="1" objects="1" scenarios="1"/>
  <mergeCells count="35">
    <mergeCell ref="A31:U31"/>
    <mergeCell ref="A39:U39"/>
    <mergeCell ref="A43:U43"/>
    <mergeCell ref="A46:U46"/>
    <mergeCell ref="A51:U51"/>
    <mergeCell ref="P10:Q10"/>
    <mergeCell ref="R10:S10"/>
    <mergeCell ref="R9:S9"/>
    <mergeCell ref="H9:I9"/>
    <mergeCell ref="J9:K9"/>
    <mergeCell ref="L9:M9"/>
    <mergeCell ref="N9:O9"/>
    <mergeCell ref="P9:Q9"/>
    <mergeCell ref="A62:C62"/>
    <mergeCell ref="B64:E64"/>
    <mergeCell ref="T10:U10"/>
    <mergeCell ref="A12:U12"/>
    <mergeCell ref="A9:A10"/>
    <mergeCell ref="B9:C9"/>
    <mergeCell ref="D9:E9"/>
    <mergeCell ref="F9:G9"/>
    <mergeCell ref="T9:U9"/>
    <mergeCell ref="B10:C10"/>
    <mergeCell ref="D10:E10"/>
    <mergeCell ref="F10:G10"/>
    <mergeCell ref="H10:I10"/>
    <mergeCell ref="J10:K10"/>
    <mergeCell ref="L10:M10"/>
    <mergeCell ref="N10:O10"/>
    <mergeCell ref="B70:D70"/>
    <mergeCell ref="B65:D65"/>
    <mergeCell ref="B66:D66"/>
    <mergeCell ref="B67:D67"/>
    <mergeCell ref="B68:D68"/>
    <mergeCell ref="B69:D69"/>
  </mergeCells>
  <dataValidations disablePrompts="1" count="4">
    <dataValidation type="list" allowBlank="1" showInputMessage="1" showErrorMessage="1" sqref="J22 L22 N22 P22 R22 B22 H22 D22 F22 T22" xr:uid="{00000000-0002-0000-1500-000000000000}">
      <formula1>Landfill_cover_quality</formula1>
    </dataValidation>
    <dataValidation type="list" allowBlank="1" showInputMessage="1" showErrorMessage="1" sqref="J16 L16 N16 P16 R16 B16 H16 D16 F16 T16" xr:uid="{00000000-0002-0000-1500-000001000000}">
      <formula1>Yes_No</formula1>
    </dataValidation>
    <dataValidation type="list" allowBlank="1" showInputMessage="1" showErrorMessage="1" sqref="B28 N28 P28 R28 D28 F28 H28 J28 L28 T28" xr:uid="{00000000-0002-0000-1500-000002000000}">
      <formula1>Landfill_climate</formula1>
    </dataValidation>
    <dataValidation type="list" allowBlank="1" showInputMessage="1" showErrorMessage="1" sqref="B26 P26 R26 D26 F26 H26 J26 L26 N26 T26" xr:uid="{00000000-0002-0000-1500-000003000000}">
      <formula1>Select_DOCf</formula1>
    </dataValidation>
  </dataValidations>
  <pageMargins left="0.7" right="0.7" top="0.75" bottom="0.75" header="0.3" footer="0.3"/>
  <pageSetup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U69"/>
  <sheetViews>
    <sheetView workbookViewId="0"/>
  </sheetViews>
  <sheetFormatPr defaultColWidth="11.42578125" defaultRowHeight="14.25" x14ac:dyDescent="0.2"/>
  <cols>
    <col min="1" max="1" width="79.140625" style="226" customWidth="1"/>
    <col min="2" max="2" width="17.85546875" style="226" customWidth="1"/>
    <col min="3" max="3" width="16.85546875" style="226" customWidth="1"/>
    <col min="4" max="4" width="17.85546875" style="226" customWidth="1"/>
    <col min="5" max="5" width="16.85546875" style="226" customWidth="1"/>
    <col min="6" max="6" width="17.85546875" style="226" customWidth="1"/>
    <col min="7" max="7" width="16.85546875" style="226" customWidth="1"/>
    <col min="8" max="8" width="17.85546875" style="226" customWidth="1"/>
    <col min="9" max="9" width="16.85546875" style="226" customWidth="1"/>
    <col min="10" max="10" width="17.85546875" style="226" customWidth="1"/>
    <col min="11" max="11" width="16.85546875" style="226" customWidth="1"/>
    <col min="12" max="12" width="17.85546875" style="226" customWidth="1"/>
    <col min="13" max="13" width="16.85546875" style="226" customWidth="1"/>
    <col min="14" max="14" width="17.85546875" style="226" customWidth="1"/>
    <col min="15" max="15" width="16.85546875" style="226" customWidth="1"/>
    <col min="16" max="16" width="17.85546875" style="226" customWidth="1"/>
    <col min="17" max="17" width="16.85546875" style="226" customWidth="1"/>
    <col min="18" max="18" width="17.85546875" style="226" customWidth="1"/>
    <col min="19" max="19" width="16.85546875" style="226" customWidth="1"/>
    <col min="20" max="20" width="17.85546875" style="226" customWidth="1"/>
    <col min="21" max="21" width="16.85546875" style="226" customWidth="1"/>
    <col min="22" max="16384" width="11.42578125" style="226"/>
  </cols>
  <sheetData>
    <row r="1" spans="1:21" ht="15" thickBot="1" x14ac:dyDescent="0.25"/>
    <row r="2" spans="1:21" ht="15.75" customHeight="1" x14ac:dyDescent="0.2">
      <c r="A2" s="1318" t="s">
        <v>545</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ht="15.75" customHeight="1" thickBot="1" x14ac:dyDescent="0.3">
      <c r="A5" s="1300" t="s">
        <v>621</v>
      </c>
      <c r="B5" s="1301"/>
      <c r="C5" s="1301"/>
      <c r="D5" s="1301"/>
      <c r="E5" s="1301"/>
      <c r="F5" s="1301"/>
      <c r="G5" s="1301"/>
      <c r="H5" s="1301"/>
      <c r="I5" s="1301"/>
      <c r="J5" s="1301"/>
      <c r="K5" s="1301"/>
      <c r="L5" s="1301"/>
      <c r="M5" s="1301"/>
      <c r="N5" s="1301"/>
      <c r="O5" s="1301"/>
      <c r="P5" s="1301"/>
      <c r="Q5" s="1301"/>
      <c r="R5" s="1301"/>
      <c r="S5" s="1301"/>
      <c r="T5" s="1301"/>
      <c r="U5" s="1302"/>
    </row>
    <row r="6" spans="1:21" ht="15.75" customHeight="1" x14ac:dyDescent="0.2">
      <c r="A6" s="245" t="s">
        <v>862</v>
      </c>
      <c r="B6" s="9"/>
      <c r="C6" s="264"/>
      <c r="D6" s="9"/>
      <c r="E6" s="588"/>
      <c r="F6" s="9"/>
      <c r="G6" s="588"/>
      <c r="H6" s="9"/>
      <c r="I6" s="588"/>
      <c r="J6" s="9"/>
      <c r="K6" s="588"/>
      <c r="L6" s="9"/>
      <c r="M6" s="588"/>
      <c r="N6" s="9"/>
      <c r="O6" s="588"/>
      <c r="P6" s="9"/>
      <c r="Q6" s="588"/>
      <c r="R6" s="9" t="s">
        <v>270</v>
      </c>
      <c r="S6" s="588"/>
      <c r="T6" s="9"/>
      <c r="U6" s="588"/>
    </row>
    <row r="7" spans="1:21" ht="15.75" customHeight="1" x14ac:dyDescent="0.2">
      <c r="A7" s="451" t="s">
        <v>949</v>
      </c>
      <c r="B7" s="740" t="str">
        <f>IF(B6='References Assumptions'!$C$339,'Amount and Destination'!$AH23/days_yr," ")</f>
        <v xml:space="preserve"> </v>
      </c>
      <c r="C7" s="264"/>
      <c r="D7" s="740" t="str">
        <f>IF(D6='References Assumptions'!$C$339,'Amount and Destination'!$AH52/days_yr," ")</f>
        <v xml:space="preserve"> </v>
      </c>
      <c r="E7" s="472"/>
      <c r="F7" s="740" t="str">
        <f>IF(F6='References Assumptions'!$C$339,'Amount and Destination'!$AH81/days_yr," ")</f>
        <v xml:space="preserve"> </v>
      </c>
      <c r="G7" s="472"/>
      <c r="H7" s="740" t="str">
        <f>IF(H6='References Assumptions'!$C$339,'Amount and Destination'!$AH110/days_yr," ")</f>
        <v xml:space="preserve"> </v>
      </c>
      <c r="I7" s="472"/>
      <c r="J7" s="740" t="str">
        <f>IF(J6='References Assumptions'!$C$339,'Amount and Destination'!$AH139/days_yr," ")</f>
        <v xml:space="preserve"> </v>
      </c>
      <c r="K7" s="472"/>
      <c r="L7" s="740" t="str">
        <f>IF(L6='References Assumptions'!$C$339,'Amount and Destination'!$AH168/days_yr," ")</f>
        <v xml:space="preserve"> </v>
      </c>
      <c r="M7" s="472"/>
      <c r="N7" s="740" t="str">
        <f>IF(N6='References Assumptions'!$C$339,'Amount and Destination'!$AH197/days_yr," ")</f>
        <v xml:space="preserve"> </v>
      </c>
      <c r="O7" s="472"/>
      <c r="P7" s="740" t="str">
        <f>IF(P6='References Assumptions'!$C$339,'Amount and Destination'!$AH226/days_yr," ")</f>
        <v xml:space="preserve"> </v>
      </c>
      <c r="Q7" s="472"/>
      <c r="R7" s="740" t="e">
        <f>IF(R6='References Assumptions'!$C$339,'Amount and Destination'!$AH255/days_yr," ")</f>
        <v>#DIV/0!</v>
      </c>
      <c r="S7" s="472"/>
      <c r="T7" s="740" t="str">
        <f>IF(T6='References Assumptions'!$C$339,'Amount and Destination'!$AH284/days_yr," ")</f>
        <v xml:space="preserve"> </v>
      </c>
      <c r="U7" s="472"/>
    </row>
    <row r="8" spans="1:21" ht="15.75" customHeight="1" x14ac:dyDescent="0.2">
      <c r="A8" s="245" t="s">
        <v>950</v>
      </c>
      <c r="B8" s="889">
        <f>IF(B6='References Assumptions'!$C$340," ",percent_solids_after_biodrying)</f>
        <v>0</v>
      </c>
      <c r="C8" s="264"/>
      <c r="D8" s="889">
        <f>IF(D6='References Assumptions'!$C$340," ",percent_solids_after_biodrying)</f>
        <v>0</v>
      </c>
      <c r="E8" s="264"/>
      <c r="F8" s="889">
        <f>IF(F6='References Assumptions'!$C$340," ",percent_solids_after_biodrying)</f>
        <v>0</v>
      </c>
      <c r="G8" s="264"/>
      <c r="H8" s="889">
        <f>IF(H6='References Assumptions'!$C$340," ",percent_solids_after_biodrying)</f>
        <v>0</v>
      </c>
      <c r="I8" s="264"/>
      <c r="J8" s="889">
        <f>IF(J6='References Assumptions'!$C$340," ",percent_solids_after_biodrying)</f>
        <v>0</v>
      </c>
      <c r="K8" s="264"/>
      <c r="L8" s="889">
        <f>IF(L6='References Assumptions'!$C$340," ",percent_solids_after_biodrying)</f>
        <v>0</v>
      </c>
      <c r="M8" s="264"/>
      <c r="N8" s="889">
        <f>IF(N6='References Assumptions'!$C$340," ",percent_solids_after_biodrying)</f>
        <v>0</v>
      </c>
      <c r="O8" s="264"/>
      <c r="P8" s="889">
        <f>IF(P6='References Assumptions'!$C$340," ",percent_solids_after_biodrying)</f>
        <v>0</v>
      </c>
      <c r="Q8" s="264"/>
      <c r="R8" s="889">
        <f>IF(R6='References Assumptions'!$C$340," ",percent_solids_after_biodrying)</f>
        <v>0</v>
      </c>
      <c r="S8" s="264"/>
      <c r="T8" s="889">
        <f>IF(T6='References Assumptions'!$C$340," ",percent_solids_after_biodrying)</f>
        <v>0</v>
      </c>
      <c r="U8" s="264"/>
    </row>
    <row r="9" spans="1:21" ht="15.75" customHeight="1" x14ac:dyDescent="0.2">
      <c r="A9" s="245" t="s">
        <v>210</v>
      </c>
      <c r="B9" s="293" t="str">
        <f>+IFERROR(B7*B8,"N/A")</f>
        <v>N/A</v>
      </c>
      <c r="C9" s="264"/>
      <c r="D9" s="293" t="str">
        <f>+IFERROR(D7*D8,"N/A")</f>
        <v>N/A</v>
      </c>
      <c r="E9" s="473"/>
      <c r="F9" s="293" t="str">
        <f>+IFERROR(F7*F8,"N/A")</f>
        <v>N/A</v>
      </c>
      <c r="G9" s="473"/>
      <c r="H9" s="293" t="str">
        <f>+IFERROR(H7*H8,"N/A")</f>
        <v>N/A</v>
      </c>
      <c r="I9" s="473"/>
      <c r="J9" s="293" t="str">
        <f>+IFERROR(J7*J8,"N/A")</f>
        <v>N/A</v>
      </c>
      <c r="K9" s="473"/>
      <c r="L9" s="293" t="str">
        <f>+IFERROR(L7*L8,"N/A")</f>
        <v>N/A</v>
      </c>
      <c r="M9" s="473"/>
      <c r="N9" s="293" t="str">
        <f>+IFERROR(N7*N8,"N/A")</f>
        <v>N/A</v>
      </c>
      <c r="O9" s="473"/>
      <c r="P9" s="293" t="str">
        <f>+IFERROR(P7*P8,"N/A")</f>
        <v>N/A</v>
      </c>
      <c r="Q9" s="473"/>
      <c r="R9" s="293" t="str">
        <f>+IFERROR(R7*R8,"N/A")</f>
        <v>N/A</v>
      </c>
      <c r="S9" s="473"/>
      <c r="T9" s="293" t="str">
        <f>+IFERROR(T7*T8,"N/A")</f>
        <v>N/A</v>
      </c>
      <c r="U9" s="473"/>
    </row>
    <row r="10" spans="1:21" ht="15.75" customHeight="1" x14ac:dyDescent="0.2">
      <c r="A10" s="245" t="s">
        <v>863</v>
      </c>
      <c r="B10" s="9"/>
      <c r="C10" s="593" t="s">
        <v>304</v>
      </c>
      <c r="D10" s="9"/>
      <c r="E10" s="404" t="s">
        <v>304</v>
      </c>
      <c r="F10" s="9"/>
      <c r="G10" s="404" t="s">
        <v>304</v>
      </c>
      <c r="H10" s="9" t="s">
        <v>270</v>
      </c>
      <c r="I10" s="404" t="s">
        <v>304</v>
      </c>
      <c r="J10" s="9"/>
      <c r="K10" s="404" t="s">
        <v>304</v>
      </c>
      <c r="L10" s="9"/>
      <c r="M10" s="404" t="s">
        <v>304</v>
      </c>
      <c r="N10" s="9"/>
      <c r="O10" s="404" t="s">
        <v>304</v>
      </c>
      <c r="P10" s="9"/>
      <c r="Q10" s="404" t="s">
        <v>304</v>
      </c>
      <c r="R10" s="9" t="s">
        <v>270</v>
      </c>
      <c r="S10" s="404" t="s">
        <v>304</v>
      </c>
      <c r="T10" s="9"/>
      <c r="U10" s="404" t="s">
        <v>304</v>
      </c>
    </row>
    <row r="11" spans="1:21" ht="15.75" customHeight="1" x14ac:dyDescent="0.2">
      <c r="A11" s="245" t="s">
        <v>264</v>
      </c>
      <c r="B11" s="889">
        <f>Total_N</f>
        <v>2.5000000000000001E-2</v>
      </c>
      <c r="C11" s="190">
        <f>+IF(B10='References Assumptions'!$C$340,Total_N_untreated, total_N_digested)</f>
        <v>0.05</v>
      </c>
      <c r="D11" s="889">
        <f>Total_N</f>
        <v>2.5000000000000001E-2</v>
      </c>
      <c r="E11" s="190">
        <f>+IF(D10='References Assumptions'!$C$340,Total_N_untreated, total_N_digested)</f>
        <v>0.05</v>
      </c>
      <c r="F11" s="889">
        <f>Total_N</f>
        <v>2.5000000000000001E-2</v>
      </c>
      <c r="G11" s="190">
        <f>+IF(F10='References Assumptions'!$C$340,Total_N_untreated, total_N_digested)</f>
        <v>0.05</v>
      </c>
      <c r="H11" s="889">
        <f>Total_N</f>
        <v>2.5000000000000001E-2</v>
      </c>
      <c r="I11" s="190">
        <f>+IF(H10='References Assumptions'!$C$340,Total_N_untreated, total_N_digested)</f>
        <v>0.05</v>
      </c>
      <c r="J11" s="889">
        <f>Total_N</f>
        <v>2.5000000000000001E-2</v>
      </c>
      <c r="K11" s="190">
        <f>+IF(J10='References Assumptions'!$C$340,Total_N_untreated, total_N_digested)</f>
        <v>0.05</v>
      </c>
      <c r="L11" s="889">
        <f>Total_N</f>
        <v>2.5000000000000001E-2</v>
      </c>
      <c r="M11" s="190">
        <f>+IF(L10='References Assumptions'!$C$340,Total_N_untreated, total_N_digested)</f>
        <v>0.05</v>
      </c>
      <c r="N11" s="889">
        <f>Total_N</f>
        <v>2.5000000000000001E-2</v>
      </c>
      <c r="O11" s="190">
        <f>+IF(N10='References Assumptions'!$C$340,Total_N_untreated, total_N_digested)</f>
        <v>0.05</v>
      </c>
      <c r="P11" s="889">
        <f>Total_N</f>
        <v>2.5000000000000001E-2</v>
      </c>
      <c r="Q11" s="190">
        <f>+IF(P10='References Assumptions'!$C$340,Total_N_untreated, total_N_digested)</f>
        <v>0.05</v>
      </c>
      <c r="R11" s="889">
        <f>Total_N</f>
        <v>2.5000000000000001E-2</v>
      </c>
      <c r="S11" s="190">
        <f>+IF(R10='References Assumptions'!$C$340,Total_N_untreated, total_N_digested)</f>
        <v>0.05</v>
      </c>
      <c r="T11" s="889">
        <f>Total_N</f>
        <v>2.5000000000000001E-2</v>
      </c>
      <c r="U11" s="190">
        <f>+IF(T10='References Assumptions'!$C$340,Total_N_untreated, total_N_digested)</f>
        <v>0.05</v>
      </c>
    </row>
    <row r="12" spans="1:21" ht="15.75" customHeight="1" x14ac:dyDescent="0.2">
      <c r="A12" s="245" t="s">
        <v>245</v>
      </c>
      <c r="B12" s="889">
        <f>Total_P</f>
        <v>1.2999999999999999E-2</v>
      </c>
      <c r="C12" s="190">
        <f>+IF(B10='References Assumptions'!$C$340, Total_P_untreated, Total_P_digested)</f>
        <v>1.9E-2</v>
      </c>
      <c r="D12" s="889">
        <f>Total_P</f>
        <v>1.2999999999999999E-2</v>
      </c>
      <c r="E12" s="190">
        <f>+IF(D10='References Assumptions'!$C$340, Total_P_untreated, Total_P_digested)</f>
        <v>1.9E-2</v>
      </c>
      <c r="F12" s="889">
        <f>Total_P</f>
        <v>1.2999999999999999E-2</v>
      </c>
      <c r="G12" s="190">
        <f>+IF(F10='References Assumptions'!$C$340, Total_P_untreated, Total_P_digested)</f>
        <v>1.9E-2</v>
      </c>
      <c r="H12" s="889">
        <f>Total_P</f>
        <v>1.2999999999999999E-2</v>
      </c>
      <c r="I12" s="190">
        <f>+IF(H10='References Assumptions'!$C$340, Total_P_untreated, Total_P_digested)</f>
        <v>1.9E-2</v>
      </c>
      <c r="J12" s="889">
        <f>Total_P</f>
        <v>1.2999999999999999E-2</v>
      </c>
      <c r="K12" s="190">
        <f>+IF(J10='References Assumptions'!$C$340, Total_P_untreated, Total_P_digested)</f>
        <v>1.9E-2</v>
      </c>
      <c r="L12" s="889">
        <f>Total_P</f>
        <v>1.2999999999999999E-2</v>
      </c>
      <c r="M12" s="190">
        <f>+IF(L10='References Assumptions'!$C$340, Total_P_untreated, Total_P_digested)</f>
        <v>1.9E-2</v>
      </c>
      <c r="N12" s="889">
        <f>Total_P</f>
        <v>1.2999999999999999E-2</v>
      </c>
      <c r="O12" s="190">
        <f>+IF(N10='References Assumptions'!$C$340, Total_P_untreated, Total_P_digested)</f>
        <v>1.9E-2</v>
      </c>
      <c r="P12" s="889">
        <f>Total_P</f>
        <v>1.2999999999999999E-2</v>
      </c>
      <c r="Q12" s="190">
        <f>+IF(P10='References Assumptions'!$C$340, Total_P_untreated, Total_P_digested)</f>
        <v>1.9E-2</v>
      </c>
      <c r="R12" s="889">
        <f>Total_P</f>
        <v>1.2999999999999999E-2</v>
      </c>
      <c r="S12" s="190">
        <f>+IF(R10='References Assumptions'!$C$340, Total_P_untreated, Total_P_digested)</f>
        <v>1.9E-2</v>
      </c>
      <c r="T12" s="889">
        <f>Total_P</f>
        <v>1.2999999999999999E-2</v>
      </c>
      <c r="U12" s="190">
        <f>+IF(T10='References Assumptions'!$C$340, Total_P_untreated, Total_P_digested)</f>
        <v>1.9E-2</v>
      </c>
    </row>
    <row r="13" spans="1:21" ht="15.75" customHeight="1" x14ac:dyDescent="0.2">
      <c r="A13" s="245" t="s">
        <v>947</v>
      </c>
      <c r="B13" s="889">
        <f>+Mean_OrganicMatter</f>
        <v>0.94386666666666685</v>
      </c>
      <c r="C13" s="190">
        <f>+IF(B10='References Assumptions'!$C$340, TVS_untreated, TVS_digested)</f>
        <v>0.65</v>
      </c>
      <c r="D13" s="889">
        <f>+Mean_OrganicMatter</f>
        <v>0.94386666666666685</v>
      </c>
      <c r="E13" s="190">
        <f>+IF(D10='References Assumptions'!$C$340, TVS_untreated, TVS_digested)</f>
        <v>0.65</v>
      </c>
      <c r="F13" s="889">
        <f>+Mean_OrganicMatter</f>
        <v>0.94386666666666685</v>
      </c>
      <c r="G13" s="190">
        <f>+IF(F10='References Assumptions'!$C$340, TVS_untreated, TVS_digested)</f>
        <v>0.65</v>
      </c>
      <c r="H13" s="889">
        <f>+Mean_OrganicMatter</f>
        <v>0.94386666666666685</v>
      </c>
      <c r="I13" s="190">
        <f>+IF(H10='References Assumptions'!$C$340, TVS_untreated, TVS_digested)</f>
        <v>0.65</v>
      </c>
      <c r="J13" s="889">
        <f>+Mean_OrganicMatter</f>
        <v>0.94386666666666685</v>
      </c>
      <c r="K13" s="190">
        <f>+IF(J10='References Assumptions'!$C$340, TVS_untreated, TVS_digested)</f>
        <v>0.65</v>
      </c>
      <c r="L13" s="889">
        <f>+Mean_OrganicMatter</f>
        <v>0.94386666666666685</v>
      </c>
      <c r="M13" s="190">
        <f>+IF(L10='References Assumptions'!$C$340, TVS_untreated, TVS_digested)</f>
        <v>0.65</v>
      </c>
      <c r="N13" s="889">
        <f>+Mean_OrganicMatter</f>
        <v>0.94386666666666685</v>
      </c>
      <c r="O13" s="190">
        <f>+IF(N10='References Assumptions'!$C$340, TVS_untreated, TVS_digested)</f>
        <v>0.65</v>
      </c>
      <c r="P13" s="889">
        <f>+Mean_OrganicMatter</f>
        <v>0.94386666666666685</v>
      </c>
      <c r="Q13" s="190">
        <f>+IF(P10='References Assumptions'!$C$340, TVS_untreated, TVS_digested)</f>
        <v>0.65</v>
      </c>
      <c r="R13" s="889">
        <f>+Mean_OrganicMatter</f>
        <v>0.94386666666666685</v>
      </c>
      <c r="S13" s="190">
        <f>+IF(R10='References Assumptions'!$C$340, TVS_untreated, TVS_digested)</f>
        <v>0.65</v>
      </c>
      <c r="T13" s="889">
        <f>+Mean_OrganicMatter</f>
        <v>0.94386666666666685</v>
      </c>
      <c r="U13" s="190">
        <f>+IF(T10='References Assumptions'!$C$340, TVS_untreated, TVS_digested)</f>
        <v>0.65</v>
      </c>
    </row>
    <row r="14" spans="1:21" ht="15.75" customHeight="1" x14ac:dyDescent="0.2">
      <c r="A14" s="245" t="s">
        <v>951</v>
      </c>
      <c r="B14" s="9"/>
      <c r="C14" s="588"/>
      <c r="D14" s="9"/>
      <c r="E14" s="588"/>
      <c r="F14" s="9"/>
      <c r="G14" s="588"/>
      <c r="H14" s="9"/>
      <c r="I14" s="588"/>
      <c r="J14" s="9"/>
      <c r="K14" s="588"/>
      <c r="L14" s="9"/>
      <c r="M14" s="588"/>
      <c r="N14" s="9"/>
      <c r="O14" s="588"/>
      <c r="P14" s="9"/>
      <c r="Q14" s="588"/>
      <c r="R14" s="9" t="s">
        <v>625</v>
      </c>
      <c r="S14" s="588"/>
      <c r="T14" s="9"/>
      <c r="U14" s="588"/>
    </row>
    <row r="15" spans="1:21" ht="15.75" customHeight="1" x14ac:dyDescent="0.2">
      <c r="A15" s="245" t="s">
        <v>642</v>
      </c>
      <c r="B15" s="595" t="e">
        <f>VLOOKUP(Pyrolysis!B$14,'References Assumptions'!$A$215:$B$218,2,FALSE)</f>
        <v>#N/A</v>
      </c>
      <c r="C15" s="594"/>
      <c r="D15" s="595" t="e">
        <f>VLOOKUP(Pyrolysis!D$14,'References Assumptions'!$A$215:$B$218,2,FALSE)</f>
        <v>#N/A</v>
      </c>
      <c r="E15" s="594"/>
      <c r="F15" s="595" t="e">
        <f>VLOOKUP(Pyrolysis!F$14,'References Assumptions'!$A$215:$B$218,2,FALSE)</f>
        <v>#N/A</v>
      </c>
      <c r="G15" s="594"/>
      <c r="H15" s="595" t="e">
        <f>VLOOKUP(Pyrolysis!H$14,'References Assumptions'!$A$215:$B$218,2,FALSE)</f>
        <v>#N/A</v>
      </c>
      <c r="I15" s="594"/>
      <c r="J15" s="595" t="e">
        <f>VLOOKUP(Pyrolysis!J$14,'References Assumptions'!$A$215:$B$218,2,FALSE)</f>
        <v>#N/A</v>
      </c>
      <c r="K15" s="594"/>
      <c r="L15" s="595" t="e">
        <f>VLOOKUP(Pyrolysis!L$14,'References Assumptions'!$A$215:$B$218,2,FALSE)</f>
        <v>#N/A</v>
      </c>
      <c r="M15" s="594"/>
      <c r="N15" s="595" t="e">
        <f>VLOOKUP(Pyrolysis!N$14,'References Assumptions'!$A$215:$B$218,2,FALSE)</f>
        <v>#N/A</v>
      </c>
      <c r="O15" s="594"/>
      <c r="P15" s="595" t="e">
        <f>VLOOKUP(Pyrolysis!P$14,'References Assumptions'!$A$215:$B$218,2,FALSE)</f>
        <v>#N/A</v>
      </c>
      <c r="Q15" s="594"/>
      <c r="R15" s="595">
        <f>VLOOKUP(Pyrolysis!R$14,'References Assumptions'!$A$215:$B$218,2,FALSE)</f>
        <v>0.5</v>
      </c>
      <c r="S15" s="594"/>
      <c r="T15" s="595" t="e">
        <f>VLOOKUP(Pyrolysis!T$14,'References Assumptions'!$A$215:$B$218,2,FALSE)</f>
        <v>#N/A</v>
      </c>
      <c r="U15" s="594"/>
    </row>
    <row r="16" spans="1:21" ht="15.75" customHeight="1" x14ac:dyDescent="0.2">
      <c r="A16" s="245" t="s">
        <v>650</v>
      </c>
      <c r="B16" s="889">
        <f>Percent_Solids_After_Pyrolysis</f>
        <v>0</v>
      </c>
      <c r="C16" s="594"/>
      <c r="D16" s="889">
        <f>Percent_Solids_After_Pyrolysis</f>
        <v>0</v>
      </c>
      <c r="E16" s="594"/>
      <c r="F16" s="889">
        <f>Percent_Solids_After_Pyrolysis</f>
        <v>0</v>
      </c>
      <c r="G16" s="594"/>
      <c r="H16" s="889">
        <f>Percent_Solids_After_Pyrolysis</f>
        <v>0</v>
      </c>
      <c r="I16" s="594"/>
      <c r="J16" s="889">
        <f>Percent_Solids_After_Pyrolysis</f>
        <v>0</v>
      </c>
      <c r="K16" s="594"/>
      <c r="L16" s="889">
        <f>Percent_Solids_After_Pyrolysis</f>
        <v>0</v>
      </c>
      <c r="M16" s="594"/>
      <c r="N16" s="889">
        <f>Percent_Solids_After_Pyrolysis</f>
        <v>0</v>
      </c>
      <c r="O16" s="594"/>
      <c r="P16" s="889">
        <f>Percent_Solids_After_Pyrolysis</f>
        <v>0</v>
      </c>
      <c r="Q16" s="594"/>
      <c r="R16" s="889">
        <f>Percent_Solids_After_Pyrolysis</f>
        <v>0</v>
      </c>
      <c r="S16" s="594"/>
      <c r="T16" s="889">
        <f>Percent_Solids_After_Pyrolysis</f>
        <v>0</v>
      </c>
      <c r="U16" s="594"/>
    </row>
    <row r="17" spans="1:21" ht="15.75" customHeight="1" x14ac:dyDescent="0.2">
      <c r="A17" s="245" t="s">
        <v>794</v>
      </c>
      <c r="B17" s="293" t="str">
        <f>+IFERROR(B9*(1-B15),"N/A")</f>
        <v>N/A</v>
      </c>
      <c r="C17" s="594"/>
      <c r="D17" s="293" t="str">
        <f>+IFERROR(D9*(1-D15),"N/A")</f>
        <v>N/A</v>
      </c>
      <c r="E17" s="594"/>
      <c r="F17" s="293" t="str">
        <f>+IFERROR(F9*(1-F15),"N/A")</f>
        <v>N/A</v>
      </c>
      <c r="G17" s="594"/>
      <c r="H17" s="293" t="str">
        <f>+IFERROR(H9*(1-H15),"N/A")</f>
        <v>N/A</v>
      </c>
      <c r="I17" s="594"/>
      <c r="J17" s="293" t="str">
        <f>+IFERROR(J9*(1-J15),"N/A")</f>
        <v>N/A</v>
      </c>
      <c r="K17" s="594"/>
      <c r="L17" s="293" t="str">
        <f>+IFERROR(L9*(1-L15),"N/A")</f>
        <v>N/A</v>
      </c>
      <c r="M17" s="594"/>
      <c r="N17" s="293" t="str">
        <f>+IFERROR(N9*(1-N15),"N/A")</f>
        <v>N/A</v>
      </c>
      <c r="O17" s="594"/>
      <c r="P17" s="293" t="str">
        <f>+IFERROR(P9*(1-P15),"N/A")</f>
        <v>N/A</v>
      </c>
      <c r="Q17" s="594"/>
      <c r="R17" s="293" t="str">
        <f>+IFERROR(R9*(1-R15),"N/A")</f>
        <v>N/A</v>
      </c>
      <c r="S17" s="594"/>
      <c r="T17" s="293" t="str">
        <f>+IFERROR(T9*(1-T15),"N/A")</f>
        <v>N/A</v>
      </c>
      <c r="U17" s="594"/>
    </row>
    <row r="18" spans="1:21" ht="15.75" customHeight="1" thickBot="1" x14ac:dyDescent="0.25">
      <c r="A18" s="368"/>
      <c r="B18" s="590"/>
      <c r="C18" s="594"/>
      <c r="D18" s="590"/>
      <c r="E18" s="594"/>
      <c r="F18" s="590"/>
      <c r="G18" s="594"/>
      <c r="H18" s="590"/>
      <c r="I18" s="594"/>
      <c r="J18" s="590"/>
      <c r="K18" s="594"/>
      <c r="L18" s="590"/>
      <c r="M18" s="594"/>
      <c r="N18" s="590"/>
      <c r="O18" s="594"/>
      <c r="P18" s="590"/>
      <c r="Q18" s="594"/>
      <c r="R18" s="590"/>
      <c r="S18" s="594"/>
      <c r="T18" s="590"/>
      <c r="U18" s="594"/>
    </row>
    <row r="19" spans="1:21" ht="15.75" customHeight="1" thickBot="1" x14ac:dyDescent="0.3">
      <c r="A19" s="1300" t="s">
        <v>273</v>
      </c>
      <c r="B19" s="1301"/>
      <c r="C19" s="1301"/>
      <c r="D19" s="1301"/>
      <c r="E19" s="1301"/>
      <c r="F19" s="1301"/>
      <c r="G19" s="1301"/>
      <c r="H19" s="1301"/>
      <c r="I19" s="1301"/>
      <c r="J19" s="1301"/>
      <c r="K19" s="1301"/>
      <c r="L19" s="1301"/>
      <c r="M19" s="1301"/>
      <c r="N19" s="1301"/>
      <c r="O19" s="1301"/>
      <c r="P19" s="1301"/>
      <c r="Q19" s="1301"/>
      <c r="R19" s="1301"/>
      <c r="S19" s="1301"/>
      <c r="T19" s="1301"/>
      <c r="U19" s="1302"/>
    </row>
    <row r="20" spans="1:21" ht="15.75" customHeight="1" x14ac:dyDescent="0.25">
      <c r="A20" s="245" t="s">
        <v>626</v>
      </c>
      <c r="B20" s="8"/>
      <c r="C20" s="276"/>
      <c r="D20" s="8"/>
      <c r="E20" s="276"/>
      <c r="F20" s="8"/>
      <c r="G20" s="276"/>
      <c r="H20" s="8"/>
      <c r="I20" s="276"/>
      <c r="J20" s="8"/>
      <c r="K20" s="276"/>
      <c r="L20" s="8"/>
      <c r="M20" s="276"/>
      <c r="N20" s="8"/>
      <c r="O20" s="276"/>
      <c r="P20" s="8"/>
      <c r="Q20" s="276"/>
      <c r="R20" s="8"/>
      <c r="S20" s="276"/>
      <c r="T20" s="8"/>
      <c r="U20" s="276"/>
    </row>
    <row r="21" spans="1:21" ht="15.75" customHeight="1" x14ac:dyDescent="0.3">
      <c r="A21" s="168" t="s">
        <v>77</v>
      </c>
      <c r="B21" s="250">
        <f>+B20*CO2E_naturalgas_combustion/Mg_g</f>
        <v>0</v>
      </c>
      <c r="C21" s="276"/>
      <c r="D21" s="250">
        <f>+D20*CO2E_naturalgas_combustion/Mg_g</f>
        <v>0</v>
      </c>
      <c r="E21" s="276"/>
      <c r="F21" s="250">
        <f>+F20*CO2E_naturalgas_combustion/Mg_g</f>
        <v>0</v>
      </c>
      <c r="G21" s="276"/>
      <c r="H21" s="250">
        <f>+H20*CO2E_naturalgas_combustion/Mg_g</f>
        <v>0</v>
      </c>
      <c r="I21" s="276"/>
      <c r="J21" s="250">
        <f>+J20*CO2E_naturalgas_combustion/Mg_g</f>
        <v>0</v>
      </c>
      <c r="K21" s="276"/>
      <c r="L21" s="250">
        <f>+L20*CO2E_naturalgas_combustion/Mg_g</f>
        <v>0</v>
      </c>
      <c r="M21" s="276"/>
      <c r="N21" s="250">
        <f>+N20*CO2E_naturalgas_combustion/Mg_g</f>
        <v>0</v>
      </c>
      <c r="O21" s="276"/>
      <c r="P21" s="250">
        <f>+P20*CO2E_naturalgas_combustion/Mg_g</f>
        <v>0</v>
      </c>
      <c r="Q21" s="276"/>
      <c r="R21" s="250">
        <f>+R20*CO2E_naturalgas_combustion/Mg_g</f>
        <v>0</v>
      </c>
      <c r="S21" s="276"/>
      <c r="T21" s="250">
        <f>+T20*CO2E_naturalgas_combustion/Mg_g</f>
        <v>0</v>
      </c>
      <c r="U21" s="276"/>
    </row>
    <row r="22" spans="1:21" ht="15.75" customHeight="1" thickBot="1" x14ac:dyDescent="0.25">
      <c r="A22" s="475"/>
      <c r="B22" s="482"/>
      <c r="C22" s="483"/>
      <c r="D22" s="482"/>
      <c r="E22" s="483"/>
      <c r="F22" s="482"/>
      <c r="G22" s="483"/>
      <c r="H22" s="482"/>
      <c r="I22" s="483"/>
      <c r="J22" s="482"/>
      <c r="K22" s="483"/>
      <c r="L22" s="482"/>
      <c r="M22" s="483"/>
      <c r="N22" s="482"/>
      <c r="O22" s="483"/>
      <c r="P22" s="482"/>
      <c r="Q22" s="483"/>
      <c r="R22" s="482"/>
      <c r="S22" s="483"/>
      <c r="T22" s="482"/>
      <c r="U22" s="483"/>
    </row>
    <row r="23" spans="1:21" ht="15.75" customHeight="1" thickBot="1" x14ac:dyDescent="0.3">
      <c r="A23" s="1300" t="s">
        <v>193</v>
      </c>
      <c r="B23" s="1327"/>
      <c r="C23" s="1327"/>
      <c r="D23" s="1301"/>
      <c r="E23" s="1301"/>
      <c r="F23" s="1301"/>
      <c r="G23" s="1301"/>
      <c r="H23" s="1301"/>
      <c r="I23" s="1301"/>
      <c r="J23" s="1301"/>
      <c r="K23" s="1301"/>
      <c r="L23" s="1301"/>
      <c r="M23" s="1301"/>
      <c r="N23" s="1301"/>
      <c r="O23" s="1301"/>
      <c r="P23" s="1301"/>
      <c r="Q23" s="1301"/>
      <c r="R23" s="1301"/>
      <c r="S23" s="1301"/>
      <c r="T23" s="1301"/>
      <c r="U23" s="1302"/>
    </row>
    <row r="24" spans="1:21" ht="15.75" customHeight="1" x14ac:dyDescent="0.2">
      <c r="A24" s="245" t="s">
        <v>619</v>
      </c>
      <c r="B24" s="996" t="str">
        <f>+IFERROR(B9*Pyrolysis_Electricity_Use_for_Ancillary_Equipment,"N/A")</f>
        <v>N/A</v>
      </c>
      <c r="C24" s="998"/>
      <c r="D24" s="996" t="str">
        <f>+IFERROR(D9*Pyrolysis_Electricity_Use_for_Ancillary_Equipment,"N/A")</f>
        <v>N/A</v>
      </c>
      <c r="E24" s="998"/>
      <c r="F24" s="996" t="str">
        <f>+IFERROR(F9*Pyrolysis_Electricity_Use_for_Ancillary_Equipment,"N/A")</f>
        <v>N/A</v>
      </c>
      <c r="G24" s="998"/>
      <c r="H24" s="996" t="str">
        <f>+IFERROR(H9*Pyrolysis_Electricity_Use_for_Ancillary_Equipment,"N/A")</f>
        <v>N/A</v>
      </c>
      <c r="I24" s="998"/>
      <c r="J24" s="996" t="str">
        <f>+IFERROR(J9*Pyrolysis_Electricity_Use_for_Ancillary_Equipment,"N/A")</f>
        <v>N/A</v>
      </c>
      <c r="K24" s="998"/>
      <c r="L24" s="996" t="str">
        <f>+IFERROR(L9*Pyrolysis_Electricity_Use_for_Ancillary_Equipment,"N/A")</f>
        <v>N/A</v>
      </c>
      <c r="M24" s="998"/>
      <c r="N24" s="996" t="str">
        <f>+IFERROR(N9*Pyrolysis_Electricity_Use_for_Ancillary_Equipment,"N/A")</f>
        <v>N/A</v>
      </c>
      <c r="O24" s="998"/>
      <c r="P24" s="996" t="str">
        <f>+IFERROR(P9*Pyrolysis_Electricity_Use_for_Ancillary_Equipment,"N/A")</f>
        <v>N/A</v>
      </c>
      <c r="Q24" s="998"/>
      <c r="R24" s="996" t="str">
        <f>+IFERROR(R9*Pyrolysis_Electricity_Use_for_Ancillary_Equipment,"N/A")</f>
        <v>N/A</v>
      </c>
      <c r="S24" s="998"/>
      <c r="T24" s="996" t="str">
        <f>+IFERROR(T9*Pyrolysis_Electricity_Use_for_Ancillary_Equipment,"N/A")</f>
        <v>N/A</v>
      </c>
      <c r="U24" s="487"/>
    </row>
    <row r="25" spans="1:21" ht="15.75" customHeight="1" x14ac:dyDescent="0.2">
      <c r="A25" s="245" t="s">
        <v>792</v>
      </c>
      <c r="B25" s="8"/>
      <c r="C25" s="999"/>
      <c r="D25" s="8"/>
      <c r="E25" s="999"/>
      <c r="F25" s="8"/>
      <c r="G25" s="999"/>
      <c r="H25" s="8"/>
      <c r="I25" s="999"/>
      <c r="J25" s="8"/>
      <c r="K25" s="999"/>
      <c r="L25" s="8"/>
      <c r="M25" s="999"/>
      <c r="N25" s="8"/>
      <c r="O25" s="999"/>
      <c r="P25" s="8"/>
      <c r="Q25" s="999"/>
      <c r="R25" s="8"/>
      <c r="S25" s="999"/>
      <c r="T25" s="8"/>
      <c r="U25" s="589"/>
    </row>
    <row r="26" spans="1:21" ht="15.75" customHeight="1" x14ac:dyDescent="0.2">
      <c r="A26" s="965" t="s">
        <v>793</v>
      </c>
      <c r="B26" s="997" t="str">
        <f>IFERROR(B24-B25,"N/A")</f>
        <v>N/A</v>
      </c>
      <c r="C26" s="999"/>
      <c r="D26" s="997" t="str">
        <f>IFERROR(D24-D25,"N/A")</f>
        <v>N/A</v>
      </c>
      <c r="E26" s="999"/>
      <c r="F26" s="997" t="str">
        <f>IFERROR(F24-F25,"N/A")</f>
        <v>N/A</v>
      </c>
      <c r="G26" s="999"/>
      <c r="H26" s="997" t="str">
        <f>IFERROR(H24-H25,"N/A")</f>
        <v>N/A</v>
      </c>
      <c r="I26" s="999"/>
      <c r="J26" s="997" t="str">
        <f>IFERROR(J24-J25,"N/A")</f>
        <v>N/A</v>
      </c>
      <c r="K26" s="999"/>
      <c r="L26" s="997" t="str">
        <f>IFERROR(L24-L25,"N/A")</f>
        <v>N/A</v>
      </c>
      <c r="M26" s="999"/>
      <c r="N26" s="997" t="str">
        <f>IFERROR(N24-N25,"N/A")</f>
        <v>N/A</v>
      </c>
      <c r="O26" s="999"/>
      <c r="P26" s="997" t="str">
        <f>IFERROR(P24-P25,"N/A")</f>
        <v>N/A</v>
      </c>
      <c r="Q26" s="999"/>
      <c r="R26" s="997" t="str">
        <f>IFERROR(R24-R25,"N/A")</f>
        <v>N/A</v>
      </c>
      <c r="S26" s="999"/>
      <c r="T26" s="997" t="str">
        <f>IFERROR(T24-T25,"N/A")</f>
        <v>N/A</v>
      </c>
      <c r="U26" s="589"/>
    </row>
    <row r="27" spans="1:21" ht="15.75" customHeight="1" x14ac:dyDescent="0.3">
      <c r="A27" s="168" t="s">
        <v>75</v>
      </c>
      <c r="B27" s="250" t="e">
        <f>B26*GHG_emissions_factors_by_province/Mg_g</f>
        <v>#VALUE!</v>
      </c>
      <c r="C27" s="276"/>
      <c r="D27" s="250" t="e">
        <f>D26*GHG_emissions_factors_by_province/Mg_g</f>
        <v>#VALUE!</v>
      </c>
      <c r="E27" s="276"/>
      <c r="F27" s="250" t="e">
        <f>F26*GHG_emissions_factors_by_province/Mg_g</f>
        <v>#VALUE!</v>
      </c>
      <c r="G27" s="276"/>
      <c r="H27" s="250" t="e">
        <f>H26*GHG_emissions_factors_by_province/Mg_g</f>
        <v>#VALUE!</v>
      </c>
      <c r="I27" s="276"/>
      <c r="J27" s="250" t="e">
        <f>J26*GHG_emissions_factors_by_province/Mg_g</f>
        <v>#VALUE!</v>
      </c>
      <c r="K27" s="276"/>
      <c r="L27" s="250" t="e">
        <f>L26*GHG_emissions_factors_by_province/Mg_g</f>
        <v>#VALUE!</v>
      </c>
      <c r="M27" s="276"/>
      <c r="N27" s="250" t="e">
        <f>N26*GHG_emissions_factors_by_province/Mg_g</f>
        <v>#VALUE!</v>
      </c>
      <c r="O27" s="276"/>
      <c r="P27" s="250" t="e">
        <f>P26*GHG_emissions_factors_by_province/Mg_g</f>
        <v>#VALUE!</v>
      </c>
      <c r="Q27" s="276"/>
      <c r="R27" s="250" t="e">
        <f>R26*GHG_emissions_factors_by_province/Mg_g</f>
        <v>#VALUE!</v>
      </c>
      <c r="S27" s="276"/>
      <c r="T27" s="250" t="e">
        <f>T26*GHG_emissions_factors_by_province/Mg_g</f>
        <v>#VALUE!</v>
      </c>
      <c r="U27" s="276"/>
    </row>
    <row r="28" spans="1:21" ht="15.75" customHeight="1" thickBot="1" x14ac:dyDescent="0.3">
      <c r="A28" s="505"/>
      <c r="B28" s="344"/>
      <c r="C28" s="281"/>
      <c r="D28" s="884"/>
      <c r="E28" s="281"/>
      <c r="F28" s="344"/>
      <c r="G28" s="281"/>
      <c r="H28" s="344"/>
      <c r="I28" s="281"/>
      <c r="J28" s="344"/>
      <c r="K28" s="281"/>
      <c r="L28" s="344"/>
      <c r="M28" s="281"/>
      <c r="N28" s="344"/>
      <c r="O28" s="281"/>
      <c r="P28" s="344"/>
      <c r="Q28" s="281"/>
      <c r="R28" s="344"/>
      <c r="S28" s="281"/>
      <c r="T28" s="344"/>
      <c r="U28" s="281"/>
    </row>
    <row r="29" spans="1:21" ht="15.75" customHeight="1" thickBot="1" x14ac:dyDescent="0.3">
      <c r="A29" s="1300" t="s">
        <v>96</v>
      </c>
      <c r="B29" s="1351"/>
      <c r="C29" s="1351"/>
      <c r="D29" s="1301"/>
      <c r="E29" s="1301"/>
      <c r="F29" s="1301"/>
      <c r="G29" s="1301"/>
      <c r="H29" s="1301"/>
      <c r="I29" s="1301"/>
      <c r="J29" s="1301"/>
      <c r="K29" s="1301"/>
      <c r="L29" s="1301"/>
      <c r="M29" s="1301"/>
      <c r="N29" s="1301"/>
      <c r="O29" s="1301"/>
      <c r="P29" s="1301"/>
      <c r="Q29" s="1301"/>
      <c r="R29" s="1301"/>
      <c r="S29" s="1301"/>
      <c r="T29" s="1301"/>
      <c r="U29" s="1302"/>
    </row>
    <row r="30" spans="1:21" ht="15.75" customHeight="1" x14ac:dyDescent="0.3">
      <c r="A30" s="161" t="s">
        <v>15</v>
      </c>
      <c r="B30" s="347" t="e">
        <f>B9*('References Assumptions'!$B$208/Mg_g)*CO2E_of_CH4_ClimateReg</f>
        <v>#VALUE!</v>
      </c>
      <c r="C30" s="436"/>
      <c r="D30" s="347" t="e">
        <f>D9*('References Assumptions'!$B$208/Mg_g)*CO2E_of_CH4_ClimateReg</f>
        <v>#VALUE!</v>
      </c>
      <c r="E30" s="436"/>
      <c r="F30" s="347" t="e">
        <f>F9*('References Assumptions'!$B$208/Mg_g)*CO2E_of_CH4_ClimateReg</f>
        <v>#VALUE!</v>
      </c>
      <c r="G30" s="436"/>
      <c r="H30" s="347" t="e">
        <f>H9*('References Assumptions'!$B$208/Mg_g)*CO2E_of_CH4_ClimateReg</f>
        <v>#VALUE!</v>
      </c>
      <c r="I30" s="436"/>
      <c r="J30" s="347" t="e">
        <f>J9*('References Assumptions'!$B$208/Mg_g)*CO2E_of_CH4_ClimateReg</f>
        <v>#VALUE!</v>
      </c>
      <c r="K30" s="436"/>
      <c r="L30" s="347" t="e">
        <f>L9*('References Assumptions'!$B$208/Mg_g)*CO2E_of_CH4_ClimateReg</f>
        <v>#VALUE!</v>
      </c>
      <c r="M30" s="436"/>
      <c r="N30" s="347" t="e">
        <f>N9*('References Assumptions'!$B$208/Mg_g)*CO2E_of_CH4_ClimateReg</f>
        <v>#VALUE!</v>
      </c>
      <c r="O30" s="436"/>
      <c r="P30" s="347" t="e">
        <f>P9*('References Assumptions'!$B$208/Mg_g)*CO2E_of_CH4_ClimateReg</f>
        <v>#VALUE!</v>
      </c>
      <c r="Q30" s="436"/>
      <c r="R30" s="347" t="e">
        <f>R9*('References Assumptions'!$B$208/Mg_g)*CO2E_of_CH4_ClimateReg</f>
        <v>#VALUE!</v>
      </c>
      <c r="S30" s="436"/>
      <c r="T30" s="347" t="e">
        <f>T9*('References Assumptions'!$B$208/Mg_g)*CO2E_of_CH4_ClimateReg</f>
        <v>#VALUE!</v>
      </c>
      <c r="U30" s="436"/>
    </row>
    <row r="31" spans="1:21" ht="15.75" customHeight="1" thickBot="1" x14ac:dyDescent="0.3">
      <c r="A31" s="475"/>
      <c r="B31" s="484"/>
      <c r="C31" s="433"/>
      <c r="D31" s="484"/>
      <c r="E31" s="433"/>
      <c r="F31" s="484"/>
      <c r="G31" s="433"/>
      <c r="H31" s="484"/>
      <c r="I31" s="433"/>
      <c r="J31" s="484"/>
      <c r="K31" s="433"/>
      <c r="L31" s="484"/>
      <c r="M31" s="433"/>
      <c r="N31" s="484"/>
      <c r="O31" s="433"/>
      <c r="P31" s="484"/>
      <c r="Q31" s="433"/>
      <c r="R31" s="484"/>
      <c r="S31" s="433"/>
      <c r="T31" s="484"/>
      <c r="U31" s="433"/>
    </row>
    <row r="32" spans="1:21" ht="15.75" customHeight="1" thickBot="1" x14ac:dyDescent="0.3">
      <c r="A32" s="1300" t="s">
        <v>202</v>
      </c>
      <c r="B32" s="1301"/>
      <c r="C32" s="1301"/>
      <c r="D32" s="1301"/>
      <c r="E32" s="1301"/>
      <c r="F32" s="1301"/>
      <c r="G32" s="1301"/>
      <c r="H32" s="1301"/>
      <c r="I32" s="1301"/>
      <c r="J32" s="1301"/>
      <c r="K32" s="1301"/>
      <c r="L32" s="1301"/>
      <c r="M32" s="1301"/>
      <c r="N32" s="1301"/>
      <c r="O32" s="1301"/>
      <c r="P32" s="1301"/>
      <c r="Q32" s="1301"/>
      <c r="R32" s="1301"/>
      <c r="S32" s="1301"/>
      <c r="T32" s="1301"/>
      <c r="U32" s="1302"/>
    </row>
    <row r="33" spans="1:21" ht="15.75" customHeight="1" x14ac:dyDescent="0.3">
      <c r="A33" s="168" t="s">
        <v>12</v>
      </c>
      <c r="B33" s="250" t="e">
        <f>B9*('References Assumptions'!$B$211/Mg_g)*CO2E_of_N2O_Climate_Reg</f>
        <v>#VALUE!</v>
      </c>
      <c r="C33" s="276"/>
      <c r="D33" s="250" t="e">
        <f>D9*('References Assumptions'!$B$211/Mg_g)*CO2E_of_N2O_Climate_Reg</f>
        <v>#VALUE!</v>
      </c>
      <c r="E33" s="276"/>
      <c r="F33" s="250" t="e">
        <f>F9*('References Assumptions'!$B$211/Mg_g)*CO2E_of_N2O_Climate_Reg</f>
        <v>#VALUE!</v>
      </c>
      <c r="G33" s="276"/>
      <c r="H33" s="250" t="e">
        <f>H9*('References Assumptions'!$B$211/Mg_g)*CO2E_of_N2O_Climate_Reg</f>
        <v>#VALUE!</v>
      </c>
      <c r="I33" s="276"/>
      <c r="J33" s="250" t="e">
        <f>J9*('References Assumptions'!$B$211/Mg_g)*CO2E_of_N2O_Climate_Reg</f>
        <v>#VALUE!</v>
      </c>
      <c r="K33" s="276"/>
      <c r="L33" s="250" t="e">
        <f>L9*('References Assumptions'!$B$211/Mg_g)*CO2E_of_N2O_Climate_Reg</f>
        <v>#VALUE!</v>
      </c>
      <c r="M33" s="276"/>
      <c r="N33" s="250" t="e">
        <f>N9*('References Assumptions'!$B$211/Mg_g)*CO2E_of_N2O_Climate_Reg</f>
        <v>#VALUE!</v>
      </c>
      <c r="O33" s="276"/>
      <c r="P33" s="250" t="e">
        <f>P9*('References Assumptions'!$B$211/Mg_g)*CO2E_of_N2O_Climate_Reg</f>
        <v>#VALUE!</v>
      </c>
      <c r="Q33" s="276"/>
      <c r="R33" s="250" t="e">
        <f>R9*('References Assumptions'!$B$211/Mg_g)*CO2E_of_N2O_Climate_Reg</f>
        <v>#VALUE!</v>
      </c>
      <c r="S33" s="276"/>
      <c r="T33" s="250" t="e">
        <f>T9*('References Assumptions'!$B$211/Mg_g)*CO2E_of_N2O_Climate_Reg</f>
        <v>#VALUE!</v>
      </c>
      <c r="U33" s="276"/>
    </row>
    <row r="34" spans="1:21" ht="15.75" customHeight="1" thickBot="1" x14ac:dyDescent="0.3">
      <c r="A34" s="475"/>
      <c r="B34" s="484"/>
      <c r="C34" s="433"/>
      <c r="D34" s="484"/>
      <c r="E34" s="433"/>
      <c r="F34" s="484"/>
      <c r="G34" s="433"/>
      <c r="H34" s="484"/>
      <c r="I34" s="433"/>
      <c r="J34" s="484"/>
      <c r="K34" s="433"/>
      <c r="L34" s="484"/>
      <c r="M34" s="433"/>
      <c r="N34" s="484"/>
      <c r="O34" s="433"/>
      <c r="P34" s="484"/>
      <c r="Q34" s="433"/>
      <c r="R34" s="484"/>
      <c r="S34" s="433"/>
      <c r="T34" s="484"/>
      <c r="U34" s="433"/>
    </row>
    <row r="35" spans="1:21" ht="15.75" customHeight="1" thickBot="1" x14ac:dyDescent="0.3">
      <c r="A35" s="1300" t="s">
        <v>620</v>
      </c>
      <c r="B35" s="1301"/>
      <c r="C35" s="1301"/>
      <c r="D35" s="1301"/>
      <c r="E35" s="1301"/>
      <c r="F35" s="1301"/>
      <c r="G35" s="1301"/>
      <c r="H35" s="1301"/>
      <c r="I35" s="1301"/>
      <c r="J35" s="1301"/>
      <c r="K35" s="1301"/>
      <c r="L35" s="1301"/>
      <c r="M35" s="1301"/>
      <c r="N35" s="1301"/>
      <c r="O35" s="1301"/>
      <c r="P35" s="1301"/>
      <c r="Q35" s="1301"/>
      <c r="R35" s="1301"/>
      <c r="S35" s="1301"/>
      <c r="T35" s="1301"/>
      <c r="U35" s="1302"/>
    </row>
    <row r="36" spans="1:21" ht="15.75" customHeight="1" x14ac:dyDescent="0.3">
      <c r="A36" s="417" t="s">
        <v>864</v>
      </c>
      <c r="B36" s="1040" t="e">
        <f>+B9*B13*B15*Carbon_as_a___of_TVS_compostinghandbook*C_to_CO2_conversion</f>
        <v>#VALUE!</v>
      </c>
      <c r="C36" s="1115"/>
      <c r="D36" s="1040" t="e">
        <f>+D9*D13*D15*Carbon_as_a___of_TVS_compostinghandbook*C_to_CO2_conversion</f>
        <v>#VALUE!</v>
      </c>
      <c r="E36" s="1115"/>
      <c r="F36" s="1040" t="e">
        <f>+F9*F13*F15*Carbon_as_a___of_TVS_compostinghandbook*C_to_CO2_conversion</f>
        <v>#VALUE!</v>
      </c>
      <c r="G36" s="1115"/>
      <c r="H36" s="1040" t="e">
        <f>+H9*H13*H15*Carbon_as_a___of_TVS_compostinghandbook*C_to_CO2_conversion</f>
        <v>#VALUE!</v>
      </c>
      <c r="I36" s="1115"/>
      <c r="J36" s="1040" t="e">
        <f>+J9*J13*J15*Carbon_as_a___of_TVS_compostinghandbook*C_to_CO2_conversion</f>
        <v>#VALUE!</v>
      </c>
      <c r="K36" s="1115"/>
      <c r="L36" s="1040" t="e">
        <f>+L9*L13*L15*Carbon_as_a___of_TVS_compostinghandbook*C_to_CO2_conversion</f>
        <v>#VALUE!</v>
      </c>
      <c r="M36" s="1115"/>
      <c r="N36" s="1040" t="e">
        <f>+N9*N13*N15*Carbon_as_a___of_TVS_compostinghandbook*C_to_CO2_conversion</f>
        <v>#VALUE!</v>
      </c>
      <c r="O36" s="1115"/>
      <c r="P36" s="1040" t="e">
        <f>+P9*P13*P15*Carbon_as_a___of_TVS_compostinghandbook*C_to_CO2_conversion</f>
        <v>#VALUE!</v>
      </c>
      <c r="Q36" s="1115"/>
      <c r="R36" s="1040" t="e">
        <f>+R9*R13*R15*Carbon_as_a___of_TVS_compostinghandbook*C_to_CO2_conversion</f>
        <v>#VALUE!</v>
      </c>
      <c r="S36" s="1115"/>
      <c r="T36" s="1040" t="e">
        <f>+T9*T13*T15*Carbon_as_a___of_TVS_compostinghandbook*C_to_CO2_conversion</f>
        <v>#VALUE!</v>
      </c>
      <c r="U36" s="1115"/>
    </row>
    <row r="37" spans="1:21" ht="15.75" customHeight="1" thickBot="1" x14ac:dyDescent="0.3">
      <c r="A37" s="505"/>
      <c r="B37" s="344"/>
      <c r="C37" s="281"/>
      <c r="D37" s="344"/>
      <c r="E37" s="281"/>
      <c r="F37" s="344"/>
      <c r="G37" s="281"/>
      <c r="H37" s="344"/>
      <c r="I37" s="281"/>
      <c r="J37" s="344"/>
      <c r="K37" s="281"/>
      <c r="L37" s="344"/>
      <c r="M37" s="281"/>
      <c r="N37" s="344"/>
      <c r="O37" s="281"/>
      <c r="P37" s="344"/>
      <c r="Q37" s="281"/>
      <c r="R37" s="344"/>
      <c r="S37" s="281"/>
      <c r="T37" s="344"/>
      <c r="U37" s="281"/>
    </row>
    <row r="38" spans="1:21" ht="15.75" customHeight="1" thickBot="1" x14ac:dyDescent="0.25">
      <c r="A38" s="1348"/>
      <c r="B38" s="1349"/>
      <c r="C38" s="1349"/>
      <c r="D38" s="1349"/>
      <c r="E38" s="1349"/>
      <c r="F38" s="1349"/>
      <c r="G38" s="1349"/>
      <c r="H38" s="1349"/>
      <c r="I38" s="1349"/>
      <c r="J38" s="1349"/>
      <c r="K38" s="1349"/>
      <c r="L38" s="1349"/>
      <c r="M38" s="1349"/>
      <c r="N38" s="1349"/>
      <c r="O38" s="1349"/>
      <c r="P38" s="1349"/>
      <c r="Q38" s="1349"/>
      <c r="R38" s="1349"/>
      <c r="S38" s="1349"/>
      <c r="T38" s="1349"/>
      <c r="U38" s="1350"/>
    </row>
    <row r="39" spans="1:21" ht="18.75" customHeight="1" thickBot="1" x14ac:dyDescent="0.3">
      <c r="A39" s="254" t="s">
        <v>45</v>
      </c>
      <c r="B39" s="303" t="e">
        <f>(B21+B27+B33+B30)*days_yr</f>
        <v>#VALUE!</v>
      </c>
      <c r="C39" s="488"/>
      <c r="D39" s="303" t="e">
        <f>(D21+D27+D33+D30)*days_yr</f>
        <v>#VALUE!</v>
      </c>
      <c r="E39" s="488"/>
      <c r="F39" s="303" t="e">
        <f>(F21+F27+F33+F30)*days_yr</f>
        <v>#VALUE!</v>
      </c>
      <c r="G39" s="488"/>
      <c r="H39" s="303" t="e">
        <f>(H21+H27+H33+H30)*days_yr</f>
        <v>#VALUE!</v>
      </c>
      <c r="I39" s="488"/>
      <c r="J39" s="303" t="e">
        <f>(J21+J27+J33+J30)*days_yr</f>
        <v>#VALUE!</v>
      </c>
      <c r="K39" s="488"/>
      <c r="L39" s="303" t="e">
        <f>(L21+L27+L33+L30)*days_yr</f>
        <v>#VALUE!</v>
      </c>
      <c r="M39" s="488"/>
      <c r="N39" s="303" t="e">
        <f>(N21+N27+N33+N30)*days_yr</f>
        <v>#VALUE!</v>
      </c>
      <c r="O39" s="488"/>
      <c r="P39" s="303" t="e">
        <f>(P21+P27+P33+P30)*days_yr</f>
        <v>#VALUE!</v>
      </c>
      <c r="Q39" s="488"/>
      <c r="R39" s="303" t="e">
        <f>(R21+R27+R33+R30)*days_yr</f>
        <v>#VALUE!</v>
      </c>
      <c r="S39" s="488"/>
      <c r="T39" s="303" t="e">
        <f>(T21+T27+T33+T30)*days_yr</f>
        <v>#VALUE!</v>
      </c>
      <c r="U39" s="488"/>
    </row>
    <row r="40" spans="1:21" ht="15.75" customHeight="1" x14ac:dyDescent="0.25">
      <c r="A40" s="161" t="s">
        <v>228</v>
      </c>
      <c r="B40" s="137" t="e">
        <f>(B21+B30+B33)*days_yr</f>
        <v>#VALUE!</v>
      </c>
      <c r="C40" s="305"/>
      <c r="D40" s="137" t="e">
        <f>(D21+D30+D33)*days_yr</f>
        <v>#VALUE!</v>
      </c>
      <c r="E40" s="305"/>
      <c r="F40" s="137" t="e">
        <f>(F21+F30+F33)*days_yr</f>
        <v>#VALUE!</v>
      </c>
      <c r="G40" s="305"/>
      <c r="H40" s="137" t="e">
        <f>(H21+H30+H33)*days_yr</f>
        <v>#VALUE!</v>
      </c>
      <c r="I40" s="305"/>
      <c r="J40" s="137" t="e">
        <f>(J21+J30+J33)*days_yr</f>
        <v>#VALUE!</v>
      </c>
      <c r="K40" s="305"/>
      <c r="L40" s="137" t="e">
        <f>(L21+L30+L33)*days_yr</f>
        <v>#VALUE!</v>
      </c>
      <c r="M40" s="305"/>
      <c r="N40" s="137" t="e">
        <f>(N21+N30+N33)*days_yr</f>
        <v>#VALUE!</v>
      </c>
      <c r="O40" s="305"/>
      <c r="P40" s="137" t="e">
        <f>(P21+P30+P33)*days_yr</f>
        <v>#VALUE!</v>
      </c>
      <c r="Q40" s="305"/>
      <c r="R40" s="137" t="e">
        <f>(R21+R30+R33)*days_yr</f>
        <v>#VALUE!</v>
      </c>
      <c r="S40" s="305"/>
      <c r="T40" s="137" t="e">
        <f>(T21+T30+T33)*days_yr</f>
        <v>#VALUE!</v>
      </c>
      <c r="U40" s="305"/>
    </row>
    <row r="41" spans="1:21" ht="15.75" customHeight="1" x14ac:dyDescent="0.25">
      <c r="A41" s="168" t="s">
        <v>229</v>
      </c>
      <c r="B41" s="138" t="e">
        <f>B27*days_yr</f>
        <v>#VALUE!</v>
      </c>
      <c r="C41" s="305"/>
      <c r="D41" s="138" t="e">
        <f>D27*days_yr</f>
        <v>#VALUE!</v>
      </c>
      <c r="E41" s="305"/>
      <c r="F41" s="138" t="e">
        <f>F27*days_yr</f>
        <v>#VALUE!</v>
      </c>
      <c r="G41" s="305"/>
      <c r="H41" s="138" t="e">
        <f>H27*days_yr</f>
        <v>#VALUE!</v>
      </c>
      <c r="I41" s="305"/>
      <c r="J41" s="138" t="e">
        <f>J27*days_yr</f>
        <v>#VALUE!</v>
      </c>
      <c r="K41" s="305"/>
      <c r="L41" s="138" t="e">
        <f>L27*days_yr</f>
        <v>#VALUE!</v>
      </c>
      <c r="M41" s="305"/>
      <c r="N41" s="138" t="e">
        <f>N27*days_yr</f>
        <v>#VALUE!</v>
      </c>
      <c r="O41" s="305"/>
      <c r="P41" s="138" t="e">
        <f>P27*days_yr</f>
        <v>#VALUE!</v>
      </c>
      <c r="Q41" s="305"/>
      <c r="R41" s="138" t="e">
        <f>R27*days_yr</f>
        <v>#VALUE!</v>
      </c>
      <c r="S41" s="305"/>
      <c r="T41" s="138" t="e">
        <f>T27*days_yr</f>
        <v>#VALUE!</v>
      </c>
      <c r="U41" s="305"/>
    </row>
    <row r="42" spans="1:21" ht="15.75" customHeight="1" x14ac:dyDescent="0.25">
      <c r="A42" s="168" t="s">
        <v>207</v>
      </c>
      <c r="B42" s="138" t="e">
        <f>B40+B41</f>
        <v>#VALUE!</v>
      </c>
      <c r="C42" s="305"/>
      <c r="D42" s="138" t="e">
        <f>D40+D41</f>
        <v>#VALUE!</v>
      </c>
      <c r="E42" s="305"/>
      <c r="F42" s="138" t="e">
        <f>F40+F41</f>
        <v>#VALUE!</v>
      </c>
      <c r="G42" s="305"/>
      <c r="H42" s="138" t="e">
        <f>H40+H41</f>
        <v>#VALUE!</v>
      </c>
      <c r="I42" s="305"/>
      <c r="J42" s="138" t="e">
        <f>J40+J41</f>
        <v>#VALUE!</v>
      </c>
      <c r="K42" s="305"/>
      <c r="L42" s="138" t="e">
        <f>L40+L41</f>
        <v>#VALUE!</v>
      </c>
      <c r="M42" s="305"/>
      <c r="N42" s="138" t="e">
        <f>N40+N41</f>
        <v>#VALUE!</v>
      </c>
      <c r="O42" s="305"/>
      <c r="P42" s="138" t="e">
        <f>P40+P41</f>
        <v>#VALUE!</v>
      </c>
      <c r="Q42" s="305"/>
      <c r="R42" s="138" t="e">
        <f>R40+R41</f>
        <v>#VALUE!</v>
      </c>
      <c r="S42" s="305"/>
      <c r="T42" s="138" t="e">
        <f>T40+T41</f>
        <v>#VALUE!</v>
      </c>
      <c r="U42" s="305"/>
    </row>
    <row r="43" spans="1:21" ht="15.75" customHeight="1" x14ac:dyDescent="0.25">
      <c r="A43" s="168" t="s">
        <v>230</v>
      </c>
      <c r="B43" s="138">
        <v>0</v>
      </c>
      <c r="C43" s="305"/>
      <c r="D43" s="138">
        <v>0</v>
      </c>
      <c r="E43" s="305"/>
      <c r="F43" s="138">
        <v>0</v>
      </c>
      <c r="G43" s="305"/>
      <c r="H43" s="138">
        <v>0</v>
      </c>
      <c r="I43" s="305"/>
      <c r="J43" s="138">
        <v>0</v>
      </c>
      <c r="K43" s="305"/>
      <c r="L43" s="138">
        <v>0</v>
      </c>
      <c r="M43" s="305"/>
      <c r="N43" s="138">
        <v>0</v>
      </c>
      <c r="O43" s="305"/>
      <c r="P43" s="138">
        <v>0</v>
      </c>
      <c r="Q43" s="305"/>
      <c r="R43" s="138">
        <v>0</v>
      </c>
      <c r="S43" s="305"/>
      <c r="T43" s="138">
        <v>0</v>
      </c>
      <c r="U43" s="305"/>
    </row>
    <row r="44" spans="1:21" ht="15.75" customHeight="1" thickBot="1" x14ac:dyDescent="0.3">
      <c r="A44" s="169" t="s">
        <v>325</v>
      </c>
      <c r="B44" s="140" t="e">
        <f>B36*days_yr</f>
        <v>#VALUE!</v>
      </c>
      <c r="C44" s="351"/>
      <c r="D44" s="140" t="e">
        <f>D36*days_yr</f>
        <v>#VALUE!</v>
      </c>
      <c r="E44" s="351"/>
      <c r="F44" s="140" t="e">
        <f>F36*days_yr</f>
        <v>#VALUE!</v>
      </c>
      <c r="G44" s="351"/>
      <c r="H44" s="140" t="e">
        <f>H36*days_yr</f>
        <v>#VALUE!</v>
      </c>
      <c r="I44" s="351"/>
      <c r="J44" s="140" t="e">
        <f>J36*days_yr</f>
        <v>#VALUE!</v>
      </c>
      <c r="K44" s="351"/>
      <c r="L44" s="140" t="e">
        <f>L36*days_yr</f>
        <v>#VALUE!</v>
      </c>
      <c r="M44" s="351"/>
      <c r="N44" s="140" t="e">
        <f>N36*days_yr</f>
        <v>#VALUE!</v>
      </c>
      <c r="O44" s="351"/>
      <c r="P44" s="140" t="e">
        <f>P36*days_yr</f>
        <v>#VALUE!</v>
      </c>
      <c r="Q44" s="351"/>
      <c r="R44" s="140" t="e">
        <f>R36*days_yr</f>
        <v>#VALUE!</v>
      </c>
      <c r="S44" s="351"/>
      <c r="T44" s="140" t="e">
        <f>T36*days_yr</f>
        <v>#VALUE!</v>
      </c>
      <c r="U44" s="351"/>
    </row>
    <row r="45" spans="1:21" ht="15" x14ac:dyDescent="0.25">
      <c r="A45" s="489"/>
      <c r="B45" s="96"/>
      <c r="C45" s="96"/>
      <c r="D45" s="96"/>
      <c r="E45" s="96"/>
    </row>
    <row r="46" spans="1:21" s="105" customFormat="1" ht="18" x14ac:dyDescent="0.25">
      <c r="A46" s="176" t="s">
        <v>97</v>
      </c>
      <c r="B46" s="155"/>
    </row>
    <row r="47" spans="1:21" s="105" customFormat="1" ht="60" customHeight="1" x14ac:dyDescent="0.25">
      <c r="A47" s="489"/>
      <c r="B47" s="489"/>
      <c r="C47" s="489"/>
    </row>
    <row r="48" spans="1:21" s="105" customFormat="1" ht="15.75" customHeight="1" x14ac:dyDescent="0.2">
      <c r="A48" s="1035"/>
      <c r="B48" s="1036"/>
      <c r="C48" s="1036"/>
    </row>
    <row r="49" spans="1:5" ht="15" x14ac:dyDescent="0.25">
      <c r="A49" s="489"/>
      <c r="B49" s="1234" t="s">
        <v>110</v>
      </c>
      <c r="C49" s="1235"/>
      <c r="D49" s="1235"/>
      <c r="E49" s="1236"/>
    </row>
    <row r="50" spans="1:5" ht="14.45" customHeight="1" x14ac:dyDescent="0.25">
      <c r="A50" s="489"/>
      <c r="B50" s="1231" t="s">
        <v>31</v>
      </c>
      <c r="C50" s="1232"/>
      <c r="D50" s="1233"/>
      <c r="E50" s="563">
        <v>0</v>
      </c>
    </row>
    <row r="51" spans="1:5" ht="15" x14ac:dyDescent="0.25">
      <c r="A51" s="489"/>
      <c r="B51" s="1231" t="s">
        <v>32</v>
      </c>
      <c r="C51" s="1232"/>
      <c r="D51" s="1233"/>
      <c r="E51" s="564">
        <v>0</v>
      </c>
    </row>
    <row r="52" spans="1:5" ht="15" x14ac:dyDescent="0.25">
      <c r="A52" s="489"/>
      <c r="B52" s="1231" t="s">
        <v>615</v>
      </c>
      <c r="C52" s="1232"/>
      <c r="D52" s="1233"/>
      <c r="E52" s="565">
        <v>0</v>
      </c>
    </row>
    <row r="53" spans="1:5" ht="15" x14ac:dyDescent="0.25">
      <c r="A53" s="489"/>
      <c r="B53" s="1231" t="s">
        <v>70</v>
      </c>
      <c r="C53" s="1232"/>
      <c r="D53" s="1233"/>
      <c r="E53" s="566">
        <v>0</v>
      </c>
    </row>
    <row r="54" spans="1:5" ht="15" x14ac:dyDescent="0.25">
      <c r="A54" s="489"/>
      <c r="B54" s="1231" t="s">
        <v>550</v>
      </c>
      <c r="C54" s="1232"/>
      <c r="D54" s="1233"/>
      <c r="E54" s="567">
        <v>0</v>
      </c>
    </row>
    <row r="55" spans="1:5" ht="15" x14ac:dyDescent="0.25">
      <c r="A55" s="489"/>
      <c r="B55" s="1231" t="s">
        <v>610</v>
      </c>
      <c r="C55" s="1232"/>
      <c r="D55" s="1233"/>
      <c r="E55" s="227">
        <v>0</v>
      </c>
    </row>
    <row r="56" spans="1:5" x14ac:dyDescent="0.2">
      <c r="A56" s="96"/>
      <c r="B56" s="96"/>
      <c r="C56" s="96"/>
      <c r="D56" s="96"/>
      <c r="E56" s="96"/>
    </row>
    <row r="57" spans="1:5" x14ac:dyDescent="0.2">
      <c r="A57" s="96"/>
      <c r="B57" s="96"/>
      <c r="C57" s="96"/>
      <c r="D57" s="178"/>
      <c r="E57" s="96"/>
    </row>
    <row r="58" spans="1:5" x14ac:dyDescent="0.2">
      <c r="A58" s="96"/>
      <c r="B58" s="96"/>
      <c r="C58" s="96"/>
      <c r="D58" s="286"/>
      <c r="E58" s="96"/>
    </row>
    <row r="59" spans="1:5" x14ac:dyDescent="0.2">
      <c r="A59" s="96"/>
      <c r="B59" s="96"/>
      <c r="C59" s="96"/>
      <c r="D59" s="178"/>
      <c r="E59" s="96"/>
    </row>
    <row r="60" spans="1:5" x14ac:dyDescent="0.2">
      <c r="A60" s="96"/>
      <c r="B60" s="96"/>
      <c r="C60" s="96"/>
      <c r="D60" s="178"/>
      <c r="E60" s="96"/>
    </row>
    <row r="61" spans="1:5" x14ac:dyDescent="0.2">
      <c r="A61" s="96"/>
      <c r="B61" s="96"/>
      <c r="C61" s="96"/>
      <c r="D61" s="286"/>
      <c r="E61" s="96"/>
    </row>
    <row r="62" spans="1:5" x14ac:dyDescent="0.2">
      <c r="A62" s="96"/>
      <c r="B62" s="96"/>
      <c r="C62" s="96"/>
      <c r="D62" s="96"/>
      <c r="E62" s="96"/>
    </row>
    <row r="63" spans="1:5" x14ac:dyDescent="0.2">
      <c r="A63" s="96"/>
      <c r="B63" s="96"/>
      <c r="C63" s="96"/>
      <c r="D63" s="96"/>
      <c r="E63" s="96"/>
    </row>
    <row r="64" spans="1:5" x14ac:dyDescent="0.2">
      <c r="A64" s="96"/>
      <c r="B64" s="96"/>
      <c r="C64" s="96"/>
      <c r="D64" s="96"/>
      <c r="E64" s="96"/>
    </row>
    <row r="66" spans="3:3" x14ac:dyDescent="0.2">
      <c r="C66" s="96"/>
    </row>
    <row r="67" spans="3:3" x14ac:dyDescent="0.2">
      <c r="C67" s="96"/>
    </row>
    <row r="68" spans="3:3" x14ac:dyDescent="0.2">
      <c r="C68" s="96"/>
    </row>
    <row r="69" spans="3:3" x14ac:dyDescent="0.2">
      <c r="C69" s="490"/>
    </row>
  </sheetData>
  <sheetProtection algorithmName="SHA-512" hashValue="K75mjSKKa/Om3X4+rsxW1zyEHD+IR9j3hxrs7zfZiihSTIo2zC5r7rdhmCOPhF2tSMkJ4fhIaH0Z77dvkXSUgQ==" saltValue="xMgHujoMvsnW2tE5PdCHKw==" spinCount="100000" sheet="1" objects="1" scenarios="1"/>
  <mergeCells count="35">
    <mergeCell ref="N3:O3"/>
    <mergeCell ref="P3:Q3"/>
    <mergeCell ref="R3:S3"/>
    <mergeCell ref="J2:K2"/>
    <mergeCell ref="L2:M2"/>
    <mergeCell ref="N2:O2"/>
    <mergeCell ref="P2:Q2"/>
    <mergeCell ref="R2:S2"/>
    <mergeCell ref="L3:M3"/>
    <mergeCell ref="B3:C3"/>
    <mergeCell ref="D3:E3"/>
    <mergeCell ref="F3:G3"/>
    <mergeCell ref="H3:I3"/>
    <mergeCell ref="J3:K3"/>
    <mergeCell ref="T3:U3"/>
    <mergeCell ref="B50:D50"/>
    <mergeCell ref="A19:U19"/>
    <mergeCell ref="A23:U23"/>
    <mergeCell ref="A29:U29"/>
    <mergeCell ref="A32:U32"/>
    <mergeCell ref="A35:U35"/>
    <mergeCell ref="A38:U38"/>
    <mergeCell ref="B49:E49"/>
    <mergeCell ref="A5:U5"/>
    <mergeCell ref="A2:A3"/>
    <mergeCell ref="T2:U2"/>
    <mergeCell ref="B2:C2"/>
    <mergeCell ref="D2:E2"/>
    <mergeCell ref="F2:G2"/>
    <mergeCell ref="H2:I2"/>
    <mergeCell ref="B51:D51"/>
    <mergeCell ref="B52:D52"/>
    <mergeCell ref="B53:D53"/>
    <mergeCell ref="B54:D54"/>
    <mergeCell ref="B55:D55"/>
  </mergeCells>
  <conditionalFormatting sqref="B7">
    <cfRule type="notContainsText" dxfId="27" priority="11" operator="notContains" text=" ">
      <formula>ISERROR(SEARCH(" ",B7))</formula>
    </cfRule>
  </conditionalFormatting>
  <conditionalFormatting sqref="B7:B8">
    <cfRule type="containsText" dxfId="26" priority="12" operator="containsText" text=" ">
      <formula>NOT(ISERROR(SEARCH(" ",B7)))</formula>
    </cfRule>
  </conditionalFormatting>
  <conditionalFormatting sqref="B16">
    <cfRule type="containsText" dxfId="25" priority="67" operator="containsText" text=" ">
      <formula>NOT(ISERROR(SEARCH(" ",B16)))</formula>
    </cfRule>
  </conditionalFormatting>
  <conditionalFormatting sqref="D7">
    <cfRule type="notContainsText" dxfId="24" priority="8" operator="notContains" text=" ">
      <formula>ISERROR(SEARCH(" ",D7))</formula>
    </cfRule>
  </conditionalFormatting>
  <conditionalFormatting sqref="D7:D8">
    <cfRule type="containsText" dxfId="23" priority="9" operator="containsText" text=" ">
      <formula>NOT(ISERROR(SEARCH(" ",D7)))</formula>
    </cfRule>
  </conditionalFormatting>
  <conditionalFormatting sqref="D16">
    <cfRule type="containsText" dxfId="22" priority="63" operator="containsText" text=" ">
      <formula>NOT(ISERROR(SEARCH(" ",D16)))</formula>
    </cfRule>
  </conditionalFormatting>
  <conditionalFormatting sqref="F7">
    <cfRule type="notContainsText" dxfId="21" priority="27" operator="notContains" text=" ">
      <formula>ISERROR(SEARCH(" ",F7))</formula>
    </cfRule>
    <cfRule type="containsText" dxfId="20" priority="28" operator="containsText" text=" ">
      <formula>NOT(ISERROR(SEARCH(" ",F7)))</formula>
    </cfRule>
  </conditionalFormatting>
  <conditionalFormatting sqref="F8 H8 J8">
    <cfRule type="containsText" dxfId="19" priority="16" operator="containsText" text=" ">
      <formula>NOT(ISERROR(SEARCH(" ",F8)))</formula>
    </cfRule>
  </conditionalFormatting>
  <conditionalFormatting sqref="F16">
    <cfRule type="containsText" dxfId="18" priority="59" operator="containsText" text=" ">
      <formula>NOT(ISERROR(SEARCH(" ",F16)))</formula>
    </cfRule>
  </conditionalFormatting>
  <conditionalFormatting sqref="H7">
    <cfRule type="notContainsText" dxfId="17" priority="25" operator="notContains" text=" ">
      <formula>ISERROR(SEARCH(" ",H7))</formula>
    </cfRule>
    <cfRule type="containsText" dxfId="16" priority="26" operator="containsText" text=" ">
      <formula>NOT(ISERROR(SEARCH(" ",H7)))</formula>
    </cfRule>
  </conditionalFormatting>
  <conditionalFormatting sqref="H16">
    <cfRule type="containsText" dxfId="15" priority="7" operator="containsText" text=" ">
      <formula>NOT(ISERROR(SEARCH(" ",H16)))</formula>
    </cfRule>
  </conditionalFormatting>
  <conditionalFormatting sqref="J7">
    <cfRule type="notContainsText" dxfId="14" priority="23" operator="notContains" text=" ">
      <formula>ISERROR(SEARCH(" ",J7))</formula>
    </cfRule>
    <cfRule type="containsText" dxfId="13" priority="24" operator="containsText" text=" ">
      <formula>NOT(ISERROR(SEARCH(" ",J7)))</formula>
    </cfRule>
  </conditionalFormatting>
  <conditionalFormatting sqref="J16">
    <cfRule type="containsText" dxfId="12" priority="6" operator="containsText" text=" ">
      <formula>NOT(ISERROR(SEARCH(" ",J16)))</formula>
    </cfRule>
  </conditionalFormatting>
  <conditionalFormatting sqref="L7">
    <cfRule type="notContainsText" dxfId="11" priority="21" operator="notContains" text=" ">
      <formula>ISERROR(SEARCH(" ",L7))</formula>
    </cfRule>
    <cfRule type="containsText" dxfId="10" priority="22" operator="containsText" text=" ">
      <formula>NOT(ISERROR(SEARCH(" ",L7)))</formula>
    </cfRule>
  </conditionalFormatting>
  <conditionalFormatting sqref="L8 N8 P8 R8 T8">
    <cfRule type="containsText" dxfId="9" priority="15" operator="containsText" text=" ">
      <formula>NOT(ISERROR(SEARCH(" ",L8)))</formula>
    </cfRule>
  </conditionalFormatting>
  <conditionalFormatting sqref="L16">
    <cfRule type="containsText" dxfId="8" priority="5" operator="containsText" text=" ">
      <formula>NOT(ISERROR(SEARCH(" ",L16)))</formula>
    </cfRule>
  </conditionalFormatting>
  <conditionalFormatting sqref="N7 P7 R7">
    <cfRule type="notContainsText" dxfId="7" priority="19" operator="notContains" text=" ">
      <formula>ISERROR(SEARCH(" ",N7))</formula>
    </cfRule>
    <cfRule type="containsText" dxfId="6" priority="20" operator="containsText" text=" ">
      <formula>NOT(ISERROR(SEARCH(" ",N7)))</formula>
    </cfRule>
  </conditionalFormatting>
  <conditionalFormatting sqref="N16">
    <cfRule type="containsText" dxfId="5" priority="4" operator="containsText" text=" ">
      <formula>NOT(ISERROR(SEARCH(" ",N16)))</formula>
    </cfRule>
  </conditionalFormatting>
  <conditionalFormatting sqref="P16">
    <cfRule type="containsText" dxfId="4" priority="3" operator="containsText" text=" ">
      <formula>NOT(ISERROR(SEARCH(" ",P16)))</formula>
    </cfRule>
  </conditionalFormatting>
  <conditionalFormatting sqref="R16">
    <cfRule type="containsText" dxfId="3" priority="2" operator="containsText" text=" ">
      <formula>NOT(ISERROR(SEARCH(" ",R16)))</formula>
    </cfRule>
  </conditionalFormatting>
  <conditionalFormatting sqref="T7">
    <cfRule type="notContainsText" dxfId="2" priority="17" operator="notContains" text=" ">
      <formula>ISERROR(SEARCH(" ",T7))</formula>
    </cfRule>
    <cfRule type="containsText" dxfId="1" priority="18" operator="containsText" text=" ">
      <formula>NOT(ISERROR(SEARCH(" ",T7)))</formula>
    </cfRule>
  </conditionalFormatting>
  <conditionalFormatting sqref="T16">
    <cfRule type="containsText" dxfId="0" priority="1" operator="containsText" text=" ">
      <formula>NOT(ISERROR(SEARCH(" ",T16)))</formula>
    </cfRule>
  </conditionalFormatting>
  <dataValidations count="2">
    <dataValidation type="list" allowBlank="1" showInputMessage="1" showErrorMessage="1" sqref="N14 B14 P14 D14 F14 R14 H14 J14 L14 T14" xr:uid="{00000000-0002-0000-1700-000000000000}">
      <formula1>PyrolysisUnit</formula1>
    </dataValidation>
    <dataValidation type="list" allowBlank="1" showInputMessage="1" showErrorMessage="1" sqref="B10 L6 P6 F6 D6 H6 J6 N6 B6 R10 R6 D10 F10 T6 H10 J10 L10 N10 P10 T10" xr:uid="{00000000-0002-0000-1700-000001000000}">
      <formula1>Yes_No</formula1>
    </dataValidation>
  </dataValidations>
  <pageMargins left="0.75" right="0.75" top="1" bottom="1" header="0.5" footer="0.5"/>
  <pageSetup scale="58" orientation="portrait" horizontalDpi="4294967292" verticalDpi="4294967292"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1">
    <pageSetUpPr fitToPage="1"/>
  </sheetPr>
  <dimension ref="A1:U79"/>
  <sheetViews>
    <sheetView topLeftCell="A31" zoomScale="70" zoomScaleNormal="70" workbookViewId="0">
      <selection activeCell="B52" sqref="B52"/>
    </sheetView>
  </sheetViews>
  <sheetFormatPr defaultColWidth="11.42578125" defaultRowHeight="14.25" x14ac:dyDescent="0.2"/>
  <cols>
    <col min="1" max="1" width="72.42578125" style="96" customWidth="1"/>
    <col min="2" max="2" width="17.42578125" style="96" customWidth="1"/>
    <col min="3" max="3" width="15.42578125" style="96" customWidth="1"/>
    <col min="4" max="4" width="17.42578125" style="96" customWidth="1"/>
    <col min="5" max="5" width="15.42578125" style="96" customWidth="1"/>
    <col min="6" max="6" width="17.42578125" style="96" customWidth="1"/>
    <col min="7" max="7" width="15.42578125" style="96" customWidth="1"/>
    <col min="8" max="8" width="17.42578125" style="96" customWidth="1"/>
    <col min="9" max="9" width="15.42578125" style="96" customWidth="1"/>
    <col min="10" max="10" width="17.42578125" style="96" customWidth="1"/>
    <col min="11" max="11" width="15.42578125" style="96" customWidth="1"/>
    <col min="12" max="12" width="17.42578125" style="96" customWidth="1"/>
    <col min="13" max="13" width="15.42578125" style="96" customWidth="1"/>
    <col min="14" max="14" width="17.42578125" style="96" customWidth="1"/>
    <col min="15" max="15" width="15.42578125" style="96" customWidth="1"/>
    <col min="16" max="16" width="17.42578125" style="96" customWidth="1"/>
    <col min="17" max="17" width="15.42578125" style="96" customWidth="1"/>
    <col min="18" max="18" width="17.42578125" style="96" customWidth="1"/>
    <col min="19" max="19" width="15.42578125" style="96" customWidth="1"/>
    <col min="20" max="20" width="17.42578125" style="96" customWidth="1"/>
    <col min="21" max="21" width="15.42578125" style="96" customWidth="1"/>
    <col min="22" max="16384" width="11.42578125" style="96"/>
  </cols>
  <sheetData>
    <row r="1" spans="1:21" s="105" customFormat="1" ht="24" thickBot="1" x14ac:dyDescent="0.4">
      <c r="B1" s="243"/>
      <c r="C1" s="369"/>
    </row>
    <row r="2" spans="1:21" s="105" customFormat="1" ht="15.75" customHeight="1" x14ac:dyDescent="0.2">
      <c r="A2" s="1298" t="s">
        <v>182</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27" customHeight="1" thickBot="1" x14ac:dyDescent="0.25">
      <c r="A3" s="129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05" customFormat="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s="183" customFormat="1" ht="15.75" customHeight="1" thickBot="1" x14ac:dyDescent="0.3">
      <c r="A5" s="1340" t="s">
        <v>925</v>
      </c>
      <c r="B5" s="1327"/>
      <c r="C5" s="1327"/>
      <c r="D5" s="1327"/>
      <c r="E5" s="1327"/>
      <c r="F5" s="1327"/>
      <c r="G5" s="1327"/>
      <c r="H5" s="1327"/>
      <c r="I5" s="1327"/>
      <c r="J5" s="1327"/>
      <c r="K5" s="1327"/>
      <c r="L5" s="1327"/>
      <c r="M5" s="1327"/>
      <c r="N5" s="1327"/>
      <c r="O5" s="1327"/>
      <c r="P5" s="1327"/>
      <c r="Q5" s="1327"/>
      <c r="R5" s="1327"/>
      <c r="S5" s="1327"/>
      <c r="T5" s="1327"/>
      <c r="U5" s="1341"/>
    </row>
    <row r="6" spans="1:21" s="183" customFormat="1" ht="15.75" customHeight="1" x14ac:dyDescent="0.25">
      <c r="A6" s="326" t="s">
        <v>575</v>
      </c>
      <c r="B6" s="42"/>
      <c r="C6" s="602"/>
      <c r="D6" s="42" t="s">
        <v>609</v>
      </c>
      <c r="E6" s="491"/>
      <c r="F6" s="42"/>
      <c r="G6" s="492"/>
      <c r="H6" s="42"/>
      <c r="I6" s="491"/>
      <c r="J6" s="42"/>
      <c r="K6" s="492"/>
      <c r="L6" s="42"/>
      <c r="M6" s="491"/>
      <c r="N6" s="42"/>
      <c r="O6" s="492"/>
      <c r="P6" s="42"/>
      <c r="Q6" s="491"/>
      <c r="R6" s="42" t="s">
        <v>987</v>
      </c>
      <c r="S6" s="491"/>
      <c r="T6" s="42"/>
      <c r="U6" s="491"/>
    </row>
    <row r="7" spans="1:21" s="130" customFormat="1" ht="15.75" customHeight="1" x14ac:dyDescent="0.2">
      <c r="A7" s="247" t="s">
        <v>952</v>
      </c>
      <c r="B7" s="607" t="e">
        <f>IF(B6='References Assumptions'!$C$352,'Amount and Destination'!$AH$12,VLOOKUP(B6,'Amount and Destination'!$AF$4:$AH$20,3,FALSE))/days_yr</f>
        <v>#N/A</v>
      </c>
      <c r="C7" s="473"/>
      <c r="D7" s="526">
        <v>11.7</v>
      </c>
      <c r="E7" s="398"/>
      <c r="F7" s="526" t="e">
        <f>IF(F6='References Assumptions'!$C$352,'Amount and Destination'!$AH$70,VLOOKUP(F6,'Amount and Destination'!$AF$69:$AH$73,3,FALSE))/days_yr</f>
        <v>#N/A</v>
      </c>
      <c r="G7" s="493"/>
      <c r="H7" s="526" t="e">
        <f>IF(H6='References Assumptions'!$C$352,'Amount and Destination'!$AH$99,VLOOKUP(H6,'Amount and Destination'!$AF$98:$AH$102,3,FALSE))/days_yr</f>
        <v>#N/A</v>
      </c>
      <c r="I7" s="398"/>
      <c r="J7" s="858" t="e">
        <f>IF(J6='References Assumptions'!$C$352,'Amount and Destination'!$AH$128,VLOOKUP(J6,'Amount and Destination'!$AF$127:$AH$131,3,FALSE))/days_yr</f>
        <v>#N/A</v>
      </c>
      <c r="K7" s="493"/>
      <c r="L7" s="526" t="e">
        <f>IF(L6='References Assumptions'!$C$352,'Amount and Destination'!$AH$157,VLOOKUP(L6,'Amount and Destination'!$AF$156:$AH$160,3,FALSE))/days_yr</f>
        <v>#N/A</v>
      </c>
      <c r="M7" s="398"/>
      <c r="N7" s="858" t="e">
        <f>IF(N6='References Assumptions'!$C$352,'Amount and Destination'!$AH$186,VLOOKUP(N6,'Amount and Destination'!$AF$185:$AH$189,3,FALSE))/days_yr</f>
        <v>#N/A</v>
      </c>
      <c r="O7" s="493"/>
      <c r="P7" s="526" t="e">
        <f>IF(P6='References Assumptions'!$C$352,'Amount and Destination'!$AH$215,VLOOKUP(P6,'Amount and Destination'!$AF$214:$AH$218,3,FALSE))/days_yr</f>
        <v>#N/A</v>
      </c>
      <c r="Q7" s="398"/>
      <c r="R7" s="526" t="e">
        <f>IF(R6='References Assumptions'!$C$352,'Amount and Destination'!$AH$244,VLOOKUP(R6,'Amount and Destination'!$AF$243:$AH$247,3,FALSE))/days_yr</f>
        <v>#DIV/0!</v>
      </c>
      <c r="S7" s="398"/>
      <c r="T7" s="526" t="e">
        <f>IF(T6='References Assumptions'!$C$352,'Amount and Destination'!$AH$273,VLOOKUP(T6,'Amount and Destination'!$AF$272:$AH$276,3,FALSE))/days_yr</f>
        <v>#N/A</v>
      </c>
      <c r="U7" s="398"/>
    </row>
    <row r="8" spans="1:21" ht="15.75" customHeight="1" x14ac:dyDescent="0.2">
      <c r="A8" s="247" t="s">
        <v>953</v>
      </c>
      <c r="B8" s="889">
        <f>IF(B6='References Assumptions'!$C$355,Percent_Solids_After_Pyrolysis,IF(B6='References Assumptions'!$C$352,percent_solids_after_thermal_drying,Mean_solids))</f>
        <v>7.1999999999999995E-2</v>
      </c>
      <c r="C8" s="473"/>
      <c r="D8" s="889">
        <f>IF(D6='References Assumptions'!$C$355,Percent_Solids_After_Pyrolysis,IF(D6='References Assumptions'!$C$352,percent_solids_after_thermal_drying,Mean_solids))</f>
        <v>7.1999999999999995E-2</v>
      </c>
      <c r="E8" s="264"/>
      <c r="F8" s="889">
        <f>IF(F6='References Assumptions'!$C$355,Percent_Solids_After_Pyrolysis,IF(F6='References Assumptions'!$C$352,percent_solids_after_thermal_drying,Mean_solids))</f>
        <v>7.1999999999999995E-2</v>
      </c>
      <c r="G8" s="494"/>
      <c r="H8" s="889">
        <f>IF(H6='References Assumptions'!$C$355,Percent_Solids_After_Pyrolysis,IF(H6='References Assumptions'!$C$352,percent_solids_after_thermal_drying,Mean_solids))</f>
        <v>7.1999999999999995E-2</v>
      </c>
      <c r="I8" s="264"/>
      <c r="J8" s="889">
        <f>IF(J6='References Assumptions'!$C$355,Percent_Solids_After_Pyrolysis,IF(J6='References Assumptions'!$C$352,percent_solids_after_thermal_drying,Mean_solids))</f>
        <v>7.1999999999999995E-2</v>
      </c>
      <c r="K8" s="494"/>
      <c r="L8" s="889">
        <f>IF(L6='References Assumptions'!$C$355,Percent_Solids_After_Pyrolysis,IF(L6='References Assumptions'!$C$352,percent_solids_after_thermal_drying,Mean_solids))</f>
        <v>7.1999999999999995E-2</v>
      </c>
      <c r="M8" s="264"/>
      <c r="N8" s="889">
        <f>IF(N6='References Assumptions'!$C$355,Percent_Solids_After_Pyrolysis,IF(N6='References Assumptions'!$C$352,percent_solids_after_thermal_drying,Mean_solids))</f>
        <v>7.1999999999999995E-2</v>
      </c>
      <c r="O8" s="494"/>
      <c r="P8" s="889">
        <f>IF(P6='References Assumptions'!$C$355,Percent_Solids_After_Pyrolysis,IF(P6='References Assumptions'!$C$352,percent_solids_after_thermal_drying,Mean_solids))</f>
        <v>7.1999999999999995E-2</v>
      </c>
      <c r="Q8" s="264"/>
      <c r="R8" s="889">
        <f>IF(R6='References Assumptions'!$C$355,Percent_Solids_After_Pyrolysis,IF(R6='References Assumptions'!$C$352,percent_solids_after_thermal_drying,Mean_solids))</f>
        <v>0</v>
      </c>
      <c r="S8" s="264"/>
      <c r="T8" s="889">
        <f>IF(T6='References Assumptions'!$C$355,Percent_Solids_After_Pyrolysis,IF(T6='References Assumptions'!$C$352,percent_solids_after_thermal_drying,Mean_solids))</f>
        <v>7.1999999999999995E-2</v>
      </c>
      <c r="U8" s="264"/>
    </row>
    <row r="9" spans="1:21" s="183" customFormat="1" ht="15.75" customHeight="1" x14ac:dyDescent="0.2">
      <c r="A9" s="247" t="s">
        <v>180</v>
      </c>
      <c r="B9" s="1172" t="str">
        <f>IFERROR(B7*B8,"N/A")</f>
        <v>N/A</v>
      </c>
      <c r="C9" s="473"/>
      <c r="D9" s="1172">
        <f>IFERROR(D7*D8,"N/A")</f>
        <v>0.84239999999999993</v>
      </c>
      <c r="E9" s="473"/>
      <c r="F9" s="1172" t="str">
        <f>IFERROR(F7*F8,"N/A")</f>
        <v>N/A</v>
      </c>
      <c r="G9" s="495"/>
      <c r="H9" s="1172" t="str">
        <f>IFERROR(H7*H8,"N/A")</f>
        <v>N/A</v>
      </c>
      <c r="I9" s="473"/>
      <c r="J9" s="1172" t="str">
        <f>IFERROR(J7*J8,"N/A")</f>
        <v>N/A</v>
      </c>
      <c r="K9" s="495"/>
      <c r="L9" s="1172" t="str">
        <f>IFERROR(L7*L8,"N/A")</f>
        <v>N/A</v>
      </c>
      <c r="M9" s="473"/>
      <c r="N9" s="1172" t="str">
        <f>IFERROR(N7*N8,"N/A")</f>
        <v>N/A</v>
      </c>
      <c r="O9" s="495"/>
      <c r="P9" s="1172" t="str">
        <f>IFERROR(P7*P8,"N/A")</f>
        <v>N/A</v>
      </c>
      <c r="Q9" s="473"/>
      <c r="R9" s="1172" t="str">
        <f>IFERROR(R7*R8,"N/A")</f>
        <v>N/A</v>
      </c>
      <c r="S9" s="473"/>
      <c r="T9" s="1172" t="str">
        <f>IFERROR(T7*T8,"N/A")</f>
        <v>N/A</v>
      </c>
      <c r="U9" s="473"/>
    </row>
    <row r="10" spans="1:21" ht="15.75" customHeight="1" x14ac:dyDescent="0.2">
      <c r="A10" s="247" t="s">
        <v>954</v>
      </c>
      <c r="B10" s="8"/>
      <c r="C10" s="496">
        <f>+Density_of_de_watered_sludge</f>
        <v>950</v>
      </c>
      <c r="D10" s="8">
        <v>950</v>
      </c>
      <c r="E10" s="496">
        <f>+Density_of_de_watered_sludge</f>
        <v>950</v>
      </c>
      <c r="F10" s="8"/>
      <c r="G10" s="497">
        <f>+Density_of_de_watered_sludge</f>
        <v>950</v>
      </c>
      <c r="H10" s="8"/>
      <c r="I10" s="496">
        <f>+Density_of_de_watered_sludge</f>
        <v>950</v>
      </c>
      <c r="J10" s="8"/>
      <c r="K10" s="497">
        <f>+Density_of_de_watered_sludge</f>
        <v>950</v>
      </c>
      <c r="L10" s="8"/>
      <c r="M10" s="496">
        <f>+Density_of_de_watered_sludge</f>
        <v>950</v>
      </c>
      <c r="N10" s="8"/>
      <c r="O10" s="497">
        <f>+Density_of_de_watered_sludge</f>
        <v>950</v>
      </c>
      <c r="P10" s="8"/>
      <c r="Q10" s="496">
        <f>+Density_of_de_watered_sludge</f>
        <v>950</v>
      </c>
      <c r="R10" s="8"/>
      <c r="S10" s="496">
        <f>+Density_of_de_watered_sludge</f>
        <v>950</v>
      </c>
      <c r="T10" s="8"/>
      <c r="U10" s="496">
        <f>+Density_of_de_watered_sludge</f>
        <v>950</v>
      </c>
    </row>
    <row r="11" spans="1:21" ht="15.75" customHeight="1" x14ac:dyDescent="0.2">
      <c r="A11" s="247" t="s">
        <v>955</v>
      </c>
      <c r="B11" s="11"/>
      <c r="C11" s="473"/>
      <c r="D11" s="11" t="s">
        <v>121</v>
      </c>
      <c r="E11" s="473"/>
      <c r="F11" s="11"/>
      <c r="G11" s="473"/>
      <c r="H11" s="11"/>
      <c r="I11" s="473"/>
      <c r="J11" s="11"/>
      <c r="K11" s="473"/>
      <c r="L11" s="11"/>
      <c r="M11" s="473"/>
      <c r="N11" s="11"/>
      <c r="O11" s="473"/>
      <c r="P11" s="11"/>
      <c r="Q11" s="473"/>
      <c r="R11" s="11"/>
      <c r="S11" s="473"/>
      <c r="T11" s="11"/>
      <c r="U11" s="473"/>
    </row>
    <row r="12" spans="1:21" s="183" customFormat="1" ht="15.75" customHeight="1" x14ac:dyDescent="0.2">
      <c r="A12" s="247" t="s">
        <v>264</v>
      </c>
      <c r="B12" s="889">
        <f>IF(B6='References Assumptions'!$C$355,Total_N_Biochar,Total_N)</f>
        <v>2.5000000000000001E-2</v>
      </c>
      <c r="C12" s="407" t="str">
        <f>IFERROR(HLOOKUP(B11,Biosolids_Characteristics,2,),"N/A")</f>
        <v>N/A</v>
      </c>
      <c r="D12" s="889">
        <f>E12</f>
        <v>0.05</v>
      </c>
      <c r="E12" s="407">
        <f>IFERROR(HLOOKUP(D11,Biosolids_Characteristics,2,),"N/A")</f>
        <v>0.05</v>
      </c>
      <c r="F12" s="889">
        <f>IF(F6='References Assumptions'!$C$355,Total_N_Biochar,Total_N)</f>
        <v>2.5000000000000001E-2</v>
      </c>
      <c r="G12" s="407" t="str">
        <f>IFERROR(HLOOKUP(F11,Biosolids_Characteristics,2,),"N/A")</f>
        <v>N/A</v>
      </c>
      <c r="H12" s="889">
        <f>IF(H6='References Assumptions'!$C$355,Total_N_Biochar,Total_N)</f>
        <v>2.5000000000000001E-2</v>
      </c>
      <c r="I12" s="407" t="str">
        <f>IFERROR(HLOOKUP(H11,Biosolids_Characteristics,2,),"N/A")</f>
        <v>N/A</v>
      </c>
      <c r="J12" s="889">
        <f>IF(J6='References Assumptions'!$C$355,Total_N_Biochar,Total_N)</f>
        <v>2.5000000000000001E-2</v>
      </c>
      <c r="K12" s="407" t="str">
        <f>IFERROR(HLOOKUP(J11,Biosolids_Characteristics,2,),"N/A")</f>
        <v>N/A</v>
      </c>
      <c r="L12" s="889">
        <f>IF(L6='References Assumptions'!$C$355,Total_N_Biochar,Total_N)</f>
        <v>2.5000000000000001E-2</v>
      </c>
      <c r="M12" s="407" t="str">
        <f>IFERROR(HLOOKUP(L11,Biosolids_Characteristics,2,),"N/A")</f>
        <v>N/A</v>
      </c>
      <c r="N12" s="889">
        <f>IF(N6='References Assumptions'!$C$355,Total_N_Biochar,Total_N)</f>
        <v>2.5000000000000001E-2</v>
      </c>
      <c r="O12" s="407" t="str">
        <f>IFERROR(HLOOKUP(N11,Biosolids_Characteristics,2,),"N/A")</f>
        <v>N/A</v>
      </c>
      <c r="P12" s="889">
        <f>IF(P6='References Assumptions'!$C$355,Total_N_Biochar,Total_N)</f>
        <v>2.5000000000000001E-2</v>
      </c>
      <c r="Q12" s="407" t="str">
        <f>IFERROR(HLOOKUP(P11,Biosolids_Characteristics,2,),"N/A")</f>
        <v>N/A</v>
      </c>
      <c r="R12" s="889">
        <f>IF(R6='References Assumptions'!$C$355,Total_N_Biochar,Total_N)</f>
        <v>0</v>
      </c>
      <c r="S12" s="407" t="str">
        <f>IFERROR(HLOOKUP(R11,Biosolids_Characteristics,2,),"N/A")</f>
        <v>N/A</v>
      </c>
      <c r="T12" s="889">
        <f>IF(T6='References Assumptions'!$C$355,Total_N_Biochar,Total_N)</f>
        <v>2.5000000000000001E-2</v>
      </c>
      <c r="U12" s="407" t="str">
        <f>IFERROR(HLOOKUP(T11,Biosolids_Characteristics,2,),"N/A")</f>
        <v>N/A</v>
      </c>
    </row>
    <row r="13" spans="1:21" ht="15.75" customHeight="1" x14ac:dyDescent="0.2">
      <c r="A13" s="315" t="s">
        <v>245</v>
      </c>
      <c r="B13" s="889">
        <f>IF(B6='References Assumptions'!$C$355,Total_P_Biochar,Total_P)</f>
        <v>1.2999999999999999E-2</v>
      </c>
      <c r="C13" s="407" t="str">
        <f>IFERROR(HLOOKUP(B11,Biosolids_Characteristics,3,),"N/A")</f>
        <v>N/A</v>
      </c>
      <c r="D13" s="889">
        <f>E13</f>
        <v>1.9E-2</v>
      </c>
      <c r="E13" s="407">
        <f>IFERROR(HLOOKUP(D11,Biosolids_Characteristics,3,),"N/A")</f>
        <v>1.9E-2</v>
      </c>
      <c r="F13" s="889">
        <f>IF(F6='References Assumptions'!$C$355,Total_P_Biochar,Total_P)</f>
        <v>1.2999999999999999E-2</v>
      </c>
      <c r="G13" s="407" t="str">
        <f>IFERROR(HLOOKUP(F11,Biosolids_Characteristics,3,),"N/A")</f>
        <v>N/A</v>
      </c>
      <c r="H13" s="889">
        <f>IF(H6='References Assumptions'!$C$355,Total_P_Biochar,Total_P)</f>
        <v>1.2999999999999999E-2</v>
      </c>
      <c r="I13" s="407" t="str">
        <f>IFERROR(HLOOKUP(H11,Biosolids_Characteristics,3,),"N/A")</f>
        <v>N/A</v>
      </c>
      <c r="J13" s="889">
        <f>IF(J6='References Assumptions'!$C$355,Total_P_Biochar,Total_P)</f>
        <v>1.2999999999999999E-2</v>
      </c>
      <c r="K13" s="407" t="str">
        <f>IFERROR(HLOOKUP(J11,Biosolids_Characteristics,3,),"N/A")</f>
        <v>N/A</v>
      </c>
      <c r="L13" s="889">
        <f>IF(L6='References Assumptions'!$C$355,Total_P_Biochar,Total_P)</f>
        <v>1.2999999999999999E-2</v>
      </c>
      <c r="M13" s="407" t="str">
        <f>IFERROR(HLOOKUP(L11,Biosolids_Characteristics,3,),"N/A")</f>
        <v>N/A</v>
      </c>
      <c r="N13" s="889">
        <f>IF(N6='References Assumptions'!$C$355,Total_P_Biochar,Total_P)</f>
        <v>1.2999999999999999E-2</v>
      </c>
      <c r="O13" s="407" t="str">
        <f>IFERROR(HLOOKUP(N11,Biosolids_Characteristics,3,),"N/A")</f>
        <v>N/A</v>
      </c>
      <c r="P13" s="889">
        <f>IF(P6='References Assumptions'!$C$355,Total_P_Biochar,Total_P)</f>
        <v>1.2999999999999999E-2</v>
      </c>
      <c r="Q13" s="407" t="str">
        <f>IFERROR(HLOOKUP(P11,Biosolids_Characteristics,3,),"N/A")</f>
        <v>N/A</v>
      </c>
      <c r="R13" s="889">
        <f>IF(R6='References Assumptions'!$C$355,Total_P_Biochar,Total_P)</f>
        <v>0</v>
      </c>
      <c r="S13" s="407" t="str">
        <f>IFERROR(HLOOKUP(R11,Biosolids_Characteristics,3,),"N/A")</f>
        <v>N/A</v>
      </c>
      <c r="T13" s="889">
        <f>IF(T6='References Assumptions'!$C$355,Total_P_Biochar,Total_P)</f>
        <v>1.2999999999999999E-2</v>
      </c>
      <c r="U13" s="407" t="str">
        <f>IFERROR(HLOOKUP(T11,Biosolids_Characteristics,3,),"N/A")</f>
        <v>N/A</v>
      </c>
    </row>
    <row r="14" spans="1:21" ht="15.75" customHeight="1" x14ac:dyDescent="0.2">
      <c r="A14" s="247" t="s">
        <v>947</v>
      </c>
      <c r="B14" s="889">
        <f>IF(B6='References Assumptions'!$C$355,Mean_OrganicMatter_Biochar,Mean_OrganicMatter)</f>
        <v>0.94386666666666685</v>
      </c>
      <c r="C14" s="407" t="str">
        <f>IFERROR(HLOOKUP(B11,Biosolids_Characteristics,4,),"N/A")</f>
        <v>N/A</v>
      </c>
      <c r="D14" s="889">
        <f>E14</f>
        <v>0.65</v>
      </c>
      <c r="E14" s="407">
        <f>IFERROR(HLOOKUP(D11,Biosolids_Characteristics,4,),"N/A")</f>
        <v>0.65</v>
      </c>
      <c r="F14" s="889">
        <f>IF(F6='References Assumptions'!$C$355,Mean_OrganicMatter_Biochar,Mean_OrganicMatter)</f>
        <v>0.94386666666666685</v>
      </c>
      <c r="G14" s="407" t="str">
        <f>IFERROR(HLOOKUP(F11,Biosolids_Characteristics,4,),"N/A")</f>
        <v>N/A</v>
      </c>
      <c r="H14" s="889">
        <f>IF(H6='References Assumptions'!$C$355,Mean_OrganicMatter_Biochar,Mean_OrganicMatter)</f>
        <v>0.94386666666666685</v>
      </c>
      <c r="I14" s="407" t="str">
        <f>IFERROR(HLOOKUP(H11,Biosolids_Characteristics,4,),"N/A")</f>
        <v>N/A</v>
      </c>
      <c r="J14" s="889">
        <f>IF(J6='References Assumptions'!$C$355,Mean_OrganicMatter_Biochar,Mean_OrganicMatter)</f>
        <v>0.94386666666666685</v>
      </c>
      <c r="K14" s="407" t="str">
        <f>IFERROR(HLOOKUP(J11,Biosolids_Characteristics,4,),"N/A")</f>
        <v>N/A</v>
      </c>
      <c r="L14" s="889">
        <f>IF(L6='References Assumptions'!$C$355,Mean_OrganicMatter_Biochar,Mean_OrganicMatter)</f>
        <v>0.94386666666666685</v>
      </c>
      <c r="M14" s="407" t="str">
        <f>IFERROR(HLOOKUP(L11,Biosolids_Characteristics,4,),"N/A")</f>
        <v>N/A</v>
      </c>
      <c r="N14" s="889">
        <f>IF(N6='References Assumptions'!$C$355,Mean_OrganicMatter_Biochar,Mean_OrganicMatter)</f>
        <v>0.94386666666666685</v>
      </c>
      <c r="O14" s="407" t="str">
        <f>IFERROR(HLOOKUP(N11,Biosolids_Characteristics,4,),"N/A")</f>
        <v>N/A</v>
      </c>
      <c r="P14" s="889">
        <f>IF(P6='References Assumptions'!$C$355,Mean_OrganicMatter_Biochar,Mean_OrganicMatter)</f>
        <v>0.94386666666666685</v>
      </c>
      <c r="Q14" s="407" t="str">
        <f>IFERROR(HLOOKUP(P11,Biosolids_Characteristics,4,),"N/A")</f>
        <v>N/A</v>
      </c>
      <c r="R14" s="889">
        <f>IF(R6='References Assumptions'!$C$355,Mean_OrganicMatter_Biochar,Mean_OrganicMatter)</f>
        <v>0</v>
      </c>
      <c r="S14" s="407" t="str">
        <f>IFERROR(HLOOKUP(R11,Biosolids_Characteristics,4,),"N/A")</f>
        <v>N/A</v>
      </c>
      <c r="T14" s="889">
        <f>IF(T6='References Assumptions'!$C$355,Mean_OrganicMatter_Biochar,Mean_OrganicMatter)</f>
        <v>0.94386666666666685</v>
      </c>
      <c r="U14" s="407" t="str">
        <f>IFERROR(HLOOKUP(T11,Biosolids_Characteristics,4,),"N/A")</f>
        <v>N/A</v>
      </c>
    </row>
    <row r="15" spans="1:21" ht="15.75" customHeight="1" x14ac:dyDescent="0.2">
      <c r="A15" s="902" t="s">
        <v>266</v>
      </c>
      <c r="B15" s="606">
        <f>IF(B6='References Assumptions'!$C$355,Mean_Total_C_Biochar,Mean_Total_C)</f>
        <v>0.52856533333333344</v>
      </c>
      <c r="C15" s="407">
        <f>+B14*Carbon_as_a___of_TVS_compostinghandbook</f>
        <v>0.52856533333333344</v>
      </c>
      <c r="D15" s="606">
        <f>E15</f>
        <v>0.36400000000000005</v>
      </c>
      <c r="E15" s="407">
        <f>+D14*Carbon_as_a___of_TVS_compostinghandbook</f>
        <v>0.36400000000000005</v>
      </c>
      <c r="F15" s="606">
        <f>IF(F6='References Assumptions'!$C$355,Mean_Total_C_Biochar,Mean_Total_C)</f>
        <v>0.52856533333333344</v>
      </c>
      <c r="G15" s="498">
        <f>+F14*Carbon_as_a___of_TVS_compostinghandbook</f>
        <v>0.52856533333333344</v>
      </c>
      <c r="H15" s="606">
        <f>IF(H6='References Assumptions'!$C$355,Mean_Total_C_Biochar,Mean_Total_C)</f>
        <v>0.52856533333333344</v>
      </c>
      <c r="I15" s="407">
        <f>+H14*Carbon_as_a___of_TVS_compostinghandbook</f>
        <v>0.52856533333333344</v>
      </c>
      <c r="J15" s="606">
        <f>IF(J6='References Assumptions'!$C$355,Mean_Total_C_Biochar,Mean_Total_C)</f>
        <v>0.52856533333333344</v>
      </c>
      <c r="K15" s="498">
        <f>+J14*Carbon_as_a___of_TVS_compostinghandbook</f>
        <v>0.52856533333333344</v>
      </c>
      <c r="L15" s="606">
        <f>IF(L6='References Assumptions'!$C$355,Mean_Total_C_Biochar,Mean_Total_C)</f>
        <v>0.52856533333333344</v>
      </c>
      <c r="M15" s="407">
        <f>+L14*Carbon_as_a___of_TVS_compostinghandbook</f>
        <v>0.52856533333333344</v>
      </c>
      <c r="N15" s="606">
        <f>IF(N6='References Assumptions'!$C$355,Mean_Total_C_Biochar,Mean_Total_C)</f>
        <v>0.52856533333333344</v>
      </c>
      <c r="O15" s="498">
        <f>+N14*Carbon_as_a___of_TVS_compostinghandbook</f>
        <v>0.52856533333333344</v>
      </c>
      <c r="P15" s="606">
        <f>IF(P6='References Assumptions'!$C$355,Mean_Total_C_Biochar,Mean_Total_C)</f>
        <v>0.52856533333333344</v>
      </c>
      <c r="Q15" s="407">
        <f>+P14*Carbon_as_a___of_TVS_compostinghandbook</f>
        <v>0.52856533333333344</v>
      </c>
      <c r="R15" s="606">
        <f>IF(R6='References Assumptions'!$C$355,Mean_Total_C_Biochar,Mean_Total_C)</f>
        <v>0</v>
      </c>
      <c r="S15" s="407">
        <f>+R14*Carbon_as_a___of_TVS_compostinghandbook</f>
        <v>0</v>
      </c>
      <c r="T15" s="606">
        <f>IF(T6='References Assumptions'!$C$355,Mean_Total_C_Biochar,Mean_Total_C)</f>
        <v>0.52856533333333344</v>
      </c>
      <c r="U15" s="407">
        <f>+T14*Carbon_as_a___of_TVS_compostinghandbook</f>
        <v>0.52856533333333344</v>
      </c>
    </row>
    <row r="16" spans="1:21" s="183" customFormat="1" ht="15.75" customHeight="1" x14ac:dyDescent="0.35">
      <c r="A16" s="247" t="s">
        <v>256</v>
      </c>
      <c r="B16" s="9"/>
      <c r="C16" s="407">
        <f>+IF(B11='References Assumptions'!$C$373, (default_lime_dose_Class_B+default_lime_dose_Class_A)/2,0)</f>
        <v>0</v>
      </c>
      <c r="D16" s="9">
        <v>0</v>
      </c>
      <c r="E16" s="407">
        <f>+IF(D11='References Assumptions'!$C$373, (default_lime_dose_Class_B+default_lime_dose_Class_A)/2,0)</f>
        <v>0</v>
      </c>
      <c r="F16" s="9"/>
      <c r="G16" s="407">
        <f>+IF(F11='References Assumptions'!$C$373, (default_lime_dose_Class_B+default_lime_dose_Class_A)/2,0)</f>
        <v>0</v>
      </c>
      <c r="H16" s="9"/>
      <c r="I16" s="407">
        <f>+IF(H11='References Assumptions'!$C$373, (default_lime_dose_Class_B+default_lime_dose_Class_A)/2,0)</f>
        <v>0</v>
      </c>
      <c r="J16" s="9"/>
      <c r="K16" s="407">
        <f>+IF(J11='References Assumptions'!$C$373, (default_lime_dose_Class_B+default_lime_dose_Class_A)/2,0)</f>
        <v>0</v>
      </c>
      <c r="L16" s="9"/>
      <c r="M16" s="407">
        <f>+IF(L11='References Assumptions'!$C$373, (default_lime_dose_Class_B+default_lime_dose_Class_A)/2,0)</f>
        <v>0</v>
      </c>
      <c r="N16" s="9"/>
      <c r="O16" s="407">
        <f>+IF(N11='References Assumptions'!$C$373, (default_lime_dose_Class_B+default_lime_dose_Class_A)/2,0)</f>
        <v>0</v>
      </c>
      <c r="P16" s="9"/>
      <c r="Q16" s="407">
        <f>+IF(P11='References Assumptions'!$C$373, (default_lime_dose_Class_B+default_lime_dose_Class_A)/2,0)</f>
        <v>0</v>
      </c>
      <c r="R16" s="9"/>
      <c r="S16" s="407">
        <f>+IF(R11='References Assumptions'!$C$373, (default_lime_dose_Class_B+default_lime_dose_Class_A)/2,0)</f>
        <v>0</v>
      </c>
      <c r="T16" s="9"/>
      <c r="U16" s="407">
        <f>+IF(T11='References Assumptions'!$C$373, (default_lime_dose_Class_B+default_lime_dose_Class_A)/2,0)</f>
        <v>0</v>
      </c>
    </row>
    <row r="17" spans="1:21" s="183" customFormat="1" ht="15.75" customHeight="1" x14ac:dyDescent="0.2">
      <c r="A17" s="247" t="s">
        <v>956</v>
      </c>
      <c r="B17" s="8"/>
      <c r="C17" s="473"/>
      <c r="D17" s="8">
        <f>60*0.16</f>
        <v>9.6</v>
      </c>
      <c r="E17" s="473"/>
      <c r="F17" s="8"/>
      <c r="G17" s="473"/>
      <c r="H17" s="8"/>
      <c r="I17" s="473"/>
      <c r="J17" s="8"/>
      <c r="K17" s="473"/>
      <c r="L17" s="8"/>
      <c r="M17" s="473"/>
      <c r="N17" s="8"/>
      <c r="O17" s="473"/>
      <c r="P17" s="8"/>
      <c r="Q17" s="473"/>
      <c r="R17" s="8"/>
      <c r="S17" s="473"/>
      <c r="T17" s="8"/>
      <c r="U17" s="473"/>
    </row>
    <row r="18" spans="1:21" s="130" customFormat="1" ht="15.75" customHeight="1" x14ac:dyDescent="0.2">
      <c r="A18" s="247" t="s">
        <v>582</v>
      </c>
      <c r="B18" s="11"/>
      <c r="C18" s="473"/>
      <c r="D18" s="11" t="s">
        <v>577</v>
      </c>
      <c r="E18" s="473"/>
      <c r="F18" s="11"/>
      <c r="G18" s="473"/>
      <c r="H18" s="11"/>
      <c r="I18" s="473"/>
      <c r="J18" s="11"/>
      <c r="K18" s="473"/>
      <c r="L18" s="11"/>
      <c r="M18" s="473"/>
      <c r="N18" s="11"/>
      <c r="O18" s="473"/>
      <c r="P18" s="11"/>
      <c r="Q18" s="473"/>
      <c r="R18" s="11"/>
      <c r="S18" s="473"/>
      <c r="T18" s="11"/>
      <c r="U18" s="473"/>
    </row>
    <row r="19" spans="1:21" s="183" customFormat="1" ht="15.75" customHeight="1" x14ac:dyDescent="0.2">
      <c r="A19" s="247" t="s">
        <v>957</v>
      </c>
      <c r="B19" s="9"/>
      <c r="C19" s="249" t="s">
        <v>304</v>
      </c>
      <c r="D19" s="9" t="s">
        <v>304</v>
      </c>
      <c r="E19" s="249" t="s">
        <v>304</v>
      </c>
      <c r="F19" s="9"/>
      <c r="G19" s="294" t="s">
        <v>304</v>
      </c>
      <c r="H19" s="9"/>
      <c r="I19" s="249" t="s">
        <v>304</v>
      </c>
      <c r="J19" s="9"/>
      <c r="K19" s="294" t="s">
        <v>304</v>
      </c>
      <c r="L19" s="9"/>
      <c r="M19" s="249" t="s">
        <v>304</v>
      </c>
      <c r="N19" s="9"/>
      <c r="O19" s="294" t="s">
        <v>304</v>
      </c>
      <c r="P19" s="9"/>
      <c r="Q19" s="249" t="s">
        <v>304</v>
      </c>
      <c r="R19" s="9"/>
      <c r="S19" s="249" t="s">
        <v>304</v>
      </c>
      <c r="T19" s="9"/>
      <c r="U19" s="249" t="s">
        <v>304</v>
      </c>
    </row>
    <row r="20" spans="1:21" s="183" customFormat="1" ht="15.75" customHeight="1" x14ac:dyDescent="0.2">
      <c r="A20" s="247" t="s">
        <v>958</v>
      </c>
      <c r="B20" s="9"/>
      <c r="C20" s="249" t="s">
        <v>270</v>
      </c>
      <c r="D20" s="9" t="s">
        <v>270</v>
      </c>
      <c r="E20" s="249" t="s">
        <v>270</v>
      </c>
      <c r="F20" s="9"/>
      <c r="G20" s="294" t="s">
        <v>270</v>
      </c>
      <c r="H20" s="9"/>
      <c r="I20" s="249" t="s">
        <v>270</v>
      </c>
      <c r="J20" s="9"/>
      <c r="K20" s="294" t="s">
        <v>270</v>
      </c>
      <c r="L20" s="9"/>
      <c r="M20" s="249" t="s">
        <v>270</v>
      </c>
      <c r="N20" s="9"/>
      <c r="O20" s="294" t="s">
        <v>270</v>
      </c>
      <c r="P20" s="9"/>
      <c r="Q20" s="249" t="s">
        <v>270</v>
      </c>
      <c r="R20" s="9"/>
      <c r="S20" s="249" t="s">
        <v>270</v>
      </c>
      <c r="T20" s="9"/>
      <c r="U20" s="249" t="s">
        <v>270</v>
      </c>
    </row>
    <row r="21" spans="1:21" s="130" customFormat="1" ht="15.75" customHeight="1" thickBot="1" x14ac:dyDescent="0.25">
      <c r="A21" s="336"/>
      <c r="B21" s="499"/>
      <c r="C21" s="500"/>
      <c r="D21" s="499"/>
      <c r="E21" s="500"/>
      <c r="F21" s="499"/>
      <c r="G21" s="501"/>
      <c r="H21" s="499"/>
      <c r="I21" s="500"/>
      <c r="J21" s="502"/>
      <c r="K21" s="501"/>
      <c r="L21" s="499"/>
      <c r="M21" s="500"/>
      <c r="N21" s="502"/>
      <c r="O21" s="501"/>
      <c r="P21" s="499"/>
      <c r="Q21" s="500"/>
      <c r="R21" s="499"/>
      <c r="S21" s="500"/>
      <c r="T21" s="499"/>
      <c r="U21" s="500"/>
    </row>
    <row r="22" spans="1:21" ht="15.75" customHeight="1" thickBot="1" x14ac:dyDescent="0.3">
      <c r="A22" s="1340" t="s">
        <v>47</v>
      </c>
      <c r="B22" s="1327"/>
      <c r="C22" s="1327"/>
      <c r="D22" s="1327"/>
      <c r="E22" s="1327"/>
      <c r="F22" s="1327"/>
      <c r="G22" s="1327"/>
      <c r="H22" s="1327"/>
      <c r="I22" s="1327"/>
      <c r="J22" s="1327"/>
      <c r="K22" s="1327"/>
      <c r="L22" s="1327"/>
      <c r="M22" s="1327"/>
      <c r="N22" s="1327"/>
      <c r="O22" s="1327"/>
      <c r="P22" s="1327"/>
      <c r="Q22" s="1327"/>
      <c r="R22" s="1327"/>
      <c r="S22" s="1327"/>
      <c r="T22" s="1327"/>
      <c r="U22" s="1341"/>
    </row>
    <row r="23" spans="1:21" s="183" customFormat="1" ht="15.75" customHeight="1" x14ac:dyDescent="0.2">
      <c r="A23" s="270" t="s">
        <v>48</v>
      </c>
      <c r="B23" s="19"/>
      <c r="C23" s="503">
        <f>+default_fine_text_soil</f>
        <v>0.5</v>
      </c>
      <c r="D23" s="19">
        <v>0.5</v>
      </c>
      <c r="E23" s="503">
        <f>+default_fine_text_soil</f>
        <v>0.5</v>
      </c>
      <c r="F23" s="19"/>
      <c r="G23" s="503">
        <f>+default_fine_text_soil</f>
        <v>0.5</v>
      </c>
      <c r="H23" s="19"/>
      <c r="I23" s="503">
        <f>+default_fine_text_soil</f>
        <v>0.5</v>
      </c>
      <c r="J23" s="19"/>
      <c r="K23" s="503">
        <f>+default_fine_text_soil</f>
        <v>0.5</v>
      </c>
      <c r="L23" s="19"/>
      <c r="M23" s="503">
        <f>+default_fine_text_soil</f>
        <v>0.5</v>
      </c>
      <c r="N23" s="19"/>
      <c r="O23" s="503">
        <f>+default_fine_text_soil</f>
        <v>0.5</v>
      </c>
      <c r="P23" s="19"/>
      <c r="Q23" s="503">
        <f>+default_fine_text_soil</f>
        <v>0.5</v>
      </c>
      <c r="R23" s="19"/>
      <c r="S23" s="503">
        <f>+default_fine_text_soil</f>
        <v>0.5</v>
      </c>
      <c r="T23" s="19"/>
      <c r="U23" s="503">
        <f>+default_fine_text_soil</f>
        <v>0.5</v>
      </c>
    </row>
    <row r="24" spans="1:21" ht="15.75" customHeight="1" x14ac:dyDescent="0.2">
      <c r="A24" s="245" t="s">
        <v>49</v>
      </c>
      <c r="B24" s="318">
        <f>1-B23</f>
        <v>1</v>
      </c>
      <c r="C24" s="504"/>
      <c r="D24" s="318">
        <f>1-D23</f>
        <v>0.5</v>
      </c>
      <c r="E24" s="504"/>
      <c r="F24" s="318">
        <f>1-F23</f>
        <v>1</v>
      </c>
      <c r="G24" s="504"/>
      <c r="H24" s="318">
        <f>1-H23</f>
        <v>1</v>
      </c>
      <c r="I24" s="504"/>
      <c r="J24" s="318">
        <f>1-J23</f>
        <v>1</v>
      </c>
      <c r="K24" s="504"/>
      <c r="L24" s="318">
        <f>1-L23</f>
        <v>1</v>
      </c>
      <c r="M24" s="504"/>
      <c r="N24" s="318">
        <f>1-N23</f>
        <v>1</v>
      </c>
      <c r="O24" s="504"/>
      <c r="P24" s="318">
        <f>1-P23</f>
        <v>1</v>
      </c>
      <c r="Q24" s="504"/>
      <c r="R24" s="318">
        <f>1-R23</f>
        <v>1</v>
      </c>
      <c r="S24" s="504"/>
      <c r="T24" s="318">
        <f>1-T23</f>
        <v>1</v>
      </c>
      <c r="U24" s="504"/>
    </row>
    <row r="25" spans="1:21" s="183" customFormat="1" ht="15.75" customHeight="1" thickBot="1" x14ac:dyDescent="0.25">
      <c r="A25" s="505"/>
      <c r="B25" s="506"/>
      <c r="C25" s="507"/>
      <c r="D25" s="506"/>
      <c r="E25" s="507"/>
      <c r="F25" s="506"/>
      <c r="G25" s="507"/>
      <c r="H25" s="506"/>
      <c r="I25" s="507"/>
      <c r="J25" s="506"/>
      <c r="K25" s="507"/>
      <c r="L25" s="506"/>
      <c r="M25" s="507"/>
      <c r="N25" s="506"/>
      <c r="O25" s="507"/>
      <c r="P25" s="506"/>
      <c r="Q25" s="507"/>
      <c r="R25" s="506"/>
      <c r="S25" s="507"/>
      <c r="T25" s="506"/>
      <c r="U25" s="507"/>
    </row>
    <row r="26" spans="1:21" s="130" customFormat="1" ht="15.75" customHeight="1" thickBot="1" x14ac:dyDescent="0.3">
      <c r="A26" s="1324" t="s">
        <v>273</v>
      </c>
      <c r="B26" s="1325"/>
      <c r="C26" s="1325"/>
      <c r="D26" s="1325"/>
      <c r="E26" s="1325"/>
      <c r="F26" s="1325"/>
      <c r="G26" s="1325"/>
      <c r="H26" s="1325"/>
      <c r="I26" s="1325"/>
      <c r="J26" s="1325"/>
      <c r="K26" s="1325"/>
      <c r="L26" s="1325"/>
      <c r="M26" s="1325"/>
      <c r="N26" s="1325"/>
      <c r="O26" s="1325"/>
      <c r="P26" s="1325"/>
      <c r="Q26" s="1325"/>
      <c r="R26" s="1325"/>
      <c r="S26" s="1325"/>
      <c r="T26" s="1325"/>
      <c r="U26" s="1326"/>
    </row>
    <row r="27" spans="1:21" ht="15.75" customHeight="1" x14ac:dyDescent="0.2">
      <c r="A27" s="270" t="s">
        <v>865</v>
      </c>
      <c r="B27" s="20"/>
      <c r="C27" s="206" t="str">
        <f>+IFERROR(B7*1000/B10/Size_of_loads__m3/Time_to_apply__loads_hr*Tractor_fuel_use__l_diesel_hr,"N/A")</f>
        <v>N/A</v>
      </c>
      <c r="D27" s="20">
        <f>E27</f>
        <v>7.8947368421052637</v>
      </c>
      <c r="E27" s="206">
        <f>+IFERROR(D7*1000/D10/Size_of_loads__m3/Time_to_apply__loads_hr*Tractor_fuel_use__l_diesel_hr,"N/A")</f>
        <v>7.8947368421052637</v>
      </c>
      <c r="F27" s="20"/>
      <c r="G27" s="206" t="str">
        <f>+IFERROR(F7*1000/F10/Size_of_loads__m3/Time_to_apply__loads_hr*Tractor_fuel_use__l_diesel_hr,"N/A")</f>
        <v>N/A</v>
      </c>
      <c r="H27" s="20"/>
      <c r="I27" s="206" t="str">
        <f>+IFERROR(H7*1000/H10/Size_of_loads__m3/Time_to_apply__loads_hr*Tractor_fuel_use__l_diesel_hr,"N/A")</f>
        <v>N/A</v>
      </c>
      <c r="J27" s="20"/>
      <c r="K27" s="206" t="str">
        <f>+IFERROR(J7*1000/J10/Size_of_loads__m3/Time_to_apply__loads_hr*Tractor_fuel_use__l_diesel_hr,"N/A")</f>
        <v>N/A</v>
      </c>
      <c r="L27" s="20"/>
      <c r="M27" s="206" t="str">
        <f>+IFERROR(L7*1000/L10/Size_of_loads__m3/Time_to_apply__loads_hr*Tractor_fuel_use__l_diesel_hr,"N/A")</f>
        <v>N/A</v>
      </c>
      <c r="N27" s="20"/>
      <c r="O27" s="206" t="str">
        <f>+IFERROR(N7*1000/N10/Size_of_loads__m3/Time_to_apply__loads_hr*Tractor_fuel_use__l_diesel_hr,"N/A")</f>
        <v>N/A</v>
      </c>
      <c r="P27" s="20"/>
      <c r="Q27" s="206" t="str">
        <f>+IFERROR(P7*1000/P10/Size_of_loads__m3/Time_to_apply__loads_hr*Tractor_fuel_use__l_diesel_hr,"N/A")</f>
        <v>N/A</v>
      </c>
      <c r="R27" s="20"/>
      <c r="S27" s="206" t="str">
        <f>+IFERROR(R7*1000/R10/Size_of_loads__m3/Time_to_apply__loads_hr*Tractor_fuel_use__l_diesel_hr,"N/A")</f>
        <v>N/A</v>
      </c>
      <c r="T27" s="20"/>
      <c r="U27" s="206" t="str">
        <f>+IFERROR(T7*1000/T10/Size_of_loads__m3/Time_to_apply__loads_hr*Tractor_fuel_use__l_diesel_hr,"N/A")</f>
        <v>N/A</v>
      </c>
    </row>
    <row r="28" spans="1:21" s="183" customFormat="1" ht="15.75" customHeight="1" x14ac:dyDescent="0.3">
      <c r="A28" s="168" t="s">
        <v>18</v>
      </c>
      <c r="B28" s="250">
        <f>B27*CO2E_diesel__ClimateReg/1000000</f>
        <v>0</v>
      </c>
      <c r="C28" s="508"/>
      <c r="D28" s="250">
        <f>D27*CO2E_diesel__ClimateReg/1000000</f>
        <v>2.1293788000993841E-2</v>
      </c>
      <c r="E28" s="508"/>
      <c r="F28" s="250">
        <f>F27*CO2E_diesel__ClimateReg/1000000</f>
        <v>0</v>
      </c>
      <c r="G28" s="508"/>
      <c r="H28" s="250">
        <f>H27*CO2E_diesel__ClimateReg/1000000</f>
        <v>0</v>
      </c>
      <c r="I28" s="508"/>
      <c r="J28" s="250">
        <f>J27*CO2E_diesel__ClimateReg/1000000</f>
        <v>0</v>
      </c>
      <c r="K28" s="508"/>
      <c r="L28" s="250">
        <f>L27*CO2E_diesel__ClimateReg/1000000</f>
        <v>0</v>
      </c>
      <c r="M28" s="508"/>
      <c r="N28" s="250">
        <f>N27*CO2E_diesel__ClimateReg/1000000</f>
        <v>0</v>
      </c>
      <c r="O28" s="508"/>
      <c r="P28" s="250">
        <f>P27*CO2E_diesel__ClimateReg/1000000</f>
        <v>0</v>
      </c>
      <c r="Q28" s="508"/>
      <c r="R28" s="250">
        <f>R27*CO2E_diesel__ClimateReg/1000000</f>
        <v>0</v>
      </c>
      <c r="S28" s="508"/>
      <c r="T28" s="250">
        <f>T27*CO2E_diesel__ClimateReg/1000000</f>
        <v>0</v>
      </c>
      <c r="U28" s="508"/>
    </row>
    <row r="29" spans="1:21" ht="15.75" customHeight="1" thickBot="1" x14ac:dyDescent="0.25">
      <c r="A29" s="267"/>
      <c r="B29" s="509"/>
      <c r="C29" s="510"/>
      <c r="D29" s="509"/>
      <c r="E29" s="510"/>
      <c r="F29" s="509"/>
      <c r="G29" s="510"/>
      <c r="H29" s="509"/>
      <c r="I29" s="510"/>
      <c r="J29" s="509"/>
      <c r="K29" s="510"/>
      <c r="L29" s="509"/>
      <c r="M29" s="510"/>
      <c r="N29" s="509"/>
      <c r="O29" s="510"/>
      <c r="P29" s="509"/>
      <c r="Q29" s="510"/>
      <c r="R29" s="509"/>
      <c r="S29" s="510"/>
      <c r="T29" s="509"/>
      <c r="U29" s="510"/>
    </row>
    <row r="30" spans="1:21" ht="15.75" customHeight="1" thickBot="1" x14ac:dyDescent="0.3">
      <c r="A30" s="1340" t="s">
        <v>282</v>
      </c>
      <c r="B30" s="1327"/>
      <c r="C30" s="1327"/>
      <c r="D30" s="1327"/>
      <c r="E30" s="1327"/>
      <c r="F30" s="1327"/>
      <c r="G30" s="1327"/>
      <c r="H30" s="1327"/>
      <c r="I30" s="1327"/>
      <c r="J30" s="1327"/>
      <c r="K30" s="1327"/>
      <c r="L30" s="1327"/>
      <c r="M30" s="1327"/>
      <c r="N30" s="1327"/>
      <c r="O30" s="1327"/>
      <c r="P30" s="1327"/>
      <c r="Q30" s="1327"/>
      <c r="R30" s="1327"/>
      <c r="S30" s="1327"/>
      <c r="T30" s="1327"/>
      <c r="U30" s="1341"/>
    </row>
    <row r="31" spans="1:21" ht="15.75" customHeight="1" x14ac:dyDescent="0.35">
      <c r="A31" s="270" t="s">
        <v>866</v>
      </c>
      <c r="B31" s="511" t="str">
        <f>+IFERROR(IF(B8&lt;min_solids_for_no_N2O_or_CH4,B7*B10/1000*B17*CH4_emissions_biosolids_storage/1000,0),"N/A")</f>
        <v>N/A</v>
      </c>
      <c r="C31" s="289"/>
      <c r="D31" s="511">
        <f>+IFERROR(IF(D8&lt;min_solids_for_no_N2O_or_CH4,D7*D10/1000*D17*CH4_emissions_biosolids_storage/1000,0),"N/A")</f>
        <v>9.7100639999999998E-4</v>
      </c>
      <c r="E31" s="289"/>
      <c r="F31" s="1171" t="str">
        <f>+IFERROR(IF(F8&lt;min_solids_for_no_N2O_or_CH4,F7*F10/1000*F17*CH4_emissions_biosolids_storage/1000,0),"N/A")</f>
        <v>N/A</v>
      </c>
      <c r="G31" s="289"/>
      <c r="H31" s="511" t="str">
        <f>+IFERROR(IF(H8&lt;min_solids_for_no_N2O_or_CH4,H7*H10/1000*H17*CH4_emissions_biosolids_storage/1000,0),"N/A")</f>
        <v>N/A</v>
      </c>
      <c r="I31" s="289"/>
      <c r="J31" s="511" t="str">
        <f>+IFERROR(IF(J8&lt;min_solids_for_no_N2O_or_CH4,J7*J10/1000*J17*CH4_emissions_biosolids_storage/1000,0),"N/A")</f>
        <v>N/A</v>
      </c>
      <c r="K31" s="289"/>
      <c r="L31" s="511" t="str">
        <f>+IFERROR(IF(L8&lt;min_solids_for_no_N2O_or_CH4,L7*L10/1000*L17*CH4_emissions_biosolids_storage/1000,0),"N/A")</f>
        <v>N/A</v>
      </c>
      <c r="M31" s="289"/>
      <c r="N31" s="511" t="str">
        <f>+IFERROR(IF(N8&lt;min_solids_for_no_N2O_or_CH4,N7*N10/1000*N17*CH4_emissions_biosolids_storage/1000,0),"N/A")</f>
        <v>N/A</v>
      </c>
      <c r="O31" s="289"/>
      <c r="P31" s="511" t="str">
        <f>+IFERROR(IF(P8&lt;min_solids_for_no_N2O_or_CH4,P7*P10/1000*P17*CH4_emissions_biosolids_storage/1000,0),"N/A")</f>
        <v>N/A</v>
      </c>
      <c r="Q31" s="289"/>
      <c r="R31" s="511" t="str">
        <f>+IFERROR(IF(R8&lt;min_solids_for_no_N2O_or_CH4,R7*R10/1000*R17*CH4_emissions_biosolids_storage/1000,0),"N/A")</f>
        <v>N/A</v>
      </c>
      <c r="S31" s="289"/>
      <c r="T31" s="511" t="str">
        <f>+IFERROR(IF(T8&lt;min_solids_for_no_N2O_or_CH4,T7*T10/1000*T17*CH4_emissions_biosolids_storage/1000,0),"N/A")</f>
        <v>N/A</v>
      </c>
      <c r="U31" s="289"/>
    </row>
    <row r="32" spans="1:21" ht="15.75" customHeight="1" x14ac:dyDescent="0.3">
      <c r="A32" s="168" t="s">
        <v>337</v>
      </c>
      <c r="B32" s="250" t="e">
        <f>+B31*CO2E_of_CH4_ClimateReg</f>
        <v>#VALUE!</v>
      </c>
      <c r="C32" s="512"/>
      <c r="D32" s="250">
        <f>+D31*CO2E_of_CH4_ClimateReg</f>
        <v>2.427516E-2</v>
      </c>
      <c r="E32" s="512"/>
      <c r="F32" s="250" t="e">
        <f>+F31*CO2E_of_CH4_ClimateReg</f>
        <v>#VALUE!</v>
      </c>
      <c r="G32" s="512"/>
      <c r="H32" s="250" t="e">
        <f>+H31*CO2E_of_CH4_ClimateReg</f>
        <v>#VALUE!</v>
      </c>
      <c r="I32" s="512"/>
      <c r="J32" s="250" t="e">
        <f>+J31*CO2E_of_CH4_ClimateReg</f>
        <v>#VALUE!</v>
      </c>
      <c r="K32" s="512"/>
      <c r="L32" s="250" t="e">
        <f>+L31*CO2E_of_CH4_ClimateReg</f>
        <v>#VALUE!</v>
      </c>
      <c r="M32" s="512"/>
      <c r="N32" s="250" t="e">
        <f>+N31*CO2E_of_CH4_ClimateReg</f>
        <v>#VALUE!</v>
      </c>
      <c r="O32" s="512"/>
      <c r="P32" s="250" t="e">
        <f>+P31*CO2E_of_CH4_ClimateReg</f>
        <v>#VALUE!</v>
      </c>
      <c r="Q32" s="512"/>
      <c r="R32" s="250" t="e">
        <f>+R31*CO2E_of_CH4_ClimateReg</f>
        <v>#VALUE!</v>
      </c>
      <c r="S32" s="512"/>
      <c r="T32" s="250" t="e">
        <f>+T31*CO2E_of_CH4_ClimateReg</f>
        <v>#VALUE!</v>
      </c>
      <c r="U32" s="512"/>
    </row>
    <row r="33" spans="1:21" ht="15.75" customHeight="1" thickBot="1" x14ac:dyDescent="0.25">
      <c r="A33" s="267"/>
      <c r="B33" s="509"/>
      <c r="C33" s="510"/>
      <c r="D33" s="509"/>
      <c r="E33" s="510"/>
      <c r="F33" s="509"/>
      <c r="G33" s="510"/>
      <c r="H33" s="509"/>
      <c r="I33" s="510"/>
      <c r="J33" s="509"/>
      <c r="K33" s="510"/>
      <c r="L33" s="509"/>
      <c r="M33" s="510"/>
      <c r="N33" s="509"/>
      <c r="O33" s="510"/>
      <c r="P33" s="509"/>
      <c r="Q33" s="510"/>
      <c r="R33" s="509"/>
      <c r="S33" s="510"/>
      <c r="T33" s="509"/>
      <c r="U33" s="510"/>
    </row>
    <row r="34" spans="1:21" s="130" customFormat="1" ht="15.75" customHeight="1" thickBot="1" x14ac:dyDescent="0.3">
      <c r="A34" s="1340" t="s">
        <v>202</v>
      </c>
      <c r="B34" s="1327"/>
      <c r="C34" s="1327"/>
      <c r="D34" s="1327"/>
      <c r="E34" s="1327"/>
      <c r="F34" s="1327"/>
      <c r="G34" s="1327"/>
      <c r="H34" s="1327"/>
      <c r="I34" s="1327"/>
      <c r="J34" s="1327"/>
      <c r="K34" s="1327"/>
      <c r="L34" s="1327"/>
      <c r="M34" s="1327"/>
      <c r="N34" s="1327"/>
      <c r="O34" s="1327"/>
      <c r="P34" s="1327"/>
      <c r="Q34" s="1327"/>
      <c r="R34" s="1327"/>
      <c r="S34" s="1327"/>
      <c r="T34" s="1327"/>
      <c r="U34" s="1341"/>
    </row>
    <row r="35" spans="1:21" s="105" customFormat="1" ht="15.75" customHeight="1" x14ac:dyDescent="0.35">
      <c r="A35" s="270" t="s">
        <v>52</v>
      </c>
      <c r="B35" s="513" t="str">
        <f>+IFERROR(IF(B15/B12&lt;Cut_off_between_low_and_high_C_N,B9*B12*B23*percent_N_to_N2O_fine_textured_soils*N_to_N2O_conversion,0),"N/A")</f>
        <v>N/A</v>
      </c>
      <c r="C35" s="514"/>
      <c r="D35" s="513">
        <f>+IFERROR(IF(D15/D12&lt;Cut_off_between_low_and_high_C_N,D9*D12*D23*percent_N_to_N2O_fine_textured_soils*N_to_N2O_conversion,0),"N/A")</f>
        <v>9.1009285714285706E-4</v>
      </c>
      <c r="E35" s="514"/>
      <c r="F35" s="513" t="str">
        <f>+IFERROR(IF(F15/F12&lt;Cut_off_between_low_and_high_C_N,F9*F12*F23*percent_N_to_N2O_fine_textured_soils*N_to_N2O_conversion,0),"N/A")</f>
        <v>N/A</v>
      </c>
      <c r="G35" s="514"/>
      <c r="H35" s="513" t="str">
        <f>+IFERROR(IF(H15/H12&lt;Cut_off_between_low_and_high_C_N,H9*H12*H23*percent_N_to_N2O_fine_textured_soils*N_to_N2O_conversion,0),"N/A")</f>
        <v>N/A</v>
      </c>
      <c r="I35" s="514"/>
      <c r="J35" s="513" t="str">
        <f>+IFERROR(IF(J15/J12&lt;Cut_off_between_low_and_high_C_N,J9*J12*J23*percent_N_to_N2O_fine_textured_soils*N_to_N2O_conversion,0),"N/A")</f>
        <v>N/A</v>
      </c>
      <c r="K35" s="514"/>
      <c r="L35" s="513" t="str">
        <f>+IFERROR(IF(L15/L12&lt;Cut_off_between_low_and_high_C_N,L9*L12*L23*percent_N_to_N2O_fine_textured_soils*N_to_N2O_conversion,0),"N/A")</f>
        <v>N/A</v>
      </c>
      <c r="M35" s="514"/>
      <c r="N35" s="513" t="str">
        <f>+IFERROR(IF(N15/N12&lt;Cut_off_between_low_and_high_C_N,N9*N12*N23*percent_N_to_N2O_fine_textured_soils*N_to_N2O_conversion,0),"N/A")</f>
        <v>N/A</v>
      </c>
      <c r="O35" s="514"/>
      <c r="P35" s="513" t="str">
        <f>+IFERROR(IF(P15/P12&lt;Cut_off_between_low_and_high_C_N,P9*P12*P23*percent_N_to_N2O_fine_textured_soils*N_to_N2O_conversion,0),"N/A")</f>
        <v>N/A</v>
      </c>
      <c r="Q35" s="514"/>
      <c r="R35" s="513" t="str">
        <f>+IFERROR(IF(R15/R12&lt;Cut_off_between_low_and_high_C_N,R9*R12*R23*percent_N_to_N2O_fine_textured_soils*N_to_N2O_conversion,0),"N/A")</f>
        <v>N/A</v>
      </c>
      <c r="S35" s="514"/>
      <c r="T35" s="513" t="str">
        <f>+IFERROR(IF(T15/T12&lt;Cut_off_between_low_and_high_C_N,T9*T12*T23*percent_N_to_N2O_fine_textured_soils*N_to_N2O_conversion,0),"N/A")</f>
        <v>N/A</v>
      </c>
      <c r="U35" s="514"/>
    </row>
    <row r="36" spans="1:21" ht="15.75" customHeight="1" x14ac:dyDescent="0.35">
      <c r="A36" s="245" t="s">
        <v>867</v>
      </c>
      <c r="B36" s="515">
        <f>-IF(B8&gt;=min_solids_for_n2O_reduction_fine,'Land Application'!B35*N2O_reduction_fine,0)</f>
        <v>0</v>
      </c>
      <c r="C36" s="516"/>
      <c r="D36" s="515">
        <f>-IF(D8&gt;=min_solids_for_n2O_reduction_fine,'Land Application'!D35*N2O_reduction_fine,0)</f>
        <v>0</v>
      </c>
      <c r="E36" s="516"/>
      <c r="F36" s="515">
        <f>-IF(F8&gt;=min_solids_for_n2O_reduction_fine,'Land Application'!F35*N2O_reduction_fine,0)</f>
        <v>0</v>
      </c>
      <c r="G36" s="516"/>
      <c r="H36" s="515">
        <f>-IF(H8&gt;=min_solids_for_n2O_reduction_fine,'Land Application'!H35*N2O_reduction_fine,0)</f>
        <v>0</v>
      </c>
      <c r="I36" s="516"/>
      <c r="J36" s="515">
        <f>-IF(J8&gt;=min_solids_for_n2O_reduction_fine,'Land Application'!J35*N2O_reduction_fine,0)</f>
        <v>0</v>
      </c>
      <c r="K36" s="516"/>
      <c r="L36" s="515">
        <f>-IF(L8&gt;=min_solids_for_n2O_reduction_fine,'Land Application'!L35*N2O_reduction_fine,0)</f>
        <v>0</v>
      </c>
      <c r="M36" s="516"/>
      <c r="N36" s="515">
        <f>-IF(N8&gt;=min_solids_for_n2O_reduction_fine,'Land Application'!N35*N2O_reduction_fine,0)</f>
        <v>0</v>
      </c>
      <c r="O36" s="516"/>
      <c r="P36" s="515">
        <f>-IF(P8&gt;=min_solids_for_n2O_reduction_fine,'Land Application'!P35*N2O_reduction_fine,0)</f>
        <v>0</v>
      </c>
      <c r="Q36" s="516"/>
      <c r="R36" s="515">
        <f>-IF(R8&gt;=min_solids_for_n2O_reduction_fine,'Land Application'!R35*N2O_reduction_fine,0)</f>
        <v>0</v>
      </c>
      <c r="S36" s="516"/>
      <c r="T36" s="515">
        <f>-IF(T8&gt;=min_solids_for_n2O_reduction_fine,'Land Application'!T35*N2O_reduction_fine,0)</f>
        <v>0</v>
      </c>
      <c r="U36" s="516"/>
    </row>
    <row r="37" spans="1:21" s="105" customFormat="1" ht="15.75" customHeight="1" x14ac:dyDescent="0.35">
      <c r="A37" s="245" t="s">
        <v>868</v>
      </c>
      <c r="B37" s="517" t="str">
        <f>+IFERROR(IF(B8&lt;min_solids_for_no_N2O_or_CH4,B7*B10/1000*B17*NO2_emissions_biosolids_storage/1000,0),"N/A")</f>
        <v>N/A</v>
      </c>
      <c r="C37" s="518"/>
      <c r="D37" s="517">
        <f>+IFERROR(IF(D8&lt;min_solids_for_no_N2O_or_CH4,D7*D10/1000*D17*NO2_emissions_biosolids_storage/1000,0),"N/A")</f>
        <v>4.5882719999999995E-5</v>
      </c>
      <c r="E37" s="518"/>
      <c r="F37" s="517" t="str">
        <f>+IFERROR(IF(F8&lt;min_solids_for_no_N2O_or_CH4,F7*F10/1000*F17*NO2_emissions_biosolids_storage/1000,0),"N/A")</f>
        <v>N/A</v>
      </c>
      <c r="G37" s="518"/>
      <c r="H37" s="517" t="str">
        <f>+IFERROR(IF(H8&lt;min_solids_for_no_N2O_or_CH4,H7*H10/1000*H17*NO2_emissions_biosolids_storage/1000,0),"N/A")</f>
        <v>N/A</v>
      </c>
      <c r="I37" s="518"/>
      <c r="J37" s="517" t="str">
        <f>+IFERROR(IF(J8&lt;min_solids_for_no_N2O_or_CH4,J7*J10/1000*J17*NO2_emissions_biosolids_storage/1000,0),"N/A")</f>
        <v>N/A</v>
      </c>
      <c r="K37" s="518"/>
      <c r="L37" s="517" t="str">
        <f>+IFERROR(IF(L8&lt;min_solids_for_no_N2O_or_CH4,L7*L10/1000*L17*NO2_emissions_biosolids_storage/1000,0),"N/A")</f>
        <v>N/A</v>
      </c>
      <c r="M37" s="518"/>
      <c r="N37" s="517" t="str">
        <f>+IFERROR(IF(N8&lt;min_solids_for_no_N2O_or_CH4,N7*N10/1000*N17*NO2_emissions_biosolids_storage/1000,0),"N/A")</f>
        <v>N/A</v>
      </c>
      <c r="O37" s="518"/>
      <c r="P37" s="517" t="str">
        <f>+IFERROR(IF(P8&lt;min_solids_for_no_N2O_or_CH4,P7*P10/1000*P17*NO2_emissions_biosolids_storage/1000,0),"N/A")</f>
        <v>N/A</v>
      </c>
      <c r="Q37" s="518"/>
      <c r="R37" s="517" t="str">
        <f>+IFERROR(IF(R8&lt;min_solids_for_no_N2O_or_CH4,R7*R10/1000*R17*NO2_emissions_biosolids_storage/1000,0),"N/A")</f>
        <v>N/A</v>
      </c>
      <c r="S37" s="518"/>
      <c r="T37" s="517" t="str">
        <f>+IFERROR(IF(T8&lt;min_solids_for_no_N2O_or_CH4,T7*T10/1000*T17*NO2_emissions_biosolids_storage/1000,0),"N/A")</f>
        <v>N/A</v>
      </c>
      <c r="U37" s="518"/>
    </row>
    <row r="38" spans="1:21" s="130" customFormat="1" ht="15.75" customHeight="1" x14ac:dyDescent="0.3">
      <c r="A38" s="168" t="s">
        <v>12</v>
      </c>
      <c r="B38" s="252" t="e">
        <f>+IF(B18='References Assumptions'!$C$360,(B35+B36+B37)*CO2E_of_N2O_Climate_Reg,B37*CO2E_of_N2O_Climate_Reg)</f>
        <v>#VALUE!</v>
      </c>
      <c r="C38" s="516"/>
      <c r="D38" s="252">
        <f>+IF(D18='References Assumptions'!$C$360,(D35+D36+D37)*CO2E_of_N2O_Climate_Reg,D37*CO2E_of_N2O_Climate_Reg)</f>
        <v>0.28488072198857139</v>
      </c>
      <c r="E38" s="516"/>
      <c r="F38" s="252" t="e">
        <f>+IF(F18='References Assumptions'!$C$360,(F35+F36+F37)*CO2E_of_N2O_Climate_Reg,F37*CO2E_of_N2O_Climate_Reg)</f>
        <v>#VALUE!</v>
      </c>
      <c r="G38" s="516"/>
      <c r="H38" s="252" t="e">
        <f>+IF(H18='References Assumptions'!$C$360,(H35+H36+H37)*CO2E_of_N2O_Climate_Reg,H37*CO2E_of_N2O_Climate_Reg)</f>
        <v>#VALUE!</v>
      </c>
      <c r="I38" s="516"/>
      <c r="J38" s="252" t="e">
        <f>+IF(J18='References Assumptions'!$C$360,(J35+J36+J37)*CO2E_of_N2O_Climate_Reg,J37*CO2E_of_N2O_Climate_Reg)</f>
        <v>#VALUE!</v>
      </c>
      <c r="K38" s="516"/>
      <c r="L38" s="252" t="e">
        <f>+IF(L18='References Assumptions'!$C$360,(L35+L36+L37)*CO2E_of_N2O_Climate_Reg,L37*CO2E_of_N2O_Climate_Reg)</f>
        <v>#VALUE!</v>
      </c>
      <c r="M38" s="516"/>
      <c r="N38" s="252" t="e">
        <f>+IF(N18='References Assumptions'!$C$360,(N35+N36+N37)*CO2E_of_N2O_Climate_Reg,N37*CO2E_of_N2O_Climate_Reg)</f>
        <v>#VALUE!</v>
      </c>
      <c r="O38" s="516"/>
      <c r="P38" s="252" t="e">
        <f>+IF(P18='References Assumptions'!$C$360,(P35+P36+P37)*CO2E_of_N2O_Climate_Reg,P37*CO2E_of_N2O_Climate_Reg)</f>
        <v>#VALUE!</v>
      </c>
      <c r="Q38" s="516"/>
      <c r="R38" s="252" t="e">
        <f>+IF(R18='References Assumptions'!$C$360,(R35+R36+R37)*CO2E_of_N2O_Climate_Reg,R37*CO2E_of_N2O_Climate_Reg)</f>
        <v>#VALUE!</v>
      </c>
      <c r="S38" s="516"/>
      <c r="T38" s="252" t="e">
        <f>+IF(T18='References Assumptions'!$C$360,(T35+T36+T37)*CO2E_of_N2O_Climate_Reg,T37*CO2E_of_N2O_Climate_Reg)</f>
        <v>#VALUE!</v>
      </c>
      <c r="U38" s="516"/>
    </row>
    <row r="39" spans="1:21" s="105" customFormat="1" ht="15.75" customHeight="1" thickBot="1" x14ac:dyDescent="0.3">
      <c r="A39" s="273"/>
      <c r="B39" s="344"/>
      <c r="C39" s="469"/>
      <c r="D39" s="344"/>
      <c r="E39" s="469"/>
      <c r="F39" s="344"/>
      <c r="G39" s="469"/>
      <c r="H39" s="344"/>
      <c r="I39" s="469"/>
      <c r="J39" s="344"/>
      <c r="K39" s="469"/>
      <c r="L39" s="344"/>
      <c r="M39" s="469"/>
      <c r="N39" s="344"/>
      <c r="O39" s="469"/>
      <c r="P39" s="344"/>
      <c r="Q39" s="469"/>
      <c r="R39" s="344"/>
      <c r="S39" s="469"/>
      <c r="T39" s="344"/>
      <c r="U39" s="469"/>
    </row>
    <row r="40" spans="1:21" s="130" customFormat="1" ht="15.75" customHeight="1" thickBot="1" x14ac:dyDescent="0.3">
      <c r="A40" s="1300" t="s">
        <v>235</v>
      </c>
      <c r="B40" s="1301"/>
      <c r="C40" s="1301"/>
      <c r="D40" s="1301"/>
      <c r="E40" s="1301"/>
      <c r="F40" s="1301"/>
      <c r="G40" s="1301"/>
      <c r="H40" s="1301"/>
      <c r="I40" s="1301"/>
      <c r="J40" s="1301"/>
      <c r="K40" s="1301"/>
      <c r="L40" s="1301"/>
      <c r="M40" s="1301"/>
      <c r="N40" s="1301"/>
      <c r="O40" s="1301"/>
      <c r="P40" s="1301"/>
      <c r="Q40" s="1301"/>
      <c r="R40" s="1301"/>
      <c r="S40" s="1301"/>
      <c r="T40" s="1301"/>
      <c r="U40" s="1302"/>
    </row>
    <row r="41" spans="1:21" s="130" customFormat="1" ht="15.75" customHeight="1" x14ac:dyDescent="0.2">
      <c r="A41" s="1183" t="s">
        <v>940</v>
      </c>
      <c r="B41" s="14"/>
      <c r="C41" s="1118" t="str">
        <f>+'References Assumptions'!$A$147</f>
        <v>Current Default</v>
      </c>
      <c r="D41" s="14" t="s">
        <v>780</v>
      </c>
      <c r="E41" s="1118" t="str">
        <f>+'References Assumptions'!$A$147</f>
        <v>Current Default</v>
      </c>
      <c r="F41" s="14"/>
      <c r="G41" s="1118" t="str">
        <f>+'References Assumptions'!$A$147</f>
        <v>Current Default</v>
      </c>
      <c r="H41" s="14"/>
      <c r="I41" s="1118" t="str">
        <f>+'References Assumptions'!$A$147</f>
        <v>Current Default</v>
      </c>
      <c r="J41" s="14"/>
      <c r="K41" s="1118" t="str">
        <f>+'References Assumptions'!$A$147</f>
        <v>Current Default</v>
      </c>
      <c r="L41" s="14"/>
      <c r="M41" s="1118" t="str">
        <f>+'References Assumptions'!$A$147</f>
        <v>Current Default</v>
      </c>
      <c r="N41" s="14"/>
      <c r="O41" s="1118" t="str">
        <f>+'References Assumptions'!$A$147</f>
        <v>Current Default</v>
      </c>
      <c r="P41" s="14"/>
      <c r="Q41" s="1118" t="str">
        <f>+'References Assumptions'!$A$147</f>
        <v>Current Default</v>
      </c>
      <c r="R41" s="14"/>
      <c r="S41" s="1118" t="str">
        <f>+'References Assumptions'!$A$147</f>
        <v>Current Default</v>
      </c>
      <c r="T41" s="14"/>
      <c r="U41" s="1118" t="str">
        <f>+'References Assumptions'!$A$147</f>
        <v>Current Default</v>
      </c>
    </row>
    <row r="42" spans="1:21" s="105" customFormat="1" ht="15.75" customHeight="1" x14ac:dyDescent="0.3">
      <c r="A42" s="161" t="s">
        <v>959</v>
      </c>
      <c r="B42" s="347" t="e">
        <f>IF(B6='References Assumptions'!$C$355,-B9*B14*Cseq_biochar*C_to_CO2_conversion,-B9*VLOOKUP(B41,'References Assumptions'!$A$147:$B$150,2,FALSE))</f>
        <v>#VALUE!</v>
      </c>
      <c r="C42" s="956"/>
      <c r="D42" s="347">
        <f>IF(D6='References Assumptions'!$C$355,-D9*D14*Cseq_biochar*C_to_CO2_conversion,-D9*VLOOKUP(D41,'References Assumptions'!$A$147:$B$150,2,FALSE))</f>
        <v>-0.12635999999999997</v>
      </c>
      <c r="E42" s="955"/>
      <c r="F42" s="347" t="e">
        <f>IF(F6='References Assumptions'!$C$355,-F9*F14*Cseq_biochar*C_to_CO2_conversion,-F9*VLOOKUP(F41,'References Assumptions'!$A$147:$B$150,2,FALSE))</f>
        <v>#VALUE!</v>
      </c>
      <c r="G42" s="955"/>
      <c r="H42" s="347" t="e">
        <f>IF(H6='References Assumptions'!$C$355,-H9*H14*Cseq_biochar*C_to_CO2_conversion,-H9*VLOOKUP(H41,'References Assumptions'!$A$147:$B$150,2,FALSE))</f>
        <v>#VALUE!</v>
      </c>
      <c r="I42" s="955"/>
      <c r="J42" s="347" t="e">
        <f>IF(J6='References Assumptions'!$C$355,-J9*J14*Cseq_biochar*C_to_CO2_conversion,-J9*VLOOKUP(J41,'References Assumptions'!$A$147:$B$150,2,FALSE))</f>
        <v>#VALUE!</v>
      </c>
      <c r="K42" s="955"/>
      <c r="L42" s="347" t="e">
        <f>IF(L6='References Assumptions'!$C$355,-L9*L14*Cseq_biochar*C_to_CO2_conversion,-L9*VLOOKUP(L41,'References Assumptions'!$A$147:$B$150,2,FALSE))</f>
        <v>#VALUE!</v>
      </c>
      <c r="M42" s="956"/>
      <c r="N42" s="347" t="e">
        <f>IF(N6='References Assumptions'!$C$355,-N9*N14*Cseq_biochar*C_to_CO2_conversion,-N9*VLOOKUP(N41,'References Assumptions'!$A$147:$B$150,2,FALSE))</f>
        <v>#VALUE!</v>
      </c>
      <c r="O42" s="955"/>
      <c r="P42" s="347" t="e">
        <f>IF(P6='References Assumptions'!$C$355,-P9*P14*Cseq_biochar*C_to_CO2_conversion,-P9*VLOOKUP(P41,'References Assumptions'!$A$147:$B$150,2,FALSE))</f>
        <v>#VALUE!</v>
      </c>
      <c r="Q42" s="955"/>
      <c r="R42" s="347" t="e">
        <f>IF(R6='References Assumptions'!$C$355,-R9*R14*Cseq_biochar*C_to_CO2_conversion,-R9*VLOOKUP(R41,'References Assumptions'!$A$147:$B$150,2,FALSE))</f>
        <v>#VALUE!</v>
      </c>
      <c r="S42" s="955"/>
      <c r="T42" s="347" t="e">
        <f>IF(T6='References Assumptions'!$C$355,-T9*T14*Cseq_biochar*C_to_CO2_conversion,-T9*VLOOKUP(T41,'References Assumptions'!$A$147:$B$150,2,FALSE))</f>
        <v>#VALUE!</v>
      </c>
      <c r="U42" s="955"/>
    </row>
    <row r="43" spans="1:21" s="130" customFormat="1" ht="15.75" customHeight="1" thickBot="1" x14ac:dyDescent="0.3">
      <c r="A43" s="277"/>
      <c r="B43" s="337"/>
      <c r="C43" s="957"/>
      <c r="D43" s="337"/>
      <c r="E43" s="519"/>
      <c r="F43" s="337"/>
      <c r="G43" s="519"/>
      <c r="H43" s="337"/>
      <c r="I43" s="519"/>
      <c r="J43" s="337"/>
      <c r="K43" s="519"/>
      <c r="L43" s="337"/>
      <c r="M43" s="957"/>
      <c r="N43" s="337"/>
      <c r="O43" s="519"/>
      <c r="P43" s="337"/>
      <c r="Q43" s="519"/>
      <c r="R43" s="337"/>
      <c r="S43" s="519"/>
      <c r="T43" s="337"/>
      <c r="U43" s="519"/>
    </row>
    <row r="44" spans="1:21" s="130" customFormat="1" ht="15.75" customHeight="1" thickBot="1" x14ac:dyDescent="0.3">
      <c r="A44" s="1340" t="s">
        <v>226</v>
      </c>
      <c r="B44" s="1327"/>
      <c r="C44" s="1327"/>
      <c r="D44" s="1327"/>
      <c r="E44" s="1327"/>
      <c r="F44" s="1327"/>
      <c r="G44" s="1327"/>
      <c r="H44" s="1327"/>
      <c r="I44" s="1327"/>
      <c r="J44" s="1327"/>
      <c r="K44" s="1327"/>
      <c r="L44" s="1327"/>
      <c r="M44" s="1327"/>
      <c r="N44" s="1327"/>
      <c r="O44" s="1327"/>
      <c r="P44" s="1327"/>
      <c r="Q44" s="1327"/>
      <c r="R44" s="1327"/>
      <c r="S44" s="1327"/>
      <c r="T44" s="1327"/>
      <c r="U44" s="1341"/>
    </row>
    <row r="45" spans="1:21" s="105" customFormat="1" ht="15.75" customHeight="1" x14ac:dyDescent="0.3">
      <c r="A45" s="1117" t="s">
        <v>42</v>
      </c>
      <c r="B45" s="1113" t="e">
        <f>-B9*B12*N_fertilizer_credit_ROU_2006</f>
        <v>#VALUE!</v>
      </c>
      <c r="C45" s="1114"/>
      <c r="D45" s="1113">
        <f>-D9*D12*N_fertilizer_credit_ROU_2006</f>
        <v>-0.16847999999999999</v>
      </c>
      <c r="E45" s="1114"/>
      <c r="F45" s="1113" t="e">
        <f>-F9*F12*N_fertilizer_credit_ROU_2006</f>
        <v>#VALUE!</v>
      </c>
      <c r="G45" s="1114"/>
      <c r="H45" s="1113" t="e">
        <f>-H9*H12*N_fertilizer_credit_ROU_2006</f>
        <v>#VALUE!</v>
      </c>
      <c r="I45" s="1114"/>
      <c r="J45" s="1113" t="e">
        <f>-J9*J12*N_fertilizer_credit_ROU_2006</f>
        <v>#VALUE!</v>
      </c>
      <c r="K45" s="1114"/>
      <c r="L45" s="1113" t="e">
        <f>-L9*L12*N_fertilizer_credit_ROU_2006</f>
        <v>#VALUE!</v>
      </c>
      <c r="M45" s="1114"/>
      <c r="N45" s="1113" t="e">
        <f>-N9*N12*N_fertilizer_credit_ROU_2006</f>
        <v>#VALUE!</v>
      </c>
      <c r="O45" s="1114"/>
      <c r="P45" s="1113" t="e">
        <f>-P9*P12*N_fertilizer_credit_ROU_2006</f>
        <v>#VALUE!</v>
      </c>
      <c r="Q45" s="1114"/>
      <c r="R45" s="1113" t="e">
        <f>-R9*R12*N_fertilizer_credit_ROU_2006</f>
        <v>#VALUE!</v>
      </c>
      <c r="S45" s="1114"/>
      <c r="T45" s="1113" t="e">
        <f>-T9*T12*N_fertilizer_credit_ROU_2006</f>
        <v>#VALUE!</v>
      </c>
      <c r="U45" s="1114"/>
    </row>
    <row r="46" spans="1:21" ht="15.75" customHeight="1" x14ac:dyDescent="0.3">
      <c r="A46" s="168" t="s">
        <v>43</v>
      </c>
      <c r="B46" s="250" t="e">
        <f>-B9*B13*P_fertilizer_credit_ROU_2006</f>
        <v>#VALUE!</v>
      </c>
      <c r="C46" s="520"/>
      <c r="D46" s="250">
        <f>-D9*D13*P_fertilizer_credit_ROU_2006</f>
        <v>-3.2011199999999997E-2</v>
      </c>
      <c r="E46" s="520"/>
      <c r="F46" s="250" t="e">
        <f>-F9*F13*P_fertilizer_credit_ROU_2006</f>
        <v>#VALUE!</v>
      </c>
      <c r="G46" s="520"/>
      <c r="H46" s="250" t="e">
        <f>-H9*H13*P_fertilizer_credit_ROU_2006</f>
        <v>#VALUE!</v>
      </c>
      <c r="I46" s="520"/>
      <c r="J46" s="250" t="e">
        <f>-J9*J13*P_fertilizer_credit_ROU_2006</f>
        <v>#VALUE!</v>
      </c>
      <c r="K46" s="520"/>
      <c r="L46" s="250" t="e">
        <f>-L9*L13*P_fertilizer_credit_ROU_2006</f>
        <v>#VALUE!</v>
      </c>
      <c r="M46" s="520"/>
      <c r="N46" s="250" t="e">
        <f>-N9*N13*P_fertilizer_credit_ROU_2006</f>
        <v>#VALUE!</v>
      </c>
      <c r="O46" s="520"/>
      <c r="P46" s="250" t="e">
        <f>-P9*P13*P_fertilizer_credit_ROU_2006</f>
        <v>#VALUE!</v>
      </c>
      <c r="Q46" s="520"/>
      <c r="R46" s="250" t="e">
        <f>-R9*R13*P_fertilizer_credit_ROU_2006</f>
        <v>#VALUE!</v>
      </c>
      <c r="S46" s="520"/>
      <c r="T46" s="250" t="e">
        <f>-T9*T13*P_fertilizer_credit_ROU_2006</f>
        <v>#VALUE!</v>
      </c>
      <c r="U46" s="520"/>
    </row>
    <row r="47" spans="1:21" s="105" customFormat="1" ht="15.75" customHeight="1" thickBot="1" x14ac:dyDescent="0.3">
      <c r="A47" s="505"/>
      <c r="B47" s="344"/>
      <c r="C47" s="469"/>
      <c r="D47" s="344"/>
      <c r="E47" s="469"/>
      <c r="F47" s="344"/>
      <c r="G47" s="469"/>
      <c r="H47" s="344"/>
      <c r="I47" s="469"/>
      <c r="J47" s="344"/>
      <c r="K47" s="469"/>
      <c r="L47" s="344"/>
      <c r="M47" s="469"/>
      <c r="N47" s="344"/>
      <c r="O47" s="469"/>
      <c r="P47" s="344"/>
      <c r="Q47" s="469"/>
      <c r="R47" s="344"/>
      <c r="S47" s="469"/>
      <c r="T47" s="344"/>
      <c r="U47" s="469"/>
    </row>
    <row r="48" spans="1:21" ht="15.75" customHeight="1" thickBot="1" x14ac:dyDescent="0.3">
      <c r="A48" s="1340" t="s">
        <v>246</v>
      </c>
      <c r="B48" s="1327"/>
      <c r="C48" s="1327"/>
      <c r="D48" s="1327"/>
      <c r="E48" s="1327"/>
      <c r="F48" s="1327"/>
      <c r="G48" s="1327"/>
      <c r="H48" s="1327"/>
      <c r="I48" s="1327"/>
      <c r="J48" s="1327"/>
      <c r="K48" s="1327"/>
      <c r="L48" s="1327"/>
      <c r="M48" s="1327"/>
      <c r="N48" s="1327"/>
      <c r="O48" s="1327"/>
      <c r="P48" s="1327"/>
      <c r="Q48" s="1327"/>
      <c r="R48" s="1327"/>
      <c r="S48" s="1327"/>
      <c r="T48" s="1327"/>
      <c r="U48" s="1341"/>
    </row>
    <row r="49" spans="1:21" s="105" customFormat="1" ht="15.75" customHeight="1" x14ac:dyDescent="0.3">
      <c r="A49" s="1117" t="s">
        <v>50</v>
      </c>
      <c r="B49" s="1113" t="e">
        <f>+IF(AND(B19='References Assumptions'!$C$339,B20='References Assumptions'!$C$339),0,B9*B16*Fraction_Carbon_in_CaCO3*C_to_CO2_conversion)</f>
        <v>#VALUE!</v>
      </c>
      <c r="C49" s="1114"/>
      <c r="D49" s="1113">
        <f>+IF(AND(D19='References Assumptions'!$C$339,D20='References Assumptions'!$C$339),0,D9*D16*Fraction_Carbon_in_CaCO3*C_to_CO2_conversion)</f>
        <v>0</v>
      </c>
      <c r="E49" s="1114"/>
      <c r="F49" s="1113" t="e">
        <f>+IF(AND(F19='References Assumptions'!$C$339,F20='References Assumptions'!$C$339),0,F9*F16*Fraction_Carbon_in_CaCO3*C_to_CO2_conversion)</f>
        <v>#VALUE!</v>
      </c>
      <c r="G49" s="1114"/>
      <c r="H49" s="1113" t="e">
        <f>+IF(AND(H19='References Assumptions'!$C$339,H20='References Assumptions'!$C$339),0,H9*H16*Fraction_Carbon_in_CaCO3*C_to_CO2_conversion)</f>
        <v>#VALUE!</v>
      </c>
      <c r="I49" s="1114"/>
      <c r="J49" s="1113" t="e">
        <f>+IF(AND(J19='References Assumptions'!$C$339,J20='References Assumptions'!$C$339),0,J9*J16*Fraction_Carbon_in_CaCO3*C_to_CO2_conversion)</f>
        <v>#VALUE!</v>
      </c>
      <c r="K49" s="1114"/>
      <c r="L49" s="1113" t="e">
        <f>+IF(AND(L19='References Assumptions'!$C$339,L20='References Assumptions'!$C$339),0,L9*L16*Fraction_Carbon_in_CaCO3*C_to_CO2_conversion)</f>
        <v>#VALUE!</v>
      </c>
      <c r="M49" s="1114"/>
      <c r="N49" s="1113" t="e">
        <f>+IF(AND(N19='References Assumptions'!$C$339,N20='References Assumptions'!$C$339),0,N9*N16*Fraction_Carbon_in_CaCO3*C_to_CO2_conversion)</f>
        <v>#VALUE!</v>
      </c>
      <c r="O49" s="1114"/>
      <c r="P49" s="1113" t="e">
        <f>+IF(AND(P19='References Assumptions'!$C$339,P20='References Assumptions'!$C$339),0,P9*P16*Fraction_Carbon_in_CaCO3*C_to_CO2_conversion)</f>
        <v>#VALUE!</v>
      </c>
      <c r="Q49" s="1114"/>
      <c r="R49" s="1113" t="e">
        <f>+IF(AND(R19='References Assumptions'!$C$339,R20='References Assumptions'!$C$339),0,R9*R16*Fraction_Carbon_in_CaCO3*C_to_CO2_conversion)</f>
        <v>#VALUE!</v>
      </c>
      <c r="S49" s="1114"/>
      <c r="T49" s="1113" t="e">
        <f>+IF(AND(T19='References Assumptions'!$C$339,T20='References Assumptions'!$C$339),0,T9*T16*Fraction_Carbon_in_CaCO3*C_to_CO2_conversion)</f>
        <v>#VALUE!</v>
      </c>
      <c r="U49" s="1114"/>
    </row>
    <row r="50" spans="1:21" s="105" customFormat="1" ht="15.75" customHeight="1" thickBot="1" x14ac:dyDescent="0.3">
      <c r="A50" s="505"/>
      <c r="B50" s="344"/>
      <c r="C50" s="469"/>
      <c r="D50" s="344"/>
      <c r="E50" s="469"/>
      <c r="F50" s="344"/>
      <c r="G50" s="469"/>
      <c r="H50" s="344"/>
      <c r="I50" s="469"/>
      <c r="J50" s="344"/>
      <c r="K50" s="469"/>
      <c r="L50" s="344"/>
      <c r="M50" s="469"/>
      <c r="N50" s="344"/>
      <c r="O50" s="469"/>
      <c r="P50" s="344"/>
      <c r="Q50" s="469"/>
      <c r="R50" s="344"/>
      <c r="S50" s="469"/>
      <c r="T50" s="344"/>
      <c r="U50" s="469"/>
    </row>
    <row r="51" spans="1:21" s="130" customFormat="1" ht="15.75" customHeight="1" thickBot="1" x14ac:dyDescent="0.25">
      <c r="A51" s="1303"/>
      <c r="B51" s="1304"/>
      <c r="C51" s="1304"/>
      <c r="D51" s="1304"/>
      <c r="E51" s="1304"/>
      <c r="F51" s="1304"/>
      <c r="G51" s="1304"/>
      <c r="H51" s="1304"/>
      <c r="I51" s="1304"/>
      <c r="J51" s="1304"/>
      <c r="K51" s="1304"/>
      <c r="L51" s="1304"/>
      <c r="M51" s="1304"/>
      <c r="N51" s="1304"/>
      <c r="O51" s="1304"/>
      <c r="P51" s="1304"/>
      <c r="Q51" s="1304"/>
      <c r="R51" s="1304"/>
      <c r="S51" s="1304"/>
      <c r="T51" s="1304"/>
      <c r="U51" s="1305"/>
    </row>
    <row r="52" spans="1:21" ht="18.75" customHeight="1" thickBot="1" x14ac:dyDescent="0.25">
      <c r="A52" s="254" t="s">
        <v>329</v>
      </c>
      <c r="B52" s="282" t="e">
        <f>(B28+B32+B38+B42+B45+B46+B49)*days_yr</f>
        <v>#VALUE!</v>
      </c>
      <c r="C52" s="521"/>
      <c r="D52" s="282">
        <f>(D28+D32+D38+D42+D45+D46+D49)*days_yr</f>
        <v>1.3134415461913362</v>
      </c>
      <c r="E52" s="521"/>
      <c r="F52" s="282" t="e">
        <f>(F28+F32+F38+F42+F45+F46+F49)*days_yr</f>
        <v>#VALUE!</v>
      </c>
      <c r="G52" s="521"/>
      <c r="H52" s="282" t="e">
        <f>(H28+H32+H38+H42+H45+H46+H49)*days_yr</f>
        <v>#VALUE!</v>
      </c>
      <c r="I52" s="521"/>
      <c r="J52" s="282" t="e">
        <f>(J28+J32+J38+J42+J45+J46+J49)*days_yr</f>
        <v>#VALUE!</v>
      </c>
      <c r="K52" s="522"/>
      <c r="L52" s="282" t="e">
        <f>(L28+L32+L38+L42+L45+L46+L49)*days_yr</f>
        <v>#VALUE!</v>
      </c>
      <c r="M52" s="521"/>
      <c r="N52" s="282" t="e">
        <f>(N28+N32+N38+N42+N45+N46+N49)*days_yr</f>
        <v>#VALUE!</v>
      </c>
      <c r="O52" s="521"/>
      <c r="P52" s="282" t="e">
        <f>(P28+P32+P38+P42+P45+P46+P49)*days_yr</f>
        <v>#VALUE!</v>
      </c>
      <c r="Q52" s="521"/>
      <c r="R52" s="282" t="e">
        <f>(R28+R32+R38+R42+R45+R46+R49)*days_yr</f>
        <v>#VALUE!</v>
      </c>
      <c r="S52" s="521"/>
      <c r="T52" s="282" t="e">
        <f>(T28+T32+T38+T42+T45+T46+T49)*days_yr</f>
        <v>#VALUE!</v>
      </c>
      <c r="U52" s="521"/>
    </row>
    <row r="53" spans="1:21" ht="15.75" customHeight="1" x14ac:dyDescent="0.25">
      <c r="A53" s="161" t="s">
        <v>228</v>
      </c>
      <c r="B53" s="137" t="e">
        <f>(B28+B32+B38+B42+B49)*days_yr</f>
        <v>#VALUE!</v>
      </c>
      <c r="C53" s="305"/>
      <c r="D53" s="137">
        <f>(D28+D32+D38+D42+D49)*days_yr</f>
        <v>74.492729546191327</v>
      </c>
      <c r="E53" s="305"/>
      <c r="F53" s="137" t="e">
        <f>(F28+F32+F38+F42+F49)*days_yr</f>
        <v>#VALUE!</v>
      </c>
      <c r="G53" s="305"/>
      <c r="H53" s="137" t="e">
        <f>(H28+H32+H38+H42+H49)*days_yr</f>
        <v>#VALUE!</v>
      </c>
      <c r="I53" s="305"/>
      <c r="J53" s="137" t="e">
        <f>(J28+J32+J38+J42+J49)*days_yr</f>
        <v>#VALUE!</v>
      </c>
      <c r="L53" s="137" t="e">
        <f>(L28+L32+L38+L42+L49)*days_yr</f>
        <v>#VALUE!</v>
      </c>
      <c r="M53" s="305"/>
      <c r="N53" s="137" t="e">
        <f>(N28+N32+N38+N42+N49)*days_yr</f>
        <v>#VALUE!</v>
      </c>
      <c r="O53" s="305"/>
      <c r="P53" s="137" t="e">
        <f>(P28+P32+P38+P42+P49)*days_yr</f>
        <v>#VALUE!</v>
      </c>
      <c r="Q53" s="305"/>
      <c r="R53" s="137" t="e">
        <f>(R28+R32+R38+R42+R49)*days_yr</f>
        <v>#VALUE!</v>
      </c>
      <c r="S53" s="305"/>
      <c r="T53" s="137" t="e">
        <f>(T28+T32+T38+T42+T49)*days_yr</f>
        <v>#VALUE!</v>
      </c>
      <c r="U53" s="305"/>
    </row>
    <row r="54" spans="1:21" ht="15.75" customHeight="1" x14ac:dyDescent="0.25">
      <c r="A54" s="168" t="s">
        <v>229</v>
      </c>
      <c r="B54" s="138">
        <v>0</v>
      </c>
      <c r="C54" s="442"/>
      <c r="D54" s="138">
        <v>0</v>
      </c>
      <c r="E54" s="442"/>
      <c r="F54" s="138">
        <v>0</v>
      </c>
      <c r="G54" s="442"/>
      <c r="H54" s="138">
        <v>0</v>
      </c>
      <c r="I54" s="442"/>
      <c r="J54" s="138">
        <v>0</v>
      </c>
      <c r="K54" s="441"/>
      <c r="L54" s="138">
        <v>0</v>
      </c>
      <c r="M54" s="442"/>
      <c r="N54" s="138">
        <v>0</v>
      </c>
      <c r="O54" s="442"/>
      <c r="P54" s="138">
        <v>0</v>
      </c>
      <c r="Q54" s="442"/>
      <c r="R54" s="138">
        <v>0</v>
      </c>
      <c r="S54" s="442"/>
      <c r="T54" s="138">
        <v>0</v>
      </c>
      <c r="U54" s="442"/>
    </row>
    <row r="55" spans="1:21" ht="15.75" customHeight="1" x14ac:dyDescent="0.25">
      <c r="A55" s="168" t="s">
        <v>207</v>
      </c>
      <c r="B55" s="138" t="e">
        <f>(B53+B54)</f>
        <v>#VALUE!</v>
      </c>
      <c r="C55" s="305"/>
      <c r="D55" s="138">
        <f>(D53+D54)</f>
        <v>74.492729546191327</v>
      </c>
      <c r="E55" s="305"/>
      <c r="F55" s="138" t="e">
        <f>(F53+F54)</f>
        <v>#VALUE!</v>
      </c>
      <c r="G55" s="305"/>
      <c r="H55" s="138" t="e">
        <f>(H53+H54)</f>
        <v>#VALUE!</v>
      </c>
      <c r="I55" s="305"/>
      <c r="J55" s="138" t="e">
        <f>(J53+J54)</f>
        <v>#VALUE!</v>
      </c>
      <c r="L55" s="138" t="e">
        <f>(L53+L54)</f>
        <v>#VALUE!</v>
      </c>
      <c r="M55" s="305"/>
      <c r="N55" s="138" t="e">
        <f>(N53+N54)</f>
        <v>#VALUE!</v>
      </c>
      <c r="O55" s="305"/>
      <c r="P55" s="138" t="e">
        <f>(P53+P54)</f>
        <v>#VALUE!</v>
      </c>
      <c r="Q55" s="305"/>
      <c r="R55" s="138" t="e">
        <f>(R53+R54)</f>
        <v>#VALUE!</v>
      </c>
      <c r="S55" s="305"/>
      <c r="T55" s="138" t="e">
        <f>(T53+T54)</f>
        <v>#VALUE!</v>
      </c>
      <c r="U55" s="305"/>
    </row>
    <row r="56" spans="1:21" ht="15.75" customHeight="1" x14ac:dyDescent="0.25">
      <c r="A56" s="168" t="s">
        <v>230</v>
      </c>
      <c r="B56" s="138" t="e">
        <f>(B45+B46)*days_yr</f>
        <v>#VALUE!</v>
      </c>
      <c r="C56" s="305"/>
      <c r="D56" s="138">
        <f>(D45+D46)*days_yr</f>
        <v>-73.179288</v>
      </c>
      <c r="E56" s="305"/>
      <c r="F56" s="138" t="e">
        <f>(F45+F46)*days_yr</f>
        <v>#VALUE!</v>
      </c>
      <c r="G56" s="305"/>
      <c r="H56" s="138" t="e">
        <f>(H45+H46)*days_yr</f>
        <v>#VALUE!</v>
      </c>
      <c r="I56" s="305"/>
      <c r="J56" s="138" t="e">
        <f>(J45+J46)*days_yr</f>
        <v>#VALUE!</v>
      </c>
      <c r="L56" s="138" t="e">
        <f>(L45+L46)*days_yr</f>
        <v>#VALUE!</v>
      </c>
      <c r="M56" s="305"/>
      <c r="N56" s="138" t="e">
        <f>(N45+N46)*days_yr</f>
        <v>#VALUE!</v>
      </c>
      <c r="O56" s="305"/>
      <c r="P56" s="138" t="e">
        <f>(P45+P46)*days_yr</f>
        <v>#VALUE!</v>
      </c>
      <c r="Q56" s="305"/>
      <c r="R56" s="138" t="e">
        <f>(R45+R46)*days_yr</f>
        <v>#VALUE!</v>
      </c>
      <c r="S56" s="305"/>
      <c r="T56" s="138" t="e">
        <f>(T45+T46)*days_yr</f>
        <v>#VALUE!</v>
      </c>
      <c r="U56" s="305"/>
    </row>
    <row r="57" spans="1:21" ht="15.75" customHeight="1" thickBot="1" x14ac:dyDescent="0.3">
      <c r="A57" s="169" t="s">
        <v>232</v>
      </c>
      <c r="B57" s="140" t="s">
        <v>102</v>
      </c>
      <c r="C57" s="351"/>
      <c r="D57" s="140" t="s">
        <v>102</v>
      </c>
      <c r="E57" s="351"/>
      <c r="F57" s="140" t="s">
        <v>102</v>
      </c>
      <c r="G57" s="351"/>
      <c r="H57" s="140" t="s">
        <v>102</v>
      </c>
      <c r="I57" s="351"/>
      <c r="J57" s="140" t="s">
        <v>102</v>
      </c>
      <c r="K57" s="430"/>
      <c r="L57" s="140" t="s">
        <v>102</v>
      </c>
      <c r="M57" s="351"/>
      <c r="N57" s="140" t="s">
        <v>102</v>
      </c>
      <c r="O57" s="351"/>
      <c r="P57" s="140" t="s">
        <v>102</v>
      </c>
      <c r="Q57" s="351"/>
      <c r="R57" s="140" t="s">
        <v>102</v>
      </c>
      <c r="S57" s="351"/>
      <c r="T57" s="140" t="s">
        <v>102</v>
      </c>
      <c r="U57" s="351"/>
    </row>
    <row r="59" spans="1:21" s="105" customFormat="1" ht="18" x14ac:dyDescent="0.25">
      <c r="A59" s="176" t="s">
        <v>97</v>
      </c>
      <c r="B59" s="155"/>
    </row>
    <row r="60" spans="1:21" s="105" customFormat="1" ht="54.75" customHeight="1" x14ac:dyDescent="0.2">
      <c r="A60" s="1297" t="s">
        <v>120</v>
      </c>
      <c r="B60" s="1336"/>
      <c r="C60" s="1336"/>
    </row>
    <row r="61" spans="1:21" s="105" customFormat="1" ht="15.75" customHeight="1" x14ac:dyDescent="0.2">
      <c r="A61" s="1035"/>
      <c r="B61" s="1234" t="s">
        <v>110</v>
      </c>
      <c r="C61" s="1235"/>
      <c r="D61" s="1235"/>
      <c r="E61" s="1236"/>
    </row>
    <row r="62" spans="1:21" x14ac:dyDescent="0.2">
      <c r="B62" s="1231" t="s">
        <v>31</v>
      </c>
      <c r="C62" s="1232"/>
      <c r="D62" s="1233"/>
      <c r="E62" s="563">
        <v>0</v>
      </c>
    </row>
    <row r="63" spans="1:21" x14ac:dyDescent="0.2">
      <c r="B63" s="1231" t="s">
        <v>32</v>
      </c>
      <c r="C63" s="1232"/>
      <c r="D63" s="1233"/>
      <c r="E63" s="564">
        <v>0</v>
      </c>
    </row>
    <row r="64" spans="1:21" x14ac:dyDescent="0.2">
      <c r="B64" s="1231" t="s">
        <v>615</v>
      </c>
      <c r="C64" s="1232"/>
      <c r="D64" s="1233"/>
      <c r="E64" s="565">
        <v>0</v>
      </c>
    </row>
    <row r="65" spans="2:5" ht="15" x14ac:dyDescent="0.25">
      <c r="B65" s="1231" t="s">
        <v>70</v>
      </c>
      <c r="C65" s="1232"/>
      <c r="D65" s="1233"/>
      <c r="E65" s="566">
        <v>0</v>
      </c>
    </row>
    <row r="66" spans="2:5" x14ac:dyDescent="0.2">
      <c r="B66" s="1231" t="s">
        <v>550</v>
      </c>
      <c r="C66" s="1232"/>
      <c r="D66" s="1233"/>
      <c r="E66" s="567">
        <v>0</v>
      </c>
    </row>
    <row r="67" spans="2:5" x14ac:dyDescent="0.2">
      <c r="B67" s="1231" t="s">
        <v>610</v>
      </c>
      <c r="C67" s="1232"/>
      <c r="D67" s="1233"/>
      <c r="E67" s="227">
        <v>0</v>
      </c>
    </row>
    <row r="77" spans="2:5" x14ac:dyDescent="0.2">
      <c r="B77" s="523"/>
      <c r="C77" s="524"/>
    </row>
    <row r="78" spans="2:5" x14ac:dyDescent="0.2">
      <c r="B78" s="490"/>
      <c r="C78" s="525"/>
      <c r="D78" s="183"/>
    </row>
    <row r="79" spans="2:5" x14ac:dyDescent="0.2">
      <c r="B79" s="523"/>
      <c r="C79" s="524"/>
    </row>
  </sheetData>
  <sheetProtection algorithmName="SHA-512" hashValue="1WgjlquA6GRO2vFU///U/I5WmB85AFxYvNaQcnhDx2HLntzqxBRbw9hHChCqBIAMgz/qlfT0v6/Ed7YLsQ1dlw==" saltValue="dV1L4IEdDd8UtqZvdXKwxQ==" spinCount="100000" sheet="1" objects="1" scenarios="1"/>
  <mergeCells count="38">
    <mergeCell ref="B61:E61"/>
    <mergeCell ref="J3:K3"/>
    <mergeCell ref="A2:A3"/>
    <mergeCell ref="L2:M2"/>
    <mergeCell ref="B3:C3"/>
    <mergeCell ref="D3:E3"/>
    <mergeCell ref="F3:G3"/>
    <mergeCell ref="F2:G2"/>
    <mergeCell ref="B2:C2"/>
    <mergeCell ref="D2:E2"/>
    <mergeCell ref="A60:C60"/>
    <mergeCell ref="A34:U34"/>
    <mergeCell ref="A40:U40"/>
    <mergeCell ref="A44:U44"/>
    <mergeCell ref="A48:U48"/>
    <mergeCell ref="A51:U51"/>
    <mergeCell ref="A26:U26"/>
    <mergeCell ref="A30:U30"/>
    <mergeCell ref="N2:O2"/>
    <mergeCell ref="T2:U2"/>
    <mergeCell ref="H3:I3"/>
    <mergeCell ref="L3:M3"/>
    <mergeCell ref="N3:O3"/>
    <mergeCell ref="P3:Q3"/>
    <mergeCell ref="A5:U5"/>
    <mergeCell ref="A22:U22"/>
    <mergeCell ref="R3:S3"/>
    <mergeCell ref="T3:U3"/>
    <mergeCell ref="P2:Q2"/>
    <mergeCell ref="R2:S2"/>
    <mergeCell ref="H2:I2"/>
    <mergeCell ref="J2:K2"/>
    <mergeCell ref="B67:D67"/>
    <mergeCell ref="B62:D62"/>
    <mergeCell ref="B63:D63"/>
    <mergeCell ref="B64:D64"/>
    <mergeCell ref="B65:D65"/>
    <mergeCell ref="B66:D66"/>
  </mergeCells>
  <phoneticPr fontId="44" type="noConversion"/>
  <dataValidations count="5">
    <dataValidation type="list" allowBlank="1" showInputMessage="1" showErrorMessage="1" sqref="B6 N6 J6 L6 F6 D6 P6 R6 H6 T6" xr:uid="{00000000-0002-0000-1800-000000000000}">
      <formula1>Land_Application</formula1>
    </dataValidation>
    <dataValidation type="list" allowBlank="1" showInputMessage="1" showErrorMessage="1" sqref="B11 N11 R11 P11 D11 F11 H11 J11 L11 T11" xr:uid="{00000000-0002-0000-1800-000001000000}">
      <formula1>Type_of_Biosolids</formula1>
    </dataValidation>
    <dataValidation type="list" allowBlank="1" showInputMessage="1" showErrorMessage="1" sqref="J19:J20 H19:H20 N19:N20 P19:P20 R19:R20 B19:B20 L19:L20 D19:D20 F19:F20 T19:T20" xr:uid="{00000000-0002-0000-1800-000002000000}">
      <formula1>Yes_No</formula1>
    </dataValidation>
    <dataValidation type="list" allowBlank="1" showInputMessage="1" showErrorMessage="1" sqref="T18 P18 N18 B18 J18 H18 F18 D18 L18 R18" xr:uid="{00000000-0002-0000-1800-000003000000}">
      <formula1>Climate_LandApp</formula1>
    </dataValidation>
    <dataValidation type="list" allowBlank="1" showInputMessage="1" showErrorMessage="1" sqref="B41 D41 F41 H41 J41 L41 N41 P41 T41 R41" xr:uid="{00000000-0002-0000-1800-000004000000}">
      <formula1>C_seq</formula1>
    </dataValidation>
  </dataValidations>
  <pageMargins left="0.75" right="0.75" top="1" bottom="1" header="0.5" footer="0.5"/>
  <pageSetup scale="16" orientation="portrait" r:id="rId1"/>
  <headerFooter alignWithMargins="0"/>
  <ignoredErrors>
    <ignoredError sqref="C15" formula="1"/>
  </ignoredErrors>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2">
    <pageSetUpPr fitToPage="1"/>
  </sheetPr>
  <dimension ref="A1:U80"/>
  <sheetViews>
    <sheetView workbookViewId="0">
      <selection activeCell="O16" sqref="O16"/>
    </sheetView>
  </sheetViews>
  <sheetFormatPr defaultColWidth="11.42578125" defaultRowHeight="14.25" x14ac:dyDescent="0.2"/>
  <cols>
    <col min="1" max="1" width="71.42578125" style="96" customWidth="1"/>
    <col min="2" max="2" width="17.42578125" style="96" customWidth="1"/>
    <col min="3" max="3" width="15.42578125" style="96" customWidth="1"/>
    <col min="4" max="4" width="17.42578125" style="96" customWidth="1"/>
    <col min="5" max="5" width="15.42578125" style="96" customWidth="1"/>
    <col min="6" max="6" width="17.42578125" style="96" customWidth="1"/>
    <col min="7" max="7" width="15.42578125" style="96" customWidth="1"/>
    <col min="8" max="8" width="17.42578125" style="96" customWidth="1"/>
    <col min="9" max="9" width="15.42578125" style="96" customWidth="1"/>
    <col min="10" max="10" width="17.42578125" style="96" customWidth="1"/>
    <col min="11" max="11" width="15.42578125" style="96" customWidth="1"/>
    <col min="12" max="12" width="17.42578125" style="96" customWidth="1"/>
    <col min="13" max="13" width="15.42578125" style="96" customWidth="1"/>
    <col min="14" max="14" width="17.42578125" style="96" customWidth="1"/>
    <col min="15" max="15" width="15.42578125" style="96" customWidth="1"/>
    <col min="16" max="16" width="17.42578125" style="96" customWidth="1"/>
    <col min="17" max="17" width="15.42578125" style="96" customWidth="1"/>
    <col min="18" max="18" width="17.42578125" style="96" customWidth="1"/>
    <col min="19" max="19" width="15.42578125" style="96" customWidth="1"/>
    <col min="20" max="20" width="17.42578125" style="96" customWidth="1"/>
    <col min="21" max="21" width="15.42578125" style="96" customWidth="1"/>
    <col min="22" max="16384" width="11.42578125" style="96"/>
  </cols>
  <sheetData>
    <row r="1" spans="1:21" s="105" customFormat="1" ht="24" thickBot="1" x14ac:dyDescent="0.4">
      <c r="B1" s="243"/>
      <c r="C1" s="369"/>
    </row>
    <row r="2" spans="1:21" s="105" customFormat="1" ht="15.75" customHeight="1" x14ac:dyDescent="0.2">
      <c r="A2" s="1298" t="s">
        <v>518</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27" customHeight="1" thickBot="1" x14ac:dyDescent="0.25">
      <c r="A3" s="129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s="105" customFormat="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s="183" customFormat="1" ht="15.75" customHeight="1" thickBot="1" x14ac:dyDescent="0.3">
      <c r="A5" s="1340" t="s">
        <v>925</v>
      </c>
      <c r="B5" s="1327"/>
      <c r="C5" s="1327"/>
      <c r="D5" s="1327"/>
      <c r="E5" s="1327"/>
      <c r="F5" s="1327"/>
      <c r="G5" s="1327"/>
      <c r="H5" s="1327"/>
      <c r="I5" s="1327"/>
      <c r="J5" s="1327"/>
      <c r="K5" s="1327"/>
      <c r="L5" s="1327"/>
      <c r="M5" s="1327"/>
      <c r="N5" s="1327"/>
      <c r="O5" s="1327"/>
      <c r="P5" s="1327"/>
      <c r="Q5" s="1327"/>
      <c r="R5" s="1327"/>
      <c r="S5" s="1327"/>
      <c r="T5" s="1327"/>
      <c r="U5" s="1341"/>
    </row>
    <row r="6" spans="1:21" s="183" customFormat="1" ht="15.75" customHeight="1" x14ac:dyDescent="0.25">
      <c r="A6" s="326" t="s">
        <v>575</v>
      </c>
      <c r="B6" s="42"/>
      <c r="C6" s="491"/>
      <c r="D6" s="42"/>
      <c r="E6" s="491"/>
      <c r="F6" s="42"/>
      <c r="G6" s="491"/>
      <c r="H6" s="42"/>
      <c r="I6" s="491"/>
      <c r="J6" s="42"/>
      <c r="K6" s="491"/>
      <c r="L6" s="42"/>
      <c r="M6" s="491"/>
      <c r="N6" s="42"/>
      <c r="O6" s="491"/>
      <c r="P6" s="42"/>
      <c r="Q6" s="491"/>
      <c r="R6" s="42"/>
      <c r="S6" s="491"/>
      <c r="T6" s="42"/>
      <c r="U6" s="491"/>
    </row>
    <row r="7" spans="1:21" s="130" customFormat="1" ht="15.75" customHeight="1" x14ac:dyDescent="0.2">
      <c r="A7" s="1182" t="s">
        <v>952</v>
      </c>
      <c r="B7" s="607" t="e">
        <f>IF(B6='References Assumptions'!$C$352,'Amount and Destination'!$AH$12,VLOOKUP(B6,'Amount and Destination'!$AF$4:$AH$20,3,FALSE))/days_yr</f>
        <v>#N/A</v>
      </c>
      <c r="C7" s="398"/>
      <c r="D7" s="526" t="e">
        <f>IF(D6='References Assumptions'!$C$352,'Amount and Destination'!$AH$41,VLOOKUP(D6,'Amount and Destination'!$AF$40:$AH$44,3,FALSE))/days_yr</f>
        <v>#N/A</v>
      </c>
      <c r="E7" s="398"/>
      <c r="F7" s="526" t="e">
        <f>IF(F6='References Assumptions'!$C$352,'Amount and Destination'!$AH$70,VLOOKUP(F6,'Amount and Destination'!$AF$69:$AH$73,3,FALSE))/days_yr</f>
        <v>#N/A</v>
      </c>
      <c r="G7" s="398"/>
      <c r="H7" s="526" t="e">
        <f>IF(H6='References Assumptions'!$C$352,'Amount and Destination'!$AH$99,VLOOKUP(H6,'Amount and Destination'!$AF$98:$AH$102,3,FALSE))/days_yr</f>
        <v>#N/A</v>
      </c>
      <c r="I7" s="398"/>
      <c r="J7" s="526" t="e">
        <f>IF(J6='References Assumptions'!$C$352,'Amount and Destination'!$AH$128,IF(J6='References Assumptions'!$C$355,'Amount and Destination'!$AH$140,VLOOKUP(J6,'Amount and Destination'!$AF$127:$AH$131,3,FALSE)))/days_yr</f>
        <v>#N/A</v>
      </c>
      <c r="K7" s="398"/>
      <c r="L7" s="526" t="e">
        <f>IF(L6='References Assumptions'!$C$352,'Amount and Destination'!$AH$157,VLOOKUP(L6,'Amount and Destination'!$AF$156:$AH$160,3,FALSE))/days_yr</f>
        <v>#N/A</v>
      </c>
      <c r="M7" s="398"/>
      <c r="N7" s="858" t="e">
        <f>IF(N6='References Assumptions'!$C$352,'Amount and Destination'!$AH$186,VLOOKUP(N6,'Amount and Destination'!$AF$185:$AH$189,3,FALSE))/days_yr</f>
        <v>#N/A</v>
      </c>
      <c r="O7" s="398"/>
      <c r="P7" s="526" t="e">
        <f>IF(P6='References Assumptions'!$C$352,'Amount and Destination'!$AH$215,VLOOKUP(P6,'Amount and Destination'!$AF$214:$AH$218,3,FALSE))/days_yr</f>
        <v>#N/A</v>
      </c>
      <c r="Q7" s="398"/>
      <c r="R7" s="526" t="e">
        <f>IF(R6='References Assumptions'!$C$352,'Amount and Destination'!$AH$244,VLOOKUP(R6,'Amount and Destination'!$AF$243:$AH$247,3,FALSE))/days_yr</f>
        <v>#N/A</v>
      </c>
      <c r="S7" s="398"/>
      <c r="T7" s="526" t="e">
        <f>IF(T6='References Assumptions'!$C$352,'Amount and Destination'!$AH$273,VLOOKUP(T6,'Amount and Destination'!$AF$272:$AH$276,3,FALSE))/days_yr</f>
        <v>#N/A</v>
      </c>
      <c r="U7" s="398"/>
    </row>
    <row r="8" spans="1:21" ht="15.75" customHeight="1" x14ac:dyDescent="0.2">
      <c r="A8" s="247" t="s">
        <v>953</v>
      </c>
      <c r="B8" s="889">
        <f>IF(B6='References Assumptions'!$C$355,Percent_Solids_After_Pyrolysis,IF(B6='References Assumptions'!$C$352,percent_solids_after_thermal_drying,Mean_solids))</f>
        <v>7.1999999999999995E-2</v>
      </c>
      <c r="C8" s="264"/>
      <c r="D8" s="889">
        <f>IF(D6='References Assumptions'!$C$355,Percent_Solids_After_Pyrolysis,IF(D6='References Assumptions'!$C$352,percent_solids_after_thermal_drying,Mean_solids))</f>
        <v>7.1999999999999995E-2</v>
      </c>
      <c r="E8" s="264"/>
      <c r="F8" s="889">
        <f>IF(F6='References Assumptions'!$C$355,Percent_Solids_After_Pyrolysis,IF(F6='References Assumptions'!$C$352,percent_solids_after_thermal_drying,Mean_solids))</f>
        <v>7.1999999999999995E-2</v>
      </c>
      <c r="G8" s="264"/>
      <c r="H8" s="889">
        <f>IF(H6='References Assumptions'!$C$355,Percent_Solids_After_Pyrolysis,IF(H6='References Assumptions'!$C$352,percent_solids_after_thermal_drying,Mean_solids))</f>
        <v>7.1999999999999995E-2</v>
      </c>
      <c r="I8" s="264"/>
      <c r="J8" s="889">
        <f>IF(J6='References Assumptions'!$C$355,Percent_Solids_After_Pyrolysis,IF(J6='References Assumptions'!$C$352,percent_solids_after_thermal_drying,Mean_solids))</f>
        <v>7.1999999999999995E-2</v>
      </c>
      <c r="K8" s="264"/>
      <c r="L8" s="889">
        <f>IF(L6='References Assumptions'!$C$355,Percent_Solids_After_Pyrolysis,IF(L6='References Assumptions'!$C$352,percent_solids_after_thermal_drying,Mean_solids))</f>
        <v>7.1999999999999995E-2</v>
      </c>
      <c r="M8" s="264"/>
      <c r="N8" s="889">
        <f>IF(N6='References Assumptions'!$C$355,Percent_Solids_After_Pyrolysis,IF(N6='References Assumptions'!$C$352,percent_solids_after_thermal_drying,Mean_solids))</f>
        <v>7.1999999999999995E-2</v>
      </c>
      <c r="O8" s="264"/>
      <c r="P8" s="889">
        <f>IF(P6='References Assumptions'!$C$355,Percent_Solids_After_Pyrolysis,IF(P6='References Assumptions'!$C$352,percent_solids_after_thermal_drying,Mean_solids))</f>
        <v>7.1999999999999995E-2</v>
      </c>
      <c r="Q8" s="264"/>
      <c r="R8" s="889">
        <f>IF(R6='References Assumptions'!$C$355,Percent_Solids_After_Pyrolysis,IF(R6='References Assumptions'!$C$352,percent_solids_after_thermal_drying,Mean_solids))</f>
        <v>7.1999999999999995E-2</v>
      </c>
      <c r="S8" s="264"/>
      <c r="T8" s="889">
        <f>IF(T6='References Assumptions'!$C$355,Percent_Solids_After_Pyrolysis,IF(T6='References Assumptions'!$C$352,percent_solids_after_thermal_drying,Mean_solids))</f>
        <v>7.1999999999999995E-2</v>
      </c>
      <c r="U8" s="264"/>
    </row>
    <row r="9" spans="1:21" s="183" customFormat="1" ht="15.75" customHeight="1" x14ac:dyDescent="0.2">
      <c r="A9" s="247" t="s">
        <v>180</v>
      </c>
      <c r="B9" s="601" t="str">
        <f>IFERROR(B7*B8,"N/A")</f>
        <v>N/A</v>
      </c>
      <c r="C9" s="473"/>
      <c r="D9" s="1172" t="str">
        <f>IFERROR(D7*D8,"N/A")</f>
        <v>N/A</v>
      </c>
      <c r="E9" s="473"/>
      <c r="F9" s="1172" t="str">
        <f>IFERROR(F7*F8,"N/A")</f>
        <v>N/A</v>
      </c>
      <c r="G9" s="473"/>
      <c r="H9" s="1172" t="str">
        <f>IFERROR(H7*H8,"N/A")</f>
        <v>N/A</v>
      </c>
      <c r="I9" s="473"/>
      <c r="J9" s="1172" t="str">
        <f>IFERROR(J7*J8,"N/A")</f>
        <v>N/A</v>
      </c>
      <c r="K9" s="473"/>
      <c r="L9" s="1172" t="str">
        <f>IFERROR(L7*L8,"N/A")</f>
        <v>N/A</v>
      </c>
      <c r="M9" s="473"/>
      <c r="N9" s="1172" t="str">
        <f>IFERROR(N7*N8,"N/A")</f>
        <v>N/A</v>
      </c>
      <c r="O9" s="473"/>
      <c r="P9" s="1172" t="str">
        <f>IFERROR(P7*P8,"N/A")</f>
        <v>N/A</v>
      </c>
      <c r="Q9" s="473"/>
      <c r="R9" s="1172" t="str">
        <f>IFERROR(R7*R8,"N/A")</f>
        <v>N/A</v>
      </c>
      <c r="S9" s="473"/>
      <c r="T9" s="1172" t="str">
        <f>IFERROR(T7*T8,"N/A")</f>
        <v>N/A</v>
      </c>
      <c r="U9" s="473"/>
    </row>
    <row r="10" spans="1:21" ht="15.75" customHeight="1" x14ac:dyDescent="0.2">
      <c r="A10" s="247" t="s">
        <v>954</v>
      </c>
      <c r="B10" s="8"/>
      <c r="C10" s="496">
        <f>+Density_of_de_watered_sludge</f>
        <v>950</v>
      </c>
      <c r="D10" s="8"/>
      <c r="E10" s="496">
        <f>+Density_of_de_watered_sludge</f>
        <v>950</v>
      </c>
      <c r="F10" s="8"/>
      <c r="G10" s="496">
        <f>+Density_of_de_watered_sludge</f>
        <v>950</v>
      </c>
      <c r="H10" s="8"/>
      <c r="I10" s="496">
        <f>+Density_of_de_watered_sludge</f>
        <v>950</v>
      </c>
      <c r="J10" s="8"/>
      <c r="K10" s="496">
        <f>+Density_of_de_watered_sludge</f>
        <v>950</v>
      </c>
      <c r="L10" s="8"/>
      <c r="M10" s="496">
        <f>+Density_of_de_watered_sludge</f>
        <v>950</v>
      </c>
      <c r="N10" s="8"/>
      <c r="O10" s="496">
        <f>+Density_of_de_watered_sludge</f>
        <v>950</v>
      </c>
      <c r="P10" s="8"/>
      <c r="Q10" s="496">
        <f>+Density_of_de_watered_sludge</f>
        <v>950</v>
      </c>
      <c r="R10" s="8"/>
      <c r="S10" s="496">
        <f>+Density_of_de_watered_sludge</f>
        <v>950</v>
      </c>
      <c r="T10" s="8"/>
      <c r="U10" s="496">
        <f>+Density_of_de_watered_sludge</f>
        <v>950</v>
      </c>
    </row>
    <row r="11" spans="1:21" ht="15.75" customHeight="1" x14ac:dyDescent="0.2">
      <c r="A11" s="247" t="s">
        <v>955</v>
      </c>
      <c r="B11" s="11"/>
      <c r="C11" s="473"/>
      <c r="D11" s="11"/>
      <c r="E11" s="473"/>
      <c r="F11" s="11"/>
      <c r="G11" s="473"/>
      <c r="H11" s="11"/>
      <c r="I11" s="473"/>
      <c r="J11" s="11"/>
      <c r="K11" s="473"/>
      <c r="L11" s="11"/>
      <c r="M11" s="473"/>
      <c r="N11" s="11"/>
      <c r="O11" s="473"/>
      <c r="P11" s="11"/>
      <c r="Q11" s="473"/>
      <c r="R11" s="11"/>
      <c r="S11" s="473"/>
      <c r="T11" s="11"/>
      <c r="U11" s="473"/>
    </row>
    <row r="12" spans="1:21" s="183" customFormat="1" ht="15.75" customHeight="1" x14ac:dyDescent="0.2">
      <c r="A12" s="247" t="s">
        <v>264</v>
      </c>
      <c r="B12" s="889">
        <f>IF(B6='References Assumptions'!$C$355,Total_N_Biochar,Total_N)</f>
        <v>2.5000000000000001E-2</v>
      </c>
      <c r="C12" s="407" t="str">
        <f>IFERROR(HLOOKUP(B11,Biosolids_Characteristics,2,),"N/A")</f>
        <v>N/A</v>
      </c>
      <c r="D12" s="889">
        <f>IF(D6='References Assumptions'!$C$355,Total_N_Biochar,Total_N)</f>
        <v>2.5000000000000001E-2</v>
      </c>
      <c r="E12" s="407" t="str">
        <f>IFERROR(HLOOKUP(D11,Biosolids_Characteristics,2,),"N/A")</f>
        <v>N/A</v>
      </c>
      <c r="F12" s="889">
        <f>IF(F6='References Assumptions'!$C$355,Total_N_Biochar,Total_N)</f>
        <v>2.5000000000000001E-2</v>
      </c>
      <c r="G12" s="407" t="str">
        <f>IFERROR(HLOOKUP(F11,Biosolids_Characteristics,2,),"N/A")</f>
        <v>N/A</v>
      </c>
      <c r="H12" s="889">
        <f>IF(H6='References Assumptions'!$C$355,Total_N_Biochar,Total_N)</f>
        <v>2.5000000000000001E-2</v>
      </c>
      <c r="I12" s="407" t="str">
        <f>IFERROR(HLOOKUP(H11,Biosolids_Characteristics,2,),"N/A")</f>
        <v>N/A</v>
      </c>
      <c r="J12" s="889">
        <f>IF(J6='References Assumptions'!$C$355,Total_N_Biochar,Total_N)</f>
        <v>2.5000000000000001E-2</v>
      </c>
      <c r="K12" s="407" t="str">
        <f>IFERROR(HLOOKUP(J11,Biosolids_Characteristics,2,),"N/A")</f>
        <v>N/A</v>
      </c>
      <c r="L12" s="889">
        <f>IF(L6='References Assumptions'!$C$355,Total_N_Biochar,Total_N)</f>
        <v>2.5000000000000001E-2</v>
      </c>
      <c r="M12" s="407" t="str">
        <f>IFERROR(HLOOKUP(L11,Biosolids_Characteristics,2,),"N/A")</f>
        <v>N/A</v>
      </c>
      <c r="N12" s="889">
        <f>IF(N6='References Assumptions'!$C$355,Total_N_Biochar,Total_N)</f>
        <v>2.5000000000000001E-2</v>
      </c>
      <c r="O12" s="407" t="str">
        <f>IFERROR(HLOOKUP(N11,Biosolids_Characteristics,2,),"N/A")</f>
        <v>N/A</v>
      </c>
      <c r="P12" s="889">
        <f>IF(P6='References Assumptions'!$C$355,Total_N_Biochar,Total_N)</f>
        <v>2.5000000000000001E-2</v>
      </c>
      <c r="Q12" s="407" t="str">
        <f>IFERROR(HLOOKUP(P11,Biosolids_Characteristics,2,),"N/A")</f>
        <v>N/A</v>
      </c>
      <c r="R12" s="889">
        <f>IF(R6='References Assumptions'!$C$355,Total_N_Biochar,Total_N)</f>
        <v>2.5000000000000001E-2</v>
      </c>
      <c r="S12" s="407" t="str">
        <f>IFERROR(HLOOKUP(R11,Biosolids_Characteristics,2,),"N/A")</f>
        <v>N/A</v>
      </c>
      <c r="T12" s="889">
        <f>IF(T6='References Assumptions'!$C$355,Total_N_Biochar,Total_N)</f>
        <v>2.5000000000000001E-2</v>
      </c>
      <c r="U12" s="407" t="str">
        <f>IFERROR(HLOOKUP(T11,Biosolids_Characteristics,2,),"N/A")</f>
        <v>N/A</v>
      </c>
    </row>
    <row r="13" spans="1:21" ht="15.75" customHeight="1" x14ac:dyDescent="0.2">
      <c r="A13" s="315" t="s">
        <v>245</v>
      </c>
      <c r="B13" s="889">
        <f>IF(B6='References Assumptions'!$C$355,Total_P_Biochar,Total_P)</f>
        <v>1.2999999999999999E-2</v>
      </c>
      <c r="C13" s="407" t="str">
        <f>IFERROR(HLOOKUP(B11,Biosolids_Characteristics,3,),"N/A")</f>
        <v>N/A</v>
      </c>
      <c r="D13" s="889">
        <f>IF(D6='References Assumptions'!$C$355,Total_P_Biochar,Total_P)</f>
        <v>1.2999999999999999E-2</v>
      </c>
      <c r="E13" s="407" t="str">
        <f>IFERROR(HLOOKUP(D11,Biosolids_Characteristics,3,),"N/A")</f>
        <v>N/A</v>
      </c>
      <c r="F13" s="889">
        <f>IF(F6='References Assumptions'!$C$355,Total_P_Biochar,Total_P)</f>
        <v>1.2999999999999999E-2</v>
      </c>
      <c r="G13" s="407" t="str">
        <f>IFERROR(HLOOKUP(F11,Biosolids_Characteristics,3,),"N/A")</f>
        <v>N/A</v>
      </c>
      <c r="H13" s="889">
        <f>IF(H6='References Assumptions'!$C$355,Total_P_Biochar,Total_P)</f>
        <v>1.2999999999999999E-2</v>
      </c>
      <c r="I13" s="407" t="str">
        <f>IFERROR(HLOOKUP(H11,Biosolids_Characteristics,3,),"N/A")</f>
        <v>N/A</v>
      </c>
      <c r="J13" s="889">
        <f>IF(J6='References Assumptions'!$C$355,Total_P_Biochar,Total_P)</f>
        <v>1.2999999999999999E-2</v>
      </c>
      <c r="K13" s="407" t="str">
        <f>IFERROR(HLOOKUP(J11,Biosolids_Characteristics,3,),"N/A")</f>
        <v>N/A</v>
      </c>
      <c r="L13" s="889">
        <f>IF(L6='References Assumptions'!$C$355,Total_P_Biochar,Total_P)</f>
        <v>1.2999999999999999E-2</v>
      </c>
      <c r="M13" s="407" t="str">
        <f>IFERROR(HLOOKUP(L11,Biosolids_Characteristics,3,),"N/A")</f>
        <v>N/A</v>
      </c>
      <c r="N13" s="889">
        <f>IF(N6='References Assumptions'!$C$355,Total_P_Biochar,Total_P)</f>
        <v>1.2999999999999999E-2</v>
      </c>
      <c r="O13" s="407" t="str">
        <f>IFERROR(HLOOKUP(N11,Biosolids_Characteristics,3,),"N/A")</f>
        <v>N/A</v>
      </c>
      <c r="P13" s="889">
        <f>IF(P6='References Assumptions'!$C$355,Total_P_Biochar,Total_P)</f>
        <v>1.2999999999999999E-2</v>
      </c>
      <c r="Q13" s="407" t="str">
        <f>IFERROR(HLOOKUP(P11,Biosolids_Characteristics,3,),"N/A")</f>
        <v>N/A</v>
      </c>
      <c r="R13" s="889">
        <f>IF(R6='References Assumptions'!$C$355,Total_P_Biochar,Total_P)</f>
        <v>1.2999999999999999E-2</v>
      </c>
      <c r="S13" s="407" t="str">
        <f>IFERROR(HLOOKUP(R11,Biosolids_Characteristics,3,),"N/A")</f>
        <v>N/A</v>
      </c>
      <c r="T13" s="889">
        <f>IF(T6='References Assumptions'!$C$355,Total_P_Biochar,Total_P)</f>
        <v>1.2999999999999999E-2</v>
      </c>
      <c r="U13" s="407" t="str">
        <f>IFERROR(HLOOKUP(T11,Biosolids_Characteristics,3,),"N/A")</f>
        <v>N/A</v>
      </c>
    </row>
    <row r="14" spans="1:21" ht="15.75" customHeight="1" x14ac:dyDescent="0.2">
      <c r="A14" s="247" t="s">
        <v>947</v>
      </c>
      <c r="B14" s="889">
        <f>IF(B6='References Assumptions'!$C$355,Mean_OrganicMatter_Biochar,Mean_OrganicMatter)</f>
        <v>0.94386666666666685</v>
      </c>
      <c r="C14" s="407" t="str">
        <f>IFERROR(HLOOKUP(B11,Biosolids_Characteristics,4,),"N/A")</f>
        <v>N/A</v>
      </c>
      <c r="D14" s="889">
        <f>IF(D6='References Assumptions'!$C$355,Mean_OrganicMatter_Biochar,Mean_OrganicMatter)</f>
        <v>0.94386666666666685</v>
      </c>
      <c r="E14" s="407" t="str">
        <f>IFERROR(HLOOKUP(D11,Biosolids_Characteristics,4,),"N/A")</f>
        <v>N/A</v>
      </c>
      <c r="F14" s="889">
        <f>IF(F6='References Assumptions'!$C$355,Mean_OrganicMatter_Biochar,Mean_OrganicMatter)</f>
        <v>0.94386666666666685</v>
      </c>
      <c r="G14" s="407" t="str">
        <f>IFERROR(HLOOKUP(F11,Biosolids_Characteristics,4,),"N/A")</f>
        <v>N/A</v>
      </c>
      <c r="H14" s="889">
        <f>IF(H6='References Assumptions'!$C$355,Mean_OrganicMatter_Biochar,Mean_OrganicMatter)</f>
        <v>0.94386666666666685</v>
      </c>
      <c r="I14" s="407" t="str">
        <f>IFERROR(HLOOKUP(H11,Biosolids_Characteristics,4,),"N/A")</f>
        <v>N/A</v>
      </c>
      <c r="J14" s="889">
        <f>IF(J6='References Assumptions'!$C$355,Mean_OrganicMatter_Biochar,Mean_OrganicMatter)</f>
        <v>0.94386666666666685</v>
      </c>
      <c r="K14" s="407" t="str">
        <f>IFERROR(HLOOKUP(J11,Biosolids_Characteristics,4,),"N/A")</f>
        <v>N/A</v>
      </c>
      <c r="L14" s="889">
        <f>IF(L6='References Assumptions'!$C$355,Mean_OrganicMatter_Biochar,Mean_OrganicMatter)</f>
        <v>0.94386666666666685</v>
      </c>
      <c r="M14" s="407" t="str">
        <f>IFERROR(HLOOKUP(L11,Biosolids_Characteristics,4,),"N/A")</f>
        <v>N/A</v>
      </c>
      <c r="N14" s="889">
        <f>IF(N6='References Assumptions'!$C$355,Mean_OrganicMatter_Biochar,Mean_OrganicMatter)</f>
        <v>0.94386666666666685</v>
      </c>
      <c r="O14" s="407" t="str">
        <f>IFERROR(HLOOKUP(N11,Biosolids_Characteristics,4,),"N/A")</f>
        <v>N/A</v>
      </c>
      <c r="P14" s="889">
        <f>IF(P6='References Assumptions'!$C$355,Mean_OrganicMatter_Biochar,Mean_OrganicMatter)</f>
        <v>0.94386666666666685</v>
      </c>
      <c r="Q14" s="407" t="str">
        <f>IFERROR(HLOOKUP(P11,Biosolids_Characteristics,4,),"N/A")</f>
        <v>N/A</v>
      </c>
      <c r="R14" s="889">
        <f>IF(R6='References Assumptions'!$C$355,Mean_OrganicMatter_Biochar,Mean_OrganicMatter)</f>
        <v>0.94386666666666685</v>
      </c>
      <c r="S14" s="407" t="str">
        <f>IFERROR(HLOOKUP(R11,Biosolids_Characteristics,4,),"N/A")</f>
        <v>N/A</v>
      </c>
      <c r="T14" s="889">
        <f>IF(T6='References Assumptions'!$C$355,Mean_OrganicMatter_Biochar,Mean_OrganicMatter)</f>
        <v>0.94386666666666685</v>
      </c>
      <c r="U14" s="407" t="str">
        <f>IFERROR(HLOOKUP(T11,Biosolids_Characteristics,4,),"N/A")</f>
        <v>N/A</v>
      </c>
    </row>
    <row r="15" spans="1:21" ht="15.75" customHeight="1" x14ac:dyDescent="0.2">
      <c r="A15" s="902" t="s">
        <v>266</v>
      </c>
      <c r="B15" s="741">
        <f>IF(B6='References Assumptions'!$C$355,Mean_Total_C_Biochar,Mean_Total_C)</f>
        <v>0.52856533333333344</v>
      </c>
      <c r="C15" s="407">
        <f>+B14*Carbon_as_a___of_TVS_compostinghandbook</f>
        <v>0.52856533333333344</v>
      </c>
      <c r="D15" s="741">
        <f>IF(D6='References Assumptions'!$C$355,Mean_Total_C_Biochar,Mean_Total_C)</f>
        <v>0.52856533333333344</v>
      </c>
      <c r="E15" s="407">
        <f>+D14*Carbon_as_a___of_TVS_compostinghandbook</f>
        <v>0.52856533333333344</v>
      </c>
      <c r="F15" s="741">
        <f>IF(F6='References Assumptions'!$C$355,Mean_Total_C_Biochar,Mean_Total_C)</f>
        <v>0.52856533333333344</v>
      </c>
      <c r="G15" s="407">
        <f>+F14*Carbon_as_a___of_TVS_compostinghandbook</f>
        <v>0.52856533333333344</v>
      </c>
      <c r="H15" s="741">
        <f>IF(H6='References Assumptions'!$C$355,Mean_Total_C_Biochar,Mean_Total_C)</f>
        <v>0.52856533333333344</v>
      </c>
      <c r="I15" s="407">
        <f>+H14*Carbon_as_a___of_TVS_compostinghandbook</f>
        <v>0.52856533333333344</v>
      </c>
      <c r="J15" s="741">
        <f>IF(J6='References Assumptions'!$C$355,Mean_Total_C_Biochar,Mean_Total_C)</f>
        <v>0.52856533333333344</v>
      </c>
      <c r="K15" s="407">
        <f>+J14*Carbon_as_a___of_TVS_compostinghandbook</f>
        <v>0.52856533333333344</v>
      </c>
      <c r="L15" s="741">
        <f>IF(L6='References Assumptions'!$C$355,Mean_Total_C_Biochar,Mean_Total_C)</f>
        <v>0.52856533333333344</v>
      </c>
      <c r="M15" s="407">
        <f>+L14*Carbon_as_a___of_TVS_compostinghandbook</f>
        <v>0.52856533333333344</v>
      </c>
      <c r="N15" s="741">
        <f>IF(N6='References Assumptions'!$C$355,Mean_Total_C_Biochar,Mean_Total_C)</f>
        <v>0.52856533333333344</v>
      </c>
      <c r="O15" s="407">
        <f>+N14*Carbon_as_a___of_TVS_compostinghandbook</f>
        <v>0.52856533333333344</v>
      </c>
      <c r="P15" s="741">
        <f>IF(P6='References Assumptions'!$C$355,Mean_Total_C_Biochar,Mean_Total_C)</f>
        <v>0.52856533333333344</v>
      </c>
      <c r="Q15" s="407">
        <f>+P14*Carbon_as_a___of_TVS_compostinghandbook</f>
        <v>0.52856533333333344</v>
      </c>
      <c r="R15" s="741">
        <f>IF(R6='References Assumptions'!$C$355,Mean_Total_C_Biochar,Mean_Total_C)</f>
        <v>0.52856533333333344</v>
      </c>
      <c r="S15" s="407">
        <f>+R14*Carbon_as_a___of_TVS_compostinghandbook</f>
        <v>0.52856533333333344</v>
      </c>
      <c r="T15" s="741">
        <f>IF(T6='References Assumptions'!$C$355,Mean_Total_C_Biochar,Mean_Total_C)</f>
        <v>0.52856533333333344</v>
      </c>
      <c r="U15" s="407">
        <f>+T14*Carbon_as_a___of_TVS_compostinghandbook</f>
        <v>0.52856533333333344</v>
      </c>
    </row>
    <row r="16" spans="1:21" s="183" customFormat="1" ht="15.75" customHeight="1" x14ac:dyDescent="0.35">
      <c r="A16" s="247" t="s">
        <v>256</v>
      </c>
      <c r="B16" s="9"/>
      <c r="C16" s="407">
        <f>+IF(B11='References Assumptions'!$C$373, (default_lime_dose_Class_B+default_lime_dose_Class_A)/2,0)</f>
        <v>0</v>
      </c>
      <c r="D16" s="9"/>
      <c r="E16" s="407">
        <f>+IF(D11='References Assumptions'!$C$373, (default_lime_dose_Class_B+default_lime_dose_Class_A)/2,0)</f>
        <v>0</v>
      </c>
      <c r="F16" s="9"/>
      <c r="G16" s="407">
        <f>+IF(F11='References Assumptions'!$C$373, (default_lime_dose_Class_B+default_lime_dose_Class_A)/2,0)</f>
        <v>0</v>
      </c>
      <c r="H16" s="9"/>
      <c r="I16" s="407">
        <f>+IF(H11='References Assumptions'!$C$373, (default_lime_dose_Class_B+default_lime_dose_Class_A)/2,0)</f>
        <v>0</v>
      </c>
      <c r="J16" s="9"/>
      <c r="K16" s="407">
        <f>+IF(J11='References Assumptions'!$C$373, (default_lime_dose_Class_B+default_lime_dose_Class_A)/2,0)</f>
        <v>0</v>
      </c>
      <c r="L16" s="9"/>
      <c r="M16" s="407">
        <f>+IF(L11='References Assumptions'!$C$373, (default_lime_dose_Class_B+default_lime_dose_Class_A)/2,0)</f>
        <v>0</v>
      </c>
      <c r="N16" s="9"/>
      <c r="O16" s="407">
        <f>+IF(N11='References Assumptions'!$C$373, (default_lime_dose_Class_B+default_lime_dose_Class_A)/2,0)</f>
        <v>0</v>
      </c>
      <c r="P16" s="9"/>
      <c r="Q16" s="407">
        <f>+IF(P11='References Assumptions'!$C$373, (default_lime_dose_Class_B+default_lime_dose_Class_A)/2,0)</f>
        <v>0</v>
      </c>
      <c r="R16" s="9"/>
      <c r="S16" s="407">
        <f>+IF(R11='References Assumptions'!$C$373, (default_lime_dose_Class_B+default_lime_dose_Class_A)/2,0)</f>
        <v>0</v>
      </c>
      <c r="T16" s="9"/>
      <c r="U16" s="407">
        <f>+IF(T11='References Assumptions'!$C$373, (default_lime_dose_Class_B+default_lime_dose_Class_A)/2,0)</f>
        <v>0</v>
      </c>
    </row>
    <row r="17" spans="1:21" s="183" customFormat="1" ht="15.75" customHeight="1" x14ac:dyDescent="0.2">
      <c r="A17" s="247" t="s">
        <v>956</v>
      </c>
      <c r="B17" s="8"/>
      <c r="C17" s="473"/>
      <c r="D17" s="8"/>
      <c r="E17" s="473"/>
      <c r="F17" s="8"/>
      <c r="G17" s="473"/>
      <c r="H17" s="8"/>
      <c r="I17" s="473"/>
      <c r="J17" s="8"/>
      <c r="K17" s="473"/>
      <c r="L17" s="8"/>
      <c r="M17" s="473"/>
      <c r="N17" s="8"/>
      <c r="O17" s="473"/>
      <c r="P17" s="8"/>
      <c r="Q17" s="473"/>
      <c r="R17" s="8"/>
      <c r="S17" s="473"/>
      <c r="T17" s="8"/>
      <c r="U17" s="473"/>
    </row>
    <row r="18" spans="1:21" s="130" customFormat="1" ht="15.75" customHeight="1" x14ac:dyDescent="0.2">
      <c r="A18" s="247" t="s">
        <v>582</v>
      </c>
      <c r="B18" s="11"/>
      <c r="C18" s="473"/>
      <c r="D18" s="11"/>
      <c r="E18" s="473"/>
      <c r="F18" s="11"/>
      <c r="G18" s="473"/>
      <c r="H18" s="11"/>
      <c r="I18" s="473"/>
      <c r="J18" s="11"/>
      <c r="K18" s="473"/>
      <c r="L18" s="11"/>
      <c r="M18" s="473"/>
      <c r="N18" s="11"/>
      <c r="O18" s="473"/>
      <c r="P18" s="11"/>
      <c r="Q18" s="473"/>
      <c r="R18" s="11"/>
      <c r="S18" s="473"/>
      <c r="T18" s="11"/>
      <c r="U18" s="473"/>
    </row>
    <row r="19" spans="1:21" s="183" customFormat="1" ht="15.75" customHeight="1" x14ac:dyDescent="0.2">
      <c r="A19" s="247" t="s">
        <v>960</v>
      </c>
      <c r="B19" s="9"/>
      <c r="C19" s="249" t="s">
        <v>304</v>
      </c>
      <c r="D19" s="9"/>
      <c r="E19" s="249" t="s">
        <v>304</v>
      </c>
      <c r="F19" s="9"/>
      <c r="G19" s="249" t="s">
        <v>304</v>
      </c>
      <c r="H19" s="9"/>
      <c r="I19" s="249" t="s">
        <v>304</v>
      </c>
      <c r="J19" s="9"/>
      <c r="K19" s="249" t="s">
        <v>304</v>
      </c>
      <c r="L19" s="9"/>
      <c r="M19" s="249" t="s">
        <v>304</v>
      </c>
      <c r="N19" s="9"/>
      <c r="O19" s="249" t="s">
        <v>304</v>
      </c>
      <c r="P19" s="9"/>
      <c r="Q19" s="249" t="s">
        <v>304</v>
      </c>
      <c r="R19" s="9"/>
      <c r="S19" s="249" t="s">
        <v>304</v>
      </c>
      <c r="T19" s="9"/>
      <c r="U19" s="249" t="s">
        <v>304</v>
      </c>
    </row>
    <row r="20" spans="1:21" s="183" customFormat="1" ht="15.75" customHeight="1" x14ac:dyDescent="0.2">
      <c r="A20" s="247" t="s">
        <v>958</v>
      </c>
      <c r="B20" s="9"/>
      <c r="C20" s="249" t="s">
        <v>270</v>
      </c>
      <c r="D20" s="9"/>
      <c r="E20" s="249" t="s">
        <v>270</v>
      </c>
      <c r="F20" s="9"/>
      <c r="G20" s="249" t="s">
        <v>270</v>
      </c>
      <c r="H20" s="9"/>
      <c r="I20" s="249" t="s">
        <v>270</v>
      </c>
      <c r="J20" s="9"/>
      <c r="K20" s="249" t="s">
        <v>270</v>
      </c>
      <c r="L20" s="9"/>
      <c r="M20" s="249" t="s">
        <v>270</v>
      </c>
      <c r="N20" s="9"/>
      <c r="O20" s="249" t="s">
        <v>270</v>
      </c>
      <c r="P20" s="9"/>
      <c r="Q20" s="249" t="s">
        <v>270</v>
      </c>
      <c r="R20" s="9"/>
      <c r="S20" s="249" t="s">
        <v>270</v>
      </c>
      <c r="T20" s="9"/>
      <c r="U20" s="249" t="s">
        <v>270</v>
      </c>
    </row>
    <row r="21" spans="1:21" s="130" customFormat="1" ht="15.75" customHeight="1" thickBot="1" x14ac:dyDescent="0.25">
      <c r="A21" s="336"/>
      <c r="B21" s="499"/>
      <c r="C21" s="500"/>
      <c r="D21" s="499"/>
      <c r="E21" s="500"/>
      <c r="F21" s="499"/>
      <c r="G21" s="500"/>
      <c r="H21" s="499"/>
      <c r="I21" s="500"/>
      <c r="J21" s="499"/>
      <c r="K21" s="500"/>
      <c r="L21" s="499"/>
      <c r="M21" s="500"/>
      <c r="N21" s="499"/>
      <c r="O21" s="500"/>
      <c r="P21" s="499"/>
      <c r="Q21" s="500"/>
      <c r="R21" s="499"/>
      <c r="S21" s="500"/>
      <c r="T21" s="502"/>
      <c r="U21" s="500"/>
    </row>
    <row r="22" spans="1:21" ht="15.75" customHeight="1" thickBot="1" x14ac:dyDescent="0.3">
      <c r="A22" s="1340" t="s">
        <v>47</v>
      </c>
      <c r="B22" s="1327"/>
      <c r="C22" s="1327"/>
      <c r="D22" s="1327"/>
      <c r="E22" s="1327"/>
      <c r="F22" s="1327"/>
      <c r="G22" s="1327"/>
      <c r="H22" s="1327"/>
      <c r="I22" s="1327"/>
      <c r="J22" s="1327"/>
      <c r="K22" s="1327"/>
      <c r="L22" s="1327"/>
      <c r="M22" s="1327"/>
      <c r="N22" s="1327"/>
      <c r="O22" s="1327"/>
      <c r="P22" s="1327"/>
      <c r="Q22" s="1327"/>
      <c r="R22" s="1327"/>
      <c r="S22" s="1327"/>
      <c r="T22" s="1327"/>
      <c r="U22" s="1341"/>
    </row>
    <row r="23" spans="1:21" s="183" customFormat="1" ht="15.75" customHeight="1" x14ac:dyDescent="0.2">
      <c r="A23" s="270" t="s">
        <v>48</v>
      </c>
      <c r="B23" s="19"/>
      <c r="C23" s="503">
        <f>+default_fine_text_soil</f>
        <v>0.5</v>
      </c>
      <c r="D23" s="19"/>
      <c r="E23" s="503">
        <f>+default_fine_text_soil</f>
        <v>0.5</v>
      </c>
      <c r="F23" s="19"/>
      <c r="G23" s="503">
        <f>+default_fine_text_soil</f>
        <v>0.5</v>
      </c>
      <c r="H23" s="19"/>
      <c r="I23" s="503">
        <f>+default_fine_text_soil</f>
        <v>0.5</v>
      </c>
      <c r="J23" s="19"/>
      <c r="K23" s="503">
        <f>+default_fine_text_soil</f>
        <v>0.5</v>
      </c>
      <c r="L23" s="19"/>
      <c r="M23" s="503">
        <f>+default_fine_text_soil</f>
        <v>0.5</v>
      </c>
      <c r="N23" s="19"/>
      <c r="O23" s="503">
        <f>+default_fine_text_soil</f>
        <v>0.5</v>
      </c>
      <c r="P23" s="19"/>
      <c r="Q23" s="503">
        <f>+default_fine_text_soil</f>
        <v>0.5</v>
      </c>
      <c r="R23" s="19"/>
      <c r="S23" s="503">
        <f>+default_fine_text_soil</f>
        <v>0.5</v>
      </c>
      <c r="T23" s="19"/>
      <c r="U23" s="503">
        <f>+default_fine_text_soil</f>
        <v>0.5</v>
      </c>
    </row>
    <row r="24" spans="1:21" ht="15.75" customHeight="1" x14ac:dyDescent="0.2">
      <c r="A24" s="245" t="s">
        <v>49</v>
      </c>
      <c r="B24" s="318">
        <f>1-B23</f>
        <v>1</v>
      </c>
      <c r="C24" s="504"/>
      <c r="D24" s="318">
        <f>1-D23</f>
        <v>1</v>
      </c>
      <c r="E24" s="504"/>
      <c r="F24" s="318">
        <f>1-F23</f>
        <v>1</v>
      </c>
      <c r="G24" s="504"/>
      <c r="H24" s="318">
        <f>1-H23</f>
        <v>1</v>
      </c>
      <c r="I24" s="504"/>
      <c r="J24" s="318">
        <f>1-J23</f>
        <v>1</v>
      </c>
      <c r="K24" s="504"/>
      <c r="L24" s="318">
        <f>1-L23</f>
        <v>1</v>
      </c>
      <c r="M24" s="504"/>
      <c r="N24" s="318">
        <f>1-N23</f>
        <v>1</v>
      </c>
      <c r="O24" s="504"/>
      <c r="P24" s="318">
        <f>1-P23</f>
        <v>1</v>
      </c>
      <c r="Q24" s="504"/>
      <c r="R24" s="318">
        <f>1-R23</f>
        <v>1</v>
      </c>
      <c r="S24" s="504"/>
      <c r="T24" s="318">
        <f>1-T23</f>
        <v>1</v>
      </c>
      <c r="U24" s="504"/>
    </row>
    <row r="25" spans="1:21" s="183" customFormat="1" ht="15.75" customHeight="1" thickBot="1" x14ac:dyDescent="0.25">
      <c r="A25" s="505"/>
      <c r="B25" s="506"/>
      <c r="C25" s="507"/>
      <c r="D25" s="506"/>
      <c r="E25" s="507"/>
      <c r="F25" s="506"/>
      <c r="G25" s="507"/>
      <c r="H25" s="506"/>
      <c r="I25" s="507"/>
      <c r="J25" s="506"/>
      <c r="K25" s="507"/>
      <c r="L25" s="506"/>
      <c r="M25" s="507"/>
      <c r="N25" s="506"/>
      <c r="O25" s="507"/>
      <c r="P25" s="506"/>
      <c r="Q25" s="507"/>
      <c r="R25" s="506"/>
      <c r="S25" s="507"/>
      <c r="T25" s="506"/>
      <c r="U25" s="507"/>
    </row>
    <row r="26" spans="1:21" s="130" customFormat="1" ht="15.75" customHeight="1" thickBot="1" x14ac:dyDescent="0.3">
      <c r="A26" s="1324" t="s">
        <v>273</v>
      </c>
      <c r="B26" s="1325"/>
      <c r="C26" s="1325"/>
      <c r="D26" s="1325"/>
      <c r="E26" s="1325"/>
      <c r="F26" s="1325"/>
      <c r="G26" s="1325"/>
      <c r="H26" s="1325"/>
      <c r="I26" s="1325"/>
      <c r="J26" s="1325"/>
      <c r="K26" s="1325"/>
      <c r="L26" s="1325"/>
      <c r="M26" s="1325"/>
      <c r="N26" s="1325"/>
      <c r="O26" s="1325"/>
      <c r="P26" s="1325"/>
      <c r="Q26" s="1325"/>
      <c r="R26" s="1325"/>
      <c r="S26" s="1325"/>
      <c r="T26" s="1325"/>
      <c r="U26" s="1326"/>
    </row>
    <row r="27" spans="1:21" ht="15.75" customHeight="1" x14ac:dyDescent="0.2">
      <c r="A27" s="270" t="s">
        <v>865</v>
      </c>
      <c r="B27" s="20"/>
      <c r="C27" s="206" t="str">
        <f>+IFERROR(B7*1000/B10/Size_of_loads__m3/Time_to_apply__loads_hr*Tractor_fuel_use__l_diesel_hr,"N/A")</f>
        <v>N/A</v>
      </c>
      <c r="D27" s="20"/>
      <c r="E27" s="206" t="str">
        <f>+IFERROR(D7*1000/D10/Size_of_loads__m3/Time_to_apply__loads_hr*Tractor_fuel_use__l_diesel_hr,"N/A")</f>
        <v>N/A</v>
      </c>
      <c r="F27" s="20"/>
      <c r="G27" s="206" t="str">
        <f>+IFERROR(F7*1000/F10/Size_of_loads__m3/Time_to_apply__loads_hr*Tractor_fuel_use__l_diesel_hr,"N/A")</f>
        <v>N/A</v>
      </c>
      <c r="H27" s="20"/>
      <c r="I27" s="206" t="str">
        <f>+IFERROR(H7*1000/H10/Size_of_loads__m3/Time_to_apply__loads_hr*Tractor_fuel_use__l_diesel_hr,"N/A")</f>
        <v>N/A</v>
      </c>
      <c r="J27" s="20"/>
      <c r="K27" s="206" t="str">
        <f>+IFERROR(J7*1000/J10/Size_of_loads__m3/Time_to_apply__loads_hr*Tractor_fuel_use__l_diesel_hr,"N/A")</f>
        <v>N/A</v>
      </c>
      <c r="L27" s="20"/>
      <c r="M27" s="206" t="str">
        <f>+IFERROR(L7*1000/L10/Size_of_loads__m3/Time_to_apply__loads_hr*Tractor_fuel_use__l_diesel_hr,"N/A")</f>
        <v>N/A</v>
      </c>
      <c r="N27" s="20"/>
      <c r="O27" s="206" t="str">
        <f>+IFERROR(N7*1000/N10/Size_of_loads__m3/Time_to_apply__loads_hr*Tractor_fuel_use__l_diesel_hr,"N/A")</f>
        <v>N/A</v>
      </c>
      <c r="P27" s="20"/>
      <c r="Q27" s="206" t="str">
        <f>+IFERROR(P7*1000/P10/Size_of_loads__m3/Time_to_apply__loads_hr*Tractor_fuel_use__l_diesel_hr,"N/A")</f>
        <v>N/A</v>
      </c>
      <c r="R27" s="20"/>
      <c r="S27" s="206" t="str">
        <f>+IFERROR(R7*1000/R10/Size_of_loads__m3/Time_to_apply__loads_hr*Tractor_fuel_use__l_diesel_hr,"N/A")</f>
        <v>N/A</v>
      </c>
      <c r="T27" s="20"/>
      <c r="U27" s="206" t="str">
        <f>+IFERROR(T7*1000/T10/Size_of_loads__m3/Time_to_apply__loads_hr*Tractor_fuel_use__l_diesel_hr,"N/A")</f>
        <v>N/A</v>
      </c>
    </row>
    <row r="28" spans="1:21" s="183" customFormat="1" ht="15.75" customHeight="1" x14ac:dyDescent="0.3">
      <c r="A28" s="168" t="s">
        <v>18</v>
      </c>
      <c r="B28" s="250">
        <f>B27*CO2E_diesel__ClimateReg/1000000</f>
        <v>0</v>
      </c>
      <c r="C28" s="508"/>
      <c r="D28" s="250">
        <f>D27*CO2E_diesel__ClimateReg/1000000</f>
        <v>0</v>
      </c>
      <c r="E28" s="508"/>
      <c r="F28" s="250">
        <f>F27*CO2E_diesel__ClimateReg/1000000</f>
        <v>0</v>
      </c>
      <c r="G28" s="508"/>
      <c r="H28" s="250">
        <f>H27*CO2E_diesel__ClimateReg/1000000</f>
        <v>0</v>
      </c>
      <c r="I28" s="508"/>
      <c r="J28" s="250">
        <f>J27*CO2E_diesel__ClimateReg/1000000</f>
        <v>0</v>
      </c>
      <c r="K28" s="508"/>
      <c r="L28" s="250">
        <f>L27*CO2E_diesel__ClimateReg/1000000</f>
        <v>0</v>
      </c>
      <c r="M28" s="508"/>
      <c r="N28" s="250">
        <f>N27*CO2E_diesel__ClimateReg/1000000</f>
        <v>0</v>
      </c>
      <c r="O28" s="508"/>
      <c r="P28" s="250">
        <f>P27*CO2E_diesel__ClimateReg/1000000</f>
        <v>0</v>
      </c>
      <c r="Q28" s="508"/>
      <c r="R28" s="250">
        <f>R27*CO2E_diesel__ClimateReg/1000000</f>
        <v>0</v>
      </c>
      <c r="S28" s="508"/>
      <c r="T28" s="250">
        <f>T27*CO2E_diesel__ClimateReg/1000000</f>
        <v>0</v>
      </c>
      <c r="U28" s="508"/>
    </row>
    <row r="29" spans="1:21" ht="15.75" customHeight="1" thickBot="1" x14ac:dyDescent="0.25">
      <c r="A29" s="267"/>
      <c r="B29" s="509"/>
      <c r="C29" s="510"/>
      <c r="D29" s="509"/>
      <c r="E29" s="510"/>
      <c r="F29" s="509"/>
      <c r="G29" s="510"/>
      <c r="H29" s="509"/>
      <c r="I29" s="510"/>
      <c r="J29" s="509"/>
      <c r="K29" s="510"/>
      <c r="L29" s="509"/>
      <c r="M29" s="510"/>
      <c r="N29" s="509"/>
      <c r="O29" s="510"/>
      <c r="P29" s="509"/>
      <c r="Q29" s="510"/>
      <c r="R29" s="509"/>
      <c r="S29" s="510"/>
      <c r="T29" s="509"/>
      <c r="U29" s="510"/>
    </row>
    <row r="30" spans="1:21" ht="15.75" customHeight="1" thickBot="1" x14ac:dyDescent="0.3">
      <c r="A30" s="1340" t="s">
        <v>282</v>
      </c>
      <c r="B30" s="1327"/>
      <c r="C30" s="1327"/>
      <c r="D30" s="1327"/>
      <c r="E30" s="1327"/>
      <c r="F30" s="1327"/>
      <c r="G30" s="1327"/>
      <c r="H30" s="1327"/>
      <c r="I30" s="1327"/>
      <c r="J30" s="1327"/>
      <c r="K30" s="1327"/>
      <c r="L30" s="1327"/>
      <c r="M30" s="1327"/>
      <c r="N30" s="1327"/>
      <c r="O30" s="1327"/>
      <c r="P30" s="1327"/>
      <c r="Q30" s="1327"/>
      <c r="R30" s="1327"/>
      <c r="S30" s="1327"/>
      <c r="T30" s="1327"/>
      <c r="U30" s="1341"/>
    </row>
    <row r="31" spans="1:21" ht="15.75" customHeight="1" x14ac:dyDescent="0.35">
      <c r="A31" s="270" t="s">
        <v>866</v>
      </c>
      <c r="B31" s="511" t="str">
        <f>+IFERROR(IF(B8&lt;min_solids_for_no_N2O_or_CH4,B7*B10/1000*B17*CH4_emissions_biosolids_storage/1000,0),"N/A")</f>
        <v>N/A</v>
      </c>
      <c r="C31" s="289"/>
      <c r="D31" s="511" t="str">
        <f>+IFERROR(IF(D8&lt;min_solids_for_no_N2O_or_CH4,D7*D10/1000*D17*CH4_emissions_biosolids_storage/1000,0),"N/A")</f>
        <v>N/A</v>
      </c>
      <c r="E31" s="289"/>
      <c r="F31" s="511" t="str">
        <f>+IFERROR(IF(F8&lt;min_solids_for_no_N2O_or_CH4,F7*F10/1000*F17*CH4_emissions_biosolids_storage/1000,0),"N/A")</f>
        <v>N/A</v>
      </c>
      <c r="G31" s="289"/>
      <c r="H31" s="511" t="str">
        <f>+IFERROR(IF(H8&lt;min_solids_for_no_N2O_or_CH4,H7*H10/1000*H17*CH4_emissions_biosolids_storage/1000,0),"N/A")</f>
        <v>N/A</v>
      </c>
      <c r="I31" s="289"/>
      <c r="J31" s="511" t="str">
        <f>+IFERROR(IF(J8&lt;min_solids_for_no_N2O_or_CH4,J7*J10/1000*J17*CH4_emissions_biosolids_storage/1000,0),"N/A")</f>
        <v>N/A</v>
      </c>
      <c r="K31" s="289"/>
      <c r="L31" s="511" t="str">
        <f>+IFERROR(IF(L8&lt;min_solids_for_no_N2O_or_CH4,L7*L10/1000*L17*CH4_emissions_biosolids_storage/1000,0),"N/A")</f>
        <v>N/A</v>
      </c>
      <c r="M31" s="289"/>
      <c r="N31" s="511" t="str">
        <f>+IFERROR(IF(N8&lt;min_solids_for_no_N2O_or_CH4,N7*N10/1000*N17*CH4_emissions_biosolids_storage/1000,0),"N/A")</f>
        <v>N/A</v>
      </c>
      <c r="O31" s="289"/>
      <c r="P31" s="511" t="str">
        <f>+IFERROR(IF(P8&lt;min_solids_for_no_N2O_or_CH4,P7*P10/1000*P17*CH4_emissions_biosolids_storage/1000,0),"N/A")</f>
        <v>N/A</v>
      </c>
      <c r="Q31" s="289"/>
      <c r="R31" s="511" t="str">
        <f>+IFERROR(IF(R8&lt;min_solids_for_no_N2O_or_CH4,R7*R10/1000*R17*CH4_emissions_biosolids_storage/1000,0),"N/A")</f>
        <v>N/A</v>
      </c>
      <c r="S31" s="289"/>
      <c r="T31" s="511" t="str">
        <f>+IFERROR(IF(T8&lt;min_solids_for_no_N2O_or_CH4,T7*T10/1000*T17*CH4_emissions_biosolids_storage/1000,0),"N/A")</f>
        <v>N/A</v>
      </c>
      <c r="U31" s="289"/>
    </row>
    <row r="32" spans="1:21" ht="15.75" customHeight="1" x14ac:dyDescent="0.3">
      <c r="A32" s="168" t="s">
        <v>337</v>
      </c>
      <c r="B32" s="250" t="e">
        <f>+B31*CO2E_of_CH4_ClimateReg</f>
        <v>#VALUE!</v>
      </c>
      <c r="C32" s="512"/>
      <c r="D32" s="250" t="e">
        <f>+D31*CO2E_of_CH4_ClimateReg</f>
        <v>#VALUE!</v>
      </c>
      <c r="E32" s="512"/>
      <c r="F32" s="250" t="e">
        <f>+F31*CO2E_of_CH4_ClimateReg</f>
        <v>#VALUE!</v>
      </c>
      <c r="G32" s="512"/>
      <c r="H32" s="250" t="e">
        <f>+H31*CO2E_of_CH4_ClimateReg</f>
        <v>#VALUE!</v>
      </c>
      <c r="I32" s="512"/>
      <c r="J32" s="250" t="e">
        <f>+J31*CO2E_of_CH4_ClimateReg</f>
        <v>#VALUE!</v>
      </c>
      <c r="K32" s="512"/>
      <c r="L32" s="250" t="e">
        <f>+L31*CO2E_of_CH4_ClimateReg</f>
        <v>#VALUE!</v>
      </c>
      <c r="M32" s="512"/>
      <c r="N32" s="250" t="e">
        <f>+N31*CO2E_of_CH4_ClimateReg</f>
        <v>#VALUE!</v>
      </c>
      <c r="O32" s="512"/>
      <c r="P32" s="250" t="e">
        <f>+P31*CO2E_of_CH4_ClimateReg</f>
        <v>#VALUE!</v>
      </c>
      <c r="Q32" s="512"/>
      <c r="R32" s="250" t="e">
        <f>+R31*CO2E_of_CH4_ClimateReg</f>
        <v>#VALUE!</v>
      </c>
      <c r="S32" s="512"/>
      <c r="T32" s="250" t="e">
        <f>+T31*CO2E_of_CH4_ClimateReg</f>
        <v>#VALUE!</v>
      </c>
      <c r="U32" s="512"/>
    </row>
    <row r="33" spans="1:21" ht="15.75" customHeight="1" thickBot="1" x14ac:dyDescent="0.25">
      <c r="A33" s="267"/>
      <c r="B33" s="509"/>
      <c r="C33" s="510"/>
      <c r="D33" s="509"/>
      <c r="E33" s="510"/>
      <c r="F33" s="509"/>
      <c r="G33" s="510"/>
      <c r="H33" s="509"/>
      <c r="I33" s="510"/>
      <c r="J33" s="509"/>
      <c r="K33" s="510"/>
      <c r="L33" s="509"/>
      <c r="M33" s="510"/>
      <c r="N33" s="509"/>
      <c r="O33" s="510"/>
      <c r="P33" s="509"/>
      <c r="Q33" s="510"/>
      <c r="R33" s="509"/>
      <c r="S33" s="510"/>
      <c r="T33" s="509"/>
      <c r="U33" s="510"/>
    </row>
    <row r="34" spans="1:21" s="130" customFormat="1" ht="15.75" customHeight="1" thickBot="1" x14ac:dyDescent="0.3">
      <c r="A34" s="1340" t="s">
        <v>202</v>
      </c>
      <c r="B34" s="1327"/>
      <c r="C34" s="1327"/>
      <c r="D34" s="1327"/>
      <c r="E34" s="1327"/>
      <c r="F34" s="1327"/>
      <c r="G34" s="1327"/>
      <c r="H34" s="1327"/>
      <c r="I34" s="1327"/>
      <c r="J34" s="1327"/>
      <c r="K34" s="1327"/>
      <c r="L34" s="1327"/>
      <c r="M34" s="1327"/>
      <c r="N34" s="1327"/>
      <c r="O34" s="1327"/>
      <c r="P34" s="1327"/>
      <c r="Q34" s="1327"/>
      <c r="R34" s="1327"/>
      <c r="S34" s="1327"/>
      <c r="T34" s="1327"/>
      <c r="U34" s="1341"/>
    </row>
    <row r="35" spans="1:21" s="105" customFormat="1" ht="15.75" customHeight="1" x14ac:dyDescent="0.35">
      <c r="A35" s="270" t="s">
        <v>52</v>
      </c>
      <c r="B35" s="513" t="str">
        <f>+IFERROR(IF(B15/B12&lt;Cut_off_between_low_and_high_C_N,B9*B12*B23*percent_N_to_N2O_fine_textured_soils*N_to_N2O_conversion,0),"N/A")</f>
        <v>N/A</v>
      </c>
      <c r="C35" s="514"/>
      <c r="D35" s="513" t="str">
        <f>+IFERROR(IF(D15/D12&lt;Cut_off_between_low_and_high_C_N,D9*D12*D23*percent_N_to_N2O_fine_textured_soils*N_to_N2O_conversion,0),"N/A")</f>
        <v>N/A</v>
      </c>
      <c r="E35" s="514"/>
      <c r="F35" s="513" t="str">
        <f>+IFERROR(IF(F15/F12&lt;Cut_off_between_low_and_high_C_N,F9*F12*F23*percent_N_to_N2O_fine_textured_soils*N_to_N2O_conversion,0),"N/A")</f>
        <v>N/A</v>
      </c>
      <c r="G35" s="514"/>
      <c r="H35" s="513" t="str">
        <f>+IFERROR(IF(H15/H12&lt;Cut_off_between_low_and_high_C_N,H9*H12*H23*percent_N_to_N2O_fine_textured_soils*N_to_N2O_conversion,0),"N/A")</f>
        <v>N/A</v>
      </c>
      <c r="I35" s="514"/>
      <c r="J35" s="513" t="str">
        <f>+IFERROR(IF(J15/J12&lt;Cut_off_between_low_and_high_C_N,J9*J12*J23*percent_N_to_N2O_fine_textured_soils*N_to_N2O_conversion,0),"N/A")</f>
        <v>N/A</v>
      </c>
      <c r="K35" s="514"/>
      <c r="L35" s="513" t="str">
        <f>+IFERROR(IF(L15/L12&lt;Cut_off_between_low_and_high_C_N,L9*L12*L23*percent_N_to_N2O_fine_textured_soils*N_to_N2O_conversion,0),"N/A")</f>
        <v>N/A</v>
      </c>
      <c r="M35" s="514"/>
      <c r="N35" s="513" t="str">
        <f>+IFERROR(IF(N15/N12&lt;Cut_off_between_low_and_high_C_N,N9*N12*N23*percent_N_to_N2O_fine_textured_soils*N_to_N2O_conversion,0),"N/A")</f>
        <v>N/A</v>
      </c>
      <c r="O35" s="514"/>
      <c r="P35" s="513" t="str">
        <f>+IFERROR(IF(P15/P12&lt;Cut_off_between_low_and_high_C_N,P9*P12*P23*percent_N_to_N2O_fine_textured_soils*N_to_N2O_conversion,0),"N/A")</f>
        <v>N/A</v>
      </c>
      <c r="Q35" s="514"/>
      <c r="R35" s="513" t="str">
        <f>+IFERROR(IF(R15/R12&lt;Cut_off_between_low_and_high_C_N,R9*R12*R23*percent_N_to_N2O_fine_textured_soils*N_to_N2O_conversion,0),"N/A")</f>
        <v>N/A</v>
      </c>
      <c r="S35" s="514"/>
      <c r="T35" s="513" t="str">
        <f>+IFERROR(IF(T15/T12&lt;Cut_off_between_low_and_high_C_N,T9*T12*T23*percent_N_to_N2O_fine_textured_soils*N_to_N2O_conversion,0),"N/A")</f>
        <v>N/A</v>
      </c>
      <c r="U35" s="514"/>
    </row>
    <row r="36" spans="1:21" ht="15.75" customHeight="1" x14ac:dyDescent="0.35">
      <c r="A36" s="245" t="s">
        <v>867</v>
      </c>
      <c r="B36" s="515">
        <f>-IF(B8&gt;=min_solids_for_n2O_reduction_fine,'Land Application'!B35*N2O_reduction_fine,0)</f>
        <v>0</v>
      </c>
      <c r="C36" s="516"/>
      <c r="D36" s="515">
        <f>-IF(D8&gt;=min_solids_for_n2O_reduction_fine,'Land Application'!D35*N2O_reduction_fine,0)</f>
        <v>0</v>
      </c>
      <c r="E36" s="516"/>
      <c r="F36" s="515">
        <f>-IF(F8&gt;=min_solids_for_n2O_reduction_fine,'Land Application'!F35*N2O_reduction_fine,0)</f>
        <v>0</v>
      </c>
      <c r="G36" s="516"/>
      <c r="H36" s="515">
        <f>-IF(H8&gt;=min_solids_for_n2O_reduction_fine,'Land Application'!H35*N2O_reduction_fine,0)</f>
        <v>0</v>
      </c>
      <c r="I36" s="516"/>
      <c r="J36" s="515">
        <f>-IF(J8&gt;=min_solids_for_n2O_reduction_fine,'Land Application'!J35*N2O_reduction_fine,0)</f>
        <v>0</v>
      </c>
      <c r="K36" s="516"/>
      <c r="L36" s="515">
        <f>-IF(L8&gt;=min_solids_for_n2O_reduction_fine,'Land Application'!L35*N2O_reduction_fine,0)</f>
        <v>0</v>
      </c>
      <c r="M36" s="516"/>
      <c r="N36" s="515">
        <f>-IF(N8&gt;=min_solids_for_n2O_reduction_fine,'Land Application'!N35*N2O_reduction_fine,0)</f>
        <v>0</v>
      </c>
      <c r="O36" s="516"/>
      <c r="P36" s="515">
        <f>-IF(P8&gt;=min_solids_for_n2O_reduction_fine,'Land Application'!P35*N2O_reduction_fine,0)</f>
        <v>0</v>
      </c>
      <c r="Q36" s="516"/>
      <c r="R36" s="515">
        <f>-IF(R8&gt;=min_solids_for_n2O_reduction_fine,'Land Application'!R35*N2O_reduction_fine,0)</f>
        <v>0</v>
      </c>
      <c r="S36" s="516"/>
      <c r="T36" s="515">
        <f>-IF(T8&gt;=min_solids_for_n2O_reduction_fine,'Land Application'!T35*N2O_reduction_fine,0)</f>
        <v>0</v>
      </c>
      <c r="U36" s="516"/>
    </row>
    <row r="37" spans="1:21" s="105" customFormat="1" ht="15.75" customHeight="1" x14ac:dyDescent="0.35">
      <c r="A37" s="245" t="s">
        <v>868</v>
      </c>
      <c r="B37" s="517" t="str">
        <f>+IFERROR(IF(B8&lt;min_solids_for_no_N2O_or_CH4,B7*B10/1000*B17*NO2_emissions_biosolids_storage/1000,0),"N/A")</f>
        <v>N/A</v>
      </c>
      <c r="C37" s="518"/>
      <c r="D37" s="517" t="str">
        <f>+IFERROR(IF(D8&lt;min_solids_for_no_N2O_or_CH4,D7*D10/1000*D17*NO2_emissions_biosolids_storage/1000,0),"N/A")</f>
        <v>N/A</v>
      </c>
      <c r="E37" s="518"/>
      <c r="F37" s="517" t="str">
        <f>+IFERROR(IF(F8&lt;min_solids_for_no_N2O_or_CH4,F7*F10/1000*F17*NO2_emissions_biosolids_storage/1000,0),"N/A")</f>
        <v>N/A</v>
      </c>
      <c r="G37" s="518"/>
      <c r="H37" s="517" t="str">
        <f>+IFERROR(IF(H8&lt;min_solids_for_no_N2O_or_CH4,H7*H10/1000*H17*NO2_emissions_biosolids_storage/1000,0),"N/A")</f>
        <v>N/A</v>
      </c>
      <c r="I37" s="518"/>
      <c r="J37" s="517" t="str">
        <f>+IFERROR(IF(J8&lt;min_solids_for_no_N2O_or_CH4,J7*J10/1000*J17*NO2_emissions_biosolids_storage/1000,0),"N/A")</f>
        <v>N/A</v>
      </c>
      <c r="K37" s="518"/>
      <c r="L37" s="517" t="str">
        <f>+IFERROR(IF(L8&lt;min_solids_for_no_N2O_or_CH4,L7*L10/1000*L17*NO2_emissions_biosolids_storage/1000,0),"N/A")</f>
        <v>N/A</v>
      </c>
      <c r="M37" s="518"/>
      <c r="N37" s="517" t="str">
        <f>+IFERROR(IF(N8&lt;min_solids_for_no_N2O_or_CH4,N7*N10/1000*N17*NO2_emissions_biosolids_storage/1000,0),"N/A")</f>
        <v>N/A</v>
      </c>
      <c r="O37" s="518"/>
      <c r="P37" s="517" t="str">
        <f>+IFERROR(IF(P8&lt;min_solids_for_no_N2O_or_CH4,P7*P10/1000*P17*NO2_emissions_biosolids_storage/1000,0),"N/A")</f>
        <v>N/A</v>
      </c>
      <c r="Q37" s="518"/>
      <c r="R37" s="517" t="str">
        <f>+IFERROR(IF(R8&lt;min_solids_for_no_N2O_or_CH4,R7*R10/1000*R17*NO2_emissions_biosolids_storage/1000,0),"N/A")</f>
        <v>N/A</v>
      </c>
      <c r="S37" s="518"/>
      <c r="T37" s="517" t="str">
        <f>+IFERROR(IF(T8&lt;min_solids_for_no_N2O_or_CH4,T7*T10/1000*T17*NO2_emissions_biosolids_storage/1000,0),"N/A")</f>
        <v>N/A</v>
      </c>
      <c r="U37" s="518"/>
    </row>
    <row r="38" spans="1:21" s="130" customFormat="1" ht="15.75" customHeight="1" x14ac:dyDescent="0.3">
      <c r="A38" s="168" t="s">
        <v>12</v>
      </c>
      <c r="B38" s="252" t="e">
        <f>+IF(B18='References Assumptions'!$C$360,(B35+B36+B37)*CO2E_of_N2O_Climate_Reg,B37*CO2E_of_N2O_Climate_Reg)</f>
        <v>#VALUE!</v>
      </c>
      <c r="C38" s="516"/>
      <c r="D38" s="252" t="e">
        <f>+IF(D18='References Assumptions'!$C$360,(D35+D36+D37)*CO2E_of_N2O_Climate_Reg,D37*CO2E_of_N2O_Climate_Reg)</f>
        <v>#VALUE!</v>
      </c>
      <c r="E38" s="516"/>
      <c r="F38" s="252" t="e">
        <f>+IF(F18='References Assumptions'!$C$360,(F35+F36+F37)*CO2E_of_N2O_Climate_Reg,F37*CO2E_of_N2O_Climate_Reg)</f>
        <v>#VALUE!</v>
      </c>
      <c r="G38" s="516"/>
      <c r="H38" s="252" t="e">
        <f>+IF(H18='References Assumptions'!$C$360,(H35+H36+H37)*CO2E_of_N2O_Climate_Reg,H37*CO2E_of_N2O_Climate_Reg)</f>
        <v>#VALUE!</v>
      </c>
      <c r="I38" s="516"/>
      <c r="J38" s="252" t="e">
        <f>+IF(J18='References Assumptions'!$C$360,(J35+J36+J37)*CO2E_of_N2O_Climate_Reg,J37*CO2E_of_N2O_Climate_Reg)</f>
        <v>#VALUE!</v>
      </c>
      <c r="K38" s="516"/>
      <c r="L38" s="252" t="e">
        <f>+IF(L18='References Assumptions'!$C$360,(L35+L36+L37)*CO2E_of_N2O_Climate_Reg,L37*CO2E_of_N2O_Climate_Reg)</f>
        <v>#VALUE!</v>
      </c>
      <c r="M38" s="516"/>
      <c r="N38" s="252" t="e">
        <f>+IF(N18='References Assumptions'!$C$360,(N35+N36+N37)*CO2E_of_N2O_Climate_Reg,N37*CO2E_of_N2O_Climate_Reg)</f>
        <v>#VALUE!</v>
      </c>
      <c r="O38" s="516"/>
      <c r="P38" s="252" t="e">
        <f>+IF(P18='References Assumptions'!$C$360,(P35+P36+P37)*CO2E_of_N2O_Climate_Reg,P37*CO2E_of_N2O_Climate_Reg)</f>
        <v>#VALUE!</v>
      </c>
      <c r="Q38" s="516"/>
      <c r="R38" s="252" t="e">
        <f>+IF(R18='References Assumptions'!$C$360,(R35+R36+R37)*CO2E_of_N2O_Climate_Reg,R37*CO2E_of_N2O_Climate_Reg)</f>
        <v>#VALUE!</v>
      </c>
      <c r="S38" s="516"/>
      <c r="T38" s="252" t="e">
        <f>+IF(T18='References Assumptions'!$C$360,(T35+T36+T37)*CO2E_of_N2O_Climate_Reg,T37*CO2E_of_N2O_Climate_Reg)</f>
        <v>#VALUE!</v>
      </c>
      <c r="U38" s="516"/>
    </row>
    <row r="39" spans="1:21" s="105" customFormat="1" ht="15.75" customHeight="1" thickBot="1" x14ac:dyDescent="0.3">
      <c r="A39" s="273"/>
      <c r="B39" s="344"/>
      <c r="C39" s="469"/>
      <c r="D39" s="344"/>
      <c r="E39" s="469"/>
      <c r="F39" s="344"/>
      <c r="G39" s="469"/>
      <c r="H39" s="344"/>
      <c r="I39" s="469"/>
      <c r="J39" s="344"/>
      <c r="K39" s="469"/>
      <c r="L39" s="344"/>
      <c r="M39" s="469"/>
      <c r="N39" s="344"/>
      <c r="O39" s="469"/>
      <c r="P39" s="344"/>
      <c r="Q39" s="469"/>
      <c r="R39" s="344"/>
      <c r="S39" s="469"/>
      <c r="T39" s="344"/>
      <c r="U39" s="469"/>
    </row>
    <row r="40" spans="1:21" s="130" customFormat="1" ht="15.75" customHeight="1" thickBot="1" x14ac:dyDescent="0.3">
      <c r="A40" s="1300" t="s">
        <v>235</v>
      </c>
      <c r="B40" s="1301"/>
      <c r="C40" s="1301"/>
      <c r="D40" s="1301"/>
      <c r="E40" s="1301"/>
      <c r="F40" s="1301"/>
      <c r="G40" s="1301"/>
      <c r="H40" s="1301"/>
      <c r="I40" s="1301"/>
      <c r="J40" s="1301"/>
      <c r="K40" s="1301"/>
      <c r="L40" s="1301"/>
      <c r="M40" s="1301"/>
      <c r="N40" s="1301"/>
      <c r="O40" s="1301"/>
      <c r="P40" s="1301"/>
      <c r="Q40" s="1301"/>
      <c r="R40" s="1301"/>
      <c r="S40" s="1301"/>
      <c r="T40" s="1301"/>
      <c r="U40" s="1302"/>
    </row>
    <row r="41" spans="1:21" s="130" customFormat="1" ht="15.75" customHeight="1" x14ac:dyDescent="0.2">
      <c r="A41" s="1183" t="s">
        <v>940</v>
      </c>
      <c r="B41" s="14"/>
      <c r="C41" s="1118" t="str">
        <f>+'References Assumptions'!$A$147</f>
        <v>Current Default</v>
      </c>
      <c r="D41" s="14"/>
      <c r="E41" s="1118" t="str">
        <f>+'References Assumptions'!$A$147</f>
        <v>Current Default</v>
      </c>
      <c r="F41" s="14"/>
      <c r="G41" s="1118" t="str">
        <f>+'References Assumptions'!$A$147</f>
        <v>Current Default</v>
      </c>
      <c r="H41" s="14"/>
      <c r="I41" s="1118" t="str">
        <f>+'References Assumptions'!$A$147</f>
        <v>Current Default</v>
      </c>
      <c r="J41" s="14"/>
      <c r="K41" s="1118" t="str">
        <f>+'References Assumptions'!$A$147</f>
        <v>Current Default</v>
      </c>
      <c r="L41" s="14"/>
      <c r="M41" s="1118" t="str">
        <f>+'References Assumptions'!$A$147</f>
        <v>Current Default</v>
      </c>
      <c r="N41" s="14"/>
      <c r="O41" s="1118" t="str">
        <f>+'References Assumptions'!$A$147</f>
        <v>Current Default</v>
      </c>
      <c r="P41" s="14"/>
      <c r="Q41" s="1118" t="str">
        <f>+'References Assumptions'!$A$147</f>
        <v>Current Default</v>
      </c>
      <c r="R41" s="14"/>
      <c r="S41" s="1118" t="str">
        <f>+'References Assumptions'!$A$147</f>
        <v>Current Default</v>
      </c>
      <c r="T41" s="14"/>
      <c r="U41" s="1118" t="str">
        <f>+'References Assumptions'!$A$147</f>
        <v>Current Default</v>
      </c>
    </row>
    <row r="42" spans="1:21" s="105" customFormat="1" ht="15.75" customHeight="1" x14ac:dyDescent="0.3">
      <c r="A42" s="161" t="s">
        <v>959</v>
      </c>
      <c r="B42" s="347" t="e">
        <f>IF(B6='References Assumptions'!$C$355,-B9*B14*Cseq_biochar*C_to_CO2_conversion,-B9*VLOOKUP(B41,'References Assumptions'!$A$147:$B$150,2,FALSE))</f>
        <v>#VALUE!</v>
      </c>
      <c r="C42" s="956"/>
      <c r="D42" s="347" t="e">
        <f>IF(D6='References Assumptions'!$C$355,-D9*D14*Cseq_biochar*C_to_CO2_conversion,-D9*VLOOKUP(D41,'References Assumptions'!$A$147:$B$150,2,FALSE))</f>
        <v>#VALUE!</v>
      </c>
      <c r="E42" s="955"/>
      <c r="F42" s="347" t="e">
        <f>IF(F6='References Assumptions'!$C$355,-F9*F14*Cseq_biochar*C_to_CO2_conversion,-F9*VLOOKUP(F41,'References Assumptions'!$A$147:$B$150,2,FALSE))</f>
        <v>#VALUE!</v>
      </c>
      <c r="G42" s="955"/>
      <c r="H42" s="347" t="e">
        <f>IF(H6='References Assumptions'!$C$355,-H9*H14*Cseq_biochar*C_to_CO2_conversion,-H9*VLOOKUP(H41,'References Assumptions'!$A$147:$B$150,2,FALSE))</f>
        <v>#VALUE!</v>
      </c>
      <c r="I42" s="955"/>
      <c r="J42" s="347" t="e">
        <f>IF(J6='References Assumptions'!$C$355,-J9*J14*Cseq_biochar*C_to_CO2_conversion,-J9*VLOOKUP(J41,'References Assumptions'!$A$147:$B$150,2,FALSE))</f>
        <v>#VALUE!</v>
      </c>
      <c r="K42" s="955"/>
      <c r="L42" s="347" t="e">
        <f>IF(L6='References Assumptions'!$C$355,-L9*L14*Cseq_biochar*C_to_CO2_conversion,-L9*VLOOKUP(L41,'References Assumptions'!$A$147:$B$150,2,FALSE))</f>
        <v>#VALUE!</v>
      </c>
      <c r="M42" s="956"/>
      <c r="N42" s="347" t="e">
        <f>IF(N6='References Assumptions'!$C$355,-N9*N14*Cseq_biochar*C_to_CO2_conversion,-N9*VLOOKUP(N41,'References Assumptions'!$A$147:$B$150,2,FALSE))</f>
        <v>#VALUE!</v>
      </c>
      <c r="O42" s="955"/>
      <c r="P42" s="347" t="e">
        <f>IF(P6='References Assumptions'!$C$355,-P9*P14*Cseq_biochar*C_to_CO2_conversion,-P9*VLOOKUP(P41,'References Assumptions'!$A$147:$B$150,2,FALSE))</f>
        <v>#VALUE!</v>
      </c>
      <c r="Q42" s="955"/>
      <c r="R42" s="347" t="e">
        <f>IF(R6='References Assumptions'!$C$355,-R9*R14*Cseq_biochar*C_to_CO2_conversion,-R9*VLOOKUP(R41,'References Assumptions'!$A$147:$B$150,2,FALSE))</f>
        <v>#VALUE!</v>
      </c>
      <c r="S42" s="955"/>
      <c r="T42" s="347" t="e">
        <f>IF(T6='References Assumptions'!$C$355,-T9*T14*Cseq_biochar*C_to_CO2_conversion,-T9*VLOOKUP(T41,'References Assumptions'!$A$147:$B$150,2,FALSE))</f>
        <v>#VALUE!</v>
      </c>
      <c r="U42" s="955"/>
    </row>
    <row r="43" spans="1:21" s="130" customFormat="1" ht="15.75" customHeight="1" thickBot="1" x14ac:dyDescent="0.3">
      <c r="A43" s="277"/>
      <c r="B43" s="337"/>
      <c r="C43" s="957"/>
      <c r="D43" s="337"/>
      <c r="E43" s="519"/>
      <c r="F43" s="337"/>
      <c r="G43" s="519"/>
      <c r="H43" s="337"/>
      <c r="I43" s="519"/>
      <c r="J43" s="337"/>
      <c r="K43" s="519"/>
      <c r="L43" s="337"/>
      <c r="M43" s="957"/>
      <c r="N43" s="337"/>
      <c r="O43" s="519"/>
      <c r="P43" s="337"/>
      <c r="Q43" s="519"/>
      <c r="R43" s="337"/>
      <c r="S43" s="519"/>
      <c r="T43" s="337"/>
      <c r="U43" s="519"/>
    </row>
    <row r="44" spans="1:21" s="130" customFormat="1" ht="15.75" customHeight="1" thickBot="1" x14ac:dyDescent="0.3">
      <c r="A44" s="1340" t="s">
        <v>226</v>
      </c>
      <c r="B44" s="1327"/>
      <c r="C44" s="1327"/>
      <c r="D44" s="1327"/>
      <c r="E44" s="1327"/>
      <c r="F44" s="1327"/>
      <c r="G44" s="1327"/>
      <c r="H44" s="1327"/>
      <c r="I44" s="1327"/>
      <c r="J44" s="1327"/>
      <c r="K44" s="1327"/>
      <c r="L44" s="1327"/>
      <c r="M44" s="1327"/>
      <c r="N44" s="1327"/>
      <c r="O44" s="1327"/>
      <c r="P44" s="1327"/>
      <c r="Q44" s="1327"/>
      <c r="R44" s="1327"/>
      <c r="S44" s="1327"/>
      <c r="T44" s="1327"/>
      <c r="U44" s="1341"/>
    </row>
    <row r="45" spans="1:21" s="105" customFormat="1" ht="15.75" customHeight="1" x14ac:dyDescent="0.3">
      <c r="A45" s="1117" t="s">
        <v>42</v>
      </c>
      <c r="B45" s="1113" t="e">
        <f>-B9*B12*N_fertilizer_credit_ROU_2006</f>
        <v>#VALUE!</v>
      </c>
      <c r="C45" s="1114"/>
      <c r="D45" s="1113" t="e">
        <f>-D9*D12*N_fertilizer_credit_ROU_2006</f>
        <v>#VALUE!</v>
      </c>
      <c r="E45" s="1114"/>
      <c r="F45" s="1113" t="e">
        <f>-F9*F12*N_fertilizer_credit_ROU_2006</f>
        <v>#VALUE!</v>
      </c>
      <c r="G45" s="1114"/>
      <c r="H45" s="1113" t="e">
        <f>-H9*H12*N_fertilizer_credit_ROU_2006</f>
        <v>#VALUE!</v>
      </c>
      <c r="I45" s="1114"/>
      <c r="J45" s="1113" t="e">
        <f>-J9*J12*N_fertilizer_credit_ROU_2006</f>
        <v>#VALUE!</v>
      </c>
      <c r="K45" s="1114"/>
      <c r="L45" s="1113" t="e">
        <f>-L9*L12*N_fertilizer_credit_ROU_2006</f>
        <v>#VALUE!</v>
      </c>
      <c r="M45" s="1114"/>
      <c r="N45" s="1113" t="e">
        <f>-N9*N12*N_fertilizer_credit_ROU_2006</f>
        <v>#VALUE!</v>
      </c>
      <c r="O45" s="1114"/>
      <c r="P45" s="1113" t="e">
        <f>-P9*P12*N_fertilizer_credit_ROU_2006</f>
        <v>#VALUE!</v>
      </c>
      <c r="Q45" s="1114"/>
      <c r="R45" s="1113" t="e">
        <f>-R9*R12*N_fertilizer_credit_ROU_2006</f>
        <v>#VALUE!</v>
      </c>
      <c r="S45" s="1114"/>
      <c r="T45" s="1113" t="e">
        <f>-T9*T12*N_fertilizer_credit_ROU_2006</f>
        <v>#VALUE!</v>
      </c>
      <c r="U45" s="1114"/>
    </row>
    <row r="46" spans="1:21" ht="15.75" customHeight="1" x14ac:dyDescent="0.3">
      <c r="A46" s="168" t="s">
        <v>43</v>
      </c>
      <c r="B46" s="250" t="e">
        <f>-B9*B13*P_fertilizer_credit_ROU_2006</f>
        <v>#VALUE!</v>
      </c>
      <c r="C46" s="520"/>
      <c r="D46" s="250" t="e">
        <f>-D9*D13*P_fertilizer_credit_ROU_2006</f>
        <v>#VALUE!</v>
      </c>
      <c r="E46" s="520"/>
      <c r="F46" s="250" t="e">
        <f>-F9*F13*P_fertilizer_credit_ROU_2006</f>
        <v>#VALUE!</v>
      </c>
      <c r="G46" s="520"/>
      <c r="H46" s="250" t="e">
        <f>-H9*H13*P_fertilizer_credit_ROU_2006</f>
        <v>#VALUE!</v>
      </c>
      <c r="I46" s="520"/>
      <c r="J46" s="250" t="e">
        <f>-J9*J13*P_fertilizer_credit_ROU_2006</f>
        <v>#VALUE!</v>
      </c>
      <c r="K46" s="520"/>
      <c r="L46" s="250" t="e">
        <f>-L9*L13*P_fertilizer_credit_ROU_2006</f>
        <v>#VALUE!</v>
      </c>
      <c r="M46" s="520"/>
      <c r="N46" s="250" t="e">
        <f>-N9*N13*P_fertilizer_credit_ROU_2006</f>
        <v>#VALUE!</v>
      </c>
      <c r="O46" s="520"/>
      <c r="P46" s="250" t="e">
        <f>-P9*P13*P_fertilizer_credit_ROU_2006</f>
        <v>#VALUE!</v>
      </c>
      <c r="Q46" s="520"/>
      <c r="R46" s="250" t="e">
        <f>-R9*R13*P_fertilizer_credit_ROU_2006</f>
        <v>#VALUE!</v>
      </c>
      <c r="S46" s="520"/>
      <c r="T46" s="250" t="e">
        <f>-T9*T13*P_fertilizer_credit_ROU_2006</f>
        <v>#VALUE!</v>
      </c>
      <c r="U46" s="520"/>
    </row>
    <row r="47" spans="1:21" s="105" customFormat="1" ht="15.75" customHeight="1" thickBot="1" x14ac:dyDescent="0.3">
      <c r="A47" s="505"/>
      <c r="B47" s="344"/>
      <c r="C47" s="469"/>
      <c r="D47" s="344"/>
      <c r="E47" s="469"/>
      <c r="F47" s="344"/>
      <c r="G47" s="469"/>
      <c r="H47" s="344"/>
      <c r="I47" s="469"/>
      <c r="J47" s="344"/>
      <c r="K47" s="469"/>
      <c r="L47" s="344"/>
      <c r="M47" s="469"/>
      <c r="N47" s="344"/>
      <c r="O47" s="469"/>
      <c r="P47" s="344"/>
      <c r="Q47" s="469"/>
      <c r="R47" s="344"/>
      <c r="S47" s="469"/>
      <c r="T47" s="344"/>
      <c r="U47" s="469"/>
    </row>
    <row r="48" spans="1:21" ht="15.75" customHeight="1" thickBot="1" x14ac:dyDescent="0.3">
      <c r="A48" s="1340" t="s">
        <v>246</v>
      </c>
      <c r="B48" s="1327"/>
      <c r="C48" s="1327"/>
      <c r="D48" s="1327"/>
      <c r="E48" s="1327"/>
      <c r="F48" s="1327"/>
      <c r="G48" s="1327"/>
      <c r="H48" s="1327"/>
      <c r="I48" s="1327"/>
      <c r="J48" s="1327"/>
      <c r="K48" s="1327"/>
      <c r="L48" s="1327"/>
      <c r="M48" s="1327"/>
      <c r="N48" s="1327"/>
      <c r="O48" s="1327"/>
      <c r="P48" s="1327"/>
      <c r="Q48" s="1327"/>
      <c r="R48" s="1327"/>
      <c r="S48" s="1327"/>
      <c r="T48" s="1327"/>
      <c r="U48" s="1341"/>
    </row>
    <row r="49" spans="1:21" s="105" customFormat="1" ht="15.75" customHeight="1" x14ac:dyDescent="0.3">
      <c r="A49" s="1117" t="s">
        <v>50</v>
      </c>
      <c r="B49" s="1113" t="e">
        <f>+IF(AND(B19='References Assumptions'!$C$339,B20='References Assumptions'!$C$339),0,B9*B16*Fraction_Carbon_in_CaCO3*C_to_CO2_conversion)</f>
        <v>#VALUE!</v>
      </c>
      <c r="C49" s="1114"/>
      <c r="D49" s="1113" t="e">
        <f>+IF(AND(D19='References Assumptions'!$C$339,D20='References Assumptions'!$C$339),0,D9*D16*Fraction_Carbon_in_CaCO3*C_to_CO2_conversion)</f>
        <v>#VALUE!</v>
      </c>
      <c r="E49" s="1114"/>
      <c r="F49" s="1113" t="e">
        <f>+IF(AND(F19='References Assumptions'!$C$339,F20='References Assumptions'!$C$339),0,F9*F16*Fraction_Carbon_in_CaCO3*C_to_CO2_conversion)</f>
        <v>#VALUE!</v>
      </c>
      <c r="G49" s="1114"/>
      <c r="H49" s="1113" t="e">
        <f>+IF(AND(H19='References Assumptions'!$C$339,H20='References Assumptions'!$C$339),0,H9*H16*Fraction_Carbon_in_CaCO3*C_to_CO2_conversion)</f>
        <v>#VALUE!</v>
      </c>
      <c r="I49" s="1114"/>
      <c r="J49" s="1113" t="e">
        <f>+IF(AND(J19='References Assumptions'!$C$339,J20='References Assumptions'!$C$339),0,J9*J16*Fraction_Carbon_in_CaCO3*C_to_CO2_conversion)</f>
        <v>#VALUE!</v>
      </c>
      <c r="K49" s="1114"/>
      <c r="L49" s="1113" t="e">
        <f>+IF(AND(L19='References Assumptions'!$C$339,L20='References Assumptions'!$C$339),0,L9*L16*Fraction_Carbon_in_CaCO3*C_to_CO2_conversion)</f>
        <v>#VALUE!</v>
      </c>
      <c r="M49" s="1114"/>
      <c r="N49" s="1113" t="e">
        <f>+IF(AND(N19='References Assumptions'!$C$339,N20='References Assumptions'!$C$339),0,N9*N16*Fraction_Carbon_in_CaCO3*C_to_CO2_conversion)</f>
        <v>#VALUE!</v>
      </c>
      <c r="O49" s="1114"/>
      <c r="P49" s="1113" t="e">
        <f>+IF(AND(P19='References Assumptions'!$C$339,P20='References Assumptions'!$C$339),0,P9*P16*Fraction_Carbon_in_CaCO3*C_to_CO2_conversion)</f>
        <v>#VALUE!</v>
      </c>
      <c r="Q49" s="1114"/>
      <c r="R49" s="1113" t="e">
        <f>+IF(AND(R19='References Assumptions'!$C$339,R20='References Assumptions'!$C$339),0,R9*R16*Fraction_Carbon_in_CaCO3*C_to_CO2_conversion)</f>
        <v>#VALUE!</v>
      </c>
      <c r="S49" s="1114"/>
      <c r="T49" s="1113" t="e">
        <f>+IF(AND(T19='References Assumptions'!$C$339,T20='References Assumptions'!$C$339),0,T9*T16*Fraction_Carbon_in_CaCO3*C_to_CO2_conversion)</f>
        <v>#VALUE!</v>
      </c>
      <c r="U49" s="1114"/>
    </row>
    <row r="50" spans="1:21" s="105" customFormat="1" ht="15.75" customHeight="1" thickBot="1" x14ac:dyDescent="0.3">
      <c r="A50" s="505"/>
      <c r="B50" s="344"/>
      <c r="C50" s="469"/>
      <c r="D50" s="344"/>
      <c r="E50" s="469"/>
      <c r="F50" s="344"/>
      <c r="G50" s="469"/>
      <c r="H50" s="344"/>
      <c r="I50" s="469"/>
      <c r="J50" s="344"/>
      <c r="K50" s="469"/>
      <c r="L50" s="344"/>
      <c r="M50" s="469"/>
      <c r="N50" s="344"/>
      <c r="O50" s="469"/>
      <c r="P50" s="344"/>
      <c r="Q50" s="469"/>
      <c r="R50" s="344"/>
      <c r="S50" s="469"/>
      <c r="T50" s="344"/>
      <c r="U50" s="469"/>
    </row>
    <row r="51" spans="1:21" s="130" customFormat="1" ht="15.75" customHeight="1" thickBot="1" x14ac:dyDescent="0.25">
      <c r="A51" s="1303"/>
      <c r="B51" s="1304"/>
      <c r="C51" s="1304"/>
      <c r="D51" s="1304"/>
      <c r="E51" s="1304"/>
      <c r="F51" s="1304"/>
      <c r="G51" s="1304"/>
      <c r="H51" s="1304"/>
      <c r="I51" s="1304"/>
      <c r="J51" s="1304"/>
      <c r="K51" s="1304"/>
      <c r="L51" s="1304"/>
      <c r="M51" s="1304"/>
      <c r="N51" s="1304"/>
      <c r="O51" s="1304"/>
      <c r="P51" s="1304"/>
      <c r="Q51" s="1304"/>
      <c r="R51" s="1304"/>
      <c r="S51" s="1304"/>
      <c r="T51" s="1304"/>
      <c r="U51" s="1305"/>
    </row>
    <row r="52" spans="1:21" ht="18.75" customHeight="1" thickBot="1" x14ac:dyDescent="0.25">
      <c r="A52" s="254" t="s">
        <v>44</v>
      </c>
      <c r="B52" s="282" t="e">
        <f>(B28+B32+B38+B42+B45+B46+B49)*days_yr</f>
        <v>#VALUE!</v>
      </c>
      <c r="C52" s="521"/>
      <c r="D52" s="282" t="e">
        <f>(D28+D32+D38+D42+D45+D46+D49)*days_yr</f>
        <v>#VALUE!</v>
      </c>
      <c r="E52" s="521"/>
      <c r="F52" s="282" t="e">
        <f>(F28+F32+F38+F42+F45+F46+F49)*days_yr</f>
        <v>#VALUE!</v>
      </c>
      <c r="G52" s="521"/>
      <c r="H52" s="282" t="e">
        <f>(H28+H32+H38+H42+H45+H46+H49)*days_yr</f>
        <v>#VALUE!</v>
      </c>
      <c r="I52" s="521"/>
      <c r="J52" s="282" t="e">
        <f>(J28+J32+J38+J42+J45+J46+J49)*days_yr</f>
        <v>#VALUE!</v>
      </c>
      <c r="K52" s="522"/>
      <c r="L52" s="282" t="e">
        <f>(L28+L32+L38+L42+L45+L46+L49)*days_yr</f>
        <v>#VALUE!</v>
      </c>
      <c r="M52" s="521"/>
      <c r="N52" s="282" t="e">
        <f>(N28+N32+N38+N42+N45+N46+N49)*days_yr</f>
        <v>#VALUE!</v>
      </c>
      <c r="O52" s="521"/>
      <c r="P52" s="282" t="e">
        <f>(P28+P32+P38+P42+P45+P46+P49)*days_yr</f>
        <v>#VALUE!</v>
      </c>
      <c r="Q52" s="521"/>
      <c r="R52" s="282" t="e">
        <f>(R28+R32+R38+R42+R45+R46+R49)*days_yr</f>
        <v>#VALUE!</v>
      </c>
      <c r="S52" s="521"/>
      <c r="T52" s="282" t="e">
        <f>(T28+T32+T38+T42+T45+T46+T49)*days_yr</f>
        <v>#VALUE!</v>
      </c>
      <c r="U52" s="521"/>
    </row>
    <row r="53" spans="1:21" ht="15.75" customHeight="1" x14ac:dyDescent="0.25">
      <c r="A53" s="161" t="s">
        <v>228</v>
      </c>
      <c r="B53" s="137" t="e">
        <f>(B28+B32+B38+B42+B49)*days_yr</f>
        <v>#VALUE!</v>
      </c>
      <c r="C53" s="305"/>
      <c r="D53" s="137" t="e">
        <f>(D28+D32+D38+D42+D49)*days_yr</f>
        <v>#VALUE!</v>
      </c>
      <c r="E53" s="305"/>
      <c r="F53" s="137" t="e">
        <f>(F28+F32+F38+F42+F49)*days_yr</f>
        <v>#VALUE!</v>
      </c>
      <c r="G53" s="305"/>
      <c r="H53" s="137" t="e">
        <f>(H28+H32+H38+H42+H49)*days_yr</f>
        <v>#VALUE!</v>
      </c>
      <c r="I53" s="305"/>
      <c r="J53" s="137" t="e">
        <f>(J28+J32+J38+J42+J49)*days_yr</f>
        <v>#VALUE!</v>
      </c>
      <c r="L53" s="137" t="e">
        <f>(L28+L32+L38+L42+L49)*days_yr</f>
        <v>#VALUE!</v>
      </c>
      <c r="M53" s="305"/>
      <c r="N53" s="137" t="e">
        <f>(N28+N32+N38+N42+N49)*days_yr</f>
        <v>#VALUE!</v>
      </c>
      <c r="O53" s="305"/>
      <c r="P53" s="137" t="e">
        <f>(P28+P32+P38+P42+P49)*days_yr</f>
        <v>#VALUE!</v>
      </c>
      <c r="Q53" s="305"/>
      <c r="R53" s="137" t="e">
        <f>(R28+R32+R38+R42+R49)*days_yr</f>
        <v>#VALUE!</v>
      </c>
      <c r="S53" s="305"/>
      <c r="T53" s="137" t="e">
        <f>(T28+T32+T38+T42+T49)*days_yr</f>
        <v>#VALUE!</v>
      </c>
      <c r="U53" s="305"/>
    </row>
    <row r="54" spans="1:21" ht="15.75" customHeight="1" x14ac:dyDescent="0.25">
      <c r="A54" s="168" t="s">
        <v>229</v>
      </c>
      <c r="B54" s="138">
        <v>0</v>
      </c>
      <c r="C54" s="442"/>
      <c r="D54" s="138">
        <v>0</v>
      </c>
      <c r="E54" s="442"/>
      <c r="F54" s="138">
        <v>0</v>
      </c>
      <c r="G54" s="442"/>
      <c r="H54" s="138">
        <v>0</v>
      </c>
      <c r="I54" s="442"/>
      <c r="J54" s="138">
        <v>0</v>
      </c>
      <c r="K54" s="441"/>
      <c r="L54" s="138">
        <v>0</v>
      </c>
      <c r="M54" s="442"/>
      <c r="N54" s="138">
        <v>0</v>
      </c>
      <c r="O54" s="442"/>
      <c r="P54" s="138">
        <v>0</v>
      </c>
      <c r="Q54" s="442"/>
      <c r="R54" s="138">
        <v>0</v>
      </c>
      <c r="S54" s="442"/>
      <c r="T54" s="138">
        <v>0</v>
      </c>
      <c r="U54" s="442"/>
    </row>
    <row r="55" spans="1:21" ht="15.75" customHeight="1" x14ac:dyDescent="0.25">
      <c r="A55" s="168" t="s">
        <v>207</v>
      </c>
      <c r="B55" s="138" t="e">
        <f>(B53+B54)</f>
        <v>#VALUE!</v>
      </c>
      <c r="C55" s="305"/>
      <c r="D55" s="138" t="e">
        <f>(D53+D54)</f>
        <v>#VALUE!</v>
      </c>
      <c r="E55" s="305"/>
      <c r="F55" s="138" t="e">
        <f>(F53+F54)</f>
        <v>#VALUE!</v>
      </c>
      <c r="G55" s="305"/>
      <c r="H55" s="138" t="e">
        <f>(H53+H54)</f>
        <v>#VALUE!</v>
      </c>
      <c r="I55" s="305"/>
      <c r="J55" s="138" t="e">
        <f>(J53+J54)</f>
        <v>#VALUE!</v>
      </c>
      <c r="L55" s="138" t="e">
        <f>(L53+L54)</f>
        <v>#VALUE!</v>
      </c>
      <c r="M55" s="305"/>
      <c r="N55" s="138" t="e">
        <f>(N53+N54)</f>
        <v>#VALUE!</v>
      </c>
      <c r="O55" s="305"/>
      <c r="P55" s="138" t="e">
        <f>(P53+P54)</f>
        <v>#VALUE!</v>
      </c>
      <c r="Q55" s="305"/>
      <c r="R55" s="138" t="e">
        <f>(R53+R54)</f>
        <v>#VALUE!</v>
      </c>
      <c r="S55" s="305"/>
      <c r="T55" s="138" t="e">
        <f>(T53+T54)</f>
        <v>#VALUE!</v>
      </c>
      <c r="U55" s="305"/>
    </row>
    <row r="56" spans="1:21" ht="15.75" customHeight="1" x14ac:dyDescent="0.25">
      <c r="A56" s="168" t="s">
        <v>230</v>
      </c>
      <c r="B56" s="138" t="e">
        <f>(B45+B46)*days_yr</f>
        <v>#VALUE!</v>
      </c>
      <c r="C56" s="305"/>
      <c r="D56" s="138" t="e">
        <f>(D45+D46)*days_yr</f>
        <v>#VALUE!</v>
      </c>
      <c r="E56" s="305"/>
      <c r="F56" s="138" t="e">
        <f>(F45+F46)*days_yr</f>
        <v>#VALUE!</v>
      </c>
      <c r="G56" s="305"/>
      <c r="H56" s="138" t="e">
        <f>(H45+H46)*days_yr</f>
        <v>#VALUE!</v>
      </c>
      <c r="I56" s="305"/>
      <c r="J56" s="138" t="e">
        <f>(J45+J46)*days_yr</f>
        <v>#VALUE!</v>
      </c>
      <c r="L56" s="138" t="e">
        <f>(L45+L46)*days_yr</f>
        <v>#VALUE!</v>
      </c>
      <c r="M56" s="305"/>
      <c r="N56" s="138" t="e">
        <f>(N45+N46)*days_yr</f>
        <v>#VALUE!</v>
      </c>
      <c r="O56" s="305"/>
      <c r="P56" s="138" t="e">
        <f>(P45+P46)*days_yr</f>
        <v>#VALUE!</v>
      </c>
      <c r="Q56" s="305"/>
      <c r="R56" s="138" t="e">
        <f>(R45+R46)*days_yr</f>
        <v>#VALUE!</v>
      </c>
      <c r="S56" s="305"/>
      <c r="T56" s="138" t="e">
        <f>(T45+T46)*days_yr</f>
        <v>#VALUE!</v>
      </c>
      <c r="U56" s="305"/>
    </row>
    <row r="57" spans="1:21" ht="15.75" customHeight="1" thickBot="1" x14ac:dyDescent="0.3">
      <c r="A57" s="169" t="s">
        <v>232</v>
      </c>
      <c r="B57" s="140" t="s">
        <v>102</v>
      </c>
      <c r="C57" s="351"/>
      <c r="D57" s="140" t="s">
        <v>102</v>
      </c>
      <c r="E57" s="351"/>
      <c r="F57" s="140" t="s">
        <v>102</v>
      </c>
      <c r="G57" s="351"/>
      <c r="H57" s="140" t="s">
        <v>102</v>
      </c>
      <c r="I57" s="351"/>
      <c r="J57" s="140" t="s">
        <v>102</v>
      </c>
      <c r="K57" s="430"/>
      <c r="L57" s="140" t="s">
        <v>102</v>
      </c>
      <c r="M57" s="351"/>
      <c r="N57" s="140" t="s">
        <v>102</v>
      </c>
      <c r="O57" s="351"/>
      <c r="P57" s="140" t="s">
        <v>102</v>
      </c>
      <c r="Q57" s="351"/>
      <c r="R57" s="140" t="s">
        <v>102</v>
      </c>
      <c r="S57" s="351"/>
      <c r="T57" s="140" t="s">
        <v>102</v>
      </c>
      <c r="U57" s="351"/>
    </row>
    <row r="59" spans="1:21" s="105" customFormat="1" ht="18" x14ac:dyDescent="0.25">
      <c r="A59" s="176" t="s">
        <v>97</v>
      </c>
      <c r="B59" s="155"/>
    </row>
    <row r="60" spans="1:21" s="105" customFormat="1" ht="54.75" customHeight="1" x14ac:dyDescent="0.2">
      <c r="A60" s="1297" t="s">
        <v>120</v>
      </c>
      <c r="B60" s="1336"/>
      <c r="C60" s="1336"/>
    </row>
    <row r="61" spans="1:21" s="105" customFormat="1" ht="15.75" customHeight="1" x14ac:dyDescent="0.2">
      <c r="A61" s="1035"/>
      <c r="B61" s="1234" t="s">
        <v>110</v>
      </c>
      <c r="C61" s="1235"/>
      <c r="D61" s="1235"/>
      <c r="E61" s="1236"/>
    </row>
    <row r="62" spans="1:21" x14ac:dyDescent="0.2">
      <c r="B62" s="1231" t="s">
        <v>31</v>
      </c>
      <c r="C62" s="1232"/>
      <c r="D62" s="1233"/>
      <c r="E62" s="563">
        <v>0</v>
      </c>
    </row>
    <row r="63" spans="1:21" x14ac:dyDescent="0.2">
      <c r="B63" s="1231" t="s">
        <v>32</v>
      </c>
      <c r="C63" s="1232"/>
      <c r="D63" s="1233"/>
      <c r="E63" s="564">
        <v>0</v>
      </c>
    </row>
    <row r="64" spans="1:21" x14ac:dyDescent="0.2">
      <c r="B64" s="1231" t="s">
        <v>615</v>
      </c>
      <c r="C64" s="1232"/>
      <c r="D64" s="1233"/>
      <c r="E64" s="565">
        <v>0</v>
      </c>
    </row>
    <row r="65" spans="2:5" ht="15" x14ac:dyDescent="0.25">
      <c r="B65" s="1231" t="s">
        <v>70</v>
      </c>
      <c r="C65" s="1232"/>
      <c r="D65" s="1233"/>
      <c r="E65" s="566">
        <v>0</v>
      </c>
    </row>
    <row r="66" spans="2:5" x14ac:dyDescent="0.2">
      <c r="B66" s="1231" t="s">
        <v>550</v>
      </c>
      <c r="C66" s="1232"/>
      <c r="D66" s="1233"/>
      <c r="E66" s="567">
        <v>0</v>
      </c>
    </row>
    <row r="67" spans="2:5" x14ac:dyDescent="0.2">
      <c r="B67" s="1231" t="s">
        <v>610</v>
      </c>
      <c r="C67" s="1232"/>
      <c r="D67" s="1233"/>
      <c r="E67" s="227">
        <v>0</v>
      </c>
    </row>
    <row r="77" spans="2:5" x14ac:dyDescent="0.2">
      <c r="B77" s="523"/>
      <c r="C77" s="524"/>
    </row>
    <row r="78" spans="2:5" x14ac:dyDescent="0.2">
      <c r="B78" s="490"/>
      <c r="C78" s="525"/>
      <c r="D78" s="183"/>
    </row>
    <row r="79" spans="2:5" x14ac:dyDescent="0.2">
      <c r="B79" s="523"/>
      <c r="C79" s="524"/>
    </row>
    <row r="80" spans="2:5" x14ac:dyDescent="0.2">
      <c r="B80" s="523"/>
      <c r="C80" s="183"/>
      <c r="D80" s="183"/>
    </row>
  </sheetData>
  <sheetProtection algorithmName="SHA-512" hashValue="57gOUz3zkdZMkKxRzRxX0DFIuvj6Ja2XiVN6ofhrLSPV+bPVNXAtDrl92FnuFoH0OshOT6HIwQq7nMmYyw5TNg==" saltValue="7mka9ZrNhyV1qA2SF+a/RQ==" spinCount="100000" sheet="1" objects="1" scenarios="1"/>
  <mergeCells count="38">
    <mergeCell ref="R3:S3"/>
    <mergeCell ref="R2:S2"/>
    <mergeCell ref="H2:I2"/>
    <mergeCell ref="J2:K2"/>
    <mergeCell ref="L2:M2"/>
    <mergeCell ref="N2:O2"/>
    <mergeCell ref="P2:Q2"/>
    <mergeCell ref="B61:E61"/>
    <mergeCell ref="T3:U3"/>
    <mergeCell ref="A5:U5"/>
    <mergeCell ref="A2:A3"/>
    <mergeCell ref="B2:C2"/>
    <mergeCell ref="D2:E2"/>
    <mergeCell ref="F2:G2"/>
    <mergeCell ref="T2:U2"/>
    <mergeCell ref="B3:C3"/>
    <mergeCell ref="D3:E3"/>
    <mergeCell ref="F3:G3"/>
    <mergeCell ref="H3:I3"/>
    <mergeCell ref="J3:K3"/>
    <mergeCell ref="L3:M3"/>
    <mergeCell ref="N3:O3"/>
    <mergeCell ref="P3:Q3"/>
    <mergeCell ref="A48:U48"/>
    <mergeCell ref="A51:U51"/>
    <mergeCell ref="A60:C60"/>
    <mergeCell ref="A22:U22"/>
    <mergeCell ref="A26:U26"/>
    <mergeCell ref="A30:U30"/>
    <mergeCell ref="A34:U34"/>
    <mergeCell ref="A40:U40"/>
    <mergeCell ref="A44:U44"/>
    <mergeCell ref="B67:D67"/>
    <mergeCell ref="B62:D62"/>
    <mergeCell ref="B63:D63"/>
    <mergeCell ref="B64:D64"/>
    <mergeCell ref="B65:D65"/>
    <mergeCell ref="B66:D66"/>
  </mergeCells>
  <dataValidations disablePrompts="1" count="5">
    <dataValidation type="list" allowBlank="1" showInputMessage="1" showErrorMessage="1" sqref="H6 L6 N6 B6 R6 D6 F6 P6 J6 T6" xr:uid="{00000000-0002-0000-1900-000000000000}">
      <formula1>Land_Application</formula1>
    </dataValidation>
    <dataValidation type="list" allowBlank="1" showInputMessage="1" showErrorMessage="1" sqref="P18 B18 R18 D18 F18 H18 J18 L18 N18 T18" xr:uid="{00000000-0002-0000-1900-000001000000}">
      <formula1>Climate_LandApp</formula1>
    </dataValidation>
    <dataValidation type="list" allowBlank="1" showInputMessage="1" showErrorMessage="1" sqref="H19:H20 J19:J20 L19:L20 N19:N20 P19:P20 F19:F20 B19:B20 R19:R20 D19:D20 T19:T20" xr:uid="{00000000-0002-0000-1900-000002000000}">
      <formula1>Yes_No</formula1>
    </dataValidation>
    <dataValidation type="list" allowBlank="1" showInputMessage="1" showErrorMessage="1" sqref="P11 B11 R11 D11 F11 H11 J11 L11 N11 T11" xr:uid="{00000000-0002-0000-1900-000003000000}">
      <formula1>Type_of_Biosolids</formula1>
    </dataValidation>
    <dataValidation type="list" allowBlank="1" showInputMessage="1" showErrorMessage="1" sqref="B41 D41 F41 H41 J41 L41 N41 P41 R41 T41" xr:uid="{00000000-0002-0000-1900-000004000000}">
      <formula1>C_seq</formula1>
    </dataValidation>
  </dataValidations>
  <pageMargins left="0.75" right="0.75" top="1" bottom="1" header="0.5" footer="0.5"/>
  <pageSetup scale="61"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U87"/>
  <sheetViews>
    <sheetView zoomScale="85" zoomScaleNormal="85" workbookViewId="0">
      <selection activeCell="C9" sqref="C9"/>
    </sheetView>
  </sheetViews>
  <sheetFormatPr defaultColWidth="11.42578125" defaultRowHeight="14.25" x14ac:dyDescent="0.2"/>
  <cols>
    <col min="1" max="1" width="79.140625" style="226" customWidth="1"/>
    <col min="2" max="2" width="17.85546875" style="226" customWidth="1"/>
    <col min="3" max="3" width="16.85546875" style="226" customWidth="1"/>
    <col min="4" max="4" width="17.85546875" style="226" customWidth="1"/>
    <col min="5" max="5" width="16.85546875" style="226" customWidth="1"/>
    <col min="6" max="6" width="17.85546875" style="226" customWidth="1"/>
    <col min="7" max="7" width="16.85546875" style="226" customWidth="1"/>
    <col min="8" max="8" width="17.85546875" style="226" customWidth="1"/>
    <col min="9" max="9" width="16.85546875" style="226" customWidth="1"/>
    <col min="10" max="10" width="17.85546875" style="226" customWidth="1"/>
    <col min="11" max="11" width="16.85546875" style="226" customWidth="1"/>
    <col min="12" max="12" width="17.85546875" style="226" customWidth="1"/>
    <col min="13" max="13" width="16.85546875" style="226" customWidth="1"/>
    <col min="14" max="14" width="17.85546875" style="226" customWidth="1"/>
    <col min="15" max="15" width="16.85546875" style="226" customWidth="1"/>
    <col min="16" max="16" width="17.85546875" style="226" customWidth="1"/>
    <col min="17" max="17" width="16.85546875" style="226" customWidth="1"/>
    <col min="18" max="18" width="17.85546875" style="226" customWidth="1"/>
    <col min="19" max="19" width="16.85546875" style="226" customWidth="1"/>
    <col min="20" max="20" width="17.85546875" style="226" customWidth="1"/>
    <col min="21" max="21" width="16.85546875" style="226" customWidth="1"/>
    <col min="22" max="16384" width="11.42578125" style="226"/>
  </cols>
  <sheetData>
    <row r="1" spans="1:21" ht="15" thickBot="1" x14ac:dyDescent="0.25"/>
    <row r="2" spans="1:21" ht="15.75" customHeight="1" x14ac:dyDescent="0.2">
      <c r="A2" s="1318" t="s">
        <v>222</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8" customHeight="1" thickBot="1" x14ac:dyDescent="0.25">
      <c r="A4" s="145" t="s">
        <v>104</v>
      </c>
      <c r="B4" s="186" t="s">
        <v>105</v>
      </c>
      <c r="C4" s="147" t="s">
        <v>103</v>
      </c>
      <c r="D4" s="186" t="s">
        <v>105</v>
      </c>
      <c r="E4" s="147" t="s">
        <v>103</v>
      </c>
      <c r="F4" s="186" t="s">
        <v>105</v>
      </c>
      <c r="G4" s="147" t="s">
        <v>103</v>
      </c>
      <c r="H4" s="186" t="s">
        <v>105</v>
      </c>
      <c r="I4" s="147" t="s">
        <v>103</v>
      </c>
      <c r="J4" s="186" t="s">
        <v>105</v>
      </c>
      <c r="K4" s="147" t="s">
        <v>103</v>
      </c>
      <c r="L4" s="186" t="s">
        <v>105</v>
      </c>
      <c r="M4" s="147" t="s">
        <v>103</v>
      </c>
      <c r="N4" s="186" t="s">
        <v>105</v>
      </c>
      <c r="O4" s="147" t="s">
        <v>103</v>
      </c>
      <c r="P4" s="186" t="s">
        <v>105</v>
      </c>
      <c r="Q4" s="147" t="s">
        <v>103</v>
      </c>
      <c r="R4" s="186" t="s">
        <v>105</v>
      </c>
      <c r="S4" s="147" t="s">
        <v>103</v>
      </c>
      <c r="T4" s="186" t="s">
        <v>105</v>
      </c>
      <c r="U4" s="147" t="s">
        <v>103</v>
      </c>
    </row>
    <row r="5" spans="1:21" ht="15.75" customHeight="1" thickBot="1" x14ac:dyDescent="0.3">
      <c r="A5" s="1300" t="s">
        <v>30</v>
      </c>
      <c r="B5" s="1301"/>
      <c r="C5" s="1301"/>
      <c r="D5" s="1301"/>
      <c r="E5" s="1301"/>
      <c r="F5" s="1301"/>
      <c r="G5" s="1301"/>
      <c r="H5" s="1301"/>
      <c r="I5" s="1301"/>
      <c r="J5" s="1301"/>
      <c r="K5" s="1301"/>
      <c r="L5" s="1301"/>
      <c r="M5" s="1301"/>
      <c r="N5" s="1301"/>
      <c r="O5" s="1301"/>
      <c r="P5" s="1301"/>
      <c r="Q5" s="1301"/>
      <c r="R5" s="1301"/>
      <c r="S5" s="1301"/>
      <c r="T5" s="1301"/>
      <c r="U5" s="1302"/>
    </row>
    <row r="6" spans="1:21" ht="15.75" customHeight="1" x14ac:dyDescent="0.2">
      <c r="A6" s="270" t="s">
        <v>13</v>
      </c>
      <c r="B6" s="1163" t="s">
        <v>130</v>
      </c>
      <c r="C6" s="1164" t="s">
        <v>130</v>
      </c>
      <c r="D6" s="1163"/>
      <c r="E6" s="1164" t="s">
        <v>130</v>
      </c>
      <c r="F6" s="1163"/>
      <c r="G6" s="1164" t="s">
        <v>130</v>
      </c>
      <c r="H6" s="1163"/>
      <c r="I6" s="1164" t="s">
        <v>130</v>
      </c>
      <c r="J6" s="1163"/>
      <c r="K6" s="1164" t="s">
        <v>130</v>
      </c>
      <c r="L6" s="1163"/>
      <c r="M6" s="1164" t="s">
        <v>130</v>
      </c>
      <c r="N6" s="1163"/>
      <c r="O6" s="1164" t="s">
        <v>130</v>
      </c>
      <c r="P6" s="1163"/>
      <c r="Q6" s="1164" t="s">
        <v>130</v>
      </c>
      <c r="R6" s="1163"/>
      <c r="S6" s="1164" t="s">
        <v>130</v>
      </c>
      <c r="T6" s="1163"/>
      <c r="U6" s="1164" t="s">
        <v>130</v>
      </c>
    </row>
    <row r="7" spans="1:21" ht="15.75" customHeight="1" x14ac:dyDescent="0.2">
      <c r="A7" s="451" t="s">
        <v>944</v>
      </c>
      <c r="B7" s="526">
        <f>VLOOKUP(B6,'Amount and Destination'!$AF16:$AH18,3,FALSE)/days_yr</f>
        <v>0</v>
      </c>
      <c r="C7" s="472"/>
      <c r="D7" s="526" t="e">
        <f>VLOOKUP(D6,'Amount and Destination'!$AF45:$AH47,3,FALSE)/days_yr</f>
        <v>#N/A</v>
      </c>
      <c r="E7" s="472"/>
      <c r="F7" s="526" t="e">
        <f>VLOOKUP(F6,'Amount and Destination'!$AF74:$AH76,3,FALSE)/days_yr</f>
        <v>#N/A</v>
      </c>
      <c r="G7" s="472"/>
      <c r="H7" s="526" t="e">
        <f>VLOOKUP(H6,'Amount and Destination'!$AF103:$AH105,3,FALSE)/days_yr</f>
        <v>#N/A</v>
      </c>
      <c r="I7" s="472"/>
      <c r="J7" s="526" t="e">
        <f>VLOOKUP(J6,'Amount and Destination'!$AF132:$AH134,3,FALSE)/days_yr</f>
        <v>#N/A</v>
      </c>
      <c r="K7" s="472"/>
      <c r="L7" s="526" t="e">
        <f>VLOOKUP(L6,'Amount and Destination'!$AF161:$AH163,3,FALSE)/days_yr</f>
        <v>#N/A</v>
      </c>
      <c r="M7" s="472"/>
      <c r="N7" s="1162" t="e">
        <f>VLOOKUP(N6,'Amount and Destination'!$AF190:$AH192,3,FALSE)/days_yr</f>
        <v>#N/A</v>
      </c>
      <c r="O7" s="472"/>
      <c r="P7" s="526" t="e">
        <f>VLOOKUP(P6,'Amount and Destination'!$AF219:$AH221,3,FALSE)/days_yr</f>
        <v>#N/A</v>
      </c>
      <c r="Q7" s="472"/>
      <c r="R7" s="526" t="e">
        <f>VLOOKUP(R6,'Amount and Destination'!$AF248:$AH250,3,FALSE)/days_yr</f>
        <v>#N/A</v>
      </c>
      <c r="S7" s="472"/>
      <c r="T7" s="526" t="e">
        <f>VLOOKUP(T6,'Amount and Destination'!$AF277:$AH279,3,FALSE)/days_yr</f>
        <v>#N/A</v>
      </c>
      <c r="U7" s="472"/>
    </row>
    <row r="8" spans="1:21" ht="15.75" customHeight="1" x14ac:dyDescent="0.2">
      <c r="A8" s="245" t="s">
        <v>945</v>
      </c>
      <c r="B8" s="889">
        <f>Mean_solids</f>
        <v>7.1999999999999995E-2</v>
      </c>
      <c r="C8" s="264"/>
      <c r="D8" s="889">
        <f>Mean_solids</f>
        <v>7.1999999999999995E-2</v>
      </c>
      <c r="E8" s="264"/>
      <c r="F8" s="889">
        <f>Mean_solids</f>
        <v>7.1999999999999995E-2</v>
      </c>
      <c r="G8" s="264"/>
      <c r="H8" s="889">
        <f>Mean_solids</f>
        <v>7.1999999999999995E-2</v>
      </c>
      <c r="I8" s="264"/>
      <c r="J8" s="889">
        <f>Mean_solids</f>
        <v>7.1999999999999995E-2</v>
      </c>
      <c r="K8" s="264"/>
      <c r="L8" s="889">
        <f>Mean_solids</f>
        <v>7.1999999999999995E-2</v>
      </c>
      <c r="M8" s="264"/>
      <c r="N8" s="889">
        <f>Mean_solids</f>
        <v>7.1999999999999995E-2</v>
      </c>
      <c r="O8" s="264"/>
      <c r="P8" s="889">
        <f>Mean_solids</f>
        <v>7.1999999999999995E-2</v>
      </c>
      <c r="Q8" s="264"/>
      <c r="R8" s="889">
        <f>Mean_solids</f>
        <v>7.1999999999999995E-2</v>
      </c>
      <c r="S8" s="264"/>
      <c r="T8" s="889">
        <f>Mean_solids</f>
        <v>7.1999999999999995E-2</v>
      </c>
      <c r="U8" s="264"/>
    </row>
    <row r="9" spans="1:21" ht="15.75" customHeight="1" x14ac:dyDescent="0.2">
      <c r="A9" s="245" t="s">
        <v>210</v>
      </c>
      <c r="B9" s="293">
        <f>+IFERROR(B7*B8,"N/A")</f>
        <v>0</v>
      </c>
      <c r="C9" s="473"/>
      <c r="D9" s="293" t="str">
        <f>+IFERROR(D7*D8,"N/A")</f>
        <v>N/A</v>
      </c>
      <c r="E9" s="473"/>
      <c r="F9" s="293" t="str">
        <f>+IFERROR(F7*F8,"N/A")</f>
        <v>N/A</v>
      </c>
      <c r="G9" s="473"/>
      <c r="H9" s="293" t="str">
        <f>+IFERROR(H7*H8,"N/A")</f>
        <v>N/A</v>
      </c>
      <c r="I9" s="473"/>
      <c r="J9" s="293" t="str">
        <f>+IFERROR(J7*J8,"N/A")</f>
        <v>N/A</v>
      </c>
      <c r="K9" s="473"/>
      <c r="L9" s="293" t="str">
        <f>+IFERROR(L7*L8,"N/A")</f>
        <v>N/A</v>
      </c>
      <c r="M9" s="473"/>
      <c r="N9" s="293" t="str">
        <f>+IFERROR(N7*N8,"N/A")</f>
        <v>N/A</v>
      </c>
      <c r="O9" s="473"/>
      <c r="P9" s="293" t="str">
        <f>+IFERROR(P7*P8,"N/A")</f>
        <v>N/A</v>
      </c>
      <c r="Q9" s="473"/>
      <c r="R9" s="293" t="str">
        <f>+IFERROR(R7*R8,"N/A")</f>
        <v>N/A</v>
      </c>
      <c r="S9" s="473"/>
      <c r="T9" s="293" t="str">
        <f>+IFERROR(T7*T8,"N/A")</f>
        <v>N/A</v>
      </c>
      <c r="U9" s="473"/>
    </row>
    <row r="10" spans="1:21" ht="15.75" customHeight="1" x14ac:dyDescent="0.2">
      <c r="A10" s="245" t="s">
        <v>946</v>
      </c>
      <c r="B10" s="9" t="s">
        <v>304</v>
      </c>
      <c r="C10" s="404" t="s">
        <v>304</v>
      </c>
      <c r="D10" s="9"/>
      <c r="E10" s="404" t="s">
        <v>304</v>
      </c>
      <c r="F10" s="9"/>
      <c r="G10" s="404" t="s">
        <v>304</v>
      </c>
      <c r="H10" s="9"/>
      <c r="I10" s="404" t="s">
        <v>304</v>
      </c>
      <c r="J10" s="9"/>
      <c r="K10" s="404" t="s">
        <v>304</v>
      </c>
      <c r="L10" s="9"/>
      <c r="M10" s="404" t="s">
        <v>304</v>
      </c>
      <c r="N10" s="9"/>
      <c r="O10" s="404" t="s">
        <v>304</v>
      </c>
      <c r="P10" s="9"/>
      <c r="Q10" s="404" t="s">
        <v>304</v>
      </c>
      <c r="R10" s="9"/>
      <c r="S10" s="404" t="s">
        <v>304</v>
      </c>
      <c r="T10" s="9"/>
      <c r="U10" s="404" t="s">
        <v>304</v>
      </c>
    </row>
    <row r="11" spans="1:21" ht="15.75" customHeight="1" x14ac:dyDescent="0.2">
      <c r="A11" s="245" t="s">
        <v>264</v>
      </c>
      <c r="B11" s="872">
        <f>C11</f>
        <v>0.04</v>
      </c>
      <c r="C11" s="190">
        <f>+IF(B10='References Assumptions'!$C$340,Total_N_untreated, total_N_digested)</f>
        <v>0.04</v>
      </c>
      <c r="D11" s="872">
        <f>Analyses!$I$5</f>
        <v>2.5000000000000001E-2</v>
      </c>
      <c r="E11" s="190">
        <f>+IF(D10='References Assumptions'!$C$340,Total_N_untreated, total_N_digested)</f>
        <v>0.05</v>
      </c>
      <c r="F11" s="872">
        <f>Analyses!$I$5</f>
        <v>2.5000000000000001E-2</v>
      </c>
      <c r="G11" s="190">
        <f>+IF(F10='References Assumptions'!$C$340,Total_N_untreated, total_N_digested)</f>
        <v>0.05</v>
      </c>
      <c r="H11" s="872">
        <f>Analyses!$I$5</f>
        <v>2.5000000000000001E-2</v>
      </c>
      <c r="I11" s="190">
        <f>+IF(H10='References Assumptions'!$C$340,Total_N_untreated, total_N_digested)</f>
        <v>0.05</v>
      </c>
      <c r="J11" s="872">
        <f>Analyses!$I$5</f>
        <v>2.5000000000000001E-2</v>
      </c>
      <c r="K11" s="190">
        <f>+IF(J10='References Assumptions'!$C$340,Total_N_untreated, total_N_digested)</f>
        <v>0.05</v>
      </c>
      <c r="L11" s="872">
        <f>Analyses!$I$5</f>
        <v>2.5000000000000001E-2</v>
      </c>
      <c r="M11" s="190">
        <f>+IF(L10='References Assumptions'!$C$340,Total_N_untreated, total_N_digested)</f>
        <v>0.05</v>
      </c>
      <c r="N11" s="872">
        <f>Analyses!$I$5</f>
        <v>2.5000000000000001E-2</v>
      </c>
      <c r="O11" s="190">
        <f>+IF(N10='References Assumptions'!$C$340,Total_N_untreated, total_N_digested)</f>
        <v>0.05</v>
      </c>
      <c r="P11" s="872">
        <f>Analyses!$I$5</f>
        <v>2.5000000000000001E-2</v>
      </c>
      <c r="Q11" s="190">
        <f>+IF(P10='References Assumptions'!$C$340,Total_N_untreated, total_N_digested)</f>
        <v>0.05</v>
      </c>
      <c r="R11" s="872">
        <f>Analyses!$I$5</f>
        <v>2.5000000000000001E-2</v>
      </c>
      <c r="S11" s="190">
        <f>+IF(R10='References Assumptions'!$C$340,Total_N_untreated, total_N_digested)</f>
        <v>0.05</v>
      </c>
      <c r="T11" s="872">
        <f>Analyses!$I$5</f>
        <v>2.5000000000000001E-2</v>
      </c>
      <c r="U11" s="190">
        <f>+IF(T10='References Assumptions'!$C$340,Total_N_untreated, total_N_digested)</f>
        <v>0.05</v>
      </c>
    </row>
    <row r="12" spans="1:21" ht="15.75" customHeight="1" x14ac:dyDescent="0.2">
      <c r="A12" s="245" t="s">
        <v>245</v>
      </c>
      <c r="B12" s="872">
        <f>C12</f>
        <v>1.4999999999999999E-2</v>
      </c>
      <c r="C12" s="190">
        <f>+IF(B10='References Assumptions'!$C$340, Total_P_untreated, Total_P_digested)</f>
        <v>1.4999999999999999E-2</v>
      </c>
      <c r="D12" s="872">
        <f>Analyses!$J$5</f>
        <v>1.2999999999999999E-2</v>
      </c>
      <c r="E12" s="190">
        <f>+IF(D10='References Assumptions'!$C$340, Total_P_untreated, Total_P_digested)</f>
        <v>1.9E-2</v>
      </c>
      <c r="F12" s="872">
        <f>Analyses!$J$5</f>
        <v>1.2999999999999999E-2</v>
      </c>
      <c r="G12" s="190">
        <f>+IF(F10='References Assumptions'!$C$340, Total_P_untreated, Total_P_digested)</f>
        <v>1.9E-2</v>
      </c>
      <c r="H12" s="872">
        <f>Analyses!$J$5</f>
        <v>1.2999999999999999E-2</v>
      </c>
      <c r="I12" s="190">
        <f>+IF(H10='References Assumptions'!$C$340, Total_P_untreated, Total_P_digested)</f>
        <v>1.9E-2</v>
      </c>
      <c r="J12" s="872">
        <f>Analyses!$J$5</f>
        <v>1.2999999999999999E-2</v>
      </c>
      <c r="K12" s="190">
        <f>+IF(J10='References Assumptions'!$C$340, Total_P_untreated, Total_P_digested)</f>
        <v>1.9E-2</v>
      </c>
      <c r="L12" s="872">
        <f>Analyses!$J$5</f>
        <v>1.2999999999999999E-2</v>
      </c>
      <c r="M12" s="190">
        <f>+IF(L10='References Assumptions'!$C$340, Total_P_untreated, Total_P_digested)</f>
        <v>1.9E-2</v>
      </c>
      <c r="N12" s="872">
        <f>Analyses!$J$5</f>
        <v>1.2999999999999999E-2</v>
      </c>
      <c r="O12" s="190">
        <f>+IF(N10='References Assumptions'!$C$340, Total_P_untreated, Total_P_digested)</f>
        <v>1.9E-2</v>
      </c>
      <c r="P12" s="872">
        <f>Analyses!$J$5</f>
        <v>1.2999999999999999E-2</v>
      </c>
      <c r="Q12" s="190">
        <f>+IF(P10='References Assumptions'!$C$340, Total_P_untreated, Total_P_digested)</f>
        <v>1.9E-2</v>
      </c>
      <c r="R12" s="872">
        <f>Analyses!$J$5</f>
        <v>1.2999999999999999E-2</v>
      </c>
      <c r="S12" s="190">
        <f>+IF(R10='References Assumptions'!$C$340, Total_P_untreated, Total_P_digested)</f>
        <v>1.9E-2</v>
      </c>
      <c r="T12" s="872">
        <f>Analyses!$J$5</f>
        <v>1.2999999999999999E-2</v>
      </c>
      <c r="U12" s="190">
        <f>+IF(T10='References Assumptions'!$C$340, Total_P_untreated, Total_P_digested)</f>
        <v>1.9E-2</v>
      </c>
    </row>
    <row r="13" spans="1:21" ht="15.75" customHeight="1" x14ac:dyDescent="0.2">
      <c r="A13" s="245" t="s">
        <v>947</v>
      </c>
      <c r="B13" s="872">
        <f>Analyses!$G$5</f>
        <v>0.94386666666666685</v>
      </c>
      <c r="C13" s="190">
        <f>+IF(B10='References Assumptions'!$C$340, TVS_untreated, TVS_digested)</f>
        <v>0.78</v>
      </c>
      <c r="D13" s="872">
        <f>Analyses!$G$5</f>
        <v>0.94386666666666685</v>
      </c>
      <c r="E13" s="190">
        <f>+IF(D10='References Assumptions'!$C$340, TVS_untreated, TVS_digested)</f>
        <v>0.65</v>
      </c>
      <c r="F13" s="872">
        <f>Analyses!$G$5</f>
        <v>0.94386666666666685</v>
      </c>
      <c r="G13" s="190">
        <f>+IF(F10='References Assumptions'!$C$340, TVS_untreated, TVS_digested)</f>
        <v>0.65</v>
      </c>
      <c r="H13" s="872">
        <f>Analyses!$G$5</f>
        <v>0.94386666666666685</v>
      </c>
      <c r="I13" s="190">
        <f>+IF(H10='References Assumptions'!$C$340, TVS_untreated, TVS_digested)</f>
        <v>0.65</v>
      </c>
      <c r="J13" s="872">
        <f>Analyses!$G$5</f>
        <v>0.94386666666666685</v>
      </c>
      <c r="K13" s="190">
        <f>+IF(J10='References Assumptions'!$C$340, TVS_untreated, TVS_digested)</f>
        <v>0.65</v>
      </c>
      <c r="L13" s="872">
        <f>Analyses!$G$5</f>
        <v>0.94386666666666685</v>
      </c>
      <c r="M13" s="190">
        <f>+IF(L10='References Assumptions'!$C$340, TVS_untreated, TVS_digested)</f>
        <v>0.65</v>
      </c>
      <c r="N13" s="872">
        <f>Analyses!$G$5</f>
        <v>0.94386666666666685</v>
      </c>
      <c r="O13" s="190">
        <f>+IF(N10='References Assumptions'!$C$340, TVS_untreated, TVS_digested)</f>
        <v>0.65</v>
      </c>
      <c r="P13" s="872">
        <f>Analyses!$G$5</f>
        <v>0.94386666666666685</v>
      </c>
      <c r="Q13" s="190">
        <f>+IF(P10='References Assumptions'!$C$340, TVS_untreated, TVS_digested)</f>
        <v>0.65</v>
      </c>
      <c r="R13" s="872">
        <f>Analyses!$G$5</f>
        <v>0.94386666666666685</v>
      </c>
      <c r="S13" s="190">
        <f>+IF(R10='References Assumptions'!$C$340, TVS_untreated, TVS_digested)</f>
        <v>0.65</v>
      </c>
      <c r="T13" s="872">
        <f>Analyses!$G$5</f>
        <v>0.94386666666666685</v>
      </c>
      <c r="U13" s="190">
        <f>+IF(T10='References Assumptions'!$C$340, TVS_untreated, TVS_digested)</f>
        <v>0.65</v>
      </c>
    </row>
    <row r="14" spans="1:21" ht="15.75" customHeight="1" x14ac:dyDescent="0.2">
      <c r="A14" s="245" t="s">
        <v>652</v>
      </c>
      <c r="B14" s="600">
        <f>IFERROR(B9*(1-B13),"N/A")</f>
        <v>0</v>
      </c>
      <c r="C14" s="474"/>
      <c r="D14" s="600" t="str">
        <f>IFERROR(D9*(1-D13),"N/A")</f>
        <v>N/A</v>
      </c>
      <c r="E14" s="474"/>
      <c r="F14" s="600" t="str">
        <f>IFERROR(F9*(1-F13),"N/A")</f>
        <v>N/A</v>
      </c>
      <c r="G14" s="474"/>
      <c r="H14" s="600" t="str">
        <f>IFERROR(H9*(1-H13),"N/A")</f>
        <v>N/A</v>
      </c>
      <c r="I14" s="474"/>
      <c r="J14" s="600" t="str">
        <f>IFERROR(J9*(1-J13),"N/A")</f>
        <v>N/A</v>
      </c>
      <c r="K14" s="474"/>
      <c r="L14" s="600" t="str">
        <f>IFERROR(L9*(1-L13),"N/A")</f>
        <v>N/A</v>
      </c>
      <c r="M14" s="474"/>
      <c r="N14" s="600" t="str">
        <f>IFERROR(N9*(1-N13),"N/A")</f>
        <v>N/A</v>
      </c>
      <c r="O14" s="474"/>
      <c r="P14" s="600" t="str">
        <f>IFERROR(P9*(1-P13),"N/A")</f>
        <v>N/A</v>
      </c>
      <c r="Q14" s="474"/>
      <c r="R14" s="600" t="str">
        <f>IFERROR(R9*(1-R13),"N/A")</f>
        <v>N/A</v>
      </c>
      <c r="S14" s="474"/>
      <c r="T14" s="600" t="str">
        <f>IFERROR(T9*(1-T13),"N/A")</f>
        <v>N/A</v>
      </c>
      <c r="U14" s="474"/>
    </row>
    <row r="15" spans="1:21" ht="15.75" customHeight="1" x14ac:dyDescent="0.2">
      <c r="A15" s="245" t="s">
        <v>654</v>
      </c>
      <c r="B15" s="605" t="str">
        <f>IFERROR(B14/percent_solids_after_combustion,"N/A")</f>
        <v>N/A</v>
      </c>
      <c r="C15" s="474"/>
      <c r="D15" s="605" t="str">
        <f>IFERROR(D14/percent_solids_after_combustion,"N/A")</f>
        <v>N/A</v>
      </c>
      <c r="E15" s="474"/>
      <c r="F15" s="605" t="str">
        <f>IFERROR(F14/percent_solids_after_combustion,"N/A")</f>
        <v>N/A</v>
      </c>
      <c r="G15" s="474"/>
      <c r="H15" s="605" t="str">
        <f>IFERROR(H14/percent_solids_after_combustion,"N/A")</f>
        <v>N/A</v>
      </c>
      <c r="I15" s="474"/>
      <c r="J15" s="605" t="str">
        <f>IFERROR(J14/percent_solids_after_combustion,"N/A")</f>
        <v>N/A</v>
      </c>
      <c r="K15" s="474"/>
      <c r="L15" s="605" t="str">
        <f>IFERROR(L14/percent_solids_after_combustion,"N/A")</f>
        <v>N/A</v>
      </c>
      <c r="M15" s="474"/>
      <c r="N15" s="605" t="str">
        <f>IFERROR(N14/percent_solids_after_combustion,"N/A")</f>
        <v>N/A</v>
      </c>
      <c r="O15" s="474"/>
      <c r="P15" s="605" t="str">
        <f>IFERROR(P14/percent_solids_after_combustion,"N/A")</f>
        <v>N/A</v>
      </c>
      <c r="Q15" s="474"/>
      <c r="R15" s="605" t="str">
        <f>IFERROR(R14/percent_solids_after_combustion,"N/A")</f>
        <v>N/A</v>
      </c>
      <c r="S15" s="474"/>
      <c r="T15" s="605" t="str">
        <f>IFERROR(T14/percent_solids_after_combustion,"N/A")</f>
        <v>N/A</v>
      </c>
      <c r="U15" s="474"/>
    </row>
    <row r="16" spans="1:21" ht="15.75" customHeight="1" x14ac:dyDescent="0.2">
      <c r="A16" s="245" t="s">
        <v>215</v>
      </c>
      <c r="B16" s="12"/>
      <c r="C16" s="474"/>
      <c r="D16" s="12"/>
      <c r="E16" s="474"/>
      <c r="F16" s="12"/>
      <c r="G16" s="474"/>
      <c r="H16" s="12"/>
      <c r="I16" s="474"/>
      <c r="J16" s="12"/>
      <c r="K16" s="474"/>
      <c r="L16" s="12"/>
      <c r="M16" s="474"/>
      <c r="N16" s="12"/>
      <c r="O16" s="474"/>
      <c r="P16" s="12"/>
      <c r="Q16" s="474"/>
      <c r="R16" s="12"/>
      <c r="S16" s="474"/>
      <c r="T16" s="12"/>
      <c r="U16" s="474"/>
    </row>
    <row r="17" spans="1:21" ht="15.75" customHeight="1" x14ac:dyDescent="0.2">
      <c r="A17" s="245" t="s">
        <v>314</v>
      </c>
      <c r="B17" s="12"/>
      <c r="C17" s="474"/>
      <c r="D17" s="12"/>
      <c r="E17" s="474"/>
      <c r="F17" s="12"/>
      <c r="G17" s="474"/>
      <c r="H17" s="12"/>
      <c r="I17" s="474"/>
      <c r="J17" s="12"/>
      <c r="K17" s="474"/>
      <c r="L17" s="12"/>
      <c r="M17" s="474"/>
      <c r="N17" s="12"/>
      <c r="O17" s="474"/>
      <c r="P17" s="12"/>
      <c r="Q17" s="474"/>
      <c r="R17" s="12"/>
      <c r="S17" s="474"/>
      <c r="T17" s="12"/>
      <c r="U17" s="474"/>
    </row>
    <row r="18" spans="1:21" ht="15.75" customHeight="1" x14ac:dyDescent="0.2">
      <c r="A18" s="245" t="s">
        <v>126</v>
      </c>
      <c r="B18" s="9" t="s">
        <v>92</v>
      </c>
      <c r="C18" s="404" t="s">
        <v>116</v>
      </c>
      <c r="D18" s="9"/>
      <c r="E18" s="404" t="s">
        <v>116</v>
      </c>
      <c r="F18" s="9"/>
      <c r="G18" s="404" t="s">
        <v>116</v>
      </c>
      <c r="H18" s="9"/>
      <c r="I18" s="404" t="s">
        <v>116</v>
      </c>
      <c r="J18" s="9"/>
      <c r="K18" s="404" t="s">
        <v>116</v>
      </c>
      <c r="L18" s="9"/>
      <c r="M18" s="404" t="s">
        <v>116</v>
      </c>
      <c r="N18" s="9"/>
      <c r="O18" s="404" t="s">
        <v>116</v>
      </c>
      <c r="P18" s="9"/>
      <c r="Q18" s="404" t="s">
        <v>116</v>
      </c>
      <c r="R18" s="9"/>
      <c r="S18" s="404" t="s">
        <v>116</v>
      </c>
      <c r="T18" s="9"/>
      <c r="U18" s="404" t="s">
        <v>116</v>
      </c>
    </row>
    <row r="19" spans="1:21" ht="15.75" customHeight="1" x14ac:dyDescent="0.2">
      <c r="A19" s="245" t="s">
        <v>84</v>
      </c>
      <c r="B19" s="9" t="s">
        <v>304</v>
      </c>
      <c r="C19" s="404" t="s">
        <v>304</v>
      </c>
      <c r="D19" s="9"/>
      <c r="E19" s="404" t="s">
        <v>304</v>
      </c>
      <c r="F19" s="9"/>
      <c r="G19" s="404" t="s">
        <v>304</v>
      </c>
      <c r="H19" s="9"/>
      <c r="I19" s="404" t="s">
        <v>304</v>
      </c>
      <c r="J19" s="9"/>
      <c r="K19" s="404" t="s">
        <v>304</v>
      </c>
      <c r="L19" s="9"/>
      <c r="M19" s="404" t="s">
        <v>304</v>
      </c>
      <c r="N19" s="9"/>
      <c r="O19" s="404" t="s">
        <v>304</v>
      </c>
      <c r="P19" s="9"/>
      <c r="Q19" s="404" t="s">
        <v>304</v>
      </c>
      <c r="R19" s="9"/>
      <c r="S19" s="404" t="s">
        <v>304</v>
      </c>
      <c r="T19" s="9"/>
      <c r="U19" s="404" t="s">
        <v>304</v>
      </c>
    </row>
    <row r="20" spans="1:21" ht="15.75" customHeight="1" x14ac:dyDescent="0.2">
      <c r="A20" s="245" t="s">
        <v>948</v>
      </c>
      <c r="B20" s="8">
        <v>850</v>
      </c>
      <c r="C20" s="198">
        <v>850</v>
      </c>
      <c r="D20" s="8"/>
      <c r="E20" s="198">
        <v>850</v>
      </c>
      <c r="F20" s="8"/>
      <c r="G20" s="198">
        <v>850</v>
      </c>
      <c r="H20" s="8"/>
      <c r="I20" s="198">
        <v>850</v>
      </c>
      <c r="J20" s="8"/>
      <c r="K20" s="198">
        <v>850</v>
      </c>
      <c r="L20" s="8"/>
      <c r="M20" s="198">
        <v>850</v>
      </c>
      <c r="N20" s="8"/>
      <c r="O20" s="198">
        <v>850</v>
      </c>
      <c r="P20" s="8"/>
      <c r="Q20" s="198">
        <v>850</v>
      </c>
      <c r="R20" s="8"/>
      <c r="S20" s="198">
        <v>850</v>
      </c>
      <c r="T20" s="8"/>
      <c r="U20" s="198">
        <v>850</v>
      </c>
    </row>
    <row r="21" spans="1:21" ht="15.75" customHeight="1" thickBot="1" x14ac:dyDescent="0.25">
      <c r="A21" s="475"/>
      <c r="B21" s="603"/>
      <c r="C21" s="604"/>
      <c r="D21" s="476"/>
      <c r="E21" s="477"/>
      <c r="F21" s="476"/>
      <c r="G21" s="477"/>
      <c r="H21" s="476"/>
      <c r="I21" s="477"/>
      <c r="J21" s="476"/>
      <c r="K21" s="477"/>
      <c r="L21" s="476"/>
      <c r="M21" s="477"/>
      <c r="N21" s="476"/>
      <c r="O21" s="477"/>
      <c r="P21" s="476"/>
      <c r="Q21" s="477"/>
      <c r="R21" s="476"/>
      <c r="S21" s="477"/>
      <c r="T21" s="476"/>
      <c r="U21" s="477"/>
    </row>
    <row r="22" spans="1:21" ht="15.75" customHeight="1" thickBot="1" x14ac:dyDescent="0.3">
      <c r="A22" s="1300" t="s">
        <v>153</v>
      </c>
      <c r="B22" s="1301"/>
      <c r="C22" s="1301"/>
      <c r="D22" s="1301"/>
      <c r="E22" s="1301"/>
      <c r="F22" s="1301"/>
      <c r="G22" s="1301"/>
      <c r="H22" s="1301"/>
      <c r="I22" s="1301"/>
      <c r="J22" s="1301"/>
      <c r="K22" s="1301"/>
      <c r="L22" s="1301"/>
      <c r="M22" s="1301"/>
      <c r="N22" s="1301"/>
      <c r="O22" s="1301"/>
      <c r="P22" s="1301"/>
      <c r="Q22" s="1301"/>
      <c r="R22" s="1301"/>
      <c r="S22" s="1301"/>
      <c r="T22" s="1301"/>
      <c r="U22" s="1302"/>
    </row>
    <row r="23" spans="1:21" ht="15.75" customHeight="1" x14ac:dyDescent="0.2">
      <c r="A23" s="451" t="s">
        <v>293</v>
      </c>
      <c r="B23" s="478"/>
      <c r="C23" s="328">
        <f>+IFERROR((B7*(1-B8)*energy_to_remove_h2o_from_sludge_MandE)*GJ_to_Btu_conversion,"N/A")</f>
        <v>0</v>
      </c>
      <c r="D23" s="263"/>
      <c r="E23" s="328" t="str">
        <f>+IFERROR((D7*(1-D8)*energy_to_remove_h2o_from_sludge_MandE)*GJ_to_Btu_conversion,"N/A")</f>
        <v>N/A</v>
      </c>
      <c r="F23" s="478"/>
      <c r="G23" s="328" t="str">
        <f>+IFERROR((F7*(1-F8)*energy_to_remove_h2o_from_sludge_MandE)*GJ_to_Btu_conversion,"N/A")</f>
        <v>N/A</v>
      </c>
      <c r="H23" s="478"/>
      <c r="I23" s="328" t="str">
        <f>+IFERROR((H7*(1-H8)*energy_to_remove_h2o_from_sludge_MandE)*GJ_to_Btu_conversion,"N/A")</f>
        <v>N/A</v>
      </c>
      <c r="J23" s="478"/>
      <c r="K23" s="328" t="str">
        <f>+IFERROR((J7*(1-J8)*energy_to_remove_h2o_from_sludge_MandE)*GJ_to_Btu_conversion,"N/A")</f>
        <v>N/A</v>
      </c>
      <c r="L23" s="478"/>
      <c r="M23" s="328" t="str">
        <f>+IFERROR((L7*(1-L8)*energy_to_remove_h2o_from_sludge_MandE)*GJ_to_Btu_conversion,"N/A")</f>
        <v>N/A</v>
      </c>
      <c r="N23" s="478"/>
      <c r="O23" s="328" t="str">
        <f>+IFERROR((N7*(1-N8)*energy_to_remove_h2o_from_sludge_MandE)*GJ_to_Btu_conversion,"N/A")</f>
        <v>N/A</v>
      </c>
      <c r="P23" s="478"/>
      <c r="Q23" s="328" t="str">
        <f>+IFERROR((P7*(1-P8)*energy_to_remove_h2o_from_sludge_MandE)*GJ_to_Btu_conversion,"N/A")</f>
        <v>N/A</v>
      </c>
      <c r="R23" s="478"/>
      <c r="S23" s="328" t="str">
        <f>+IFERROR((R7*(1-R8)*energy_to_remove_h2o_from_sludge_MandE)*GJ_to_Btu_conversion,"N/A")</f>
        <v>N/A</v>
      </c>
      <c r="T23" s="478"/>
      <c r="U23" s="328" t="str">
        <f>+IFERROR((T7*(1-T8)*energy_to_remove_h2o_from_sludge_MandE)*GJ_to_Btu_conversion,"N/A")</f>
        <v>N/A</v>
      </c>
    </row>
    <row r="24" spans="1:21" ht="15.75" customHeight="1" x14ac:dyDescent="0.2">
      <c r="A24" s="245" t="s">
        <v>154</v>
      </c>
      <c r="B24" s="479"/>
      <c r="C24" s="330">
        <f>+IFERROR(IF(B10='References Assumptions'!$C$339,B9*heating_value_digested_sludge_MaE*MJ_to_Btu_conversion, B9*heating_value_undigested_sludge_MaE*MJ_to_Btu_conversion),"N/A")</f>
        <v>0</v>
      </c>
      <c r="D24" s="479"/>
      <c r="E24" s="330" t="str">
        <f>+IFERROR(IF(D10='References Assumptions'!$C$339,D9*heating_value_digested_sludge_MaE*MJ_to_Btu_conversion, D9*heating_value_undigested_sludge_MaE*MJ_to_Btu_conversion),"N/A")</f>
        <v>N/A</v>
      </c>
      <c r="F24" s="479"/>
      <c r="G24" s="330" t="str">
        <f>+IFERROR(IF(F10='References Assumptions'!$C$339,F9*heating_value_digested_sludge_MaE*MJ_to_Btu_conversion, F9*heating_value_undigested_sludge_MaE*MJ_to_Btu_conversion),"N/A")</f>
        <v>N/A</v>
      </c>
      <c r="H24" s="479"/>
      <c r="I24" s="330" t="str">
        <f>+IFERROR(IF(H10='References Assumptions'!$C$339,H9*heating_value_digested_sludge_MaE*MJ_to_Btu_conversion, H9*heating_value_undigested_sludge_MaE*MJ_to_Btu_conversion),"N/A")</f>
        <v>N/A</v>
      </c>
      <c r="J24" s="479"/>
      <c r="K24" s="330" t="str">
        <f>+IFERROR(IF(J10='References Assumptions'!$C$339,J9*heating_value_digested_sludge_MaE*MJ_to_Btu_conversion, J9*heating_value_undigested_sludge_MaE*MJ_to_Btu_conversion),"N/A")</f>
        <v>N/A</v>
      </c>
      <c r="L24" s="479"/>
      <c r="M24" s="330" t="str">
        <f>+IFERROR(IF(L10='References Assumptions'!$C$339,L9*heating_value_digested_sludge_MaE*MJ_to_Btu_conversion, L9*heating_value_undigested_sludge_MaE*MJ_to_Btu_conversion),"N/A")</f>
        <v>N/A</v>
      </c>
      <c r="N24" s="479"/>
      <c r="O24" s="330" t="str">
        <f>+IFERROR(IF(N10='References Assumptions'!$C$339,N9*heating_value_digested_sludge_MaE*MJ_to_Btu_conversion, N9*heating_value_undigested_sludge_MaE*MJ_to_Btu_conversion),"N/A")</f>
        <v>N/A</v>
      </c>
      <c r="P24" s="479"/>
      <c r="Q24" s="330" t="str">
        <f>+IFERROR(IF(P10='References Assumptions'!$C$339,P9*heating_value_digested_sludge_MaE*MJ_to_Btu_conversion, P9*heating_value_undigested_sludge_MaE*MJ_to_Btu_conversion),"N/A")</f>
        <v>N/A</v>
      </c>
      <c r="R24" s="479"/>
      <c r="S24" s="330" t="str">
        <f>+IFERROR(IF(R10='References Assumptions'!$C$339,R9*heating_value_digested_sludge_MaE*MJ_to_Btu_conversion, R9*heating_value_undigested_sludge_MaE*MJ_to_Btu_conversion),"N/A")</f>
        <v>N/A</v>
      </c>
      <c r="T24" s="479"/>
      <c r="U24" s="330" t="str">
        <f>+IFERROR(IF(T10='References Assumptions'!$C$339,T9*heating_value_digested_sludge_MaE*MJ_to_Btu_conversion, T9*heating_value_undigested_sludge_MaE*MJ_to_Btu_conversion),"N/A")</f>
        <v>N/A</v>
      </c>
    </row>
    <row r="25" spans="1:21" ht="15.75" customHeight="1" thickBot="1" x14ac:dyDescent="0.25">
      <c r="A25" s="475"/>
      <c r="B25" s="480"/>
      <c r="C25" s="481"/>
      <c r="D25" s="480"/>
      <c r="E25" s="481"/>
      <c r="F25" s="480"/>
      <c r="G25" s="481"/>
      <c r="H25" s="480"/>
      <c r="I25" s="481"/>
      <c r="J25" s="480"/>
      <c r="K25" s="481"/>
      <c r="L25" s="480"/>
      <c r="M25" s="481"/>
      <c r="N25" s="480"/>
      <c r="O25" s="481"/>
      <c r="P25" s="480"/>
      <c r="Q25" s="481"/>
      <c r="R25" s="480"/>
      <c r="S25" s="481"/>
      <c r="T25" s="480"/>
      <c r="U25" s="481"/>
    </row>
    <row r="26" spans="1:21" ht="15.75" customHeight="1" thickBot="1" x14ac:dyDescent="0.3">
      <c r="A26" s="1300" t="s">
        <v>273</v>
      </c>
      <c r="B26" s="1301"/>
      <c r="C26" s="1301"/>
      <c r="D26" s="1301"/>
      <c r="E26" s="1301"/>
      <c r="F26" s="1301"/>
      <c r="G26" s="1301"/>
      <c r="H26" s="1301"/>
      <c r="I26" s="1301"/>
      <c r="J26" s="1301"/>
      <c r="K26" s="1301"/>
      <c r="L26" s="1301"/>
      <c r="M26" s="1301"/>
      <c r="N26" s="1301"/>
      <c r="O26" s="1301"/>
      <c r="P26" s="1301"/>
      <c r="Q26" s="1301"/>
      <c r="R26" s="1301"/>
      <c r="S26" s="1301"/>
      <c r="T26" s="1301"/>
      <c r="U26" s="1302"/>
    </row>
    <row r="27" spans="1:21" ht="15.75" customHeight="1" x14ac:dyDescent="0.2">
      <c r="A27" s="451" t="s">
        <v>14</v>
      </c>
      <c r="B27" s="478"/>
      <c r="C27" s="328">
        <f>+IFERROR(IF(B6='References Assumptions'!$C$356,(1+Additional_fuel_MHF_shutdowns)*C23/Heat_content__Btu_m3,C23/Heat_content__Btu_m3),"N/A")</f>
        <v>0</v>
      </c>
      <c r="D27" s="478"/>
      <c r="E27" s="328" t="str">
        <f>+IFERROR(IF(D6='References Assumptions'!$C$356,(1+Additional_fuel_MHF_shutdowns)*E23/Heat_content__Btu_m3,E23/Heat_content__Btu_m3),"N/A")</f>
        <v>N/A</v>
      </c>
      <c r="F27" s="478"/>
      <c r="G27" s="328" t="str">
        <f>+IFERROR(IF(F6='References Assumptions'!$C$356,(1+Additional_fuel_MHF_shutdowns)*G23/Heat_content__Btu_m3,G23/Heat_content__Btu_m3),"N/A")</f>
        <v>N/A</v>
      </c>
      <c r="H27" s="478"/>
      <c r="I27" s="328" t="str">
        <f>+IFERROR(IF(H6='References Assumptions'!$C$356,(1+Additional_fuel_MHF_shutdowns)*I23/Heat_content__Btu_m3,I23/Heat_content__Btu_m3),"N/A")</f>
        <v>N/A</v>
      </c>
      <c r="J27" s="478"/>
      <c r="K27" s="328" t="str">
        <f>+IFERROR(IF(J6='References Assumptions'!$C$356,(1+Additional_fuel_MHF_shutdowns)*K23/Heat_content__Btu_m3,K23/Heat_content__Btu_m3),"N/A")</f>
        <v>N/A</v>
      </c>
      <c r="L27" s="478"/>
      <c r="M27" s="328" t="str">
        <f>+IFERROR(IF(L6='References Assumptions'!$C$356,(1+Additional_fuel_MHF_shutdowns)*M23/Heat_content__Btu_m3,M23/Heat_content__Btu_m3),"N/A")</f>
        <v>N/A</v>
      </c>
      <c r="N27" s="478"/>
      <c r="O27" s="328" t="str">
        <f>+IFERROR(IF(N6='References Assumptions'!$C$356,(1+Additional_fuel_MHF_shutdowns)*O23/Heat_content__Btu_m3,O23/Heat_content__Btu_m3),"N/A")</f>
        <v>N/A</v>
      </c>
      <c r="P27" s="478"/>
      <c r="Q27" s="328" t="str">
        <f>+IFERROR(IF(P6='References Assumptions'!$C$356,(1+Additional_fuel_MHF_shutdowns)*Q23/Heat_content__Btu_m3,Q23/Heat_content__Btu_m3),"N/A")</f>
        <v>N/A</v>
      </c>
      <c r="R27" s="478"/>
      <c r="S27" s="328" t="str">
        <f>+IFERROR(IF(R6='References Assumptions'!$C$356,(1+Additional_fuel_MHF_shutdowns)*S23/Heat_content__Btu_m3,S23/Heat_content__Btu_m3),"N/A")</f>
        <v>N/A</v>
      </c>
      <c r="T27" s="478"/>
      <c r="U27" s="328" t="str">
        <f>+IFERROR(IF(T6='References Assumptions'!$C$356,(1+Additional_fuel_MHF_shutdowns)*U23/Heat_content__Btu_m3,U23/Heat_content__Btu_m3),"N/A")</f>
        <v>N/A</v>
      </c>
    </row>
    <row r="28" spans="1:21" ht="15.75" customHeight="1" x14ac:dyDescent="0.2">
      <c r="A28" s="245" t="s">
        <v>212</v>
      </c>
      <c r="B28" s="479"/>
      <c r="C28" s="330">
        <f>+IFERROR(C24*B17/btu_value_natural_gas_climate_registry*efficiency_coverting_sludge_chemical_energy_to_heat,"N/A")</f>
        <v>0</v>
      </c>
      <c r="D28" s="479"/>
      <c r="E28" s="330" t="str">
        <f>+IFERROR(E24*D17/btu_value_natural_gas_climate_registry*efficiency_coverting_sludge_chemical_energy_to_heat,"N/A")</f>
        <v>N/A</v>
      </c>
      <c r="F28" s="479"/>
      <c r="G28" s="330" t="str">
        <f>+IFERROR(G24*F17/btu_value_natural_gas_climate_registry*efficiency_coverting_sludge_chemical_energy_to_heat,"N/A")</f>
        <v>N/A</v>
      </c>
      <c r="H28" s="479"/>
      <c r="I28" s="330" t="str">
        <f>+IFERROR(I24*H17/btu_value_natural_gas_climate_registry*efficiency_coverting_sludge_chemical_energy_to_heat,"N/A")</f>
        <v>N/A</v>
      </c>
      <c r="J28" s="479"/>
      <c r="K28" s="330" t="str">
        <f>+IFERROR(K24*J17/btu_value_natural_gas_climate_registry*efficiency_coverting_sludge_chemical_energy_to_heat,"N/A")</f>
        <v>N/A</v>
      </c>
      <c r="L28" s="479"/>
      <c r="M28" s="330" t="str">
        <f>+IFERROR(M24*L17/btu_value_natural_gas_climate_registry*efficiency_coverting_sludge_chemical_energy_to_heat,"N/A")</f>
        <v>N/A</v>
      </c>
      <c r="N28" s="479"/>
      <c r="O28" s="330" t="str">
        <f>+IFERROR(O24*N17/btu_value_natural_gas_climate_registry*efficiency_coverting_sludge_chemical_energy_to_heat,"N/A")</f>
        <v>N/A</v>
      </c>
      <c r="P28" s="479"/>
      <c r="Q28" s="330" t="str">
        <f>+IFERROR(Q24*P17/btu_value_natural_gas_climate_registry*efficiency_coverting_sludge_chemical_energy_to_heat,"N/A")</f>
        <v>N/A</v>
      </c>
      <c r="R28" s="479"/>
      <c r="S28" s="330" t="str">
        <f>+IFERROR(S24*R17/btu_value_natural_gas_climate_registry*efficiency_coverting_sludge_chemical_energy_to_heat,"N/A")</f>
        <v>N/A</v>
      </c>
      <c r="T28" s="479"/>
      <c r="U28" s="330" t="str">
        <f>+IFERROR(U24*T17/btu_value_natural_gas_climate_registry*efficiency_coverting_sludge_chemical_energy_to_heat,"N/A")</f>
        <v>N/A</v>
      </c>
    </row>
    <row r="29" spans="1:21" ht="15.75" customHeight="1" x14ac:dyDescent="0.2">
      <c r="A29" s="245" t="s">
        <v>95</v>
      </c>
      <c r="B29" s="8"/>
      <c r="C29" s="198">
        <f>+IFERROR(C27-C28,"N/A")</f>
        <v>0</v>
      </c>
      <c r="D29" s="8"/>
      <c r="E29" s="198" t="str">
        <f>+IFERROR(E27-E28,"N/A")</f>
        <v>N/A</v>
      </c>
      <c r="F29" s="8"/>
      <c r="G29" s="198" t="str">
        <f>+IFERROR(G27-G28,"N/A")</f>
        <v>N/A</v>
      </c>
      <c r="H29" s="8"/>
      <c r="I29" s="198" t="str">
        <f>+IFERROR(I27-I28,"N/A")</f>
        <v>N/A</v>
      </c>
      <c r="J29" s="8"/>
      <c r="K29" s="198" t="str">
        <f>+IFERROR(K27-K28,"N/A")</f>
        <v>N/A</v>
      </c>
      <c r="L29" s="8"/>
      <c r="M29" s="198" t="str">
        <f>+IFERROR(M27-M28,"N/A")</f>
        <v>N/A</v>
      </c>
      <c r="N29" s="8"/>
      <c r="O29" s="198" t="str">
        <f>+IFERROR(O27-O28,"N/A")</f>
        <v>N/A</v>
      </c>
      <c r="P29" s="8"/>
      <c r="Q29" s="198" t="str">
        <f>+IFERROR(Q27-Q28,"N/A")</f>
        <v>N/A</v>
      </c>
      <c r="R29" s="8"/>
      <c r="S29" s="198" t="str">
        <f>+IFERROR(S27-S28,"N/A")</f>
        <v>N/A</v>
      </c>
      <c r="T29" s="8"/>
      <c r="U29" s="198" t="str">
        <f>+IFERROR(U27-U28,"N/A")</f>
        <v>N/A</v>
      </c>
    </row>
    <row r="30" spans="1:21" ht="15.75" customHeight="1" x14ac:dyDescent="0.3">
      <c r="A30" s="168" t="s">
        <v>77</v>
      </c>
      <c r="B30" s="250">
        <f>+B29*CO2E_naturalgas_combustion/1000000</f>
        <v>0</v>
      </c>
      <c r="C30" s="276"/>
      <c r="D30" s="250">
        <f>+D29*CO2E_naturalgas_combustion/1000000</f>
        <v>0</v>
      </c>
      <c r="E30" s="276"/>
      <c r="F30" s="250">
        <f>+F29*CO2E_naturalgas_combustion/1000000</f>
        <v>0</v>
      </c>
      <c r="G30" s="276"/>
      <c r="H30" s="250">
        <f>+H29*CO2E_naturalgas_combustion/1000000</f>
        <v>0</v>
      </c>
      <c r="I30" s="276"/>
      <c r="J30" s="250">
        <f>+J29*CO2E_naturalgas_combustion/1000000</f>
        <v>0</v>
      </c>
      <c r="K30" s="276"/>
      <c r="L30" s="250">
        <f>+L29*CO2E_naturalgas_combustion/1000000</f>
        <v>0</v>
      </c>
      <c r="M30" s="276"/>
      <c r="N30" s="250">
        <f>+N29*CO2E_naturalgas_combustion/1000000</f>
        <v>0</v>
      </c>
      <c r="O30" s="276"/>
      <c r="P30" s="250">
        <f>+P29*CO2E_naturalgas_combustion/1000000</f>
        <v>0</v>
      </c>
      <c r="Q30" s="276"/>
      <c r="R30" s="250">
        <f>+R29*CO2E_naturalgas_combustion/1000000</f>
        <v>0</v>
      </c>
      <c r="S30" s="276"/>
      <c r="T30" s="250">
        <f>+T29*CO2E_naturalgas_combustion/1000000</f>
        <v>0</v>
      </c>
      <c r="U30" s="276"/>
    </row>
    <row r="31" spans="1:21" ht="15.75" customHeight="1" thickBot="1" x14ac:dyDescent="0.25">
      <c r="A31" s="475"/>
      <c r="B31" s="482"/>
      <c r="C31" s="483"/>
      <c r="D31" s="482"/>
      <c r="E31" s="483"/>
      <c r="F31" s="482"/>
      <c r="G31" s="483"/>
      <c r="H31" s="482"/>
      <c r="I31" s="483"/>
      <c r="J31" s="482"/>
      <c r="K31" s="483"/>
      <c r="L31" s="482"/>
      <c r="M31" s="483"/>
      <c r="N31" s="482"/>
      <c r="O31" s="483"/>
      <c r="P31" s="482"/>
      <c r="Q31" s="483"/>
      <c r="R31" s="482"/>
      <c r="S31" s="483"/>
      <c r="T31" s="482"/>
      <c r="U31" s="483"/>
    </row>
    <row r="32" spans="1:21" ht="15.75" customHeight="1" thickBot="1" x14ac:dyDescent="0.3">
      <c r="A32" s="1300" t="s">
        <v>193</v>
      </c>
      <c r="B32" s="1301"/>
      <c r="C32" s="1301"/>
      <c r="D32" s="1301"/>
      <c r="E32" s="1301"/>
      <c r="F32" s="1301"/>
      <c r="G32" s="1301"/>
      <c r="H32" s="1301"/>
      <c r="I32" s="1301"/>
      <c r="J32" s="1301"/>
      <c r="K32" s="1301"/>
      <c r="L32" s="1301"/>
      <c r="M32" s="1301"/>
      <c r="N32" s="1301"/>
      <c r="O32" s="1301"/>
      <c r="P32" s="1301"/>
      <c r="Q32" s="1301"/>
      <c r="R32" s="1301"/>
      <c r="S32" s="1301"/>
      <c r="T32" s="1301"/>
      <c r="U32" s="1302"/>
    </row>
    <row r="33" spans="1:21" ht="15.75" customHeight="1" x14ac:dyDescent="0.2">
      <c r="A33" s="451" t="s">
        <v>214</v>
      </c>
      <c r="B33" s="478"/>
      <c r="C33" s="328">
        <f>+IFERROR(IF(B6='References Assumptions'!$C$357, B9*FBI_electricity_use, B9*MHP_electricity_use),"N/A")</f>
        <v>0</v>
      </c>
      <c r="D33" s="478"/>
      <c r="E33" s="328" t="str">
        <f>+IFERROR(IF(D6='References Assumptions'!$C$357, D9*FBI_electricity_use, D9*MHP_electricity_use),"N/A")</f>
        <v>N/A</v>
      </c>
      <c r="F33" s="478"/>
      <c r="G33" s="328" t="str">
        <f>+IFERROR(IF(F6='References Assumptions'!$C$357, F9*FBI_electricity_use, F9*MHP_electricity_use),"N/A")</f>
        <v>N/A</v>
      </c>
      <c r="H33" s="478"/>
      <c r="I33" s="328" t="str">
        <f>+IFERROR(IF(H6='References Assumptions'!$C$357, H9*FBI_electricity_use, H9*MHP_electricity_use),"N/A")</f>
        <v>N/A</v>
      </c>
      <c r="J33" s="478"/>
      <c r="K33" s="328" t="str">
        <f>+IFERROR(IF(J6='References Assumptions'!$C$357, J9*FBI_electricity_use, J9*MHP_electricity_use),"N/A")</f>
        <v>N/A</v>
      </c>
      <c r="L33" s="478"/>
      <c r="M33" s="328" t="str">
        <f>+IFERROR(IF(L6='References Assumptions'!$C$357, L9*FBI_electricity_use, L9*MHP_electricity_use),"N/A")</f>
        <v>N/A</v>
      </c>
      <c r="N33" s="478"/>
      <c r="O33" s="328" t="str">
        <f>+IFERROR(IF(N6='References Assumptions'!$C$357, N9*FBI_electricity_use, N9*MHP_electricity_use),"N/A")</f>
        <v>N/A</v>
      </c>
      <c r="P33" s="478"/>
      <c r="Q33" s="328" t="str">
        <f>+IFERROR(IF(P6='References Assumptions'!$C$357, P9*FBI_electricity_use, P9*MHP_electricity_use),"N/A")</f>
        <v>N/A</v>
      </c>
      <c r="R33" s="478"/>
      <c r="S33" s="328" t="str">
        <f>+IFERROR(IF(R6='References Assumptions'!$C$357, R9*FBI_electricity_use, R9*MHP_electricity_use),"N/A")</f>
        <v>N/A</v>
      </c>
      <c r="T33" s="478"/>
      <c r="U33" s="328" t="str">
        <f>+IFERROR(IF(T6='References Assumptions'!$C$357, T9*FBI_electricity_use, T9*MHP_electricity_use),"N/A")</f>
        <v>N/A</v>
      </c>
    </row>
    <row r="34" spans="1:21" ht="15.75" customHeight="1" x14ac:dyDescent="0.2">
      <c r="A34" s="245" t="s">
        <v>284</v>
      </c>
      <c r="B34" s="479"/>
      <c r="C34" s="330">
        <f>+IFERROR(C24*B16*Conversion_of_BtU_to_kWh*Net_capacity_factor_EPA_2006,"N/A")</f>
        <v>0</v>
      </c>
      <c r="D34" s="479"/>
      <c r="E34" s="330" t="str">
        <f>+IFERROR(E24*D16*Conversion_of_BtU_to_kWh*Net_capacity_factor_EPA_2006,"N/A")</f>
        <v>N/A</v>
      </c>
      <c r="F34" s="479"/>
      <c r="G34" s="330" t="str">
        <f>+IFERROR(G24*F16*Conversion_of_BtU_to_kWh*Net_capacity_factor_EPA_2006,"N/A")</f>
        <v>N/A</v>
      </c>
      <c r="H34" s="479"/>
      <c r="I34" s="330" t="str">
        <f>+IFERROR(I24*H16*Conversion_of_BtU_to_kWh*Net_capacity_factor_EPA_2006,"N/A")</f>
        <v>N/A</v>
      </c>
      <c r="J34" s="479"/>
      <c r="K34" s="330" t="str">
        <f>+IFERROR(K24*J16*Conversion_of_BtU_to_kWh*Net_capacity_factor_EPA_2006,"N/A")</f>
        <v>N/A</v>
      </c>
      <c r="L34" s="479"/>
      <c r="M34" s="330" t="str">
        <f>+IFERROR(M24*L16*Conversion_of_BtU_to_kWh*Net_capacity_factor_EPA_2006,"N/A")</f>
        <v>N/A</v>
      </c>
      <c r="N34" s="479"/>
      <c r="O34" s="330" t="str">
        <f>+IFERROR(O24*N16*Conversion_of_BtU_to_kWh*Net_capacity_factor_EPA_2006,"N/A")</f>
        <v>N/A</v>
      </c>
      <c r="P34" s="479"/>
      <c r="Q34" s="330" t="str">
        <f>+IFERROR(Q24*P16*Conversion_of_BtU_to_kWh*Net_capacity_factor_EPA_2006,"N/A")</f>
        <v>N/A</v>
      </c>
      <c r="R34" s="479"/>
      <c r="S34" s="330" t="str">
        <f>+IFERROR(S24*R16*Conversion_of_BtU_to_kWh*Net_capacity_factor_EPA_2006,"N/A")</f>
        <v>N/A</v>
      </c>
      <c r="T34" s="479"/>
      <c r="U34" s="330" t="str">
        <f>+IFERROR(U24*T16*Conversion_of_BtU_to_kWh*Net_capacity_factor_EPA_2006,"N/A")</f>
        <v>N/A</v>
      </c>
    </row>
    <row r="35" spans="1:21" ht="15.75" customHeight="1" x14ac:dyDescent="0.2">
      <c r="A35" s="245" t="s">
        <v>208</v>
      </c>
      <c r="B35" s="8"/>
      <c r="C35" s="198">
        <f>+IFERROR(C33-C34,"N/A")</f>
        <v>0</v>
      </c>
      <c r="D35" s="8"/>
      <c r="E35" s="198" t="str">
        <f>+IFERROR(E33-E34,"N/A")</f>
        <v>N/A</v>
      </c>
      <c r="F35" s="8"/>
      <c r="G35" s="198" t="str">
        <f>+IFERROR(G33-G34,"N/A")</f>
        <v>N/A</v>
      </c>
      <c r="H35" s="8"/>
      <c r="I35" s="198" t="str">
        <f>+IFERROR(I33-I34,"N/A")</f>
        <v>N/A</v>
      </c>
      <c r="J35" s="8"/>
      <c r="K35" s="198" t="str">
        <f>+IFERROR(K33-K34,"N/A")</f>
        <v>N/A</v>
      </c>
      <c r="L35" s="8"/>
      <c r="M35" s="198" t="str">
        <f>+IFERROR(M33-M34,"N/A")</f>
        <v>N/A</v>
      </c>
      <c r="N35" s="8"/>
      <c r="O35" s="198" t="str">
        <f>+IFERROR(O33-O34,"N/A")</f>
        <v>N/A</v>
      </c>
      <c r="P35" s="8"/>
      <c r="Q35" s="198" t="str">
        <f>+IFERROR(Q33-Q34,"N/A")</f>
        <v>N/A</v>
      </c>
      <c r="R35" s="8"/>
      <c r="S35" s="198" t="str">
        <f>+IFERROR(S33-S34,"N/A")</f>
        <v>N/A</v>
      </c>
      <c r="T35" s="8"/>
      <c r="U35" s="198" t="str">
        <f>+IFERROR(U33-U34,"N/A")</f>
        <v>N/A</v>
      </c>
    </row>
    <row r="36" spans="1:21" ht="15.75" customHeight="1" x14ac:dyDescent="0.3">
      <c r="A36" s="168" t="s">
        <v>75</v>
      </c>
      <c r="B36" s="250">
        <f>+B35*GHG_emissions_factors_by_province/1000000</f>
        <v>0</v>
      </c>
      <c r="C36" s="276"/>
      <c r="D36" s="250">
        <f>+D35*GHG_emissions_factors_by_province/1000000</f>
        <v>0</v>
      </c>
      <c r="E36" s="276"/>
      <c r="F36" s="250">
        <f>+F35*GHG_emissions_factors_by_province/1000000</f>
        <v>0</v>
      </c>
      <c r="G36" s="276"/>
      <c r="H36" s="250">
        <f>+H35*GHG_emissions_factors_by_province/1000000</f>
        <v>0</v>
      </c>
      <c r="I36" s="276"/>
      <c r="J36" s="250">
        <f>+J35*GHG_emissions_factors_by_province/1000000</f>
        <v>0</v>
      </c>
      <c r="K36" s="276"/>
      <c r="L36" s="250">
        <f>+L35*GHG_emissions_factors_by_province/1000000</f>
        <v>0</v>
      </c>
      <c r="M36" s="276"/>
      <c r="N36" s="250">
        <f>+N35*GHG_emissions_factors_by_province/1000000</f>
        <v>0</v>
      </c>
      <c r="O36" s="276"/>
      <c r="P36" s="250">
        <f>+P35*GHG_emissions_factors_by_province/1000000</f>
        <v>0</v>
      </c>
      <c r="Q36" s="276"/>
      <c r="R36" s="250">
        <f>+R35*GHG_emissions_factors_by_province/1000000</f>
        <v>0</v>
      </c>
      <c r="S36" s="276"/>
      <c r="T36" s="250">
        <f>+T35*GHG_emissions_factors_by_province/1000000</f>
        <v>0</v>
      </c>
      <c r="U36" s="276"/>
    </row>
    <row r="37" spans="1:21" ht="15.75" customHeight="1" thickBot="1" x14ac:dyDescent="0.3">
      <c r="A37" s="475"/>
      <c r="B37" s="484"/>
      <c r="C37" s="433"/>
      <c r="D37" s="484"/>
      <c r="E37" s="433"/>
      <c r="F37" s="484"/>
      <c r="G37" s="433"/>
      <c r="H37" s="484"/>
      <c r="I37" s="433"/>
      <c r="J37" s="484"/>
      <c r="K37" s="433"/>
      <c r="L37" s="484"/>
      <c r="M37" s="433"/>
      <c r="N37" s="484"/>
      <c r="O37" s="433"/>
      <c r="P37" s="484"/>
      <c r="Q37" s="433"/>
      <c r="R37" s="484"/>
      <c r="S37" s="433"/>
      <c r="T37" s="484"/>
      <c r="U37" s="433"/>
    </row>
    <row r="38" spans="1:21" ht="15.75" customHeight="1" thickBot="1" x14ac:dyDescent="0.3">
      <c r="A38" s="1300" t="s">
        <v>96</v>
      </c>
      <c r="B38" s="1301"/>
      <c r="C38" s="1301"/>
      <c r="D38" s="1301"/>
      <c r="E38" s="1301"/>
      <c r="F38" s="1301"/>
      <c r="G38" s="1301"/>
      <c r="H38" s="1301"/>
      <c r="I38" s="1301"/>
      <c r="J38" s="1301"/>
      <c r="K38" s="1301"/>
      <c r="L38" s="1301"/>
      <c r="M38" s="1301"/>
      <c r="N38" s="1301"/>
      <c r="O38" s="1301"/>
      <c r="P38" s="1301"/>
      <c r="Q38" s="1301"/>
      <c r="R38" s="1301"/>
      <c r="S38" s="1301"/>
      <c r="T38" s="1301"/>
      <c r="U38" s="1302"/>
    </row>
    <row r="39" spans="1:21" ht="15.75" customHeight="1" x14ac:dyDescent="0.3">
      <c r="A39" s="161" t="s">
        <v>15</v>
      </c>
      <c r="B39" s="347">
        <f>B9*'References Assumptions'!$B$179*CO2E_of_CH4_ClimateReg</f>
        <v>0</v>
      </c>
      <c r="C39" s="436"/>
      <c r="D39" s="347" t="e">
        <f>D9*'References Assumptions'!$B$179*CO2E_of_CH4_ClimateReg</f>
        <v>#VALUE!</v>
      </c>
      <c r="E39" s="436"/>
      <c r="F39" s="347" t="e">
        <f>F9*'References Assumptions'!$B$179*CO2E_of_CH4_ClimateReg</f>
        <v>#VALUE!</v>
      </c>
      <c r="G39" s="436"/>
      <c r="H39" s="347" t="e">
        <f>H9*'References Assumptions'!$B$179*CO2E_of_CH4_ClimateReg</f>
        <v>#VALUE!</v>
      </c>
      <c r="I39" s="436"/>
      <c r="J39" s="347" t="e">
        <f>J9*'References Assumptions'!$B$179*CO2E_of_CH4_ClimateReg</f>
        <v>#VALUE!</v>
      </c>
      <c r="K39" s="436"/>
      <c r="L39" s="347" t="e">
        <f>L9*'References Assumptions'!$B$179*CO2E_of_CH4_ClimateReg</f>
        <v>#VALUE!</v>
      </c>
      <c r="M39" s="436"/>
      <c r="N39" s="347" t="e">
        <f>N9*'References Assumptions'!$B$179*CO2E_of_CH4_ClimateReg</f>
        <v>#VALUE!</v>
      </c>
      <c r="O39" s="436"/>
      <c r="P39" s="347" t="e">
        <f>P9*'References Assumptions'!$B$179*CO2E_of_CH4_ClimateReg</f>
        <v>#VALUE!</v>
      </c>
      <c r="Q39" s="436"/>
      <c r="R39" s="347" t="e">
        <f>R9*'References Assumptions'!$B$179*CO2E_of_CH4_ClimateReg</f>
        <v>#VALUE!</v>
      </c>
      <c r="S39" s="436"/>
      <c r="T39" s="347" t="e">
        <f>T9*'References Assumptions'!$B$179*CO2E_of_CH4_ClimateReg</f>
        <v>#VALUE!</v>
      </c>
      <c r="U39" s="436"/>
    </row>
    <row r="40" spans="1:21" ht="15.75" customHeight="1" thickBot="1" x14ac:dyDescent="0.3">
      <c r="A40" s="475"/>
      <c r="B40" s="484"/>
      <c r="C40" s="433"/>
      <c r="D40" s="484"/>
      <c r="E40" s="433"/>
      <c r="F40" s="484"/>
      <c r="G40" s="433"/>
      <c r="H40" s="484"/>
      <c r="I40" s="433"/>
      <c r="J40" s="484"/>
      <c r="K40" s="433"/>
      <c r="L40" s="484"/>
      <c r="M40" s="433"/>
      <c r="N40" s="484"/>
      <c r="O40" s="433"/>
      <c r="P40" s="484"/>
      <c r="Q40" s="433"/>
      <c r="R40" s="484"/>
      <c r="S40" s="433"/>
      <c r="T40" s="484"/>
      <c r="U40" s="433"/>
    </row>
    <row r="41" spans="1:21" ht="15.75" customHeight="1" thickBot="1" x14ac:dyDescent="0.3">
      <c r="A41" s="1300" t="s">
        <v>202</v>
      </c>
      <c r="B41" s="1301"/>
      <c r="C41" s="1301"/>
      <c r="D41" s="1301"/>
      <c r="E41" s="1301"/>
      <c r="F41" s="1301"/>
      <c r="G41" s="1301"/>
      <c r="H41" s="1301"/>
      <c r="I41" s="1301"/>
      <c r="J41" s="1301"/>
      <c r="K41" s="1301"/>
      <c r="L41" s="1301"/>
      <c r="M41" s="1301"/>
      <c r="N41" s="1301"/>
      <c r="O41" s="1301"/>
      <c r="P41" s="1301"/>
      <c r="Q41" s="1301"/>
      <c r="R41" s="1301"/>
      <c r="S41" s="1301"/>
      <c r="T41" s="1301"/>
      <c r="U41" s="1302"/>
    </row>
    <row r="42" spans="1:21" ht="15.75" customHeight="1" x14ac:dyDescent="0.35">
      <c r="A42" s="451" t="s">
        <v>338</v>
      </c>
      <c r="B42" s="586">
        <v>0.193</v>
      </c>
      <c r="C42" s="485">
        <f>IFERROR(IF((B9*B11*(suzuki_N2Ocombust_constant1-(suzuki_N2Ocombust_constant2*(Combustion!B20+celcius_to_kelvin_conversion)))/100)&lt;0, 0, IF(B20&lt;Lowest_combustion_temp,(B9*B11*(suzuki_N2Ocombust_constant1-(suzuki_N2Ocombust_constant2*(Lowest_combustion_temp+celcius_to_kelvin_conversion)))/100*N_to_N2O_conversion), (B9*B11*(suzuki_N2Ocombust_constant1-(suzuki_N2Ocombust_constant2*(Combustion!B20+celcius_to_kelvin_conversion)))/100*N_to_N2O_conversion))),"N/A")</f>
        <v>0</v>
      </c>
      <c r="D42" s="586"/>
      <c r="E42" s="485" t="str">
        <f>IFERROR(IF((D9*D11*(suzuki_N2Ocombust_constant1-(suzuki_N2Ocombust_constant2*(Combustion!D20+celcius_to_kelvin_conversion)))/100)&lt;0, 0, IF(D20&lt;Lowest_combustion_temp,(D9*D11*(suzuki_N2Ocombust_constant1-(suzuki_N2Ocombust_constant2*(Lowest_combustion_temp+celcius_to_kelvin_conversion)))/100*N_to_N2O_conversion), (D9*D11*(suzuki_N2Ocombust_constant1-(suzuki_N2Ocombust_constant2*(Combustion!D20+celcius_to_kelvin_conversion)))/100*N_to_N2O_conversion))),"N/A")</f>
        <v>N/A</v>
      </c>
      <c r="F42" s="8"/>
      <c r="G42" s="485" t="str">
        <f>IFERROR(IF((F9*F11*(suzuki_N2Ocombust_constant1-(suzuki_N2Ocombust_constant2*(Combustion!F20+celcius_to_kelvin_conversion)))/100)&lt;0, 0, IF(F20&lt;Lowest_combustion_temp,(F9*F11*(suzuki_N2Ocombust_constant1-(suzuki_N2Ocombust_constant2*(Lowest_combustion_temp+celcius_to_kelvin_conversion)))/100*N_to_N2O_conversion), (F9*F11*(suzuki_N2Ocombust_constant1-(suzuki_N2Ocombust_constant2*(Combustion!F20+celcius_to_kelvin_conversion)))/100*N_to_N2O_conversion))),"N/A")</f>
        <v>N/A</v>
      </c>
      <c r="H42" s="586"/>
      <c r="I42" s="485" t="str">
        <f>IFERROR(IF((H9*H11*(suzuki_N2Ocombust_constant1-(suzuki_N2Ocombust_constant2*(Combustion!H20+celcius_to_kelvin_conversion)))/100)&lt;0, 0, IF(H20&lt;Lowest_combustion_temp,(H9*H11*(suzuki_N2Ocombust_constant1-(suzuki_N2Ocombust_constant2*(Lowest_combustion_temp+celcius_to_kelvin_conversion)))/100*N_to_N2O_conversion), (H9*H11*(suzuki_N2Ocombust_constant1-(suzuki_N2Ocombust_constant2*(Combustion!H20+celcius_to_kelvin_conversion)))/100*N_to_N2O_conversion))),"N/A")</f>
        <v>N/A</v>
      </c>
      <c r="J42" s="586"/>
      <c r="K42" s="485" t="str">
        <f>IFERROR(IF((J9*J11*(suzuki_N2Ocombust_constant1-(suzuki_N2Ocombust_constant2*(Combustion!J20+celcius_to_kelvin_conversion)))/100)&lt;0, 0, IF(J20&lt;Lowest_combustion_temp,(J9*J11*(suzuki_N2Ocombust_constant1-(suzuki_N2Ocombust_constant2*(Lowest_combustion_temp+celcius_to_kelvin_conversion)))/100*N_to_N2O_conversion), (J9*J11*(suzuki_N2Ocombust_constant1-(suzuki_N2Ocombust_constant2*(Combustion!J20+celcius_to_kelvin_conversion)))/100*N_to_N2O_conversion))),"N/A")</f>
        <v>N/A</v>
      </c>
      <c r="L42" s="586"/>
      <c r="M42" s="485" t="str">
        <f>IFERROR(IF((L9*L11*(suzuki_N2Ocombust_constant1-(suzuki_N2Ocombust_constant2*(Combustion!L20+celcius_to_kelvin_conversion)))/100)&lt;0, 0, IF(L20&lt;Lowest_combustion_temp,(L9*L11*(suzuki_N2Ocombust_constant1-(suzuki_N2Ocombust_constant2*(Lowest_combustion_temp+celcius_to_kelvin_conversion)))/100*N_to_N2O_conversion), (L9*L11*(suzuki_N2Ocombust_constant1-(suzuki_N2Ocombust_constant2*(Combustion!L20+celcius_to_kelvin_conversion)))/100*N_to_N2O_conversion))),"N/A")</f>
        <v>N/A</v>
      </c>
      <c r="N42" s="586"/>
      <c r="O42" s="485" t="str">
        <f>IFERROR(IF((N9*N11*(suzuki_N2Ocombust_constant1-(suzuki_N2Ocombust_constant2*(Combustion!N20+celcius_to_kelvin_conversion)))/100)&lt;0, 0, IF(N20&lt;Lowest_combustion_temp,(N9*N11*(suzuki_N2Ocombust_constant1-(suzuki_N2Ocombust_constant2*(Lowest_combustion_temp+celcius_to_kelvin_conversion)))/100*N_to_N2O_conversion), (N9*N11*(suzuki_N2Ocombust_constant1-(suzuki_N2Ocombust_constant2*(Combustion!N20+celcius_to_kelvin_conversion)))/100*N_to_N2O_conversion))),"N/A")</f>
        <v>N/A</v>
      </c>
      <c r="P42" s="586"/>
      <c r="Q42" s="485" t="str">
        <f>IFERROR(IF((P9*P11*(suzuki_N2Ocombust_constant1-(suzuki_N2Ocombust_constant2*(Combustion!P20+celcius_to_kelvin_conversion)))/100)&lt;0, 0, IF(P20&lt;Lowest_combustion_temp,(P9*P11*(suzuki_N2Ocombust_constant1-(suzuki_N2Ocombust_constant2*(Lowest_combustion_temp+celcius_to_kelvin_conversion)))/100*N_to_N2O_conversion), (P9*P11*(suzuki_N2Ocombust_constant1-(suzuki_N2Ocombust_constant2*(Combustion!P20+celcius_to_kelvin_conversion)))/100*N_to_N2O_conversion))),"N/A")</f>
        <v>N/A</v>
      </c>
      <c r="R42" s="586"/>
      <c r="S42" s="485" t="str">
        <f>IFERROR(IF((R9*R11*(suzuki_N2Ocombust_constant1-(suzuki_N2Ocombust_constant2*(Combustion!R20+celcius_to_kelvin_conversion)))/100)&lt;0, 0, IF(R20&lt;Lowest_combustion_temp,(R9*R11*(suzuki_N2Ocombust_constant1-(suzuki_N2Ocombust_constant2*(Lowest_combustion_temp+celcius_to_kelvin_conversion)))/100*N_to_N2O_conversion), (R9*R11*(suzuki_N2Ocombust_constant1-(suzuki_N2Ocombust_constant2*(Combustion!R20+celcius_to_kelvin_conversion)))/100*N_to_N2O_conversion))),"N/A")</f>
        <v>N/A</v>
      </c>
      <c r="T42" s="586"/>
      <c r="U42" s="485" t="str">
        <f>IFERROR(IF((T9*T11*(suzuki_N2Ocombust_constant1-(suzuki_N2Ocombust_constant2*(Combustion!T20+celcius_to_kelvin_conversion)))/100)&lt;0, 0, IF(T20&lt;Lowest_combustion_temp,(T9*T11*(suzuki_N2Ocombust_constant1-(suzuki_N2Ocombust_constant2*(Lowest_combustion_temp+celcius_to_kelvin_conversion)))/100*N_to_N2O_conversion), (T9*T11*(suzuki_N2Ocombust_constant1-(suzuki_N2Ocombust_constant2*(Combustion!T20+celcius_to_kelvin_conversion)))/100*N_to_N2O_conversion))),"N/A")</f>
        <v>N/A</v>
      </c>
    </row>
    <row r="43" spans="1:21" ht="15.75" customHeight="1" x14ac:dyDescent="0.35">
      <c r="A43" s="245" t="s">
        <v>308</v>
      </c>
      <c r="B43" s="486">
        <f>+IF(B19='References Assumptions'!$C$339,B42*N2O_adjust_for_SNCR_by_urea,0)</f>
        <v>0</v>
      </c>
      <c r="C43" s="276"/>
      <c r="D43" s="486">
        <f>+IF(D19='References Assumptions'!$C$339,D42*N2O_adjust_for_SNCR_by_urea,0)</f>
        <v>0</v>
      </c>
      <c r="E43" s="276"/>
      <c r="F43" s="486">
        <f>+IF(F19='References Assumptions'!$C$339,F42*N2O_adjust_for_SNCR_by_urea,0)</f>
        <v>0</v>
      </c>
      <c r="G43" s="276"/>
      <c r="H43" s="486">
        <f>+IF(H19='References Assumptions'!$C$339,H42*N2O_adjust_for_SNCR_by_urea,0)</f>
        <v>0</v>
      </c>
      <c r="I43" s="276"/>
      <c r="J43" s="486">
        <f>+IF(J19='References Assumptions'!$C$339,J42*N2O_adjust_for_SNCR_by_urea,0)</f>
        <v>0</v>
      </c>
      <c r="K43" s="276"/>
      <c r="L43" s="486">
        <f>+IF(L19='References Assumptions'!$C$339,L42*N2O_adjust_for_SNCR_by_urea,0)</f>
        <v>0</v>
      </c>
      <c r="M43" s="276"/>
      <c r="N43" s="486">
        <f>+IF(N19='References Assumptions'!$C$339,N42*N2O_adjust_for_SNCR_by_urea,0)</f>
        <v>0</v>
      </c>
      <c r="O43" s="276"/>
      <c r="P43" s="486">
        <f>+IF(P19='References Assumptions'!$C$339,P42*N2O_adjust_for_SNCR_by_urea,0)</f>
        <v>0</v>
      </c>
      <c r="Q43" s="276"/>
      <c r="R43" s="486">
        <f>+IF(R19='References Assumptions'!$C$339,R42*N2O_adjust_for_SNCR_by_urea,0)</f>
        <v>0</v>
      </c>
      <c r="S43" s="276"/>
      <c r="T43" s="486">
        <f>+IF(T19='References Assumptions'!$C$339,T42*N2O_adjust_for_SNCR_by_urea,0)</f>
        <v>0</v>
      </c>
      <c r="U43" s="276"/>
    </row>
    <row r="44" spans="1:21" ht="15.75" customHeight="1" x14ac:dyDescent="0.35">
      <c r="A44" s="245" t="s">
        <v>860</v>
      </c>
      <c r="B44" s="486">
        <f>-IF(B8&lt;0.24,0,IF(B8&gt;=0.87,B42*N2O_adjustment_dry,B42*N2O_adjustment_semidry))</f>
        <v>0</v>
      </c>
      <c r="C44" s="276"/>
      <c r="D44" s="486">
        <f>-IF(D8&lt;0.24,0,IF(D8&gt;=0.87,D42*N2O_adjustment_dry,D42*N2O_adjustment_semidry))</f>
        <v>0</v>
      </c>
      <c r="E44" s="276"/>
      <c r="F44" s="486">
        <f>-IF(F8&lt;0.24,0,IF(F8&gt;=0.87,F42*N2O_adjustment_dry,F42*N2O_adjustment_semidry))</f>
        <v>0</v>
      </c>
      <c r="G44" s="276"/>
      <c r="H44" s="486">
        <f>-IF(H8&lt;0.24,0,IF(H8&gt;=0.87,H42*N2O_adjustment_dry,H42*N2O_adjustment_semidry))</f>
        <v>0</v>
      </c>
      <c r="I44" s="276"/>
      <c r="J44" s="486">
        <f>-IF(J8&lt;0.24,0,IF(J8&gt;=0.87,J42*N2O_adjustment_dry,J42*N2O_adjustment_semidry))</f>
        <v>0</v>
      </c>
      <c r="K44" s="276"/>
      <c r="L44" s="486">
        <f>-IF(L8&lt;0.24,0,IF(L8&gt;=0.87,L42*N2O_adjustment_dry,L42*N2O_adjustment_semidry))</f>
        <v>0</v>
      </c>
      <c r="M44" s="276"/>
      <c r="N44" s="486">
        <f>-IF(N8&lt;0.24,0,IF(N8&gt;=0.87,N42*N2O_adjustment_dry,N42*N2O_adjustment_semidry))</f>
        <v>0</v>
      </c>
      <c r="O44" s="276"/>
      <c r="P44" s="486">
        <f>-IF(P8&lt;0.24,0,IF(P8&gt;=0.87,P42*N2O_adjustment_dry,P42*N2O_adjustment_semidry))</f>
        <v>0</v>
      </c>
      <c r="Q44" s="276"/>
      <c r="R44" s="486">
        <f>-IF(R8&lt;0.24,0,IF(R8&gt;=0.87,R42*N2O_adjustment_dry,R42*N2O_adjustment_semidry))</f>
        <v>0</v>
      </c>
      <c r="S44" s="276"/>
      <c r="T44" s="486">
        <f>-IF(T8&lt;0.24,0,IF(T8&gt;=0.87,T42*N2O_adjustment_dry,T42*N2O_adjustment_semidry))</f>
        <v>0</v>
      </c>
      <c r="U44" s="276"/>
    </row>
    <row r="45" spans="1:21" ht="15.75" customHeight="1" x14ac:dyDescent="0.3">
      <c r="A45" s="168" t="s">
        <v>12</v>
      </c>
      <c r="B45" s="250">
        <f>+(B42+B43+B44)*CO2E_of_N2O_Climate_Reg</f>
        <v>57.514000000000003</v>
      </c>
      <c r="C45" s="276"/>
      <c r="D45" s="250">
        <f>+(D42+D43+D44)*CO2E_of_N2O_Climate_Reg</f>
        <v>0</v>
      </c>
      <c r="E45" s="276"/>
      <c r="F45" s="250">
        <f>+(F42+F43+F44)*CO2E_of_N2O_Climate_Reg</f>
        <v>0</v>
      </c>
      <c r="G45" s="276"/>
      <c r="H45" s="250">
        <f>+(H42+H43+H44)*CO2E_of_N2O_Climate_Reg</f>
        <v>0</v>
      </c>
      <c r="I45" s="276"/>
      <c r="J45" s="250">
        <f>+(J42+J43+J44)*CO2E_of_N2O_Climate_Reg</f>
        <v>0</v>
      </c>
      <c r="K45" s="276"/>
      <c r="L45" s="250">
        <f>+(L42+L43+L44)*CO2E_of_N2O_Climate_Reg</f>
        <v>0</v>
      </c>
      <c r="M45" s="276"/>
      <c r="N45" s="250">
        <f>+(N42+N43+N44)*CO2E_of_N2O_Climate_Reg</f>
        <v>0</v>
      </c>
      <c r="O45" s="276"/>
      <c r="P45" s="250">
        <f>+(P42+P43+P44)*CO2E_of_N2O_Climate_Reg</f>
        <v>0</v>
      </c>
      <c r="Q45" s="276"/>
      <c r="R45" s="250">
        <f>+(R42+R43+R44)*CO2E_of_N2O_Climate_Reg</f>
        <v>0</v>
      </c>
      <c r="S45" s="276"/>
      <c r="T45" s="250">
        <f>+(T42+T43+T44)*CO2E_of_N2O_Climate_Reg</f>
        <v>0</v>
      </c>
      <c r="U45" s="276"/>
    </row>
    <row r="46" spans="1:21" ht="15.75" customHeight="1" thickBot="1" x14ac:dyDescent="0.3">
      <c r="A46" s="475"/>
      <c r="B46" s="484"/>
      <c r="C46" s="433"/>
      <c r="D46" s="484"/>
      <c r="E46" s="433"/>
      <c r="F46" s="484"/>
      <c r="G46" s="433"/>
      <c r="H46" s="484"/>
      <c r="I46" s="433"/>
      <c r="J46" s="484"/>
      <c r="K46" s="433"/>
      <c r="L46" s="484"/>
      <c r="M46" s="433"/>
      <c r="N46" s="484"/>
      <c r="O46" s="433"/>
      <c r="P46" s="484"/>
      <c r="Q46" s="433"/>
      <c r="R46" s="484"/>
      <c r="S46" s="433"/>
      <c r="T46" s="484"/>
      <c r="U46" s="433"/>
    </row>
    <row r="47" spans="1:21" ht="15.75" customHeight="1" thickBot="1" x14ac:dyDescent="0.3">
      <c r="A47" s="1300" t="s">
        <v>211</v>
      </c>
      <c r="B47" s="1301"/>
      <c r="C47" s="1301"/>
      <c r="D47" s="1301"/>
      <c r="E47" s="1301"/>
      <c r="F47" s="1301"/>
      <c r="G47" s="1301"/>
      <c r="H47" s="1301"/>
      <c r="I47" s="1301"/>
      <c r="J47" s="1301"/>
      <c r="K47" s="1301"/>
      <c r="L47" s="1301"/>
      <c r="M47" s="1301"/>
      <c r="N47" s="1301"/>
      <c r="O47" s="1301"/>
      <c r="P47" s="1301"/>
      <c r="Q47" s="1301"/>
      <c r="R47" s="1301"/>
      <c r="S47" s="1301"/>
      <c r="T47" s="1301"/>
      <c r="U47" s="1302"/>
    </row>
    <row r="48" spans="1:21" ht="15.75" customHeight="1" x14ac:dyDescent="0.3">
      <c r="A48" s="161" t="s">
        <v>17</v>
      </c>
      <c r="B48" s="347">
        <f>IF(B18='References Assumptions'!$C$369,(-B9*CO2credit_for_ash_to_cement_Murrayetal_2008/1000),0)</f>
        <v>0</v>
      </c>
      <c r="C48" s="436"/>
      <c r="D48" s="347">
        <f>IF(D18='References Assumptions'!$C$369,(-D9*CO2credit_for_ash_to_cement_Murrayetal_2008/1000),0)</f>
        <v>0</v>
      </c>
      <c r="E48" s="436"/>
      <c r="F48" s="347">
        <f>IF(F18='References Assumptions'!$C$369,(-F9*CO2credit_for_ash_to_cement_Murrayetal_2008/1000),0)</f>
        <v>0</v>
      </c>
      <c r="G48" s="436"/>
      <c r="H48" s="347">
        <f>IF(H18='References Assumptions'!$C$369,(-H9*CO2credit_for_ash_to_cement_Murrayetal_2008/1000),0)</f>
        <v>0</v>
      </c>
      <c r="I48" s="436"/>
      <c r="J48" s="347">
        <f>IF(J18='References Assumptions'!$C$369,(-J9*CO2credit_for_ash_to_cement_Murrayetal_2008/1000),0)</f>
        <v>0</v>
      </c>
      <c r="K48" s="436"/>
      <c r="L48" s="347">
        <f>IF(L18='References Assumptions'!$C$369,(-L9*CO2credit_for_ash_to_cement_Murrayetal_2008/1000),0)</f>
        <v>0</v>
      </c>
      <c r="M48" s="436"/>
      <c r="N48" s="347">
        <f>IF(N18='References Assumptions'!$C$369,(-N9*CO2credit_for_ash_to_cement_Murrayetal_2008/1000),0)</f>
        <v>0</v>
      </c>
      <c r="O48" s="436"/>
      <c r="P48" s="347">
        <f>IF(P18='References Assumptions'!$C$369,(-P9*CO2credit_for_ash_to_cement_Murrayetal_2008/1000),0)</f>
        <v>0</v>
      </c>
      <c r="Q48" s="436"/>
      <c r="R48" s="347">
        <f>IF(R18='References Assumptions'!$C$369,(-R9*CO2credit_for_ash_to_cement_Murrayetal_2008/1000),0)</f>
        <v>0</v>
      </c>
      <c r="S48" s="436"/>
      <c r="T48" s="347">
        <f>IF(T18='References Assumptions'!$C$369,(-T9*CO2credit_for_ash_to_cement_Murrayetal_2008/1000),0)</f>
        <v>0</v>
      </c>
      <c r="U48" s="436"/>
    </row>
    <row r="49" spans="1:21" ht="15.75" customHeight="1" thickBot="1" x14ac:dyDescent="0.3">
      <c r="A49" s="475"/>
      <c r="B49" s="484"/>
      <c r="C49" s="433"/>
      <c r="D49" s="484"/>
      <c r="E49" s="433"/>
      <c r="F49" s="484"/>
      <c r="G49" s="433"/>
      <c r="H49" s="484"/>
      <c r="I49" s="433"/>
      <c r="J49" s="484"/>
      <c r="K49" s="433"/>
      <c r="L49" s="484"/>
      <c r="M49" s="433"/>
      <c r="N49" s="484"/>
      <c r="O49" s="433"/>
      <c r="P49" s="484"/>
      <c r="Q49" s="433"/>
      <c r="R49" s="484"/>
      <c r="S49" s="433"/>
      <c r="T49" s="484"/>
      <c r="U49" s="433"/>
    </row>
    <row r="50" spans="1:21" ht="15.75" customHeight="1" thickBot="1" x14ac:dyDescent="0.3">
      <c r="A50" s="1300" t="s">
        <v>226</v>
      </c>
      <c r="B50" s="1301"/>
      <c r="C50" s="1301"/>
      <c r="D50" s="1301"/>
      <c r="E50" s="1301"/>
      <c r="F50" s="1301"/>
      <c r="G50" s="1301"/>
      <c r="H50" s="1301"/>
      <c r="I50" s="1301"/>
      <c r="J50" s="1301"/>
      <c r="K50" s="1301"/>
      <c r="L50" s="1301"/>
      <c r="M50" s="1301"/>
      <c r="N50" s="1301"/>
      <c r="O50" s="1301"/>
      <c r="P50" s="1301"/>
      <c r="Q50" s="1301"/>
      <c r="R50" s="1301"/>
      <c r="S50" s="1301"/>
      <c r="T50" s="1301"/>
      <c r="U50" s="1302"/>
    </row>
    <row r="51" spans="1:21" ht="15.75" customHeight="1" x14ac:dyDescent="0.3">
      <c r="A51" s="161" t="s">
        <v>43</v>
      </c>
      <c r="B51" s="347">
        <f>IF(B18='References Assumptions'!$C$368,(-B9*B12*P_fertilizer_credit_ROU_2006),0)</f>
        <v>0</v>
      </c>
      <c r="C51" s="1116"/>
      <c r="D51" s="347">
        <f>IF(D18='References Assumptions'!$C$368,(-D9*D12*P_fertilizer_credit_ROU_2006),0)</f>
        <v>0</v>
      </c>
      <c r="E51" s="1116"/>
      <c r="F51" s="347">
        <f>IF(F18='References Assumptions'!$C$368,(-F9*F12*P_fertilizer_credit_ROU_2006),0)</f>
        <v>0</v>
      </c>
      <c r="G51" s="1116"/>
      <c r="H51" s="347">
        <f>IF(H18='References Assumptions'!$C$368,(-H9*H12*P_fertilizer_credit_ROU_2006),0)</f>
        <v>0</v>
      </c>
      <c r="I51" s="1116"/>
      <c r="J51" s="347">
        <f>IF(J18='References Assumptions'!$C$368,(-J9*J12*P_fertilizer_credit_ROU_2006),0)</f>
        <v>0</v>
      </c>
      <c r="K51" s="1116"/>
      <c r="L51" s="347">
        <f>IF(L18='References Assumptions'!$C$368,(-L9*L12*P_fertilizer_credit_ROU_2006),0)</f>
        <v>0</v>
      </c>
      <c r="M51" s="1116"/>
      <c r="N51" s="347">
        <f>IF(N18='References Assumptions'!$C$368,(-N9*N12*P_fertilizer_credit_ROU_2006),0)</f>
        <v>0</v>
      </c>
      <c r="O51" s="1116"/>
      <c r="P51" s="347">
        <f>IF(P18='References Assumptions'!$C$368,(-P9*P12*P_fertilizer_credit_ROU_2006),0)</f>
        <v>0</v>
      </c>
      <c r="Q51" s="1116"/>
      <c r="R51" s="347">
        <f>IF(R18='References Assumptions'!$C$368,(-R9*R12*P_fertilizer_credit_ROU_2006),0)</f>
        <v>0</v>
      </c>
      <c r="S51" s="1116"/>
      <c r="T51" s="347">
        <f>IF(T18='References Assumptions'!$C$368,(-T9*T12*P_fertilizer_credit_ROU_2006),0)</f>
        <v>0</v>
      </c>
      <c r="U51" s="1116"/>
    </row>
    <row r="52" spans="1:21" ht="15.75" customHeight="1" thickBot="1" x14ac:dyDescent="0.3">
      <c r="A52" s="475"/>
      <c r="B52" s="484"/>
      <c r="C52" s="433"/>
      <c r="D52" s="484"/>
      <c r="E52" s="433"/>
      <c r="F52" s="484"/>
      <c r="G52" s="433"/>
      <c r="H52" s="484"/>
      <c r="I52" s="433"/>
      <c r="J52" s="484"/>
      <c r="K52" s="433"/>
      <c r="L52" s="484"/>
      <c r="M52" s="433"/>
      <c r="N52" s="484"/>
      <c r="O52" s="433"/>
      <c r="P52" s="484"/>
      <c r="Q52" s="433"/>
      <c r="R52" s="484"/>
      <c r="S52" s="433"/>
      <c r="T52" s="484"/>
      <c r="U52" s="433"/>
    </row>
    <row r="53" spans="1:21" ht="15.75" customHeight="1" thickBot="1" x14ac:dyDescent="0.3">
      <c r="A53" s="1300" t="s">
        <v>306</v>
      </c>
      <c r="B53" s="1301"/>
      <c r="C53" s="1301"/>
      <c r="D53" s="1301"/>
      <c r="E53" s="1301"/>
      <c r="F53" s="1301"/>
      <c r="G53" s="1301"/>
      <c r="H53" s="1301"/>
      <c r="I53" s="1301"/>
      <c r="J53" s="1301"/>
      <c r="K53" s="1301"/>
      <c r="L53" s="1301"/>
      <c r="M53" s="1301"/>
      <c r="N53" s="1301"/>
      <c r="O53" s="1301"/>
      <c r="P53" s="1301"/>
      <c r="Q53" s="1301"/>
      <c r="R53" s="1301"/>
      <c r="S53" s="1301"/>
      <c r="T53" s="1301"/>
      <c r="U53" s="1302"/>
    </row>
    <row r="54" spans="1:21" ht="15.75" customHeight="1" x14ac:dyDescent="0.3">
      <c r="A54" s="1083" t="s">
        <v>861</v>
      </c>
      <c r="B54" s="1040">
        <f>+B9*B13*Carbon_as_a___of_TVS_compostinghandbook*C_to_CO2_conversion</f>
        <v>0</v>
      </c>
      <c r="C54" s="1115"/>
      <c r="D54" s="1040" t="e">
        <f>+D9*D13*Carbon_as_a___of_TVS_compostinghandbook*C_to_CO2_conversion</f>
        <v>#VALUE!</v>
      </c>
      <c r="E54" s="1115"/>
      <c r="F54" s="1040" t="e">
        <f>+F9*F13*Carbon_as_a___of_TVS_compostinghandbook*C_to_CO2_conversion</f>
        <v>#VALUE!</v>
      </c>
      <c r="G54" s="1115"/>
      <c r="H54" s="1040" t="e">
        <f>+H9*H13*Carbon_as_a___of_TVS_compostinghandbook*C_to_CO2_conversion</f>
        <v>#VALUE!</v>
      </c>
      <c r="I54" s="1115"/>
      <c r="J54" s="1040" t="e">
        <f>+J9*J13*Carbon_as_a___of_TVS_compostinghandbook*C_to_CO2_conversion</f>
        <v>#VALUE!</v>
      </c>
      <c r="K54" s="1115"/>
      <c r="L54" s="1040" t="e">
        <f>+L9*L13*Carbon_as_a___of_TVS_compostinghandbook*C_to_CO2_conversion</f>
        <v>#VALUE!</v>
      </c>
      <c r="M54" s="1115"/>
      <c r="N54" s="1040" t="e">
        <f>+N9*N13*Carbon_as_a___of_TVS_compostinghandbook*C_to_CO2_conversion</f>
        <v>#VALUE!</v>
      </c>
      <c r="O54" s="1115"/>
      <c r="P54" s="1040" t="e">
        <f>+P9*P13*Carbon_as_a___of_TVS_compostinghandbook*C_to_CO2_conversion</f>
        <v>#VALUE!</v>
      </c>
      <c r="Q54" s="1115"/>
      <c r="R54" s="1040" t="e">
        <f>+R9*R13*Carbon_as_a___of_TVS_compostinghandbook*C_to_CO2_conversion</f>
        <v>#VALUE!</v>
      </c>
      <c r="S54" s="1115"/>
      <c r="T54" s="1040" t="e">
        <f>+T9*T13*Carbon_as_a___of_TVS_compostinghandbook*C_to_CO2_conversion</f>
        <v>#VALUE!</v>
      </c>
      <c r="U54" s="1115"/>
    </row>
    <row r="55" spans="1:21" ht="15.75" customHeight="1" thickBot="1" x14ac:dyDescent="0.3">
      <c r="A55" s="505"/>
      <c r="B55" s="344"/>
      <c r="C55" s="281"/>
      <c r="D55" s="344"/>
      <c r="E55" s="281"/>
      <c r="F55" s="344"/>
      <c r="G55" s="281"/>
      <c r="H55" s="344"/>
      <c r="I55" s="281"/>
      <c r="J55" s="344"/>
      <c r="K55" s="281"/>
      <c r="L55" s="344"/>
      <c r="M55" s="281"/>
      <c r="N55" s="344"/>
      <c r="O55" s="281"/>
      <c r="P55" s="344"/>
      <c r="Q55" s="281"/>
      <c r="R55" s="344"/>
      <c r="S55" s="281"/>
      <c r="T55" s="344"/>
      <c r="U55" s="281"/>
    </row>
    <row r="56" spans="1:21" ht="15.75" customHeight="1" thickBot="1" x14ac:dyDescent="0.25">
      <c r="A56" s="1348"/>
      <c r="B56" s="1349"/>
      <c r="C56" s="1349"/>
      <c r="D56" s="1349"/>
      <c r="E56" s="1349"/>
      <c r="F56" s="1349"/>
      <c r="G56" s="1349"/>
      <c r="H56" s="1349"/>
      <c r="I56" s="1349"/>
      <c r="J56" s="1349"/>
      <c r="K56" s="1349"/>
      <c r="L56" s="1349"/>
      <c r="M56" s="1349"/>
      <c r="N56" s="1349"/>
      <c r="O56" s="1349"/>
      <c r="P56" s="1349"/>
      <c r="Q56" s="1349"/>
      <c r="R56" s="1349"/>
      <c r="S56" s="1349"/>
      <c r="T56" s="1349"/>
      <c r="U56" s="1350"/>
    </row>
    <row r="57" spans="1:21" ht="18.75" customHeight="1" thickBot="1" x14ac:dyDescent="0.3">
      <c r="A57" s="254" t="s">
        <v>45</v>
      </c>
      <c r="B57" s="303">
        <f>(B30+B36+B45+B48+B51+B39)*days_yr</f>
        <v>20992.61</v>
      </c>
      <c r="C57" s="488"/>
      <c r="D57" s="303" t="e">
        <f>(D30+D36+D45+D48+D51+D39)*days_yr</f>
        <v>#VALUE!</v>
      </c>
      <c r="E57" s="488"/>
      <c r="F57" s="303" t="e">
        <f>(F30+F36+F45+F48+F51+F39)*days_yr</f>
        <v>#VALUE!</v>
      </c>
      <c r="G57" s="488"/>
      <c r="H57" s="303" t="e">
        <f>(H30+H36+H45+H48+H51+H39)*days_yr</f>
        <v>#VALUE!</v>
      </c>
      <c r="I57" s="488"/>
      <c r="J57" s="303" t="e">
        <f>(J30+J36+J45+J48+J51+J39)*days_yr</f>
        <v>#VALUE!</v>
      </c>
      <c r="K57" s="488"/>
      <c r="L57" s="303" t="e">
        <f>(L30+L36+L45+L48+L51+L39)*days_yr</f>
        <v>#VALUE!</v>
      </c>
      <c r="M57" s="488"/>
      <c r="N57" s="303" t="e">
        <f>(N30+N36+N45+N48+N51+N39)*days_yr</f>
        <v>#VALUE!</v>
      </c>
      <c r="O57" s="488"/>
      <c r="P57" s="303" t="e">
        <f>(P30+P36+P45+P48+P51+P39)*days_yr</f>
        <v>#VALUE!</v>
      </c>
      <c r="Q57" s="488"/>
      <c r="R57" s="303" t="e">
        <f>(R30+R36+R45+R48+R51+R39)*days_yr</f>
        <v>#VALUE!</v>
      </c>
      <c r="S57" s="488"/>
      <c r="T57" s="303" t="e">
        <f>(T30+T36+T45+T48+T51+T39)*days_yr</f>
        <v>#VALUE!</v>
      </c>
      <c r="U57" s="488"/>
    </row>
    <row r="58" spans="1:21" ht="15.75" customHeight="1" x14ac:dyDescent="0.25">
      <c r="A58" s="161" t="s">
        <v>228</v>
      </c>
      <c r="B58" s="137">
        <f>(B30+B39+B45)*days_yr</f>
        <v>20992.61</v>
      </c>
      <c r="C58" s="305"/>
      <c r="D58" s="137" t="e">
        <f>(D30+D39+D45)*days_yr</f>
        <v>#VALUE!</v>
      </c>
      <c r="E58" s="305"/>
      <c r="F58" s="137" t="e">
        <f>(F30+F39+F45)*days_yr</f>
        <v>#VALUE!</v>
      </c>
      <c r="G58" s="305"/>
      <c r="H58" s="137" t="e">
        <f>(H30+H39+H45)*days_yr</f>
        <v>#VALUE!</v>
      </c>
      <c r="I58" s="305"/>
      <c r="J58" s="137" t="e">
        <f>(J30+J39+J45)*days_yr</f>
        <v>#VALUE!</v>
      </c>
      <c r="K58" s="305"/>
      <c r="L58" s="137" t="e">
        <f>(L30+L39+L45)*days_yr</f>
        <v>#VALUE!</v>
      </c>
      <c r="M58" s="305"/>
      <c r="N58" s="137" t="e">
        <f>(N30+N39+N45)*days_yr</f>
        <v>#VALUE!</v>
      </c>
      <c r="O58" s="305"/>
      <c r="P58" s="137" t="e">
        <f>(P30+P39+P45)*days_yr</f>
        <v>#VALUE!</v>
      </c>
      <c r="Q58" s="305"/>
      <c r="R58" s="137" t="e">
        <f>(R30+R39+R45)*days_yr</f>
        <v>#VALUE!</v>
      </c>
      <c r="S58" s="305"/>
      <c r="T58" s="137" t="e">
        <f>(T30+T39+T45)*days_yr</f>
        <v>#VALUE!</v>
      </c>
      <c r="U58" s="305"/>
    </row>
    <row r="59" spans="1:21" ht="15.75" customHeight="1" x14ac:dyDescent="0.25">
      <c r="A59" s="168" t="s">
        <v>229</v>
      </c>
      <c r="B59" s="138">
        <f>B36*days_yr</f>
        <v>0</v>
      </c>
      <c r="C59" s="305"/>
      <c r="D59" s="138">
        <f>D36*days_yr</f>
        <v>0</v>
      </c>
      <c r="E59" s="305"/>
      <c r="F59" s="138">
        <f>F36*days_yr</f>
        <v>0</v>
      </c>
      <c r="G59" s="305"/>
      <c r="H59" s="138">
        <f>H36*days_yr</f>
        <v>0</v>
      </c>
      <c r="I59" s="305"/>
      <c r="J59" s="138">
        <f>J36*days_yr</f>
        <v>0</v>
      </c>
      <c r="K59" s="305"/>
      <c r="L59" s="138">
        <f>L36*days_yr</f>
        <v>0</v>
      </c>
      <c r="M59" s="305"/>
      <c r="N59" s="138">
        <f>N36*days_yr</f>
        <v>0</v>
      </c>
      <c r="O59" s="305"/>
      <c r="P59" s="138">
        <f>P36*days_yr</f>
        <v>0</v>
      </c>
      <c r="Q59" s="305"/>
      <c r="R59" s="138">
        <f>R36*days_yr</f>
        <v>0</v>
      </c>
      <c r="S59" s="305"/>
      <c r="T59" s="138">
        <f>T36*days_yr</f>
        <v>0</v>
      </c>
      <c r="U59" s="305"/>
    </row>
    <row r="60" spans="1:21" ht="15.75" customHeight="1" x14ac:dyDescent="0.25">
      <c r="A60" s="168" t="s">
        <v>207</v>
      </c>
      <c r="B60" s="138">
        <f>B58+B59</f>
        <v>20992.61</v>
      </c>
      <c r="C60" s="305"/>
      <c r="D60" s="138" t="e">
        <f>D58+D59</f>
        <v>#VALUE!</v>
      </c>
      <c r="E60" s="305"/>
      <c r="F60" s="138" t="e">
        <f>F58+F59</f>
        <v>#VALUE!</v>
      </c>
      <c r="G60" s="305"/>
      <c r="H60" s="138" t="e">
        <f>H58+H59</f>
        <v>#VALUE!</v>
      </c>
      <c r="I60" s="305"/>
      <c r="J60" s="138" t="e">
        <f>J58+J59</f>
        <v>#VALUE!</v>
      </c>
      <c r="K60" s="305"/>
      <c r="L60" s="138" t="e">
        <f>L58+L59</f>
        <v>#VALUE!</v>
      </c>
      <c r="M60" s="305"/>
      <c r="N60" s="138" t="e">
        <f>N58+N59</f>
        <v>#VALUE!</v>
      </c>
      <c r="O60" s="305"/>
      <c r="P60" s="138" t="e">
        <f>P58+P59</f>
        <v>#VALUE!</v>
      </c>
      <c r="Q60" s="305"/>
      <c r="R60" s="138" t="e">
        <f>R58+R59</f>
        <v>#VALUE!</v>
      </c>
      <c r="S60" s="305"/>
      <c r="T60" s="138" t="e">
        <f>T58+T59</f>
        <v>#VALUE!</v>
      </c>
      <c r="U60" s="305"/>
    </row>
    <row r="61" spans="1:21" ht="15.75" customHeight="1" x14ac:dyDescent="0.25">
      <c r="A61" s="168" t="s">
        <v>230</v>
      </c>
      <c r="B61" s="138">
        <f>(B48+B51)*days_yr</f>
        <v>0</v>
      </c>
      <c r="C61" s="305"/>
      <c r="D61" s="138">
        <f>(D48+D51)*days_yr</f>
        <v>0</v>
      </c>
      <c r="E61" s="305"/>
      <c r="F61" s="138">
        <f>(F48+F51)*days_yr</f>
        <v>0</v>
      </c>
      <c r="G61" s="305"/>
      <c r="H61" s="138">
        <f>(H48+H51)*days_yr</f>
        <v>0</v>
      </c>
      <c r="I61" s="305"/>
      <c r="J61" s="138">
        <f>(J48+J51)*days_yr</f>
        <v>0</v>
      </c>
      <c r="K61" s="305"/>
      <c r="L61" s="138">
        <f>(L48+L51)*days_yr</f>
        <v>0</v>
      </c>
      <c r="M61" s="305"/>
      <c r="N61" s="138">
        <f>(N48+N51)*days_yr</f>
        <v>0</v>
      </c>
      <c r="O61" s="305"/>
      <c r="P61" s="138">
        <f>(P48+P51)*days_yr</f>
        <v>0</v>
      </c>
      <c r="Q61" s="305"/>
      <c r="R61" s="138">
        <f>(R48+R51)*days_yr</f>
        <v>0</v>
      </c>
      <c r="S61" s="305"/>
      <c r="T61" s="138">
        <f>(T48+T51)*days_yr</f>
        <v>0</v>
      </c>
      <c r="U61" s="305"/>
    </row>
    <row r="62" spans="1:21" ht="15.75" customHeight="1" thickBot="1" x14ac:dyDescent="0.3">
      <c r="A62" s="169" t="s">
        <v>325</v>
      </c>
      <c r="B62" s="140">
        <f>B54*days_yr</f>
        <v>0</v>
      </c>
      <c r="C62" s="351"/>
      <c r="D62" s="140" t="e">
        <f>D54*days_yr</f>
        <v>#VALUE!</v>
      </c>
      <c r="E62" s="351"/>
      <c r="F62" s="140" t="e">
        <f>F54*days_yr</f>
        <v>#VALUE!</v>
      </c>
      <c r="G62" s="351"/>
      <c r="H62" s="140" t="e">
        <f>H54*days_yr</f>
        <v>#VALUE!</v>
      </c>
      <c r="I62" s="351"/>
      <c r="J62" s="140" t="e">
        <f>J54*days_yr</f>
        <v>#VALUE!</v>
      </c>
      <c r="K62" s="351"/>
      <c r="L62" s="140" t="e">
        <f>L54*days_yr</f>
        <v>#VALUE!</v>
      </c>
      <c r="M62" s="351"/>
      <c r="N62" s="140" t="e">
        <f>N54*days_yr</f>
        <v>#VALUE!</v>
      </c>
      <c r="O62" s="351"/>
      <c r="P62" s="140" t="e">
        <f>P54*days_yr</f>
        <v>#VALUE!</v>
      </c>
      <c r="Q62" s="351"/>
      <c r="R62" s="140" t="e">
        <f>R54*days_yr</f>
        <v>#VALUE!</v>
      </c>
      <c r="S62" s="351"/>
      <c r="T62" s="140" t="e">
        <f>T54*days_yr</f>
        <v>#VALUE!</v>
      </c>
      <c r="U62" s="351"/>
    </row>
    <row r="63" spans="1:21" ht="15" x14ac:dyDescent="0.25">
      <c r="A63" s="489"/>
      <c r="B63" s="96"/>
      <c r="C63" s="96"/>
      <c r="D63" s="96"/>
      <c r="E63" s="96"/>
    </row>
    <row r="64" spans="1:21" s="105" customFormat="1" ht="18" x14ac:dyDescent="0.25">
      <c r="A64" s="176" t="s">
        <v>97</v>
      </c>
      <c r="B64" s="155"/>
    </row>
    <row r="65" spans="1:5" s="105" customFormat="1" ht="60" customHeight="1" x14ac:dyDescent="0.2">
      <c r="A65" s="1297" t="s">
        <v>19</v>
      </c>
      <c r="B65" s="1336"/>
      <c r="C65" s="1336"/>
    </row>
    <row r="66" spans="1:5" s="105" customFormat="1" ht="15.75" customHeight="1" x14ac:dyDescent="0.2">
      <c r="A66" s="1035" t="s">
        <v>107</v>
      </c>
      <c r="B66" s="1036"/>
      <c r="C66" s="1036"/>
    </row>
    <row r="67" spans="1:5" ht="15" x14ac:dyDescent="0.25">
      <c r="A67" s="489"/>
      <c r="B67" s="1234" t="s">
        <v>110</v>
      </c>
      <c r="C67" s="1235"/>
      <c r="D67" s="1235"/>
      <c r="E67" s="1236"/>
    </row>
    <row r="68" spans="1:5" ht="14.45" customHeight="1" x14ac:dyDescent="0.25">
      <c r="A68" s="489"/>
      <c r="B68" s="1231" t="s">
        <v>31</v>
      </c>
      <c r="C68" s="1232"/>
      <c r="D68" s="1233"/>
      <c r="E68" s="563">
        <v>0</v>
      </c>
    </row>
    <row r="69" spans="1:5" ht="15" x14ac:dyDescent="0.25">
      <c r="A69" s="489"/>
      <c r="B69" s="1231" t="s">
        <v>32</v>
      </c>
      <c r="C69" s="1232"/>
      <c r="D69" s="1233"/>
      <c r="E69" s="564">
        <v>0</v>
      </c>
    </row>
    <row r="70" spans="1:5" ht="15" x14ac:dyDescent="0.25">
      <c r="A70" s="489"/>
      <c r="B70" s="1231" t="s">
        <v>615</v>
      </c>
      <c r="C70" s="1232"/>
      <c r="D70" s="1233"/>
      <c r="E70" s="565">
        <v>0</v>
      </c>
    </row>
    <row r="71" spans="1:5" ht="15" x14ac:dyDescent="0.25">
      <c r="A71" s="489"/>
      <c r="B71" s="1231" t="s">
        <v>70</v>
      </c>
      <c r="C71" s="1232"/>
      <c r="D71" s="1233"/>
      <c r="E71" s="566">
        <v>0</v>
      </c>
    </row>
    <row r="72" spans="1:5" ht="15" x14ac:dyDescent="0.25">
      <c r="A72" s="489"/>
      <c r="B72" s="1231" t="s">
        <v>550</v>
      </c>
      <c r="C72" s="1232"/>
      <c r="D72" s="1233"/>
      <c r="E72" s="567">
        <v>0</v>
      </c>
    </row>
    <row r="73" spans="1:5" ht="15" x14ac:dyDescent="0.25">
      <c r="A73" s="489"/>
      <c r="B73" s="1231" t="s">
        <v>610</v>
      </c>
      <c r="C73" s="1232"/>
      <c r="D73" s="1233"/>
      <c r="E73" s="227">
        <v>0</v>
      </c>
    </row>
    <row r="74" spans="1:5" x14ac:dyDescent="0.2">
      <c r="A74" s="96"/>
      <c r="B74" s="96"/>
      <c r="C74" s="96"/>
      <c r="D74" s="96"/>
      <c r="E74" s="96"/>
    </row>
    <row r="75" spans="1:5" x14ac:dyDescent="0.2">
      <c r="A75" s="96"/>
      <c r="B75" s="96"/>
      <c r="C75" s="96"/>
      <c r="D75" s="178"/>
      <c r="E75" s="96"/>
    </row>
    <row r="76" spans="1:5" x14ac:dyDescent="0.2">
      <c r="A76" s="96"/>
      <c r="B76" s="96"/>
      <c r="C76" s="96"/>
      <c r="D76" s="286"/>
      <c r="E76" s="96"/>
    </row>
    <row r="77" spans="1:5" x14ac:dyDescent="0.2">
      <c r="A77" s="96"/>
      <c r="B77" s="96"/>
      <c r="C77" s="96"/>
      <c r="D77" s="178"/>
      <c r="E77" s="96"/>
    </row>
    <row r="78" spans="1:5" x14ac:dyDescent="0.2">
      <c r="A78" s="96"/>
      <c r="B78" s="96"/>
      <c r="C78" s="96"/>
      <c r="D78" s="178"/>
      <c r="E78" s="96"/>
    </row>
    <row r="79" spans="1:5" x14ac:dyDescent="0.2">
      <c r="A79" s="96"/>
      <c r="B79" s="96"/>
      <c r="C79" s="96"/>
      <c r="D79" s="286"/>
      <c r="E79" s="96"/>
    </row>
    <row r="80" spans="1:5" x14ac:dyDescent="0.2">
      <c r="A80" s="96"/>
      <c r="B80" s="96"/>
      <c r="C80" s="96"/>
      <c r="D80" s="96"/>
      <c r="E80" s="96"/>
    </row>
    <row r="81" spans="1:5" x14ac:dyDescent="0.2">
      <c r="A81" s="96"/>
      <c r="B81" s="96"/>
      <c r="C81" s="96"/>
      <c r="D81" s="96"/>
      <c r="E81" s="96"/>
    </row>
    <row r="82" spans="1:5" x14ac:dyDescent="0.2">
      <c r="A82" s="96"/>
      <c r="B82" s="96"/>
      <c r="C82" s="96"/>
      <c r="D82" s="96"/>
      <c r="E82" s="96"/>
    </row>
    <row r="84" spans="1:5" x14ac:dyDescent="0.2">
      <c r="C84" s="96"/>
    </row>
    <row r="85" spans="1:5" x14ac:dyDescent="0.2">
      <c r="C85" s="96"/>
    </row>
    <row r="86" spans="1:5" x14ac:dyDescent="0.2">
      <c r="C86" s="96"/>
    </row>
    <row r="87" spans="1:5" x14ac:dyDescent="0.2">
      <c r="C87" s="490"/>
    </row>
  </sheetData>
  <sheetProtection algorithmName="SHA-512" hashValue="LFNxqEexHYjf3KqnW4Z4O3wZx3+GtUoaKJ3G+O0biR4LC4E9OZ1BY/m0syS4MA+DPgyyqymOPYuqscEfcE2PtQ==" saltValue="hxSXOCf9ovYcZiwTUGwW4Q==" spinCount="100000" sheet="1" objects="1" scenarios="1"/>
  <mergeCells count="39">
    <mergeCell ref="B73:D73"/>
    <mergeCell ref="B67:E67"/>
    <mergeCell ref="B68:D68"/>
    <mergeCell ref="B69:D69"/>
    <mergeCell ref="B70:D70"/>
    <mergeCell ref="B71:D71"/>
    <mergeCell ref="B72:D72"/>
    <mergeCell ref="R2:S2"/>
    <mergeCell ref="T2:U2"/>
    <mergeCell ref="N2:O2"/>
    <mergeCell ref="B3:C3"/>
    <mergeCell ref="D3:E3"/>
    <mergeCell ref="F3:G3"/>
    <mergeCell ref="H3:I3"/>
    <mergeCell ref="J3:K3"/>
    <mergeCell ref="L3:M3"/>
    <mergeCell ref="B2:C2"/>
    <mergeCell ref="A26:U26"/>
    <mergeCell ref="A32:U32"/>
    <mergeCell ref="A38:U38"/>
    <mergeCell ref="N3:O3"/>
    <mergeCell ref="D2:E2"/>
    <mergeCell ref="F2:G2"/>
    <mergeCell ref="H2:I2"/>
    <mergeCell ref="J2:K2"/>
    <mergeCell ref="L2:M2"/>
    <mergeCell ref="P3:Q3"/>
    <mergeCell ref="R3:S3"/>
    <mergeCell ref="T3:U3"/>
    <mergeCell ref="A2:A3"/>
    <mergeCell ref="A5:U5"/>
    <mergeCell ref="A22:U22"/>
    <mergeCell ref="P2:Q2"/>
    <mergeCell ref="A65:C65"/>
    <mergeCell ref="A41:U41"/>
    <mergeCell ref="A47:U47"/>
    <mergeCell ref="A50:U50"/>
    <mergeCell ref="A53:U53"/>
    <mergeCell ref="A56:U56"/>
  </mergeCells>
  <phoneticPr fontId="43"/>
  <dataValidations count="3">
    <dataValidation type="list" allowBlank="1" showInputMessage="1" showErrorMessage="1" sqref="R19 B19 H10 D10 F10 T19 L10 N10 P10 R10 B10 T10 D19 F19 H19 J19 L19 N19 P19 J10" xr:uid="{00000000-0002-0000-1600-000000000000}">
      <formula1>Yes_No</formula1>
    </dataValidation>
    <dataValidation type="list" allowBlank="1" showInputMessage="1" showErrorMessage="1" sqref="R6 B6 D6 F6 H6 J6 L6 N6 P6 T6" xr:uid="{00000000-0002-0000-1600-000001000000}">
      <formula1>Combustion_Process</formula1>
    </dataValidation>
    <dataValidation type="list" allowBlank="1" showInputMessage="1" showErrorMessage="1" sqref="R18 B18 D18 F18 H18 J18 L18 N18 P18 T18" xr:uid="{00000000-0002-0000-1600-000002000000}">
      <formula1>Disposition_of_Ash</formula1>
    </dataValidation>
  </dataValidations>
  <pageMargins left="0.75" right="0.75" top="1" bottom="1" header="0.5" footer="0.5"/>
  <pageSetup scale="58" orientation="portrait" horizontalDpi="4294967292" verticalDpi="4294967292"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3">
    <pageSetUpPr fitToPage="1"/>
  </sheetPr>
  <dimension ref="B1:AU115"/>
  <sheetViews>
    <sheetView topLeftCell="A40" workbookViewId="0">
      <selection activeCell="C55" sqref="C55"/>
    </sheetView>
  </sheetViews>
  <sheetFormatPr defaultColWidth="9.140625" defaultRowHeight="14.25" x14ac:dyDescent="0.2"/>
  <cols>
    <col min="1" max="1" width="17.42578125" style="130" customWidth="1"/>
    <col min="2" max="2" width="53.42578125" style="130" customWidth="1"/>
    <col min="3" max="27" width="15.42578125" style="130" customWidth="1"/>
    <col min="28" max="28" width="11.140625" style="130" customWidth="1"/>
    <col min="29" max="29" width="41.42578125" style="130" bestFit="1" customWidth="1"/>
    <col min="30" max="30" width="34.140625" style="130" customWidth="1"/>
    <col min="31" max="31" width="14.85546875" style="130" customWidth="1"/>
    <col min="32" max="32" width="9.42578125" style="130" bestFit="1" customWidth="1"/>
    <col min="33" max="40" width="9.140625" style="130"/>
    <col min="41" max="41" width="18.85546875" style="130" bestFit="1" customWidth="1"/>
    <col min="42" max="42" width="20" style="130" customWidth="1"/>
    <col min="43" max="43" width="18.5703125" style="130" customWidth="1"/>
    <col min="44" max="44" width="19.140625" style="130" customWidth="1"/>
    <col min="45" max="45" width="18.42578125" style="130" customWidth="1"/>
    <col min="46" max="46" width="9.85546875" style="130" customWidth="1"/>
    <col min="47" max="47" width="16.140625" style="130" customWidth="1"/>
    <col min="48" max="50" width="10.85546875" style="130" bestFit="1" customWidth="1"/>
    <col min="51" max="51" width="10.140625" style="130" bestFit="1" customWidth="1"/>
    <col min="52" max="52" width="11.85546875" style="130" bestFit="1" customWidth="1"/>
    <col min="53" max="53" width="12.140625" style="130" bestFit="1" customWidth="1"/>
    <col min="54" max="54" width="11.42578125" style="130" customWidth="1"/>
    <col min="55" max="55" width="11.140625" style="130" bestFit="1" customWidth="1"/>
    <col min="56" max="57" width="9.140625" style="130"/>
    <col min="58" max="58" width="11.140625" style="130" customWidth="1"/>
    <col min="59" max="59" width="12.140625" style="130" bestFit="1" customWidth="1"/>
    <col min="60" max="60" width="15.42578125" style="130" bestFit="1" customWidth="1"/>
    <col min="61" max="61" width="8.42578125" style="130" bestFit="1" customWidth="1"/>
    <col min="62" max="62" width="11.140625" style="130" customWidth="1"/>
    <col min="63" max="63" width="10.140625" style="130" customWidth="1"/>
    <col min="64" max="64" width="9.140625" style="130" customWidth="1"/>
    <col min="65" max="67" width="9.140625" style="130"/>
    <col min="68" max="68" width="12" style="130" customWidth="1"/>
    <col min="69" max="16384" width="9.140625" style="130"/>
  </cols>
  <sheetData>
    <row r="1" spans="2:47" s="105" customFormat="1" ht="23.25" x14ac:dyDescent="0.35">
      <c r="B1" s="369" t="s">
        <v>160</v>
      </c>
      <c r="C1" s="527"/>
      <c r="D1" s="527"/>
      <c r="E1" s="527"/>
      <c r="F1" s="527"/>
      <c r="G1" s="527"/>
      <c r="H1" s="527"/>
      <c r="I1" s="527"/>
      <c r="J1" s="528"/>
      <c r="K1" s="528"/>
      <c r="L1" s="528"/>
      <c r="M1" s="528"/>
      <c r="N1" s="528"/>
      <c r="O1" s="528"/>
      <c r="P1" s="528"/>
      <c r="Q1" s="528"/>
      <c r="R1" s="528"/>
      <c r="S1" s="528"/>
      <c r="T1" s="528"/>
      <c r="U1" s="528"/>
      <c r="V1" s="528"/>
      <c r="W1" s="528"/>
      <c r="X1" s="528"/>
      <c r="Y1" s="528"/>
      <c r="Z1" s="528"/>
      <c r="AA1" s="528"/>
      <c r="AB1" s="528"/>
      <c r="AU1" s="96"/>
    </row>
    <row r="2" spans="2:47" s="105" customFormat="1" ht="15.75" customHeight="1" thickBot="1" x14ac:dyDescent="0.4">
      <c r="B2" s="369"/>
      <c r="C2" s="528"/>
      <c r="D2" s="528"/>
      <c r="E2" s="528"/>
      <c r="F2" s="528"/>
      <c r="G2" s="528"/>
      <c r="H2" s="528"/>
      <c r="I2" s="528"/>
      <c r="J2" s="528"/>
      <c r="K2" s="528"/>
      <c r="L2" s="528"/>
      <c r="M2" s="528"/>
      <c r="N2" s="528"/>
      <c r="O2" s="528"/>
      <c r="P2" s="528"/>
      <c r="Q2" s="528"/>
      <c r="R2" s="528"/>
      <c r="S2" s="528"/>
      <c r="T2" s="528"/>
      <c r="U2" s="528"/>
      <c r="V2" s="528"/>
      <c r="W2" s="528"/>
      <c r="X2" s="528"/>
      <c r="Y2" s="528"/>
      <c r="Z2" s="528"/>
      <c r="AA2" s="528"/>
      <c r="AB2" s="528"/>
    </row>
    <row r="3" spans="2:47" ht="117" customHeight="1" thickBot="1" x14ac:dyDescent="0.3">
      <c r="B3" s="529" t="s">
        <v>104</v>
      </c>
      <c r="C3" s="1364" t="s">
        <v>331</v>
      </c>
      <c r="D3" s="1365"/>
      <c r="E3" s="1365"/>
      <c r="F3" s="1365"/>
      <c r="G3" s="1365"/>
      <c r="H3" s="1365"/>
      <c r="I3" s="1365"/>
      <c r="J3" s="1365"/>
      <c r="K3" s="1365"/>
      <c r="L3" s="1365"/>
      <c r="M3" s="1365"/>
      <c r="N3" s="1365"/>
      <c r="O3" s="1365"/>
      <c r="P3" s="1365"/>
      <c r="Q3" s="1365"/>
      <c r="R3" s="1365"/>
      <c r="S3" s="1365"/>
      <c r="T3" s="1366"/>
      <c r="U3" s="1366"/>
      <c r="V3" s="1366"/>
      <c r="W3" s="1366"/>
      <c r="X3" s="1366"/>
      <c r="Y3" s="1366"/>
      <c r="Z3" s="1366"/>
      <c r="AA3" s="1367"/>
    </row>
    <row r="4" spans="2:47" ht="15.75" x14ac:dyDescent="0.25">
      <c r="B4" s="530" t="str">
        <f>CONCATENATE("Transportation input - Scenario 1 - ",'Scenarios Data'!B1)</f>
        <v>Transportation input - Scenario 1 - Landfill</v>
      </c>
      <c r="C4" s="1188" t="str">
        <f>IF(ISBLANK('Amount and Destination'!$C$4),"Destination 1",'Amount and Destination'!$C$4)</f>
        <v>unknown</v>
      </c>
      <c r="D4" s="531" t="str">
        <f>IF(ISBLANK('Amount and Destination'!$C$5),"Destination 2",'Amount and Destination'!$C$5)</f>
        <v>Destination 2</v>
      </c>
      <c r="E4" s="531" t="str">
        <f>IF(ISBLANK('Amount and Destination'!$C$6),"Destination 3",'Amount and Destination'!$C$6)</f>
        <v>Destination 3</v>
      </c>
      <c r="F4" s="531" t="str">
        <f>IF(ISBLANK('Amount and Destination'!$C$7),"Destination 4",'Amount and Destination'!$C$7)</f>
        <v>Destination 4</v>
      </c>
      <c r="G4" s="531" t="str">
        <f>IF(ISBLANK('Amount and Destination'!$C$8),"Destination 5",'Amount and Destination'!$C$8)</f>
        <v>Destination 5</v>
      </c>
      <c r="H4" s="531" t="str">
        <f>IF(ISBLANK('Amount and Destination'!$C$9),"Destination 6",'Amount and Destination'!$C$9)</f>
        <v>Destination 6</v>
      </c>
      <c r="I4" s="531" t="str">
        <f>IF(ISBLANK('Amount and Destination'!$C$10),"Destination 7",'Amount and Destination'!$C$10)</f>
        <v>Destination 7</v>
      </c>
      <c r="J4" s="531" t="str">
        <f>IF(ISBLANK('Amount and Destination'!$C$11),"Destination 8",'Amount and Destination'!$C$11)</f>
        <v>Destination 8</v>
      </c>
      <c r="K4" s="531" t="str">
        <f>IF(ISBLANK('Amount and Destination'!$C$12),"Destination 9",'Amount and Destination'!$C$12)</f>
        <v>Destination 9</v>
      </c>
      <c r="L4" s="531" t="str">
        <f>IF(ISBLANK('Amount and Destination'!$C$13),"Destination 10",'Amount and Destination'!$C$13)</f>
        <v>Destination 10</v>
      </c>
      <c r="M4" s="532" t="str">
        <f>IF(ISBLANK('Amount and Destination'!$C$14),"Destination 11",'Amount and Destination'!$C$14)</f>
        <v>Destination 11</v>
      </c>
      <c r="N4" s="533" t="str">
        <f>IF(ISBLANK('Amount and Destination'!$C$15),"Destination 12",'Amount and Destination'!$C$15)</f>
        <v>Destination 12</v>
      </c>
      <c r="O4" s="533" t="str">
        <f>IF(ISBLANK('Amount and Destination'!$C$16),"Destination 13",'Amount and Destination'!$C$16)</f>
        <v>Destination 13</v>
      </c>
      <c r="P4" s="531" t="str">
        <f>IF(ISBLANK('Amount and Destination'!$C$17),"Destination 14",'Amount and Destination'!$C$17)</f>
        <v>Destination 14</v>
      </c>
      <c r="Q4" s="531" t="str">
        <f>IF(ISBLANK('Amount and Destination'!$C$18),"Destination 15",'Amount and Destination'!$C$18)</f>
        <v>Destination 15</v>
      </c>
      <c r="R4" s="531" t="str">
        <f>IF(ISBLANK('Amount and Destination'!$C$19),"Destination 16",'Amount and Destination'!$C$19)</f>
        <v>Destination 16</v>
      </c>
      <c r="S4" s="534" t="str">
        <f>IF(ISBLANK('Amount and Destination'!$C$20),"Destination 17",'Amount and Destination'!$C$20)</f>
        <v>Destination 17</v>
      </c>
      <c r="T4" s="531" t="str">
        <f>IF(ISBLANK('Amount and Destination'!$C$21),"Destination 18",'Amount and Destination'!$C$21)</f>
        <v>Destination 18</v>
      </c>
      <c r="U4" s="531" t="str">
        <f>IF(ISBLANK('Amount and Destination'!$C$22),"Destination 19",'Amount and Destination'!$C$22)</f>
        <v>Destination 19</v>
      </c>
      <c r="V4" s="531" t="str">
        <f>IF(ISBLANK('Amount and Destination'!$C$23),"Destination 20",'Amount and Destination'!$C$23)</f>
        <v>Destination 20</v>
      </c>
      <c r="W4" s="531" t="str">
        <f>IF(ISBLANK('Amount and Destination'!$C$24),"Destination 21",'Amount and Destination'!$C$24)</f>
        <v>Destination 21</v>
      </c>
      <c r="X4" s="531" t="str">
        <f>IF(ISBLANK('Amount and Destination'!$C$25),"Destination 22",'Amount and Destination'!$C$25)</f>
        <v>Destination 22</v>
      </c>
      <c r="Y4" s="531" t="str">
        <f>IF(ISBLANK('Amount and Destination'!$C$26),"Destination 23",'Amount and Destination'!$C$26)</f>
        <v>Destination 23</v>
      </c>
      <c r="Z4" s="531" t="str">
        <f>IF(ISBLANK('Amount and Destination'!$C$27),"Destination 24",'Amount and Destination'!$C$27)</f>
        <v>Destination 24</v>
      </c>
      <c r="AA4" s="531" t="str">
        <f>IF(ISBLANK('Amount and Destination'!$C$28),"Destination 25",'Amount and Destination'!$C$28)</f>
        <v>Destination 25</v>
      </c>
      <c r="AB4" s="535" t="s">
        <v>162</v>
      </c>
    </row>
    <row r="5" spans="2:47" s="96" customFormat="1" ht="15.75" customHeight="1" thickBot="1" x14ac:dyDescent="0.25">
      <c r="B5" s="245" t="s">
        <v>869</v>
      </c>
      <c r="C5" s="1189">
        <v>0</v>
      </c>
      <c r="D5" s="1189">
        <v>0</v>
      </c>
      <c r="E5" s="1189">
        <v>0</v>
      </c>
      <c r="F5" s="1189">
        <v>0</v>
      </c>
      <c r="G5" s="1189">
        <v>0</v>
      </c>
      <c r="H5" s="1189">
        <v>0</v>
      </c>
      <c r="I5" s="1189">
        <v>0</v>
      </c>
      <c r="J5" s="1189">
        <v>0</v>
      </c>
      <c r="K5" s="1189">
        <v>0</v>
      </c>
      <c r="L5" s="1189">
        <v>0</v>
      </c>
      <c r="M5" s="1189">
        <v>0</v>
      </c>
      <c r="N5" s="1189">
        <v>0</v>
      </c>
      <c r="O5" s="1189">
        <v>0</v>
      </c>
      <c r="P5" s="1189">
        <v>0</v>
      </c>
      <c r="Q5" s="1189">
        <v>0</v>
      </c>
      <c r="R5" s="1189">
        <v>0</v>
      </c>
      <c r="S5" s="1189">
        <v>0</v>
      </c>
      <c r="T5" s="1189">
        <v>0</v>
      </c>
      <c r="U5" s="1189">
        <v>0</v>
      </c>
      <c r="V5" s="1189">
        <v>0</v>
      </c>
      <c r="W5" s="1189">
        <v>0</v>
      </c>
      <c r="X5" s="1189">
        <v>0</v>
      </c>
      <c r="Y5" s="1189">
        <v>0</v>
      </c>
      <c r="Z5" s="1189">
        <v>0</v>
      </c>
      <c r="AA5" s="1189">
        <v>0</v>
      </c>
      <c r="AB5" s="1358"/>
      <c r="AP5" s="1234" t="s">
        <v>110</v>
      </c>
      <c r="AQ5" s="1235"/>
      <c r="AR5" s="1235"/>
      <c r="AS5" s="1236"/>
    </row>
    <row r="6" spans="2:47" s="96" customFormat="1" ht="21" x14ac:dyDescent="0.25">
      <c r="B6" s="558" t="s">
        <v>396</v>
      </c>
      <c r="C6" s="102">
        <f>'Amount and Destination'!$W4</f>
        <v>0</v>
      </c>
      <c r="D6" s="102">
        <f>+'Amount and Destination'!$W5</f>
        <v>0</v>
      </c>
      <c r="E6" s="536">
        <f>+'Amount and Destination'!$W6</f>
        <v>0</v>
      </c>
      <c r="F6" s="536">
        <f>+'Amount and Destination'!$W7</f>
        <v>0</v>
      </c>
      <c r="G6" s="536">
        <f>+'Amount and Destination'!$W8</f>
        <v>0</v>
      </c>
      <c r="H6" s="536">
        <f>+'Amount and Destination'!$W9</f>
        <v>0</v>
      </c>
      <c r="I6" s="536">
        <f>+'Amount and Destination'!$W10</f>
        <v>0</v>
      </c>
      <c r="J6" s="536">
        <f>+'Amount and Destination'!$W11</f>
        <v>0</v>
      </c>
      <c r="K6" s="536">
        <f>+'Amount and Destination'!$W12</f>
        <v>0</v>
      </c>
      <c r="L6" s="536">
        <f>+'Amount and Destination'!$W13</f>
        <v>0</v>
      </c>
      <c r="M6" s="536">
        <f>+'Amount and Destination'!$W14</f>
        <v>0</v>
      </c>
      <c r="N6" s="536">
        <f>+'Amount and Destination'!$W15</f>
        <v>0</v>
      </c>
      <c r="O6" s="536">
        <f>+'Amount and Destination'!$W16</f>
        <v>0</v>
      </c>
      <c r="P6" s="536">
        <f>+'Amount and Destination'!$W17</f>
        <v>0</v>
      </c>
      <c r="Q6" s="536">
        <f>+'Amount and Destination'!$W18</f>
        <v>0</v>
      </c>
      <c r="R6" s="536">
        <f>+'Amount and Destination'!$W19</f>
        <v>0</v>
      </c>
      <c r="S6" s="536">
        <f>+'Amount and Destination'!$W20</f>
        <v>0</v>
      </c>
      <c r="T6" s="537">
        <f>+'Amount and Destination'!$W21</f>
        <v>0</v>
      </c>
      <c r="U6" s="537">
        <f>+'Amount and Destination'!$W22</f>
        <v>0</v>
      </c>
      <c r="V6" s="537">
        <f>+'Amount and Destination'!W$23</f>
        <v>0</v>
      </c>
      <c r="W6" s="537">
        <f>+'Amount and Destination'!$W24</f>
        <v>0</v>
      </c>
      <c r="X6" s="537">
        <f>+'Amount and Destination'!$W25</f>
        <v>0</v>
      </c>
      <c r="Y6" s="537">
        <f>+'Amount and Destination'!$W26</f>
        <v>0</v>
      </c>
      <c r="Z6" s="537">
        <f>+'Amount and Destination'!$W27</f>
        <v>0</v>
      </c>
      <c r="AA6" s="538">
        <f>+'Amount and Destination'!$W28</f>
        <v>0</v>
      </c>
      <c r="AB6" s="1359"/>
      <c r="AC6" s="539" t="s">
        <v>329</v>
      </c>
      <c r="AD6" s="540">
        <f>SUM(C13:AA13)</f>
        <v>0</v>
      </c>
      <c r="AE6" s="1361" t="s">
        <v>559</v>
      </c>
      <c r="AF6" s="541" t="e">
        <f>+H5*H10/(D5*D10)*D13/H13</f>
        <v>#VALUE!</v>
      </c>
      <c r="AG6" s="1352" t="s">
        <v>662</v>
      </c>
      <c r="AH6" s="1352"/>
      <c r="AI6" s="1352"/>
      <c r="AJ6" s="1352"/>
      <c r="AK6" s="1352"/>
      <c r="AL6" s="1352"/>
      <c r="AM6" s="1352"/>
      <c r="AN6" s="1352"/>
      <c r="AP6" s="1231" t="s">
        <v>31</v>
      </c>
      <c r="AQ6" s="1232"/>
      <c r="AR6" s="1233"/>
      <c r="AS6" s="563">
        <v>0</v>
      </c>
    </row>
    <row r="7" spans="2:47" ht="15.75" customHeight="1" x14ac:dyDescent="0.25">
      <c r="B7" s="558" t="s">
        <v>870</v>
      </c>
      <c r="C7" s="542">
        <f>+'Amount and Destination'!$Z4</f>
        <v>0</v>
      </c>
      <c r="D7" s="542">
        <f>+'Amount and Destination'!$Z5</f>
        <v>0</v>
      </c>
      <c r="E7" s="542">
        <f>+'Amount and Destination'!$Z6</f>
        <v>0</v>
      </c>
      <c r="F7" s="542">
        <f>+'Amount and Destination'!$Z7</f>
        <v>0</v>
      </c>
      <c r="G7" s="542">
        <f>+'Amount and Destination'!$Z8</f>
        <v>0</v>
      </c>
      <c r="H7" s="542">
        <f>+'Amount and Destination'!$Z9</f>
        <v>0</v>
      </c>
      <c r="I7" s="542">
        <f>+'Amount and Destination'!$Z10</f>
        <v>0</v>
      </c>
      <c r="J7" s="542">
        <f>+'Amount and Destination'!$Z11</f>
        <v>0</v>
      </c>
      <c r="K7" s="542">
        <f>+'Amount and Destination'!$Z12</f>
        <v>0</v>
      </c>
      <c r="L7" s="542">
        <f>+'Amount and Destination'!$Z13</f>
        <v>0</v>
      </c>
      <c r="M7" s="542">
        <f>+'Amount and Destination'!$Z14</f>
        <v>0</v>
      </c>
      <c r="N7" s="542">
        <f>+'Amount and Destination'!$Z15</f>
        <v>0</v>
      </c>
      <c r="O7" s="542">
        <f>+'Amount and Destination'!$Z16</f>
        <v>0</v>
      </c>
      <c r="P7" s="542">
        <f>+'Amount and Destination'!$Z17</f>
        <v>0</v>
      </c>
      <c r="Q7" s="542">
        <f>+'Amount and Destination'!$Z18</f>
        <v>0</v>
      </c>
      <c r="R7" s="542">
        <f>+'Amount and Destination'!$Z19</f>
        <v>0</v>
      </c>
      <c r="S7" s="542">
        <f>+'Amount and Destination'!$Z20</f>
        <v>0</v>
      </c>
      <c r="T7" s="873">
        <f>+'Amount and Destination'!$Z21</f>
        <v>0</v>
      </c>
      <c r="U7" s="873">
        <f>+'Amount and Destination'!$Z22</f>
        <v>0</v>
      </c>
      <c r="V7" s="873">
        <f>+'Amount and Destination'!$Z23</f>
        <v>0</v>
      </c>
      <c r="W7" s="873">
        <f>+'Amount and Destination'!$Z24</f>
        <v>0</v>
      </c>
      <c r="X7" s="873">
        <f>+'Amount and Destination'!$Z25</f>
        <v>0</v>
      </c>
      <c r="Y7" s="873">
        <f>+'Amount and Destination'!$Z26</f>
        <v>0</v>
      </c>
      <c r="Z7" s="873">
        <f>+'Amount and Destination'!$Z27</f>
        <v>0</v>
      </c>
      <c r="AA7" s="874">
        <f>+'Amount and Destination'!$Z28</f>
        <v>0</v>
      </c>
      <c r="AB7" s="1360"/>
      <c r="AC7" s="215" t="s">
        <v>228</v>
      </c>
      <c r="AD7" s="543">
        <f>AD6</f>
        <v>0</v>
      </c>
      <c r="AE7" s="1362"/>
      <c r="AP7" s="1231" t="s">
        <v>32</v>
      </c>
      <c r="AQ7" s="1232"/>
      <c r="AR7" s="1233"/>
      <c r="AS7" s="564">
        <v>0</v>
      </c>
    </row>
    <row r="8" spans="2:47" s="96" customFormat="1" ht="15.75" customHeight="1" x14ac:dyDescent="0.25">
      <c r="B8" s="558" t="s">
        <v>2</v>
      </c>
      <c r="C8" s="544">
        <f>+$C$113</f>
        <v>2.4743422909272987</v>
      </c>
      <c r="D8" s="544">
        <f t="shared" ref="D8:AA8" si="0">+$C$113</f>
        <v>2.4743422909272987</v>
      </c>
      <c r="E8" s="544">
        <f t="shared" si="0"/>
        <v>2.4743422909272987</v>
      </c>
      <c r="F8" s="544">
        <f t="shared" si="0"/>
        <v>2.4743422909272987</v>
      </c>
      <c r="G8" s="544">
        <f t="shared" si="0"/>
        <v>2.4743422909272987</v>
      </c>
      <c r="H8" s="544">
        <f t="shared" si="0"/>
        <v>2.4743422909272987</v>
      </c>
      <c r="I8" s="544">
        <f t="shared" si="0"/>
        <v>2.4743422909272987</v>
      </c>
      <c r="J8" s="544">
        <f t="shared" si="0"/>
        <v>2.4743422909272987</v>
      </c>
      <c r="K8" s="544">
        <f t="shared" si="0"/>
        <v>2.4743422909272987</v>
      </c>
      <c r="L8" s="544">
        <f t="shared" si="0"/>
        <v>2.4743422909272987</v>
      </c>
      <c r="M8" s="544">
        <f t="shared" si="0"/>
        <v>2.4743422909272987</v>
      </c>
      <c r="N8" s="544">
        <f t="shared" si="0"/>
        <v>2.4743422909272987</v>
      </c>
      <c r="O8" s="544">
        <f t="shared" si="0"/>
        <v>2.4743422909272987</v>
      </c>
      <c r="P8" s="544">
        <f t="shared" si="0"/>
        <v>2.4743422909272987</v>
      </c>
      <c r="Q8" s="544">
        <f t="shared" si="0"/>
        <v>2.4743422909272987</v>
      </c>
      <c r="R8" s="544">
        <f t="shared" si="0"/>
        <v>2.4743422909272987</v>
      </c>
      <c r="S8" s="544">
        <f t="shared" si="0"/>
        <v>2.4743422909272987</v>
      </c>
      <c r="T8" s="544">
        <f t="shared" si="0"/>
        <v>2.4743422909272987</v>
      </c>
      <c r="U8" s="544">
        <f t="shared" si="0"/>
        <v>2.4743422909272987</v>
      </c>
      <c r="V8" s="544">
        <f t="shared" si="0"/>
        <v>2.4743422909272987</v>
      </c>
      <c r="W8" s="544">
        <f t="shared" si="0"/>
        <v>2.4743422909272987</v>
      </c>
      <c r="X8" s="544">
        <f t="shared" si="0"/>
        <v>2.4743422909272987</v>
      </c>
      <c r="Y8" s="544">
        <f t="shared" si="0"/>
        <v>2.4743422909272987</v>
      </c>
      <c r="Z8" s="544">
        <f t="shared" si="0"/>
        <v>2.4743422909272987</v>
      </c>
      <c r="AA8" s="544">
        <f t="shared" si="0"/>
        <v>2.4743422909272987</v>
      </c>
      <c r="AB8" s="1359"/>
      <c r="AC8" s="215" t="s">
        <v>229</v>
      </c>
      <c r="AD8" s="545" t="s">
        <v>307</v>
      </c>
      <c r="AE8" s="1362"/>
      <c r="AP8" s="1231" t="s">
        <v>615</v>
      </c>
      <c r="AQ8" s="1232"/>
      <c r="AR8" s="1233"/>
      <c r="AS8" s="565">
        <v>0</v>
      </c>
    </row>
    <row r="9" spans="2:47" s="96" customFormat="1" ht="15.75" customHeight="1" x14ac:dyDescent="0.25">
      <c r="B9" s="558" t="s">
        <v>485</v>
      </c>
      <c r="C9" s="544">
        <f>'Amount and Destination'!R4</f>
        <v>0</v>
      </c>
      <c r="D9" s="544">
        <f>'Amount and Destination'!R5</f>
        <v>0</v>
      </c>
      <c r="E9" s="544">
        <f>'Amount and Destination'!R6</f>
        <v>0</v>
      </c>
      <c r="F9" s="544">
        <f>'Amount and Destination'!R7</f>
        <v>0</v>
      </c>
      <c r="G9" s="544">
        <f>'Amount and Destination'!R8</f>
        <v>0</v>
      </c>
      <c r="H9" s="544">
        <f>'Amount and Destination'!R9</f>
        <v>0</v>
      </c>
      <c r="I9" s="544">
        <f>'Amount and Destination'!R10</f>
        <v>0</v>
      </c>
      <c r="J9" s="544">
        <f>'Amount and Destination'!R11</f>
        <v>0</v>
      </c>
      <c r="K9" s="544">
        <f>'Amount and Destination'!R12</f>
        <v>0</v>
      </c>
      <c r="L9" s="544">
        <f>'Amount and Destination'!R13</f>
        <v>0</v>
      </c>
      <c r="M9" s="544">
        <f>'Amount and Destination'!R14</f>
        <v>0</v>
      </c>
      <c r="N9" s="544">
        <f>'Amount and Destination'!R15</f>
        <v>0</v>
      </c>
      <c r="O9" s="544">
        <f>'Amount and Destination'!R16</f>
        <v>0</v>
      </c>
      <c r="P9" s="544">
        <f>'Amount and Destination'!R17</f>
        <v>0</v>
      </c>
      <c r="Q9" s="544">
        <f>'Amount and Destination'!R18</f>
        <v>0</v>
      </c>
      <c r="R9" s="544">
        <f>'Amount and Destination'!R19</f>
        <v>0</v>
      </c>
      <c r="S9" s="544">
        <f>'Amount and Destination'!R20</f>
        <v>0</v>
      </c>
      <c r="T9" s="544">
        <f>'Amount and Destination'!R21</f>
        <v>0</v>
      </c>
      <c r="U9" s="544">
        <f>'Amount and Destination'!R22</f>
        <v>0</v>
      </c>
      <c r="V9" s="544">
        <f>'Amount and Destination'!R23</f>
        <v>0</v>
      </c>
      <c r="W9" s="544">
        <f>'Amount and Destination'!R24</f>
        <v>0</v>
      </c>
      <c r="X9" s="544">
        <f>'Amount and Destination'!R25</f>
        <v>0</v>
      </c>
      <c r="Y9" s="544">
        <f>'Amount and Destination'!R26</f>
        <v>0</v>
      </c>
      <c r="Z9" s="544">
        <f>'Amount and Destination'!R27</f>
        <v>0</v>
      </c>
      <c r="AA9" s="544">
        <f>'Amount and Destination'!R28</f>
        <v>0</v>
      </c>
      <c r="AB9" s="1359"/>
      <c r="AC9" s="215" t="s">
        <v>230</v>
      </c>
      <c r="AD9" s="545" t="s">
        <v>307</v>
      </c>
      <c r="AE9" s="1362"/>
      <c r="AP9" s="1231" t="s">
        <v>70</v>
      </c>
      <c r="AQ9" s="1232"/>
      <c r="AR9" s="1233"/>
      <c r="AS9" s="566">
        <v>0</v>
      </c>
    </row>
    <row r="10" spans="2:47" ht="15.75" customHeight="1" thickBot="1" x14ac:dyDescent="0.3">
      <c r="B10" s="558" t="s">
        <v>486</v>
      </c>
      <c r="C10" s="542" t="str">
        <f>IF(C9='References Assumptions'!$C$333,'Amount and Destination'!$V4,IF(C9='References Assumptions'!$C$334,'Amount and Destination'!$T4,"N/A"))</f>
        <v>N/A</v>
      </c>
      <c r="D10" s="542" t="str">
        <f>IF(D9='References Assumptions'!$C$333,'Amount and Destination'!$V5,IF(D9='References Assumptions'!$C$334,'Amount and Destination'!$T5,"N/A"))</f>
        <v>N/A</v>
      </c>
      <c r="E10" s="542" t="str">
        <f>IF(E9='References Assumptions'!$C$333,'Amount and Destination'!$V6,IF(E9='References Assumptions'!$C$334,'Amount and Destination'!$T6,"N/A"))</f>
        <v>N/A</v>
      </c>
      <c r="F10" s="542" t="str">
        <f>IF(F9='References Assumptions'!$C$333,'Amount and Destination'!$V7,IF(F9='References Assumptions'!$C$334,'Amount and Destination'!$T7,"N/A"))</f>
        <v>N/A</v>
      </c>
      <c r="G10" s="542" t="str">
        <f>IF(G9='References Assumptions'!$C$333,'Amount and Destination'!$V8,IF(G9='References Assumptions'!$C$334,'Amount and Destination'!$T8,"N/A"))</f>
        <v>N/A</v>
      </c>
      <c r="H10" s="542" t="str">
        <f>IF(H9='References Assumptions'!$C$333,'Amount and Destination'!$V9,IF(H9='References Assumptions'!$C$334,'Amount and Destination'!$T9,"N/A"))</f>
        <v>N/A</v>
      </c>
      <c r="I10" s="542" t="str">
        <f>IF(I9='References Assumptions'!$C$333,'Amount and Destination'!$V10,IF(I9='References Assumptions'!$C$334,'Amount and Destination'!$T10,"N/A"))</f>
        <v>N/A</v>
      </c>
      <c r="J10" s="542" t="str">
        <f>IF(J9='References Assumptions'!$C$333,'Amount and Destination'!$V11,IF(J9='References Assumptions'!$C$334,'Amount and Destination'!$T11,"N/A"))</f>
        <v>N/A</v>
      </c>
      <c r="K10" s="542" t="str">
        <f>IF(K9='References Assumptions'!$C$333,'Amount and Destination'!$V12,IF(K9='References Assumptions'!$C$334,'Amount and Destination'!$T12,"N/A"))</f>
        <v>N/A</v>
      </c>
      <c r="L10" s="542" t="str">
        <f>IF(L9='References Assumptions'!$C$333,'Amount and Destination'!$V13,IF(L9='References Assumptions'!$C$334,'Amount and Destination'!$T13,"N/A"))</f>
        <v>N/A</v>
      </c>
      <c r="M10" s="542" t="str">
        <f>IF(M9='References Assumptions'!$C$333,'Amount and Destination'!$V14,IF(M9='References Assumptions'!$C$334,'Amount and Destination'!$T14,"N/A"))</f>
        <v>N/A</v>
      </c>
      <c r="N10" s="542" t="str">
        <f>IF(N9='References Assumptions'!$C$333,'Amount and Destination'!$V15,IF(N9='References Assumptions'!$C$334,'Amount and Destination'!$T15,"N/A"))</f>
        <v>N/A</v>
      </c>
      <c r="O10" s="542" t="str">
        <f>IF(O9='References Assumptions'!$C$333,'Amount and Destination'!$V16,IF(O9='References Assumptions'!$C$334,'Amount and Destination'!$T16,"N/A"))</f>
        <v>N/A</v>
      </c>
      <c r="P10" s="542" t="str">
        <f>IF(P9='References Assumptions'!$C$333,'Amount and Destination'!$V17,IF(P9='References Assumptions'!$C$334,'Amount and Destination'!$T17,"N/A"))</f>
        <v>N/A</v>
      </c>
      <c r="Q10" s="542" t="str">
        <f>IF(Q9='References Assumptions'!$C$333,'Amount and Destination'!$V18,IF(Q9='References Assumptions'!$C$334,'Amount and Destination'!$T18,"N/A"))</f>
        <v>N/A</v>
      </c>
      <c r="R10" s="542" t="str">
        <f>IF(R9='References Assumptions'!$C$333,'Amount and Destination'!$V19,IF(R9='References Assumptions'!$C$334,'Amount and Destination'!$T19,"N/A"))</f>
        <v>N/A</v>
      </c>
      <c r="S10" s="542" t="str">
        <f>IF(S9='References Assumptions'!$C$333,'Amount and Destination'!$V20,IF(S9='References Assumptions'!$C$334,'Amount and Destination'!$T20,"N/A"))</f>
        <v>N/A</v>
      </c>
      <c r="T10" s="542" t="str">
        <f>IF(T9='References Assumptions'!$C$333,'Amount and Destination'!$V21,IF(T9='References Assumptions'!$C$334,'Amount and Destination'!$T21,"N/A"))</f>
        <v>N/A</v>
      </c>
      <c r="U10" s="542" t="str">
        <f>IF(U9='References Assumptions'!$C$333,'Amount and Destination'!$V22,IF(U9='References Assumptions'!$C$334,'Amount and Destination'!$T22,"N/A"))</f>
        <v>N/A</v>
      </c>
      <c r="V10" s="542" t="str">
        <f>IF(V9='References Assumptions'!$C$333,'Amount and Destination'!$V23,IF(V9='References Assumptions'!$C$334,'Amount and Destination'!$T23,"N/A"))</f>
        <v>N/A</v>
      </c>
      <c r="W10" s="542" t="str">
        <f>IF(W9='References Assumptions'!$C$333,'Amount and Destination'!$V24,IF(W9='References Assumptions'!$C$334,'Amount and Destination'!$T24,"N/A"))</f>
        <v>N/A</v>
      </c>
      <c r="X10" s="542" t="str">
        <f>IF(X9='References Assumptions'!$C$333,'Amount and Destination'!$V25,IF(X9='References Assumptions'!$C$334,'Amount and Destination'!$T25,"N/A"))</f>
        <v>N/A</v>
      </c>
      <c r="Y10" s="542" t="str">
        <f>IF(Y9='References Assumptions'!$C$333,'Amount and Destination'!$V26,IF(Y9='References Assumptions'!$C$334,'Amount and Destination'!$T26,"N/A"))</f>
        <v>N/A</v>
      </c>
      <c r="Z10" s="542" t="str">
        <f>IF(Z9='References Assumptions'!$C$333,'Amount and Destination'!$V27,IF(Z9='References Assumptions'!$C$334,'Amount and Destination'!$T27,"N/A"))</f>
        <v>N/A</v>
      </c>
      <c r="AA10" s="542" t="str">
        <f>IF(AA9='References Assumptions'!$C$333,'Amount and Destination'!$V28,IF(AA9='References Assumptions'!$C$334,'Amount and Destination'!$T28,"N/A"))</f>
        <v>N/A</v>
      </c>
      <c r="AB10" s="1360"/>
      <c r="AC10" s="215" t="s">
        <v>232</v>
      </c>
      <c r="AD10" s="545">
        <f>((C11*C12)+(D11*D12)+(E11*E12)+(F11*F12)+(G11*G12)+(H11*H12)+(I11*I12)+(J11*J12)+(K11*K12)+(L11*L12)+(M11*M12)+(N11*N12)+(O11*O12)+(P11*P12)+(Q11*Q12)+(R11*R12)+(S11*S12)+(T11*T12)+(U11*U12)+(V11*V12)+(W11*W12)+(X11*X12)+(Y11*Y12)+(Z11*Z12)+(AA11*AA12))*(CO2E_diesel__ClimateReg/Mg_g)</f>
        <v>0</v>
      </c>
      <c r="AE10" s="1363"/>
      <c r="AP10" s="1231" t="s">
        <v>550</v>
      </c>
      <c r="AQ10" s="1232"/>
      <c r="AR10" s="1233"/>
      <c r="AS10" s="567">
        <v>0</v>
      </c>
    </row>
    <row r="11" spans="2:47" s="96" customFormat="1" ht="15.75" customHeight="1" x14ac:dyDescent="0.25">
      <c r="B11" s="46" t="s">
        <v>315</v>
      </c>
      <c r="C11" s="233">
        <f>IF(AND(C6='References Assumptions'!$C$331,C5&gt;0),C5/C7*C10/C8,0)</f>
        <v>0</v>
      </c>
      <c r="D11" s="233">
        <f>IF(AND(D6='References Assumptions'!$C$331,D5&gt;0),D5/D7*D10/D8,0)</f>
        <v>0</v>
      </c>
      <c r="E11" s="233">
        <f>IF(AND(E6='References Assumptions'!$C$331,E5&gt;0),E5/E7*E10/E8,0)</f>
        <v>0</v>
      </c>
      <c r="F11" s="233">
        <f>IF(AND(F6='References Assumptions'!$C$331,F5&gt;0),F5/F7*F10/F8,0)</f>
        <v>0</v>
      </c>
      <c r="G11" s="233">
        <f>IF(AND(G6='References Assumptions'!$C$331,G5&gt;0),G5/G7*G10/G8,0)</f>
        <v>0</v>
      </c>
      <c r="H11" s="233">
        <f>IF(AND(H6='References Assumptions'!$C$331,H5&gt;0),H5/H7*H10/H8,0)</f>
        <v>0</v>
      </c>
      <c r="I11" s="233">
        <f>IF(AND(I6='References Assumptions'!$C$331,I5&gt;0),I5/I7*I10/I8,0)</f>
        <v>0</v>
      </c>
      <c r="J11" s="233">
        <f>IF(AND(J6='References Assumptions'!$C$331,J5&gt;0),J5/J7*J10/J8,0)</f>
        <v>0</v>
      </c>
      <c r="K11" s="233">
        <f>IF(AND(K6='References Assumptions'!$C$331,K5&gt;0),K5/K7*K10/K8,0)</f>
        <v>0</v>
      </c>
      <c r="L11" s="233">
        <f>IF(AND(L6='References Assumptions'!$C$331,L5&gt;0),L5/L7*L10/L8,0)</f>
        <v>0</v>
      </c>
      <c r="M11" s="233">
        <f>IF(AND(M6='References Assumptions'!$C$331,M5&gt;0),M5/M7*M10/M8,0)</f>
        <v>0</v>
      </c>
      <c r="N11" s="233">
        <f>IF(AND(N6='References Assumptions'!$C$331,N5&gt;0),N5/N7*N10/N8,0)</f>
        <v>0</v>
      </c>
      <c r="O11" s="233">
        <f>IF(AND(O6='References Assumptions'!$C$331,O5&gt;0),O5/O7*O10/O8,0)</f>
        <v>0</v>
      </c>
      <c r="P11" s="233">
        <f>IF(AND(P6='References Assumptions'!$C$331,P5&gt;0),P5/P7*P10/P8,0)</f>
        <v>0</v>
      </c>
      <c r="Q11" s="233">
        <f>IF(AND(Q6='References Assumptions'!$C$331,Q5&gt;0),Q5/Q7*Q10/Q8,0)</f>
        <v>0</v>
      </c>
      <c r="R11" s="233">
        <f>IF(AND(R6='References Assumptions'!$C$331,R5&gt;0),R5/R7*R10/R8,0)</f>
        <v>0</v>
      </c>
      <c r="S11" s="233">
        <f>IF(AND(S6='References Assumptions'!$C$331,S5&gt;0),S5/S7*S10/S8,0)</f>
        <v>0</v>
      </c>
      <c r="T11" s="233">
        <f>IF(AND(T6='References Assumptions'!$C$331,T5&gt;0),T5/T7*T10/T8,0)</f>
        <v>0</v>
      </c>
      <c r="U11" s="233">
        <f>IF(AND(U6='References Assumptions'!$C$331,U5&gt;0),U5/U7*U10/U8,0)</f>
        <v>0</v>
      </c>
      <c r="V11" s="233">
        <f>IF(AND(V6='References Assumptions'!$C$331,V5&gt;0),V5/V7*V10/V8,0)</f>
        <v>0</v>
      </c>
      <c r="W11" s="233">
        <f>IF(AND(W6='References Assumptions'!$C$331,W5&gt;0),W5/W7*W10/W8,0)</f>
        <v>0</v>
      </c>
      <c r="X11" s="233">
        <f>IF(AND(X6='References Assumptions'!$C$331,X5&gt;0),X5/X7*X10/X8,0)</f>
        <v>0</v>
      </c>
      <c r="Y11" s="233">
        <f>IF(AND(Y6='References Assumptions'!$C$331,Y5&gt;0),Y5/Y7*Y10/Y8,0)</f>
        <v>0</v>
      </c>
      <c r="Z11" s="233">
        <f>IF(AND(Z6='References Assumptions'!$C$331,Z5&gt;0),Z5/Z7*Z10/Z8,0)</f>
        <v>0</v>
      </c>
      <c r="AA11" s="233">
        <f>IF(AND(AA6='References Assumptions'!$C$331,AA5&gt;0),AA5/AA7*AA10/AA8,0)</f>
        <v>0</v>
      </c>
      <c r="AB11" s="546">
        <f>SUM(C11:AA11)</f>
        <v>0</v>
      </c>
      <c r="AC11" s="547" t="s">
        <v>557</v>
      </c>
      <c r="AD11" s="548">
        <f>+SUMIF(C6:AA6,'References Assumptions'!$C$331,Transportation!C13:AA13)</f>
        <v>0</v>
      </c>
      <c r="AE11" s="549" t="e">
        <f>+AD11/SUMIF(C6:AA6,'References Assumptions'!$C$331,Transportation!C5:AA5)*Mg_kg</f>
        <v>#DIV/0!</v>
      </c>
      <c r="AP11" s="1231" t="s">
        <v>610</v>
      </c>
      <c r="AQ11" s="1232"/>
      <c r="AR11" s="1233"/>
      <c r="AS11" s="227">
        <v>0</v>
      </c>
    </row>
    <row r="12" spans="2:47" s="96" customFormat="1" ht="15.75" customHeight="1" thickBot="1" x14ac:dyDescent="0.3">
      <c r="B12" s="46" t="s">
        <v>316</v>
      </c>
      <c r="C12" s="550">
        <f>'Amount and Destination'!AA4</f>
        <v>0</v>
      </c>
      <c r="D12" s="550">
        <f>'Amount and Destination'!AA5</f>
        <v>0</v>
      </c>
      <c r="E12" s="550">
        <f>'Amount and Destination'!AA6</f>
        <v>0</v>
      </c>
      <c r="F12" s="550">
        <f>'Amount and Destination'!AA7</f>
        <v>0</v>
      </c>
      <c r="G12" s="550">
        <f>'Amount and Destination'!AA8</f>
        <v>0</v>
      </c>
      <c r="H12" s="550">
        <f>'Amount and Destination'!AA9</f>
        <v>0</v>
      </c>
      <c r="I12" s="550">
        <f>'Amount and Destination'!AA10</f>
        <v>0</v>
      </c>
      <c r="J12" s="550">
        <f>'Amount and Destination'!AA11</f>
        <v>0</v>
      </c>
      <c r="K12" s="550">
        <f>'Amount and Destination'!AA12</f>
        <v>0</v>
      </c>
      <c r="L12" s="550">
        <f>'Amount and Destination'!AA13</f>
        <v>0</v>
      </c>
      <c r="M12" s="550">
        <f>'Amount and Destination'!AA14</f>
        <v>0</v>
      </c>
      <c r="N12" s="550">
        <f>'Amount and Destination'!AA15</f>
        <v>0</v>
      </c>
      <c r="O12" s="550">
        <f>'Amount and Destination'!AA16</f>
        <v>0</v>
      </c>
      <c r="P12" s="550">
        <f>'Amount and Destination'!AA17</f>
        <v>0</v>
      </c>
      <c r="Q12" s="550">
        <f>'Amount and Destination'!AA18</f>
        <v>0</v>
      </c>
      <c r="R12" s="550">
        <f>'Amount and Destination'!AA19</f>
        <v>0</v>
      </c>
      <c r="S12" s="550">
        <f>'Amount and Destination'!AA20</f>
        <v>0</v>
      </c>
      <c r="T12" s="550">
        <f>'Amount and Destination'!AA21</f>
        <v>0</v>
      </c>
      <c r="U12" s="550">
        <f>'Amount and Destination'!AA22</f>
        <v>0</v>
      </c>
      <c r="V12" s="550">
        <f>'Amount and Destination'!AA23</f>
        <v>0</v>
      </c>
      <c r="W12" s="550">
        <f>'Amount and Destination'!AA24</f>
        <v>0</v>
      </c>
      <c r="X12" s="550">
        <f>'Amount and Destination'!AA25</f>
        <v>0</v>
      </c>
      <c r="Y12" s="550">
        <f>'Amount and Destination'!AA26</f>
        <v>0</v>
      </c>
      <c r="Z12" s="550">
        <f>'Amount and Destination'!AA27</f>
        <v>0</v>
      </c>
      <c r="AA12" s="550">
        <f>'Amount and Destination'!AA28</f>
        <v>0</v>
      </c>
      <c r="AB12" s="551"/>
      <c r="AC12" s="552" t="s">
        <v>558</v>
      </c>
      <c r="AD12" s="553">
        <f>+SUMIF(C6:AA6,'References Assumptions'!$C$332,Transportation!C13:AA13)</f>
        <v>0</v>
      </c>
      <c r="AE12" s="221" t="e">
        <f>+AD12/SUMIF(C6:AA6,'References Assumptions'!$C$331,Transportation!C5:AA5)*Mg_kg</f>
        <v>#DIV/0!</v>
      </c>
    </row>
    <row r="13" spans="2:47" ht="15.75" customHeight="1" thickBot="1" x14ac:dyDescent="0.35">
      <c r="B13" s="153" t="s">
        <v>51</v>
      </c>
      <c r="C13" s="554" t="str">
        <f t="shared" ref="C13:AA13" si="1">IF(C6="Truck",C11*(1-C12)*CO2E_diesel__ClimateReg/1000000,IF(C6="Rail",C5*C10*rail_emis/Mg_kg,"N/A"))</f>
        <v>N/A</v>
      </c>
      <c r="D13" s="554" t="str">
        <f t="shared" si="1"/>
        <v>N/A</v>
      </c>
      <c r="E13" s="554" t="str">
        <f t="shared" si="1"/>
        <v>N/A</v>
      </c>
      <c r="F13" s="554" t="str">
        <f t="shared" si="1"/>
        <v>N/A</v>
      </c>
      <c r="G13" s="554" t="str">
        <f t="shared" si="1"/>
        <v>N/A</v>
      </c>
      <c r="H13" s="554" t="str">
        <f t="shared" si="1"/>
        <v>N/A</v>
      </c>
      <c r="I13" s="554" t="str">
        <f t="shared" si="1"/>
        <v>N/A</v>
      </c>
      <c r="J13" s="554" t="str">
        <f t="shared" si="1"/>
        <v>N/A</v>
      </c>
      <c r="K13" s="554" t="str">
        <f t="shared" si="1"/>
        <v>N/A</v>
      </c>
      <c r="L13" s="554" t="str">
        <f t="shared" si="1"/>
        <v>N/A</v>
      </c>
      <c r="M13" s="554" t="str">
        <f t="shared" si="1"/>
        <v>N/A</v>
      </c>
      <c r="N13" s="554" t="str">
        <f t="shared" si="1"/>
        <v>N/A</v>
      </c>
      <c r="O13" s="554" t="str">
        <f t="shared" si="1"/>
        <v>N/A</v>
      </c>
      <c r="P13" s="554" t="str">
        <f t="shared" si="1"/>
        <v>N/A</v>
      </c>
      <c r="Q13" s="554" t="str">
        <f t="shared" si="1"/>
        <v>N/A</v>
      </c>
      <c r="R13" s="554" t="str">
        <f t="shared" si="1"/>
        <v>N/A</v>
      </c>
      <c r="S13" s="554" t="str">
        <f t="shared" si="1"/>
        <v>N/A</v>
      </c>
      <c r="T13" s="554" t="str">
        <f t="shared" si="1"/>
        <v>N/A</v>
      </c>
      <c r="U13" s="554" t="str">
        <f t="shared" si="1"/>
        <v>N/A</v>
      </c>
      <c r="V13" s="554" t="str">
        <f t="shared" si="1"/>
        <v>N/A</v>
      </c>
      <c r="W13" s="554" t="str">
        <f t="shared" si="1"/>
        <v>N/A</v>
      </c>
      <c r="X13" s="554" t="str">
        <f t="shared" si="1"/>
        <v>N/A</v>
      </c>
      <c r="Y13" s="554" t="str">
        <f t="shared" si="1"/>
        <v>N/A</v>
      </c>
      <c r="Z13" s="554" t="str">
        <f t="shared" si="1"/>
        <v>N/A</v>
      </c>
      <c r="AA13" s="554" t="str">
        <f t="shared" si="1"/>
        <v>N/A</v>
      </c>
      <c r="AB13" s="555">
        <f>SUM(C13:AA13)</f>
        <v>0</v>
      </c>
    </row>
    <row r="14" spans="2:47" ht="15.75" x14ac:dyDescent="0.25">
      <c r="B14" s="148" t="str">
        <f>CONCATENATE("Transportation input - Scenario 2 - ",'Scenarios Data'!B33)</f>
        <v>Transportation input - Scenario 2 - Co-digestion</v>
      </c>
      <c r="C14" s="531" t="str">
        <f>IF(ISBLANK('Amount and Destination'!$C$33),"Destination 1",'Amount and Destination'!$C$33)</f>
        <v>unknown</v>
      </c>
      <c r="D14" s="531" t="str">
        <f>IF(ISBLANK('Amount and Destination'!$C$34),"Destination 2",'Amount and Destination'!$C$34)</f>
        <v>Destination 2</v>
      </c>
      <c r="E14" s="531" t="str">
        <f>IF(ISBLANK('Amount and Destination'!$C$35),"Destination 3",'Amount and Destination'!$C$35)</f>
        <v>Destination 3</v>
      </c>
      <c r="F14" s="531" t="str">
        <f>IF(ISBLANK('Amount and Destination'!$C$36),"Destination 4",'Amount and Destination'!$C$36)</f>
        <v>Destination 4</v>
      </c>
      <c r="G14" s="531" t="str">
        <f>IF(ISBLANK('Amount and Destination'!$C$37),"Destination 5",'Amount and Destination'!$C$37)</f>
        <v>Destination 5</v>
      </c>
      <c r="H14" s="531" t="str">
        <f>IF(ISBLANK('Amount and Destination'!$C$38),"Destination 6",'Amount and Destination'!$C$38)</f>
        <v>Destination 6</v>
      </c>
      <c r="I14" s="531" t="str">
        <f>IF(ISBLANK('Amount and Destination'!$C$39),"Destination 7",'Amount and Destination'!$C$39)</f>
        <v>Destination 7</v>
      </c>
      <c r="J14" s="531" t="str">
        <f>IF(ISBLANK('Amount and Destination'!$C$40),"Destination 8",'Amount and Destination'!$C$40)</f>
        <v>Destination 8</v>
      </c>
      <c r="K14" s="531" t="str">
        <f>IF(ISBLANK('Amount and Destination'!$C$41),"Destination 9",'Amount and Destination'!$C$41)</f>
        <v>Destination 9</v>
      </c>
      <c r="L14" s="531" t="str">
        <f>IF(ISBLANK('Amount and Destination'!$C$42),"Destination 10",'Amount and Destination'!$C$42)</f>
        <v>Destination 10</v>
      </c>
      <c r="M14" s="532" t="str">
        <f>IF(ISBLANK('Amount and Destination'!$C$43),"Destination 11",'Amount and Destination'!$C$43)</f>
        <v>Destination 11</v>
      </c>
      <c r="N14" s="533" t="str">
        <f>IF(ISBLANK('Amount and Destination'!$C$44),"Destination 12",'Amount and Destination'!$C$44)</f>
        <v>Destination 12</v>
      </c>
      <c r="O14" s="533" t="str">
        <f>IF(ISBLANK('Amount and Destination'!$C$45),"Destination 13",'Amount and Destination'!$C$45)</f>
        <v>Destination 13</v>
      </c>
      <c r="P14" s="531" t="str">
        <f>IF(ISBLANK('Amount and Destination'!$C$46),"Destination 14",'Amount and Destination'!$C$46)</f>
        <v>Destination 14</v>
      </c>
      <c r="Q14" s="531" t="str">
        <f>IF(ISBLANK('Amount and Destination'!$C$47),"Destination 15",'Amount and Destination'!$C$47)</f>
        <v>Destination 15</v>
      </c>
      <c r="R14" s="531" t="str">
        <f>IF(ISBLANK('Amount and Destination'!$C$48),"Destination 16",'Amount and Destination'!$C$48)</f>
        <v>Destination 16</v>
      </c>
      <c r="S14" s="534" t="str">
        <f>IF(ISBLANK('Amount and Destination'!$C$49),"Destination 17",'Amount and Destination'!$C$49)</f>
        <v>Destination 17</v>
      </c>
      <c r="T14" s="531" t="str">
        <f>IF(ISBLANK('Amount and Destination'!$C$50),"Destination 18",'Amount and Destination'!$C$50)</f>
        <v>Destination 18</v>
      </c>
      <c r="U14" s="531" t="str">
        <f>IF(ISBLANK('Amount and Destination'!$C$51),"Destination 19",'Amount and Destination'!$C$51)</f>
        <v>Destination 19</v>
      </c>
      <c r="V14" s="531" t="str">
        <f>IF(ISBLANK('Amount and Destination'!$C$52),"Destination 20",'Amount and Destination'!$C$52)</f>
        <v>Destination 20</v>
      </c>
      <c r="W14" s="531" t="str">
        <f>IF(ISBLANK('Amount and Destination'!$C$53),"Destination 21",'Amount and Destination'!$C$53)</f>
        <v>Destination 21</v>
      </c>
      <c r="X14" s="531" t="str">
        <f>IF(ISBLANK('Amount and Destination'!$C$54),"Destination 22",'Amount and Destination'!$C$54)</f>
        <v>Destination 22</v>
      </c>
      <c r="Y14" s="531" t="str">
        <f>IF(ISBLANK('Amount and Destination'!$C$55),"Destination 23",'Amount and Destination'!$C$55)</f>
        <v>Destination 23</v>
      </c>
      <c r="Z14" s="531" t="str">
        <f>IF(ISBLANK('Amount and Destination'!$C$56),"Destination 24",'Amount and Destination'!$C$56)</f>
        <v>Destination 24</v>
      </c>
      <c r="AA14" s="531" t="str">
        <f>IF(ISBLANK('Amount and Destination'!$C$57),"Destination 25",'Amount and Destination'!$C$57)</f>
        <v>Destination 25</v>
      </c>
      <c r="AB14" s="535" t="s">
        <v>162</v>
      </c>
    </row>
    <row r="15" spans="2:47" ht="18.75" customHeight="1" thickBot="1" x14ac:dyDescent="0.25">
      <c r="B15" s="245" t="s">
        <v>869</v>
      </c>
      <c r="C15" s="1189">
        <v>0</v>
      </c>
      <c r="D15" s="1189">
        <v>0</v>
      </c>
      <c r="E15" s="1189">
        <v>0</v>
      </c>
      <c r="F15" s="1189">
        <v>0</v>
      </c>
      <c r="G15" s="1189">
        <v>0</v>
      </c>
      <c r="H15" s="1189">
        <v>0</v>
      </c>
      <c r="I15" s="1189">
        <v>0</v>
      </c>
      <c r="J15" s="1189">
        <v>0</v>
      </c>
      <c r="K15" s="1189">
        <v>0</v>
      </c>
      <c r="L15" s="1189">
        <v>0</v>
      </c>
      <c r="M15" s="1189">
        <v>0</v>
      </c>
      <c r="N15" s="1189">
        <v>0</v>
      </c>
      <c r="O15" s="1189">
        <v>0</v>
      </c>
      <c r="P15" s="1189">
        <v>0</v>
      </c>
      <c r="Q15" s="1189">
        <v>0</v>
      </c>
      <c r="R15" s="1189">
        <v>0</v>
      </c>
      <c r="S15" s="1189">
        <v>0</v>
      </c>
      <c r="T15" s="1189">
        <v>0</v>
      </c>
      <c r="U15" s="1189">
        <v>0</v>
      </c>
      <c r="V15" s="1189">
        <v>0</v>
      </c>
      <c r="W15" s="1189">
        <v>0</v>
      </c>
      <c r="X15" s="1189">
        <v>0</v>
      </c>
      <c r="Y15" s="1189">
        <v>0</v>
      </c>
      <c r="Z15" s="1189">
        <v>0</v>
      </c>
      <c r="AA15" s="1189">
        <v>0</v>
      </c>
      <c r="AB15" s="1355"/>
      <c r="AD15" s="96"/>
    </row>
    <row r="16" spans="2:47" ht="21" x14ac:dyDescent="0.25">
      <c r="B16" s="558" t="s">
        <v>396</v>
      </c>
      <c r="C16" s="102">
        <f>'Amount and Destination'!W33</f>
        <v>0</v>
      </c>
      <c r="D16" s="102">
        <f>+'Amount and Destination'!W34</f>
        <v>0</v>
      </c>
      <c r="E16" s="536">
        <f>+'Amount and Destination'!W35</f>
        <v>0</v>
      </c>
      <c r="F16" s="536">
        <f>+'Amount and Destination'!W36</f>
        <v>0</v>
      </c>
      <c r="G16" s="536">
        <f>+'Amount and Destination'!W37</f>
        <v>0</v>
      </c>
      <c r="H16" s="536">
        <f>+'Amount and Destination'!W38</f>
        <v>0</v>
      </c>
      <c r="I16" s="536">
        <f>+'Amount and Destination'!W39</f>
        <v>0</v>
      </c>
      <c r="J16" s="536">
        <f>+'Amount and Destination'!W40</f>
        <v>0</v>
      </c>
      <c r="K16" s="536">
        <f>+'Amount and Destination'!W41</f>
        <v>0</v>
      </c>
      <c r="L16" s="536">
        <f>+'Amount and Destination'!W42</f>
        <v>0</v>
      </c>
      <c r="M16" s="536">
        <f>+'Amount and Destination'!W43</f>
        <v>0</v>
      </c>
      <c r="N16" s="536">
        <f>+'Amount and Destination'!W44</f>
        <v>0</v>
      </c>
      <c r="O16" s="536">
        <f>+'Amount and Destination'!W45</f>
        <v>0</v>
      </c>
      <c r="P16" s="536">
        <f>+'Amount and Destination'!W46</f>
        <v>0</v>
      </c>
      <c r="Q16" s="536">
        <f>+'Amount and Destination'!W47</f>
        <v>0</v>
      </c>
      <c r="R16" s="536">
        <f>+'Amount and Destination'!W48</f>
        <v>0</v>
      </c>
      <c r="S16" s="536">
        <f>+'Amount and Destination'!W49</f>
        <v>0</v>
      </c>
      <c r="T16" s="537">
        <f>+'Amount and Destination'!W50</f>
        <v>0</v>
      </c>
      <c r="U16" s="537">
        <f>+'Amount and Destination'!W51</f>
        <v>0</v>
      </c>
      <c r="V16" s="537">
        <f>+'Amount and Destination'!W52</f>
        <v>0</v>
      </c>
      <c r="W16" s="537">
        <f>+'Amount and Destination'!W53</f>
        <v>0</v>
      </c>
      <c r="X16" s="537">
        <f>+'Amount and Destination'!W54</f>
        <v>0</v>
      </c>
      <c r="Y16" s="537">
        <f>+'Amount and Destination'!W55</f>
        <v>0</v>
      </c>
      <c r="Z16" s="537">
        <f>+'Amount and Destination'!W56</f>
        <v>0</v>
      </c>
      <c r="AA16" s="538">
        <f>+'Amount and Destination'!W57</f>
        <v>0</v>
      </c>
      <c r="AB16" s="1356"/>
      <c r="AC16" s="539" t="s">
        <v>44</v>
      </c>
      <c r="AD16" s="540">
        <f>SUM(C23:AA23)</f>
        <v>0</v>
      </c>
      <c r="AE16" s="1361" t="s">
        <v>559</v>
      </c>
    </row>
    <row r="17" spans="2:31" s="183" customFormat="1" ht="15.75" customHeight="1" x14ac:dyDescent="0.25">
      <c r="B17" s="558" t="s">
        <v>870</v>
      </c>
      <c r="C17" s="542">
        <f>+'Amount and Destination'!Z33</f>
        <v>0</v>
      </c>
      <c r="D17" s="542">
        <f>+'Amount and Destination'!Z34</f>
        <v>0</v>
      </c>
      <c r="E17" s="542">
        <f>+'Amount and Destination'!Z35</f>
        <v>0</v>
      </c>
      <c r="F17" s="542">
        <f>+'Amount and Destination'!Z36</f>
        <v>0</v>
      </c>
      <c r="G17" s="542">
        <f>+'Amount and Destination'!Z37</f>
        <v>0</v>
      </c>
      <c r="H17" s="542">
        <f>+'Amount and Destination'!Z38</f>
        <v>0</v>
      </c>
      <c r="I17" s="542">
        <f>+'Amount and Destination'!Z39</f>
        <v>0</v>
      </c>
      <c r="J17" s="542">
        <f>+'Amount and Destination'!Z40</f>
        <v>0</v>
      </c>
      <c r="K17" s="542">
        <f>+'Amount and Destination'!Z41</f>
        <v>0</v>
      </c>
      <c r="L17" s="542">
        <f>+'Amount and Destination'!Z42</f>
        <v>0</v>
      </c>
      <c r="M17" s="542">
        <f>+'Amount and Destination'!Z43</f>
        <v>0</v>
      </c>
      <c r="N17" s="542">
        <f>+'Amount and Destination'!Z44</f>
        <v>0</v>
      </c>
      <c r="O17" s="542">
        <f>+'Amount and Destination'!Z45</f>
        <v>0</v>
      </c>
      <c r="P17" s="542">
        <f>+'Amount and Destination'!Z46</f>
        <v>0</v>
      </c>
      <c r="Q17" s="542">
        <f>+'Amount and Destination'!Z47</f>
        <v>0</v>
      </c>
      <c r="R17" s="542">
        <f>+'Amount and Destination'!Z48</f>
        <v>0</v>
      </c>
      <c r="S17" s="542">
        <f>+'Amount and Destination'!Z49</f>
        <v>0</v>
      </c>
      <c r="T17" s="873">
        <f>+'Amount and Destination'!Z50</f>
        <v>0</v>
      </c>
      <c r="U17" s="873">
        <f>+'Amount and Destination'!Z51</f>
        <v>0</v>
      </c>
      <c r="V17" s="873">
        <f>+'Amount and Destination'!Z52</f>
        <v>0</v>
      </c>
      <c r="W17" s="873">
        <f>+'Amount and Destination'!Z53</f>
        <v>0</v>
      </c>
      <c r="X17" s="873">
        <f>+'Amount and Destination'!Z54</f>
        <v>0</v>
      </c>
      <c r="Y17" s="873">
        <f>+'Amount and Destination'!Z55</f>
        <v>0</v>
      </c>
      <c r="Z17" s="873">
        <f>+'Amount and Destination'!Z56</f>
        <v>0</v>
      </c>
      <c r="AA17" s="874">
        <f>+'Amount and Destination'!Z57</f>
        <v>0</v>
      </c>
      <c r="AB17" s="1356"/>
      <c r="AC17" s="215" t="s">
        <v>228</v>
      </c>
      <c r="AD17" s="543">
        <f>AD16</f>
        <v>0</v>
      </c>
      <c r="AE17" s="1362"/>
    </row>
    <row r="18" spans="2:31" ht="15.75" customHeight="1" x14ac:dyDescent="0.25">
      <c r="B18" s="558" t="s">
        <v>2</v>
      </c>
      <c r="C18" s="544">
        <f t="shared" ref="C18:AA18" si="2">+$C$113</f>
        <v>2.4743422909272987</v>
      </c>
      <c r="D18" s="544">
        <f t="shared" si="2"/>
        <v>2.4743422909272987</v>
      </c>
      <c r="E18" s="544">
        <f t="shared" si="2"/>
        <v>2.4743422909272987</v>
      </c>
      <c r="F18" s="544">
        <f t="shared" si="2"/>
        <v>2.4743422909272987</v>
      </c>
      <c r="G18" s="544">
        <f t="shared" si="2"/>
        <v>2.4743422909272987</v>
      </c>
      <c r="H18" s="544">
        <f t="shared" si="2"/>
        <v>2.4743422909272987</v>
      </c>
      <c r="I18" s="544">
        <f t="shared" si="2"/>
        <v>2.4743422909272987</v>
      </c>
      <c r="J18" s="544">
        <f t="shared" si="2"/>
        <v>2.4743422909272987</v>
      </c>
      <c r="K18" s="544">
        <f t="shared" si="2"/>
        <v>2.4743422909272987</v>
      </c>
      <c r="L18" s="544">
        <f t="shared" si="2"/>
        <v>2.4743422909272987</v>
      </c>
      <c r="M18" s="544">
        <f t="shared" si="2"/>
        <v>2.4743422909272987</v>
      </c>
      <c r="N18" s="544">
        <f t="shared" si="2"/>
        <v>2.4743422909272987</v>
      </c>
      <c r="O18" s="544">
        <f t="shared" si="2"/>
        <v>2.4743422909272987</v>
      </c>
      <c r="P18" s="544">
        <f t="shared" si="2"/>
        <v>2.4743422909272987</v>
      </c>
      <c r="Q18" s="544">
        <f t="shared" si="2"/>
        <v>2.4743422909272987</v>
      </c>
      <c r="R18" s="544">
        <f t="shared" si="2"/>
        <v>2.4743422909272987</v>
      </c>
      <c r="S18" s="544">
        <f t="shared" si="2"/>
        <v>2.4743422909272987</v>
      </c>
      <c r="T18" s="544">
        <f t="shared" si="2"/>
        <v>2.4743422909272987</v>
      </c>
      <c r="U18" s="544">
        <f t="shared" si="2"/>
        <v>2.4743422909272987</v>
      </c>
      <c r="V18" s="544">
        <f t="shared" si="2"/>
        <v>2.4743422909272987</v>
      </c>
      <c r="W18" s="544">
        <f t="shared" si="2"/>
        <v>2.4743422909272987</v>
      </c>
      <c r="X18" s="544">
        <f t="shared" si="2"/>
        <v>2.4743422909272987</v>
      </c>
      <c r="Y18" s="544">
        <f t="shared" si="2"/>
        <v>2.4743422909272987</v>
      </c>
      <c r="Z18" s="544">
        <f t="shared" si="2"/>
        <v>2.4743422909272987</v>
      </c>
      <c r="AA18" s="544">
        <f t="shared" si="2"/>
        <v>2.4743422909272987</v>
      </c>
      <c r="AB18" s="1356"/>
      <c r="AC18" s="215" t="s">
        <v>229</v>
      </c>
      <c r="AD18" s="545" t="s">
        <v>307</v>
      </c>
      <c r="AE18" s="1362"/>
    </row>
    <row r="19" spans="2:31" ht="15.75" customHeight="1" x14ac:dyDescent="0.25">
      <c r="B19" s="558" t="s">
        <v>485</v>
      </c>
      <c r="C19" s="544">
        <f>'Amount and Destination'!R33</f>
        <v>0</v>
      </c>
      <c r="D19" s="544">
        <f>'Amount and Destination'!R34</f>
        <v>0</v>
      </c>
      <c r="E19" s="544">
        <f>'Amount and Destination'!R35</f>
        <v>0</v>
      </c>
      <c r="F19" s="544">
        <f>'Amount and Destination'!R36</f>
        <v>0</v>
      </c>
      <c r="G19" s="544">
        <f>'Amount and Destination'!R37</f>
        <v>0</v>
      </c>
      <c r="H19" s="544">
        <f>'Amount and Destination'!R38</f>
        <v>0</v>
      </c>
      <c r="I19" s="544">
        <f>'Amount and Destination'!R39</f>
        <v>0</v>
      </c>
      <c r="J19" s="544">
        <f>'Amount and Destination'!R40</f>
        <v>0</v>
      </c>
      <c r="K19" s="544">
        <f>'Amount and Destination'!R41</f>
        <v>0</v>
      </c>
      <c r="L19" s="544">
        <f>'Amount and Destination'!R42</f>
        <v>0</v>
      </c>
      <c r="M19" s="544">
        <f>'Amount and Destination'!R43</f>
        <v>0</v>
      </c>
      <c r="N19" s="544">
        <f>'Amount and Destination'!R44</f>
        <v>0</v>
      </c>
      <c r="O19" s="544">
        <f>'Amount and Destination'!R45</f>
        <v>0</v>
      </c>
      <c r="P19" s="544">
        <f>'Amount and Destination'!R46</f>
        <v>0</v>
      </c>
      <c r="Q19" s="544">
        <f>'Amount and Destination'!R47</f>
        <v>0</v>
      </c>
      <c r="R19" s="544">
        <f>'Amount and Destination'!R48</f>
        <v>0</v>
      </c>
      <c r="S19" s="544">
        <f>'Amount and Destination'!R49</f>
        <v>0</v>
      </c>
      <c r="T19" s="544">
        <f>'Amount and Destination'!R50</f>
        <v>0</v>
      </c>
      <c r="U19" s="544">
        <f>'Amount and Destination'!R51</f>
        <v>0</v>
      </c>
      <c r="V19" s="544">
        <f>'Amount and Destination'!R52</f>
        <v>0</v>
      </c>
      <c r="W19" s="544">
        <f>'Amount and Destination'!R53</f>
        <v>0</v>
      </c>
      <c r="X19" s="544">
        <f>'Amount and Destination'!R54</f>
        <v>0</v>
      </c>
      <c r="Y19" s="544">
        <f>'Amount and Destination'!R55</f>
        <v>0</v>
      </c>
      <c r="Z19" s="544">
        <f>'Amount and Destination'!R56</f>
        <v>0</v>
      </c>
      <c r="AA19" s="544">
        <f>'Amount and Destination'!R57</f>
        <v>0</v>
      </c>
      <c r="AB19" s="1356"/>
      <c r="AC19" s="215" t="s">
        <v>230</v>
      </c>
      <c r="AD19" s="545" t="s">
        <v>307</v>
      </c>
      <c r="AE19" s="1362"/>
    </row>
    <row r="20" spans="2:31" ht="15.75" customHeight="1" thickBot="1" x14ac:dyDescent="0.3">
      <c r="B20" s="558" t="s">
        <v>486</v>
      </c>
      <c r="C20" s="542" t="str">
        <f>IF(C19='References Assumptions'!$C$333,'Amount and Destination'!$V33,IF(C19='References Assumptions'!$C$334,'Amount and Destination'!$T33,"N/A"))</f>
        <v>N/A</v>
      </c>
      <c r="D20" s="542" t="str">
        <f>IF(D19='References Assumptions'!$C$333,'Amount and Destination'!$V34,IF(D19='References Assumptions'!$C$334,'Amount and Destination'!$T34,"N/A"))</f>
        <v>N/A</v>
      </c>
      <c r="E20" s="542" t="str">
        <f>IF(E19='References Assumptions'!$C$333,'Amount and Destination'!$V35,IF(E19='References Assumptions'!$C$334,'Amount and Destination'!$T35,"N/A"))</f>
        <v>N/A</v>
      </c>
      <c r="F20" s="542" t="str">
        <f>IF(F19='References Assumptions'!$C$333,'Amount and Destination'!$V36,IF(F19='References Assumptions'!$C$334,'Amount and Destination'!$T36,"N/A"))</f>
        <v>N/A</v>
      </c>
      <c r="G20" s="542" t="str">
        <f>IF(G19='References Assumptions'!$C$333,'Amount and Destination'!$V37,IF(G19='References Assumptions'!$C$334,'Amount and Destination'!$T37,"N/A"))</f>
        <v>N/A</v>
      </c>
      <c r="H20" s="542" t="str">
        <f>IF(H19='References Assumptions'!$C$333,'Amount and Destination'!$V38,IF(H19='References Assumptions'!$C$334,'Amount and Destination'!$T38,"N/A"))</f>
        <v>N/A</v>
      </c>
      <c r="I20" s="542" t="str">
        <f>IF(I19='References Assumptions'!$C$333,'Amount and Destination'!$V39,IF(I19='References Assumptions'!$C$334,'Amount and Destination'!$T39,"N/A"))</f>
        <v>N/A</v>
      </c>
      <c r="J20" s="542" t="str">
        <f>IF(J19='References Assumptions'!$C$333,'Amount and Destination'!$V40,IF(J19='References Assumptions'!$C$334,'Amount and Destination'!$T40,"N/A"))</f>
        <v>N/A</v>
      </c>
      <c r="K20" s="542" t="str">
        <f>IF(K19='References Assumptions'!$C$333,'Amount and Destination'!$V41,IF(K19='References Assumptions'!$C$334,'Amount and Destination'!$T41,"N/A"))</f>
        <v>N/A</v>
      </c>
      <c r="L20" s="542" t="str">
        <f>IF(L19='References Assumptions'!$C$333,'Amount and Destination'!$V42,IF(L19='References Assumptions'!$C$334,'Amount and Destination'!$T42,"N/A"))</f>
        <v>N/A</v>
      </c>
      <c r="M20" s="542" t="str">
        <f>IF(M19='References Assumptions'!$C$333,'Amount and Destination'!$V43,IF(M19='References Assumptions'!$C$334,'Amount and Destination'!$T43,"N/A"))</f>
        <v>N/A</v>
      </c>
      <c r="N20" s="542" t="str">
        <f>IF(N19='References Assumptions'!$C$333,'Amount and Destination'!$V44,IF(N19='References Assumptions'!$C$334,'Amount and Destination'!$T44,"N/A"))</f>
        <v>N/A</v>
      </c>
      <c r="O20" s="542" t="str">
        <f>IF(O19='References Assumptions'!$C$333,'Amount and Destination'!$V45,IF(O19='References Assumptions'!$C$334,'Amount and Destination'!$T45,"N/A"))</f>
        <v>N/A</v>
      </c>
      <c r="P20" s="542" t="str">
        <f>IF(P19='References Assumptions'!$C$333,'Amount and Destination'!$V46,IF(P19='References Assumptions'!$C$334,'Amount and Destination'!$T46,"N/A"))</f>
        <v>N/A</v>
      </c>
      <c r="Q20" s="542" t="str">
        <f>IF(Q19='References Assumptions'!$C$333,'Amount and Destination'!$V47,IF(Q19='References Assumptions'!$C$334,'Amount and Destination'!$T47,"N/A"))</f>
        <v>N/A</v>
      </c>
      <c r="R20" s="542" t="str">
        <f>IF(R19='References Assumptions'!$C$333,'Amount and Destination'!$V48,IF(R19='References Assumptions'!$C$334,'Amount and Destination'!$T48,"N/A"))</f>
        <v>N/A</v>
      </c>
      <c r="S20" s="542" t="str">
        <f>IF(S19='References Assumptions'!$C$333,'Amount and Destination'!$V49,IF(S19='References Assumptions'!$C$334,'Amount and Destination'!$T49,"N/A"))</f>
        <v>N/A</v>
      </c>
      <c r="T20" s="542" t="str">
        <f>IF(T19='References Assumptions'!$C$333,'Amount and Destination'!$V50,IF(T19='References Assumptions'!$C$334,'Amount and Destination'!$T50,"N/A"))</f>
        <v>N/A</v>
      </c>
      <c r="U20" s="542" t="str">
        <f>IF(U19='References Assumptions'!$C$333,'Amount and Destination'!$V51,IF(U19='References Assumptions'!$C$334,'Amount and Destination'!$T51,"N/A"))</f>
        <v>N/A</v>
      </c>
      <c r="V20" s="542" t="str">
        <f>IF(V19='References Assumptions'!$C$333,'Amount and Destination'!$V52,IF(V19='References Assumptions'!$C$334,'Amount and Destination'!$T52,"N/A"))</f>
        <v>N/A</v>
      </c>
      <c r="W20" s="542" t="str">
        <f>IF(W19='References Assumptions'!$C$333,'Amount and Destination'!$V53,IF(W19='References Assumptions'!$C$334,'Amount and Destination'!$T53,"N/A"))</f>
        <v>N/A</v>
      </c>
      <c r="X20" s="542" t="str">
        <f>IF(X19='References Assumptions'!$C$333,'Amount and Destination'!$V54,IF(X19='References Assumptions'!$C$334,'Amount and Destination'!$T54,"N/A"))</f>
        <v>N/A</v>
      </c>
      <c r="Y20" s="542" t="str">
        <f>IF(Y19='References Assumptions'!$C$333,'Amount and Destination'!$V55,IF(Y19='References Assumptions'!$C$334,'Amount and Destination'!$T55,"N/A"))</f>
        <v>N/A</v>
      </c>
      <c r="Z20" s="542" t="str">
        <f>IF(Z19='References Assumptions'!$C$333,'Amount and Destination'!$V56,IF(Z19='References Assumptions'!$C$334,'Amount and Destination'!$T56,"N/A"))</f>
        <v>N/A</v>
      </c>
      <c r="AA20" s="542" t="str">
        <f>IF(AA19='References Assumptions'!$C$333,'Amount and Destination'!$V57,IF(AA19='References Assumptions'!$C$334,'Amount and Destination'!$T57,"N/A"))</f>
        <v>N/A</v>
      </c>
      <c r="AB20" s="1357"/>
      <c r="AC20" s="215" t="s">
        <v>232</v>
      </c>
      <c r="AD20" s="545">
        <f>((C21*C22)+(D21*D22)+(E21*E22)+(F21*F22)+(G21*G22)+(H21*H22)+(I21*I22)+(J21*J22)+(K21*K22)+(L21*L22)+(M21*M22)+(N21*N22)+(O21*O22)+(P21*P22)+(Q21*Q22)+(R21*R22)+(S21*S22)+(T21*T22)+(U21*U22)+(V21*V22)+(W21*W22)+(X21*X22)+(Y21*Y22)+(Z21*Z22)+(AA21*AA22))*(CO2E_diesel__ClimateReg/Mg_g)</f>
        <v>0</v>
      </c>
      <c r="AE20" s="1363"/>
    </row>
    <row r="21" spans="2:31" ht="15.75" customHeight="1" x14ac:dyDescent="0.25">
      <c r="B21" s="46" t="s">
        <v>315</v>
      </c>
      <c r="C21" s="233">
        <f>IF(AND(C16='References Assumptions'!$C$331,C15&gt;0),C15/C17*C20/C18,0)</f>
        <v>0</v>
      </c>
      <c r="D21" s="233">
        <f>IF(AND(D16='References Assumptions'!$C$331,D15&gt;0),D15/D17*D20/D18,0)</f>
        <v>0</v>
      </c>
      <c r="E21" s="233">
        <f>IF(AND(E16='References Assumptions'!$C$331,E15&gt;0),E15/E17*E20/E18,0)</f>
        <v>0</v>
      </c>
      <c r="F21" s="233">
        <f>IF(AND(F16='References Assumptions'!$C$331,F15&gt;0),F15/F17*F20/F18,0)</f>
        <v>0</v>
      </c>
      <c r="G21" s="233">
        <f>IF(AND(G16='References Assumptions'!$C$331,G15&gt;0),G15/G17*G20/G18,0)</f>
        <v>0</v>
      </c>
      <c r="H21" s="233">
        <f>IF(AND(H16='References Assumptions'!$C$331,H15&gt;0),H15/H17*H20/H18,0)</f>
        <v>0</v>
      </c>
      <c r="I21" s="233">
        <f>IF(AND(I16='References Assumptions'!$C$331,I15&gt;0),I15/I17*I20/I18,0)</f>
        <v>0</v>
      </c>
      <c r="J21" s="233">
        <f>IF(AND(J16='References Assumptions'!$C$331,J15&gt;0),J15/J17*J20/J18,0)</f>
        <v>0</v>
      </c>
      <c r="K21" s="233">
        <f>IF(AND(K16='References Assumptions'!$C$331,K15&gt;0),K15/K17*K20/K18,0)</f>
        <v>0</v>
      </c>
      <c r="L21" s="233">
        <f>IF(AND(L16='References Assumptions'!$C$331,L15&gt;0),L15/L17*L20/L18,0)</f>
        <v>0</v>
      </c>
      <c r="M21" s="233">
        <f>IF(AND(M16='References Assumptions'!$C$331,M15&gt;0),M15/M17*M20/M18,0)</f>
        <v>0</v>
      </c>
      <c r="N21" s="233">
        <f>IF(AND(N16='References Assumptions'!$C$331,N15&gt;0),N15/N17*N20/N18,0)</f>
        <v>0</v>
      </c>
      <c r="O21" s="233">
        <f>IF(AND(O16='References Assumptions'!$C$331,O15&gt;0),O15/O17*O20/O18,0)</f>
        <v>0</v>
      </c>
      <c r="P21" s="233">
        <f>IF(AND(P16='References Assumptions'!$C$331,P15&gt;0),P15/P17*P20/P18,0)</f>
        <v>0</v>
      </c>
      <c r="Q21" s="233">
        <f>IF(AND(Q16='References Assumptions'!$C$331,Q15&gt;0),Q15/Q17*Q20/Q18,0)</f>
        <v>0</v>
      </c>
      <c r="R21" s="233">
        <f>IF(AND(R16='References Assumptions'!$C$331,R15&gt;0),R15/R17*R20/R18,0)</f>
        <v>0</v>
      </c>
      <c r="S21" s="233">
        <f>IF(AND(S16='References Assumptions'!$C$331,S15&gt;0),S15/S17*S20/S18,0)</f>
        <v>0</v>
      </c>
      <c r="T21" s="233">
        <f>IF(AND(T16='References Assumptions'!$C$331,T15&gt;0),T15/T17*T20/T18,0)</f>
        <v>0</v>
      </c>
      <c r="U21" s="233">
        <f>IF(AND(U16='References Assumptions'!$C$331,U15&gt;0),U15/U17*U20/U18,0)</f>
        <v>0</v>
      </c>
      <c r="V21" s="233">
        <f>IF(AND(V16='References Assumptions'!$C$331,V15&gt;0),V15/V17*V20/V18,0)</f>
        <v>0</v>
      </c>
      <c r="W21" s="233">
        <f>IF(AND(W16='References Assumptions'!$C$331,W15&gt;0),W15/W17*W20/W18,0)</f>
        <v>0</v>
      </c>
      <c r="X21" s="233">
        <f>IF(AND(X16='References Assumptions'!$C$331,X15&gt;0),X15/X17*X20/X18,0)</f>
        <v>0</v>
      </c>
      <c r="Y21" s="233">
        <f>IF(AND(Y16='References Assumptions'!$C$331,Y15&gt;0),Y15/Y17*Y20/Y18,0)</f>
        <v>0</v>
      </c>
      <c r="Z21" s="233">
        <f>IF(AND(Z16='References Assumptions'!$C$331,Z15&gt;0),Z15/Z17*Z20/Z18,0)</f>
        <v>0</v>
      </c>
      <c r="AA21" s="233">
        <f>IF(AND(AA16='References Assumptions'!$C$331,AA15&gt;0),AA15/AA17*AA20/AA18,0)</f>
        <v>0</v>
      </c>
      <c r="AB21" s="556">
        <f>SUM(C21:AA21)</f>
        <v>0</v>
      </c>
      <c r="AC21" s="547" t="s">
        <v>557</v>
      </c>
      <c r="AD21" s="548">
        <f>+SUMIF(C16:AA16,'References Assumptions'!$C$331,Transportation!C23:AA23)</f>
        <v>0</v>
      </c>
      <c r="AE21" s="549" t="e">
        <f>+AD21/SUMIF(C16:AA16,'References Assumptions'!$C$331,Transportation!C15:AA15)*Mg_kg</f>
        <v>#DIV/0!</v>
      </c>
    </row>
    <row r="22" spans="2:31" ht="15.75" customHeight="1" thickBot="1" x14ac:dyDescent="0.3">
      <c r="B22" s="46" t="s">
        <v>316</v>
      </c>
      <c r="C22" s="550">
        <f>'Amount and Destination'!AA33</f>
        <v>0</v>
      </c>
      <c r="D22" s="550">
        <f>'Amount and Destination'!AA34</f>
        <v>0</v>
      </c>
      <c r="E22" s="550">
        <f>'Amount and Destination'!AA35</f>
        <v>0</v>
      </c>
      <c r="F22" s="550">
        <f>'Amount and Destination'!AA36</f>
        <v>0</v>
      </c>
      <c r="G22" s="550">
        <f>'Amount and Destination'!AA37</f>
        <v>0</v>
      </c>
      <c r="H22" s="550">
        <f>'Amount and Destination'!AA38</f>
        <v>0</v>
      </c>
      <c r="I22" s="550">
        <f>'Amount and Destination'!AA39</f>
        <v>0</v>
      </c>
      <c r="J22" s="550">
        <f>'Amount and Destination'!AA40</f>
        <v>0</v>
      </c>
      <c r="K22" s="550">
        <f>'Amount and Destination'!AA41</f>
        <v>0</v>
      </c>
      <c r="L22" s="550">
        <f>'Amount and Destination'!AA42</f>
        <v>0</v>
      </c>
      <c r="M22" s="550">
        <f>'Amount and Destination'!AA43</f>
        <v>0</v>
      </c>
      <c r="N22" s="550">
        <f>'Amount and Destination'!AA44</f>
        <v>0</v>
      </c>
      <c r="O22" s="550">
        <f>'Amount and Destination'!AA45</f>
        <v>0</v>
      </c>
      <c r="P22" s="550">
        <f>'Amount and Destination'!AA46</f>
        <v>0</v>
      </c>
      <c r="Q22" s="550">
        <f>'Amount and Destination'!AA47</f>
        <v>0</v>
      </c>
      <c r="R22" s="550">
        <f>'Amount and Destination'!AA48</f>
        <v>0</v>
      </c>
      <c r="S22" s="550">
        <f>'Amount and Destination'!AA49</f>
        <v>0</v>
      </c>
      <c r="T22" s="550">
        <f>'Amount and Destination'!AA50</f>
        <v>0</v>
      </c>
      <c r="U22" s="550">
        <f>'Amount and Destination'!AA51</f>
        <v>0</v>
      </c>
      <c r="V22" s="550">
        <f>'Amount and Destination'!AA52</f>
        <v>0</v>
      </c>
      <c r="W22" s="550">
        <f>'Amount and Destination'!AA53</f>
        <v>0</v>
      </c>
      <c r="X22" s="550">
        <f>'Amount and Destination'!AA54</f>
        <v>0</v>
      </c>
      <c r="Y22" s="550">
        <f>'Amount and Destination'!AA55</f>
        <v>0</v>
      </c>
      <c r="Z22" s="550">
        <f>'Amount and Destination'!AA56</f>
        <v>0</v>
      </c>
      <c r="AA22" s="550">
        <f>'Amount and Destination'!AA57</f>
        <v>0</v>
      </c>
      <c r="AB22" s="557"/>
      <c r="AC22" s="552" t="s">
        <v>558</v>
      </c>
      <c r="AD22" s="553">
        <f>+SUMIF(C16:AA16,'References Assumptions'!$C$332,Transportation!C23:AA23)</f>
        <v>0</v>
      </c>
      <c r="AE22" s="221" t="e">
        <f>+AD22/SUMIF(C16:AA16,'References Assumptions'!$C$331,Transportation!C15:AA15)*Mg_kg</f>
        <v>#DIV/0!</v>
      </c>
    </row>
    <row r="23" spans="2:31" ht="15.75" customHeight="1" thickBot="1" x14ac:dyDescent="0.35">
      <c r="B23" s="153" t="s">
        <v>51</v>
      </c>
      <c r="C23" s="554" t="str">
        <f t="shared" ref="C23:AA23" si="3">IF(C16="Truck",C21*(1-C22)*CO2E_diesel__ClimateReg/1000000,IF(C16="Rail",C15*C20*rail_emis/Mg_kg,"N/A"))</f>
        <v>N/A</v>
      </c>
      <c r="D23" s="554" t="str">
        <f t="shared" si="3"/>
        <v>N/A</v>
      </c>
      <c r="E23" s="554" t="str">
        <f t="shared" si="3"/>
        <v>N/A</v>
      </c>
      <c r="F23" s="554" t="str">
        <f t="shared" si="3"/>
        <v>N/A</v>
      </c>
      <c r="G23" s="554" t="str">
        <f t="shared" si="3"/>
        <v>N/A</v>
      </c>
      <c r="H23" s="554" t="str">
        <f t="shared" si="3"/>
        <v>N/A</v>
      </c>
      <c r="I23" s="554" t="str">
        <f t="shared" si="3"/>
        <v>N/A</v>
      </c>
      <c r="J23" s="554" t="str">
        <f t="shared" si="3"/>
        <v>N/A</v>
      </c>
      <c r="K23" s="554" t="str">
        <f t="shared" si="3"/>
        <v>N/A</v>
      </c>
      <c r="L23" s="554" t="str">
        <f t="shared" si="3"/>
        <v>N/A</v>
      </c>
      <c r="M23" s="554" t="str">
        <f t="shared" si="3"/>
        <v>N/A</v>
      </c>
      <c r="N23" s="554" t="str">
        <f t="shared" si="3"/>
        <v>N/A</v>
      </c>
      <c r="O23" s="554" t="str">
        <f t="shared" si="3"/>
        <v>N/A</v>
      </c>
      <c r="P23" s="554" t="str">
        <f t="shared" si="3"/>
        <v>N/A</v>
      </c>
      <c r="Q23" s="554" t="str">
        <f t="shared" si="3"/>
        <v>N/A</v>
      </c>
      <c r="R23" s="554" t="str">
        <f t="shared" si="3"/>
        <v>N/A</v>
      </c>
      <c r="S23" s="554" t="str">
        <f t="shared" si="3"/>
        <v>N/A</v>
      </c>
      <c r="T23" s="554" t="str">
        <f t="shared" si="3"/>
        <v>N/A</v>
      </c>
      <c r="U23" s="554" t="str">
        <f t="shared" si="3"/>
        <v>N/A</v>
      </c>
      <c r="V23" s="554" t="str">
        <f t="shared" si="3"/>
        <v>N/A</v>
      </c>
      <c r="W23" s="554" t="str">
        <f t="shared" si="3"/>
        <v>N/A</v>
      </c>
      <c r="X23" s="554" t="str">
        <f t="shared" si="3"/>
        <v>N/A</v>
      </c>
      <c r="Y23" s="554" t="str">
        <f t="shared" si="3"/>
        <v>N/A</v>
      </c>
      <c r="Z23" s="554" t="str">
        <f t="shared" si="3"/>
        <v>N/A</v>
      </c>
      <c r="AA23" s="554" t="str">
        <f t="shared" si="3"/>
        <v>N/A</v>
      </c>
      <c r="AB23" s="555">
        <f>SUM(C23:AA23)</f>
        <v>0</v>
      </c>
    </row>
    <row r="24" spans="2:31" ht="15.75" x14ac:dyDescent="0.25">
      <c r="B24" s="148" t="str">
        <f>CONCATENATE("Transportation input - Scenario 3 - ",'Scenarios Data'!B65)</f>
        <v xml:space="preserve">Transportation input - Scenario 3 - </v>
      </c>
      <c r="C24" s="531" t="str">
        <f>IF(ISBLANK('Amount and Destination'!$C$62),"Destination 1",'Amount and Destination'!$C$62)</f>
        <v>Destination 1</v>
      </c>
      <c r="D24" s="531" t="str">
        <f>IF(ISBLANK('Amount and Destination'!$C$63),"Destination 2",'Amount and Destination'!$C$63)</f>
        <v>Destination 2</v>
      </c>
      <c r="E24" s="531" t="str">
        <f>IF(ISBLANK('Amount and Destination'!$C$64),"Destination 3",'Amount and Destination'!$C$64)</f>
        <v>Destination 3</v>
      </c>
      <c r="F24" s="531" t="str">
        <f>IF(ISBLANK('Amount and Destination'!$C$65),"Destination 4",'Amount and Destination'!$C$65)</f>
        <v>Destination 4</v>
      </c>
      <c r="G24" s="531" t="str">
        <f>IF(ISBLANK('Amount and Destination'!$C$66),"Destination 5",'Amount and Destination'!$C$66)</f>
        <v>Destination 5</v>
      </c>
      <c r="H24" s="531" t="str">
        <f>IF(ISBLANK('Amount and Destination'!$C$67),"Destination 6",'Amount and Destination'!$C$67)</f>
        <v>Destination 6</v>
      </c>
      <c r="I24" s="531" t="str">
        <f>IF(ISBLANK('Amount and Destination'!$C$68),"Destination 7",'Amount and Destination'!$C$68)</f>
        <v>Destination 7</v>
      </c>
      <c r="J24" s="531" t="str">
        <f>IF(ISBLANK('Amount and Destination'!$C$69),"Destination 8",'Amount and Destination'!$C$69)</f>
        <v>Destination 8</v>
      </c>
      <c r="K24" s="531" t="str">
        <f>IF(ISBLANK('Amount and Destination'!$C$70),"Destination 9",'Amount and Destination'!$C$70)</f>
        <v>Destination 9</v>
      </c>
      <c r="L24" s="531" t="str">
        <f>IF(ISBLANK('Amount and Destination'!$C$71),"Destination 10",'Amount and Destination'!$C$71)</f>
        <v>Destination 10</v>
      </c>
      <c r="M24" s="532" t="str">
        <f>IF(ISBLANK('Amount and Destination'!$C$72),"Destination 11",'Amount and Destination'!$C$72)</f>
        <v>Destination 11</v>
      </c>
      <c r="N24" s="533" t="str">
        <f>IF(ISBLANK('Amount and Destination'!$C$73),"Destination 12",'Amount and Destination'!$C$73)</f>
        <v>Destination 12</v>
      </c>
      <c r="O24" s="533" t="str">
        <f>IF(ISBLANK('Amount and Destination'!$C$74),"Destination 13",'Amount and Destination'!$C$74)</f>
        <v>Destination 13</v>
      </c>
      <c r="P24" s="531" t="str">
        <f>IF(ISBLANK('Amount and Destination'!$C$75),"Destination 14",'Amount and Destination'!$C$75)</f>
        <v>Destination 14</v>
      </c>
      <c r="Q24" s="531" t="str">
        <f>IF(ISBLANK('Amount and Destination'!$C$76),"Destination 15",'Amount and Destination'!$C$76)</f>
        <v>Destination 15</v>
      </c>
      <c r="R24" s="531" t="str">
        <f>IF(ISBLANK('Amount and Destination'!$C$77),"Destination 16",'Amount and Destination'!$C$77)</f>
        <v>Destination 16</v>
      </c>
      <c r="S24" s="534" t="str">
        <f>IF(ISBLANK('Amount and Destination'!$C$78),"Destination 17",'Amount and Destination'!$C$78)</f>
        <v>Destination 17</v>
      </c>
      <c r="T24" s="531" t="str">
        <f>IF(ISBLANK('Amount and Destination'!$C$79),"Destination 18",'Amount and Destination'!$C$79)</f>
        <v>Destination 18</v>
      </c>
      <c r="U24" s="531" t="str">
        <f>IF(ISBLANK('Amount and Destination'!$C$80),"Destination 19",'Amount and Destination'!$C$80)</f>
        <v>Destination 19</v>
      </c>
      <c r="V24" s="531" t="str">
        <f>IF(ISBLANK('Amount and Destination'!$C$81),"Destination 20",'Amount and Destination'!$C$81)</f>
        <v>Destination 20</v>
      </c>
      <c r="W24" s="531" t="str">
        <f>IF(ISBLANK('Amount and Destination'!$C$82),"Destination 21",'Amount and Destination'!$C$82)</f>
        <v>Destination 21</v>
      </c>
      <c r="X24" s="531" t="str">
        <f>IF(ISBLANK('Amount and Destination'!$C$83),"Destination 22",'Amount and Destination'!$C$83)</f>
        <v>Destination 22</v>
      </c>
      <c r="Y24" s="531" t="str">
        <f>IF(ISBLANK('Amount and Destination'!$C$84),"Destination 23",'Amount and Destination'!$C$84)</f>
        <v>Destination 23</v>
      </c>
      <c r="Z24" s="531" t="str">
        <f>IF(ISBLANK('Amount and Destination'!$C$85),"Destination 24",'Amount and Destination'!$C$85)</f>
        <v>Destination 24</v>
      </c>
      <c r="AA24" s="531" t="str">
        <f>IF(ISBLANK('Amount and Destination'!$C$86),"Destination 25",'Amount and Destination'!$C$86)</f>
        <v>Destination 25</v>
      </c>
      <c r="AB24" s="535" t="s">
        <v>162</v>
      </c>
    </row>
    <row r="25" spans="2:31" ht="15.75" customHeight="1" thickBot="1" x14ac:dyDescent="0.25">
      <c r="B25" s="245" t="s">
        <v>869</v>
      </c>
      <c r="C25" s="1189">
        <v>0</v>
      </c>
      <c r="D25" s="1189">
        <v>0</v>
      </c>
      <c r="E25" s="1189">
        <v>0</v>
      </c>
      <c r="F25" s="1189">
        <v>0</v>
      </c>
      <c r="G25" s="1189">
        <v>0</v>
      </c>
      <c r="H25" s="1189">
        <v>0</v>
      </c>
      <c r="I25" s="1189">
        <v>0</v>
      </c>
      <c r="J25" s="1189">
        <v>0</v>
      </c>
      <c r="K25" s="1189">
        <v>0</v>
      </c>
      <c r="L25" s="1189">
        <v>0</v>
      </c>
      <c r="M25" s="1189">
        <v>0</v>
      </c>
      <c r="N25" s="1189">
        <v>0</v>
      </c>
      <c r="O25" s="1189">
        <v>0</v>
      </c>
      <c r="P25" s="1189">
        <v>0</v>
      </c>
      <c r="Q25" s="1189">
        <v>0</v>
      </c>
      <c r="R25" s="1189">
        <v>0</v>
      </c>
      <c r="S25" s="1189">
        <v>0</v>
      </c>
      <c r="T25" s="1189">
        <v>0</v>
      </c>
      <c r="U25" s="1189">
        <v>0</v>
      </c>
      <c r="V25" s="1189">
        <v>0</v>
      </c>
      <c r="W25" s="1189">
        <v>0</v>
      </c>
      <c r="X25" s="1189">
        <v>0</v>
      </c>
      <c r="Y25" s="1189">
        <v>0</v>
      </c>
      <c r="Z25" s="1189">
        <v>0</v>
      </c>
      <c r="AA25" s="1189">
        <v>0</v>
      </c>
      <c r="AB25" s="1355"/>
      <c r="AD25" s="96"/>
    </row>
    <row r="26" spans="2:31" ht="21" x14ac:dyDescent="0.25">
      <c r="B26" s="558" t="s">
        <v>396</v>
      </c>
      <c r="C26" s="102">
        <f>'Amount and Destination'!W62</f>
        <v>0</v>
      </c>
      <c r="D26" s="102">
        <f>+'Amount and Destination'!W63</f>
        <v>0</v>
      </c>
      <c r="E26" s="536">
        <f>+'Amount and Destination'!W64</f>
        <v>0</v>
      </c>
      <c r="F26" s="536">
        <f>+'Amount and Destination'!W65</f>
        <v>0</v>
      </c>
      <c r="G26" s="536">
        <f>+'Amount and Destination'!W66</f>
        <v>0</v>
      </c>
      <c r="H26" s="536">
        <f>+'Amount and Destination'!W67</f>
        <v>0</v>
      </c>
      <c r="I26" s="536">
        <f>+'Amount and Destination'!W68</f>
        <v>0</v>
      </c>
      <c r="J26" s="536">
        <f>+'Amount and Destination'!W69</f>
        <v>0</v>
      </c>
      <c r="K26" s="536">
        <f>+'Amount and Destination'!W70</f>
        <v>0</v>
      </c>
      <c r="L26" s="536">
        <f>+'Amount and Destination'!W71</f>
        <v>0</v>
      </c>
      <c r="M26" s="536">
        <f>+'Amount and Destination'!W72</f>
        <v>0</v>
      </c>
      <c r="N26" s="536">
        <f>+'Amount and Destination'!W73</f>
        <v>0</v>
      </c>
      <c r="O26" s="536">
        <f>+'Amount and Destination'!W74</f>
        <v>0</v>
      </c>
      <c r="P26" s="536">
        <f>+'Amount and Destination'!W75</f>
        <v>0</v>
      </c>
      <c r="Q26" s="536">
        <f>+'Amount and Destination'!W76</f>
        <v>0</v>
      </c>
      <c r="R26" s="536">
        <f>+'Amount and Destination'!W77</f>
        <v>0</v>
      </c>
      <c r="S26" s="536">
        <f>+'Amount and Destination'!W78</f>
        <v>0</v>
      </c>
      <c r="T26" s="537">
        <f>+'Amount and Destination'!W79</f>
        <v>0</v>
      </c>
      <c r="U26" s="537">
        <f>+'Amount and Destination'!W80</f>
        <v>0</v>
      </c>
      <c r="V26" s="537">
        <f>+'Amount and Destination'!W81</f>
        <v>0</v>
      </c>
      <c r="W26" s="537">
        <f>+'Amount and Destination'!W82</f>
        <v>0</v>
      </c>
      <c r="X26" s="537">
        <f>+'Amount and Destination'!W83</f>
        <v>0</v>
      </c>
      <c r="Y26" s="537">
        <f>+'Amount and Destination'!W84</f>
        <v>0</v>
      </c>
      <c r="Z26" s="537">
        <f>+'Amount and Destination'!W85</f>
        <v>0</v>
      </c>
      <c r="AA26" s="538">
        <f>+'Amount and Destination'!W86</f>
        <v>0</v>
      </c>
      <c r="AB26" s="1356"/>
      <c r="AC26" s="539" t="s">
        <v>44</v>
      </c>
      <c r="AD26" s="540">
        <f>SUM(C33:AA33)</f>
        <v>0</v>
      </c>
      <c r="AE26" s="1361" t="s">
        <v>559</v>
      </c>
    </row>
    <row r="27" spans="2:31" ht="15.75" customHeight="1" x14ac:dyDescent="0.25">
      <c r="B27" s="558" t="s">
        <v>870</v>
      </c>
      <c r="C27" s="542">
        <f>+'Amount and Destination'!Z62</f>
        <v>0</v>
      </c>
      <c r="D27" s="542">
        <f>+'Amount and Destination'!Z63</f>
        <v>0</v>
      </c>
      <c r="E27" s="542">
        <f>+'Amount and Destination'!Z64</f>
        <v>0</v>
      </c>
      <c r="F27" s="542">
        <f>+'Amount and Destination'!Z65</f>
        <v>0</v>
      </c>
      <c r="G27" s="542">
        <f>+'Amount and Destination'!Z66</f>
        <v>0</v>
      </c>
      <c r="H27" s="542">
        <f>+'Amount and Destination'!Z67</f>
        <v>0</v>
      </c>
      <c r="I27" s="542">
        <f>+'Amount and Destination'!Z68</f>
        <v>0</v>
      </c>
      <c r="J27" s="542">
        <f>+'Amount and Destination'!Z69</f>
        <v>0</v>
      </c>
      <c r="K27" s="542">
        <f>+'Amount and Destination'!Z70</f>
        <v>0</v>
      </c>
      <c r="L27" s="542">
        <f>+'Amount and Destination'!Z71</f>
        <v>0</v>
      </c>
      <c r="M27" s="542">
        <f>+'Amount and Destination'!Z72</f>
        <v>0</v>
      </c>
      <c r="N27" s="542">
        <f>+'Amount and Destination'!Z73</f>
        <v>0</v>
      </c>
      <c r="O27" s="542">
        <f>+'Amount and Destination'!Z74</f>
        <v>0</v>
      </c>
      <c r="P27" s="542">
        <f>+'Amount and Destination'!Z75</f>
        <v>0</v>
      </c>
      <c r="Q27" s="542">
        <f>+'Amount and Destination'!Z76</f>
        <v>0</v>
      </c>
      <c r="R27" s="542">
        <f>+'Amount and Destination'!Z77</f>
        <v>0</v>
      </c>
      <c r="S27" s="542">
        <f>+'Amount and Destination'!Z78</f>
        <v>0</v>
      </c>
      <c r="T27" s="873">
        <f>+'Amount and Destination'!Z79</f>
        <v>0</v>
      </c>
      <c r="U27" s="873">
        <f>+'Amount and Destination'!Z80</f>
        <v>0</v>
      </c>
      <c r="V27" s="873">
        <f>+'Amount and Destination'!Z81</f>
        <v>0</v>
      </c>
      <c r="W27" s="873">
        <f>+'Amount and Destination'!Z82</f>
        <v>0</v>
      </c>
      <c r="X27" s="873">
        <f>+'Amount and Destination'!Z83</f>
        <v>0</v>
      </c>
      <c r="Y27" s="873">
        <f>+'Amount and Destination'!Z84</f>
        <v>0</v>
      </c>
      <c r="Z27" s="873">
        <f>+'Amount and Destination'!Z85</f>
        <v>0</v>
      </c>
      <c r="AA27" s="874">
        <f>+'Amount and Destination'!Z86</f>
        <v>0</v>
      </c>
      <c r="AB27" s="1356"/>
      <c r="AC27" s="215" t="s">
        <v>228</v>
      </c>
      <c r="AD27" s="543">
        <f>AD26</f>
        <v>0</v>
      </c>
      <c r="AE27" s="1362"/>
    </row>
    <row r="28" spans="2:31" ht="15.75" customHeight="1" x14ac:dyDescent="0.25">
      <c r="B28" s="558" t="s">
        <v>2</v>
      </c>
      <c r="C28" s="544">
        <f t="shared" ref="C28:AA28" si="4">+$C$113</f>
        <v>2.4743422909272987</v>
      </c>
      <c r="D28" s="544">
        <f t="shared" si="4"/>
        <v>2.4743422909272987</v>
      </c>
      <c r="E28" s="544">
        <f t="shared" si="4"/>
        <v>2.4743422909272987</v>
      </c>
      <c r="F28" s="544">
        <f t="shared" si="4"/>
        <v>2.4743422909272987</v>
      </c>
      <c r="G28" s="544">
        <f t="shared" si="4"/>
        <v>2.4743422909272987</v>
      </c>
      <c r="H28" s="544">
        <f t="shared" si="4"/>
        <v>2.4743422909272987</v>
      </c>
      <c r="I28" s="544">
        <f t="shared" si="4"/>
        <v>2.4743422909272987</v>
      </c>
      <c r="J28" s="544">
        <f t="shared" si="4"/>
        <v>2.4743422909272987</v>
      </c>
      <c r="K28" s="544">
        <f t="shared" si="4"/>
        <v>2.4743422909272987</v>
      </c>
      <c r="L28" s="544">
        <f t="shared" si="4"/>
        <v>2.4743422909272987</v>
      </c>
      <c r="M28" s="544">
        <f t="shared" si="4"/>
        <v>2.4743422909272987</v>
      </c>
      <c r="N28" s="544">
        <f t="shared" si="4"/>
        <v>2.4743422909272987</v>
      </c>
      <c r="O28" s="544">
        <f t="shared" si="4"/>
        <v>2.4743422909272987</v>
      </c>
      <c r="P28" s="544">
        <f t="shared" si="4"/>
        <v>2.4743422909272987</v>
      </c>
      <c r="Q28" s="544">
        <f t="shared" si="4"/>
        <v>2.4743422909272987</v>
      </c>
      <c r="R28" s="544">
        <f t="shared" si="4"/>
        <v>2.4743422909272987</v>
      </c>
      <c r="S28" s="544">
        <f t="shared" si="4"/>
        <v>2.4743422909272987</v>
      </c>
      <c r="T28" s="544">
        <f t="shared" si="4"/>
        <v>2.4743422909272987</v>
      </c>
      <c r="U28" s="544">
        <f t="shared" si="4"/>
        <v>2.4743422909272987</v>
      </c>
      <c r="V28" s="544">
        <f t="shared" si="4"/>
        <v>2.4743422909272987</v>
      </c>
      <c r="W28" s="544">
        <f t="shared" si="4"/>
        <v>2.4743422909272987</v>
      </c>
      <c r="X28" s="544">
        <f t="shared" si="4"/>
        <v>2.4743422909272987</v>
      </c>
      <c r="Y28" s="544">
        <f t="shared" si="4"/>
        <v>2.4743422909272987</v>
      </c>
      <c r="Z28" s="544">
        <f t="shared" si="4"/>
        <v>2.4743422909272987</v>
      </c>
      <c r="AA28" s="544">
        <f t="shared" si="4"/>
        <v>2.4743422909272987</v>
      </c>
      <c r="AB28" s="1356"/>
      <c r="AC28" s="215" t="s">
        <v>229</v>
      </c>
      <c r="AD28" s="545" t="s">
        <v>307</v>
      </c>
      <c r="AE28" s="1362"/>
    </row>
    <row r="29" spans="2:31" ht="15.75" customHeight="1" x14ac:dyDescent="0.25">
      <c r="B29" s="558" t="s">
        <v>485</v>
      </c>
      <c r="C29" s="544">
        <f>'Amount and Destination'!R62</f>
        <v>0</v>
      </c>
      <c r="D29" s="544">
        <f>'Amount and Destination'!R63</f>
        <v>0</v>
      </c>
      <c r="E29" s="544">
        <f>'Amount and Destination'!R64</f>
        <v>0</v>
      </c>
      <c r="F29" s="544">
        <f>'Amount and Destination'!R65</f>
        <v>0</v>
      </c>
      <c r="G29" s="544">
        <f>'Amount and Destination'!R66</f>
        <v>0</v>
      </c>
      <c r="H29" s="544">
        <f>'Amount and Destination'!R67</f>
        <v>0</v>
      </c>
      <c r="I29" s="544">
        <f>'Amount and Destination'!R68</f>
        <v>0</v>
      </c>
      <c r="J29" s="544">
        <f>'Amount and Destination'!R69</f>
        <v>0</v>
      </c>
      <c r="K29" s="544">
        <f>'Amount and Destination'!R70</f>
        <v>0</v>
      </c>
      <c r="L29" s="544">
        <f>'Amount and Destination'!R71</f>
        <v>0</v>
      </c>
      <c r="M29" s="544">
        <f>'Amount and Destination'!R72</f>
        <v>0</v>
      </c>
      <c r="N29" s="544">
        <f>'Amount and Destination'!R73</f>
        <v>0</v>
      </c>
      <c r="O29" s="544">
        <f>'Amount and Destination'!R74</f>
        <v>0</v>
      </c>
      <c r="P29" s="544">
        <f>'Amount and Destination'!R75</f>
        <v>0</v>
      </c>
      <c r="Q29" s="544">
        <f>'Amount and Destination'!R76</f>
        <v>0</v>
      </c>
      <c r="R29" s="544">
        <f>'Amount and Destination'!R77</f>
        <v>0</v>
      </c>
      <c r="S29" s="544">
        <f>'Amount and Destination'!R78</f>
        <v>0</v>
      </c>
      <c r="T29" s="544">
        <f>'Amount and Destination'!R79</f>
        <v>0</v>
      </c>
      <c r="U29" s="544">
        <f>'Amount and Destination'!R80</f>
        <v>0</v>
      </c>
      <c r="V29" s="544">
        <f>'Amount and Destination'!R81</f>
        <v>0</v>
      </c>
      <c r="W29" s="544">
        <f>'Amount and Destination'!R82</f>
        <v>0</v>
      </c>
      <c r="X29" s="544">
        <f>'Amount and Destination'!R83</f>
        <v>0</v>
      </c>
      <c r="Y29" s="544">
        <f>'Amount and Destination'!R84</f>
        <v>0</v>
      </c>
      <c r="Z29" s="544">
        <f>'Amount and Destination'!R85</f>
        <v>0</v>
      </c>
      <c r="AA29" s="544">
        <f>'Amount and Destination'!R86</f>
        <v>0</v>
      </c>
      <c r="AB29" s="1356"/>
      <c r="AC29" s="215" t="s">
        <v>230</v>
      </c>
      <c r="AD29" s="545" t="s">
        <v>307</v>
      </c>
      <c r="AE29" s="1362"/>
    </row>
    <row r="30" spans="2:31" ht="15.75" customHeight="1" thickBot="1" x14ac:dyDescent="0.3">
      <c r="B30" s="558" t="s">
        <v>486</v>
      </c>
      <c r="C30" s="542" t="str">
        <f>IF(C29='References Assumptions'!$C$333,'Amount and Destination'!$V62,IF(C29='References Assumptions'!$C$334,'Amount and Destination'!$T62,"N/A"))</f>
        <v>N/A</v>
      </c>
      <c r="D30" s="542" t="str">
        <f>IF(D29='References Assumptions'!$C$333,'Amount and Destination'!$V63,IF(D29='References Assumptions'!$C$334,'Amount and Destination'!$T63,"N/A"))</f>
        <v>N/A</v>
      </c>
      <c r="E30" s="542" t="str">
        <f>IF(E29='References Assumptions'!$C$333,'Amount and Destination'!$V64,IF(E29='References Assumptions'!$C$334,'Amount and Destination'!$T64,"N/A"))</f>
        <v>N/A</v>
      </c>
      <c r="F30" s="542" t="str">
        <f>IF(F29='References Assumptions'!$C$333,'Amount and Destination'!$V65,IF(F29='References Assumptions'!$C$334,'Amount and Destination'!$T65,"N/A"))</f>
        <v>N/A</v>
      </c>
      <c r="G30" s="542" t="str">
        <f>IF(G29='References Assumptions'!$C$333,'Amount and Destination'!$V66,IF(G29='References Assumptions'!$C$334,'Amount and Destination'!$T66,"N/A"))</f>
        <v>N/A</v>
      </c>
      <c r="H30" s="542" t="str">
        <f>IF(H29='References Assumptions'!$C$333,'Amount and Destination'!$V67,IF(H29='References Assumptions'!$C$334,'Amount and Destination'!$T67,"N/A"))</f>
        <v>N/A</v>
      </c>
      <c r="I30" s="542" t="str">
        <f>IF(I29='References Assumptions'!$C$333,'Amount and Destination'!$V68,IF(I29='References Assumptions'!$C$334,'Amount and Destination'!$T68,"N/A"))</f>
        <v>N/A</v>
      </c>
      <c r="J30" s="542" t="str">
        <f>IF(J29='References Assumptions'!$C$333,'Amount and Destination'!$V69,IF(J29='References Assumptions'!$C$334,'Amount and Destination'!$T69,"N/A"))</f>
        <v>N/A</v>
      </c>
      <c r="K30" s="542" t="str">
        <f>IF(K29='References Assumptions'!$C$333,'Amount and Destination'!$V70,IF(K29='References Assumptions'!$C$334,'Amount and Destination'!$T70,"N/A"))</f>
        <v>N/A</v>
      </c>
      <c r="L30" s="542" t="str">
        <f>IF(L29='References Assumptions'!$C$333,'Amount and Destination'!$V71,IF(L29='References Assumptions'!$C$334,'Amount and Destination'!$T71,"N/A"))</f>
        <v>N/A</v>
      </c>
      <c r="M30" s="542" t="str">
        <f>IF(M29='References Assumptions'!$C$333,'Amount and Destination'!$V72,IF(M29='References Assumptions'!$C$334,'Amount and Destination'!$T72,"N/A"))</f>
        <v>N/A</v>
      </c>
      <c r="N30" s="542" t="str">
        <f>IF(N29='References Assumptions'!$C$333,'Amount and Destination'!$V73,IF(N29='References Assumptions'!$C$334,'Amount and Destination'!$T73,"N/A"))</f>
        <v>N/A</v>
      </c>
      <c r="O30" s="542" t="str">
        <f>IF(O29='References Assumptions'!$C$333,'Amount and Destination'!$V74,IF(O29='References Assumptions'!$C$334,'Amount and Destination'!$T74,"N/A"))</f>
        <v>N/A</v>
      </c>
      <c r="P30" s="542" t="str">
        <f>IF(P29='References Assumptions'!$C$333,'Amount and Destination'!$V75,IF(P29='References Assumptions'!$C$334,'Amount and Destination'!$T75,"N/A"))</f>
        <v>N/A</v>
      </c>
      <c r="Q30" s="542" t="str">
        <f>IF(Q29='References Assumptions'!$C$333,'Amount and Destination'!$V76,IF(Q29='References Assumptions'!$C$334,'Amount and Destination'!$T76,"N/A"))</f>
        <v>N/A</v>
      </c>
      <c r="R30" s="542" t="str">
        <f>IF(R29='References Assumptions'!$C$333,'Amount and Destination'!$V77,IF(R29='References Assumptions'!$C$334,'Amount and Destination'!$T77,"N/A"))</f>
        <v>N/A</v>
      </c>
      <c r="S30" s="542" t="str">
        <f>IF(S29='References Assumptions'!$C$333,'Amount and Destination'!$V78,IF(S29='References Assumptions'!$C$334,'Amount and Destination'!$T78,"N/A"))</f>
        <v>N/A</v>
      </c>
      <c r="T30" s="542" t="str">
        <f>IF(T29='References Assumptions'!$C$333,'Amount and Destination'!$V79,IF(T29='References Assumptions'!$C$334,'Amount and Destination'!$T79,"N/A"))</f>
        <v>N/A</v>
      </c>
      <c r="U30" s="542" t="str">
        <f>IF(U29='References Assumptions'!$C$333,'Amount and Destination'!$V80,IF(U29='References Assumptions'!$C$334,'Amount and Destination'!$T80,"N/A"))</f>
        <v>N/A</v>
      </c>
      <c r="V30" s="542" t="str">
        <f>IF(V29='References Assumptions'!$C$333,'Amount and Destination'!$V81,IF(V29='References Assumptions'!$C$334,'Amount and Destination'!$T81,"N/A"))</f>
        <v>N/A</v>
      </c>
      <c r="W30" s="542" t="str">
        <f>IF(W29='References Assumptions'!$C$333,'Amount and Destination'!$V82,IF(W29='References Assumptions'!$C$334,'Amount and Destination'!$T82,"N/A"))</f>
        <v>N/A</v>
      </c>
      <c r="X30" s="542" t="str">
        <f>IF(X29='References Assumptions'!$C$333,'Amount and Destination'!$V83,IF(X29='References Assumptions'!$C$334,'Amount and Destination'!$T83,"N/A"))</f>
        <v>N/A</v>
      </c>
      <c r="Y30" s="542" t="str">
        <f>IF(Y29='References Assumptions'!$C$333,'Amount and Destination'!$V84,IF(Y29='References Assumptions'!$C$334,'Amount and Destination'!$T84,"N/A"))</f>
        <v>N/A</v>
      </c>
      <c r="Z30" s="542" t="str">
        <f>IF(Z29='References Assumptions'!$C$333,'Amount and Destination'!$V85,IF(Z29='References Assumptions'!$C$334,'Amount and Destination'!$T85,"N/A"))</f>
        <v>N/A</v>
      </c>
      <c r="AA30" s="542" t="str">
        <f>IF(AA29='References Assumptions'!$C$333,'Amount and Destination'!$V86,IF(AA29='References Assumptions'!$C$334,'Amount and Destination'!$T86,"N/A"))</f>
        <v>N/A</v>
      </c>
      <c r="AB30" s="1357"/>
      <c r="AC30" s="215" t="s">
        <v>232</v>
      </c>
      <c r="AD30" s="545">
        <f>((C31*C32)+(D31*D32)+(E31*E32)+(F31*F32)+(G31*G32)+(H31*H32)+(I31*I32)+(J31*J32)+(K31*K32)+(L31*L32)+(M31*M32)+(N31*N32)+(O31*O32)+(P31*P32)+(Q31*Q32)+(R31*R32)+(S31*S32)+(T31*T32)+(U31*U32)+(V31*V32)+(W31*W32)+(X31*X32)+(Y31*Y32)+(Z31*Z32)+(AA31*AA32))*(CO2E_diesel__ClimateReg/Mg_g)</f>
        <v>0</v>
      </c>
      <c r="AE30" s="1363"/>
    </row>
    <row r="31" spans="2:31" ht="15.75" customHeight="1" x14ac:dyDescent="0.25">
      <c r="B31" s="46" t="s">
        <v>315</v>
      </c>
      <c r="C31" s="233">
        <f>IF(AND(C26='References Assumptions'!$C$331,C25&gt;0),C25/C27*C30/C28,0)</f>
        <v>0</v>
      </c>
      <c r="D31" s="233">
        <f>IF(AND(D26='References Assumptions'!$C$331,D25&gt;0),D25/D27*D30/D28,0)</f>
        <v>0</v>
      </c>
      <c r="E31" s="233">
        <f>IF(AND(E26='References Assumptions'!$C$331,E25&gt;0),E25/E27*E30/E28,0)</f>
        <v>0</v>
      </c>
      <c r="F31" s="233">
        <f>IF(AND(F26='References Assumptions'!$C$331,F25&gt;0),F25/F27*F30/F28,0)</f>
        <v>0</v>
      </c>
      <c r="G31" s="233">
        <f>IF(AND(G26='References Assumptions'!$C$331,G25&gt;0),G25/G27*G30/G28,0)</f>
        <v>0</v>
      </c>
      <c r="H31" s="233">
        <f>IF(AND(H26='References Assumptions'!$C$331,H25&gt;0),H25/H27*H30/H28,0)</f>
        <v>0</v>
      </c>
      <c r="I31" s="233">
        <f>IF(AND(I26='References Assumptions'!$C$331,I25&gt;0),I25/I27*I30/I28,0)</f>
        <v>0</v>
      </c>
      <c r="J31" s="233">
        <f>IF(AND(J26='References Assumptions'!$C$331,J25&gt;0),J25/J27*J30/J28,0)</f>
        <v>0</v>
      </c>
      <c r="K31" s="233">
        <f>IF(AND(K26='References Assumptions'!$C$331,K25&gt;0),K25/K27*K30/K28,0)</f>
        <v>0</v>
      </c>
      <c r="L31" s="233">
        <f>IF(AND(L26='References Assumptions'!$C$331,L25&gt;0),L25/L27*L30/L28,0)</f>
        <v>0</v>
      </c>
      <c r="M31" s="233">
        <f>IF(AND(M26='References Assumptions'!$C$331,M25&gt;0),M25/M27*M30/M28,0)</f>
        <v>0</v>
      </c>
      <c r="N31" s="233">
        <f>IF(AND(N26='References Assumptions'!$C$331,N25&gt;0),N25/N27*N30/N28,0)</f>
        <v>0</v>
      </c>
      <c r="O31" s="233">
        <f>IF(AND(O26='References Assumptions'!$C$331,O25&gt;0),O25/O27*O30/O28,0)</f>
        <v>0</v>
      </c>
      <c r="P31" s="233">
        <f>IF(AND(P26='References Assumptions'!$C$331,P25&gt;0),P25/P27*P30/P28,0)</f>
        <v>0</v>
      </c>
      <c r="Q31" s="233">
        <f>IF(AND(Q26='References Assumptions'!$C$331,Q25&gt;0),Q25/Q27*Q30/Q28,0)</f>
        <v>0</v>
      </c>
      <c r="R31" s="233">
        <f>IF(AND(R26='References Assumptions'!$C$331,R25&gt;0),R25/R27*R30/R28,0)</f>
        <v>0</v>
      </c>
      <c r="S31" s="233">
        <f>IF(AND(S26='References Assumptions'!$C$331,S25&gt;0),S25/S27*S30/S28,0)</f>
        <v>0</v>
      </c>
      <c r="T31" s="233">
        <f>IF(AND(T26='References Assumptions'!$C$331,T25&gt;0),T25/T27*T30/T28,0)</f>
        <v>0</v>
      </c>
      <c r="U31" s="233">
        <f>IF(AND(U26='References Assumptions'!$C$331,U25&gt;0),U25/U27*U30/U28,0)</f>
        <v>0</v>
      </c>
      <c r="V31" s="233">
        <f>IF(AND(V26='References Assumptions'!$C$331,V25&gt;0),V25/V27*V30/V28,0)</f>
        <v>0</v>
      </c>
      <c r="W31" s="233">
        <f>IF(AND(W26='References Assumptions'!$C$331,W25&gt;0),W25/W27*W30/W28,0)</f>
        <v>0</v>
      </c>
      <c r="X31" s="233">
        <f>IF(AND(X26='References Assumptions'!$C$331,X25&gt;0),X25/X27*X30/X28,0)</f>
        <v>0</v>
      </c>
      <c r="Y31" s="233">
        <f>IF(AND(Y26='References Assumptions'!$C$331,Y25&gt;0),Y25/Y27*Y30/Y28,0)</f>
        <v>0</v>
      </c>
      <c r="Z31" s="233">
        <f>IF(AND(Z26='References Assumptions'!$C$331,Z25&gt;0),Z25/Z27*Z30/Z28,0)</f>
        <v>0</v>
      </c>
      <c r="AA31" s="233">
        <f>IF(AND(AA26='References Assumptions'!$C$331,AA25&gt;0),AA25/AA27*AA30/AA28,0)</f>
        <v>0</v>
      </c>
      <c r="AB31" s="556">
        <f>SUM(C31:AA31)</f>
        <v>0</v>
      </c>
      <c r="AC31" s="547" t="s">
        <v>557</v>
      </c>
      <c r="AD31" s="548">
        <f>+SUMIF(C26:AA26,'References Assumptions'!$C$331,Transportation!C33:AA33)</f>
        <v>0</v>
      </c>
      <c r="AE31" s="549" t="e">
        <f>+AD31/SUMIF(C26:AA26,'References Assumptions'!$C$331,Transportation!C25:AA25)*Mg_kg</f>
        <v>#DIV/0!</v>
      </c>
    </row>
    <row r="32" spans="2:31" ht="15.75" customHeight="1" thickBot="1" x14ac:dyDescent="0.3">
      <c r="B32" s="46" t="s">
        <v>316</v>
      </c>
      <c r="C32" s="550">
        <f>'Amount and Destination'!AA62</f>
        <v>0</v>
      </c>
      <c r="D32" s="550">
        <f>'Amount and Destination'!AA63</f>
        <v>0</v>
      </c>
      <c r="E32" s="550">
        <f>'Amount and Destination'!AA64</f>
        <v>0</v>
      </c>
      <c r="F32" s="550">
        <f>'Amount and Destination'!AA65</f>
        <v>0</v>
      </c>
      <c r="G32" s="550">
        <f>'Amount and Destination'!AA66</f>
        <v>0</v>
      </c>
      <c r="H32" s="550">
        <f>'Amount and Destination'!AA67</f>
        <v>0</v>
      </c>
      <c r="I32" s="550">
        <f>'Amount and Destination'!AA68</f>
        <v>0</v>
      </c>
      <c r="J32" s="550">
        <f>'Amount and Destination'!AA69</f>
        <v>0</v>
      </c>
      <c r="K32" s="550">
        <f>'Amount and Destination'!AA70</f>
        <v>0</v>
      </c>
      <c r="L32" s="550">
        <f>'Amount and Destination'!AA71</f>
        <v>0</v>
      </c>
      <c r="M32" s="550">
        <f>'Amount and Destination'!AA72</f>
        <v>0</v>
      </c>
      <c r="N32" s="550">
        <f>'Amount and Destination'!AA73</f>
        <v>0</v>
      </c>
      <c r="O32" s="550">
        <f>'Amount and Destination'!AA74</f>
        <v>0</v>
      </c>
      <c r="P32" s="550">
        <f>'Amount and Destination'!AA75</f>
        <v>0</v>
      </c>
      <c r="Q32" s="550">
        <f>'Amount and Destination'!AA76</f>
        <v>0</v>
      </c>
      <c r="R32" s="550">
        <f>'Amount and Destination'!AA77</f>
        <v>0</v>
      </c>
      <c r="S32" s="550">
        <f>'Amount and Destination'!AA78</f>
        <v>0</v>
      </c>
      <c r="T32" s="550">
        <f>'Amount and Destination'!AA79</f>
        <v>0</v>
      </c>
      <c r="U32" s="550">
        <f>'Amount and Destination'!AA80</f>
        <v>0</v>
      </c>
      <c r="V32" s="550">
        <f>'Amount and Destination'!AA81</f>
        <v>0</v>
      </c>
      <c r="W32" s="550">
        <f>'Amount and Destination'!AA82</f>
        <v>0</v>
      </c>
      <c r="X32" s="550">
        <f>'Amount and Destination'!AA83</f>
        <v>0</v>
      </c>
      <c r="Y32" s="550">
        <f>'Amount and Destination'!AA84</f>
        <v>0</v>
      </c>
      <c r="Z32" s="550">
        <f>'Amount and Destination'!AA85</f>
        <v>0</v>
      </c>
      <c r="AA32" s="550">
        <f>'Amount and Destination'!AA86</f>
        <v>0</v>
      </c>
      <c r="AB32" s="557"/>
      <c r="AC32" s="552" t="s">
        <v>558</v>
      </c>
      <c r="AD32" s="553">
        <f>+SUMIF(C26:AA26,'References Assumptions'!$C$332,Transportation!C33:AA33)</f>
        <v>0</v>
      </c>
      <c r="AE32" s="221" t="e">
        <f>+AD32/SUMIF(C26:AA26,'References Assumptions'!$C$331,Transportation!C25:AA25)*Mg_kg</f>
        <v>#DIV/0!</v>
      </c>
    </row>
    <row r="33" spans="2:31" ht="15.75" customHeight="1" thickBot="1" x14ac:dyDescent="0.35">
      <c r="B33" s="153" t="s">
        <v>51</v>
      </c>
      <c r="C33" s="554" t="str">
        <f t="shared" ref="C33:AA33" si="5">IF(C26="Truck",C31*(1-C32)*CO2E_diesel__ClimateReg/1000000,IF(C26="Rail",C25*C30*rail_emis/Mg_kg,"N/A"))</f>
        <v>N/A</v>
      </c>
      <c r="D33" s="554" t="str">
        <f t="shared" si="5"/>
        <v>N/A</v>
      </c>
      <c r="E33" s="554" t="str">
        <f t="shared" si="5"/>
        <v>N/A</v>
      </c>
      <c r="F33" s="554" t="str">
        <f t="shared" si="5"/>
        <v>N/A</v>
      </c>
      <c r="G33" s="554" t="str">
        <f t="shared" si="5"/>
        <v>N/A</v>
      </c>
      <c r="H33" s="554" t="str">
        <f t="shared" si="5"/>
        <v>N/A</v>
      </c>
      <c r="I33" s="554" t="str">
        <f t="shared" si="5"/>
        <v>N/A</v>
      </c>
      <c r="J33" s="554" t="str">
        <f t="shared" si="5"/>
        <v>N/A</v>
      </c>
      <c r="K33" s="554" t="str">
        <f t="shared" si="5"/>
        <v>N/A</v>
      </c>
      <c r="L33" s="554" t="str">
        <f t="shared" si="5"/>
        <v>N/A</v>
      </c>
      <c r="M33" s="554" t="str">
        <f t="shared" si="5"/>
        <v>N/A</v>
      </c>
      <c r="N33" s="554" t="str">
        <f t="shared" si="5"/>
        <v>N/A</v>
      </c>
      <c r="O33" s="554" t="str">
        <f t="shared" si="5"/>
        <v>N/A</v>
      </c>
      <c r="P33" s="554" t="str">
        <f t="shared" si="5"/>
        <v>N/A</v>
      </c>
      <c r="Q33" s="554" t="str">
        <f t="shared" si="5"/>
        <v>N/A</v>
      </c>
      <c r="R33" s="554" t="str">
        <f t="shared" si="5"/>
        <v>N/A</v>
      </c>
      <c r="S33" s="554" t="str">
        <f t="shared" si="5"/>
        <v>N/A</v>
      </c>
      <c r="T33" s="554" t="str">
        <f t="shared" si="5"/>
        <v>N/A</v>
      </c>
      <c r="U33" s="554" t="str">
        <f t="shared" si="5"/>
        <v>N/A</v>
      </c>
      <c r="V33" s="554" t="str">
        <f t="shared" si="5"/>
        <v>N/A</v>
      </c>
      <c r="W33" s="554" t="str">
        <f t="shared" si="5"/>
        <v>N/A</v>
      </c>
      <c r="X33" s="554" t="str">
        <f t="shared" si="5"/>
        <v>N/A</v>
      </c>
      <c r="Y33" s="554" t="str">
        <f t="shared" si="5"/>
        <v>N/A</v>
      </c>
      <c r="Z33" s="554" t="str">
        <f t="shared" si="5"/>
        <v>N/A</v>
      </c>
      <c r="AA33" s="554" t="str">
        <f t="shared" si="5"/>
        <v>N/A</v>
      </c>
      <c r="AB33" s="555">
        <f>SUM(C33:AA33)</f>
        <v>0</v>
      </c>
    </row>
    <row r="34" spans="2:31" ht="15.75" x14ac:dyDescent="0.25">
      <c r="B34" s="148" t="str">
        <f>CONCATENATE("Transportation input - Scenario 4 - ",'Scenarios Data'!B97)</f>
        <v xml:space="preserve">Transportation input - Scenario 4 - </v>
      </c>
      <c r="C34" s="531" t="str">
        <f>IF(ISBLANK('Amount and Destination'!$C$91),"Destination 1",'Amount and Destination'!$C$91)</f>
        <v>Destination 1</v>
      </c>
      <c r="D34" s="531" t="str">
        <f>IF(ISBLANK('Amount and Destination'!$C$92),"Destination 2",'Amount and Destination'!$C$92)</f>
        <v>Destination 2</v>
      </c>
      <c r="E34" s="531" t="str">
        <f>IF(ISBLANK('Amount and Destination'!$C$93),"Destination 3",'Amount and Destination'!$C$93)</f>
        <v>Destination 3</v>
      </c>
      <c r="F34" s="531" t="str">
        <f>IF(ISBLANK('Amount and Destination'!$C$94),"Destination 4",'Amount and Destination'!$C$94)</f>
        <v>Destination 4</v>
      </c>
      <c r="G34" s="531" t="str">
        <f>IF(ISBLANK('Amount and Destination'!$C$95),"Destination 5",'Amount and Destination'!$C$95)</f>
        <v>Destination 5</v>
      </c>
      <c r="H34" s="531" t="str">
        <f>IF(ISBLANK('Amount and Destination'!$C$96),"Destination 6",'Amount and Destination'!$C$96)</f>
        <v>Destination 6</v>
      </c>
      <c r="I34" s="531" t="str">
        <f>IF(ISBLANK('Amount and Destination'!$C$97),"Destination 7",'Amount and Destination'!$C$97)</f>
        <v>Destination 7</v>
      </c>
      <c r="J34" s="531" t="str">
        <f>IF(ISBLANK('Amount and Destination'!$C$98),"Destination 8",'Amount and Destination'!$C$98)</f>
        <v>Destination 8</v>
      </c>
      <c r="K34" s="531" t="str">
        <f>IF(ISBLANK('Amount and Destination'!$C$99),"Destination 9",'Amount and Destination'!$C$99)</f>
        <v>Destination 9</v>
      </c>
      <c r="L34" s="531" t="str">
        <f>IF(ISBLANK('Amount and Destination'!$C$100),"Destination 10",'Amount and Destination'!$C$100)</f>
        <v>Destination 10</v>
      </c>
      <c r="M34" s="532" t="str">
        <f>IF(ISBLANK('Amount and Destination'!$C$101),"Destination 11",'Amount and Destination'!$C$101)</f>
        <v>Destination 11</v>
      </c>
      <c r="N34" s="533" t="str">
        <f>IF(ISBLANK('Amount and Destination'!$C$102),"Destination 12",'Amount and Destination'!$C$102)</f>
        <v>Destination 12</v>
      </c>
      <c r="O34" s="533" t="str">
        <f>IF(ISBLANK('Amount and Destination'!$C$103),"Destination 13",'Amount and Destination'!$C$103)</f>
        <v>Destination 13</v>
      </c>
      <c r="P34" s="531" t="str">
        <f>IF(ISBLANK('Amount and Destination'!$C$104),"Destination 14",'Amount and Destination'!$C$104)</f>
        <v>Destination 14</v>
      </c>
      <c r="Q34" s="531" t="str">
        <f>IF(ISBLANK('Amount and Destination'!$C$105),"Destination 15",'Amount and Destination'!$C$105)</f>
        <v>Destination 15</v>
      </c>
      <c r="R34" s="531" t="str">
        <f>IF(ISBLANK('Amount and Destination'!$C$106),"Destination 16",'Amount and Destination'!$C$106)</f>
        <v>Destination 16</v>
      </c>
      <c r="S34" s="534" t="str">
        <f>IF(ISBLANK('Amount and Destination'!$C$107),"Destination 17",'Amount and Destination'!$C$107)</f>
        <v>Destination 17</v>
      </c>
      <c r="T34" s="531" t="str">
        <f>IF(ISBLANK('Amount and Destination'!$C$108),"Destination 18",'Amount and Destination'!$C$108)</f>
        <v>Destination 18</v>
      </c>
      <c r="U34" s="531" t="str">
        <f>IF(ISBLANK('Amount and Destination'!$C$109),"Destination 19",'Amount and Destination'!$C$109)</f>
        <v>Destination 19</v>
      </c>
      <c r="V34" s="531" t="str">
        <f>IF(ISBLANK('Amount and Destination'!$C$110),"Destination 20",'Amount and Destination'!$C$110)</f>
        <v>Destination 20</v>
      </c>
      <c r="W34" s="531" t="str">
        <f>IF(ISBLANK('Amount and Destination'!$C$111),"Destination 21",'Amount and Destination'!$C$111)</f>
        <v>Destination 21</v>
      </c>
      <c r="X34" s="531" t="str">
        <f>IF(ISBLANK('Amount and Destination'!$C$112),"Destination 22",'Amount and Destination'!$C$112)</f>
        <v>Destination 22</v>
      </c>
      <c r="Y34" s="531" t="str">
        <f>IF(ISBLANK('Amount and Destination'!$C$113),"Destination 23",'Amount and Destination'!$C$113)</f>
        <v>Destination 23</v>
      </c>
      <c r="Z34" s="531" t="str">
        <f>IF(ISBLANK('Amount and Destination'!$C$114),"Destination 24",'Amount and Destination'!$C$114)</f>
        <v>Destination 24</v>
      </c>
      <c r="AA34" s="531" t="str">
        <f>IF(ISBLANK('Amount and Destination'!$C$115),"Destination 25",'Amount and Destination'!$C$115)</f>
        <v>Destination 25</v>
      </c>
      <c r="AB34" s="535" t="s">
        <v>162</v>
      </c>
    </row>
    <row r="35" spans="2:31" ht="15.75" customHeight="1" thickBot="1" x14ac:dyDescent="0.25">
      <c r="B35" s="245" t="s">
        <v>869</v>
      </c>
      <c r="C35" s="1189">
        <v>0</v>
      </c>
      <c r="D35" s="1189">
        <v>0</v>
      </c>
      <c r="E35" s="1189">
        <v>0</v>
      </c>
      <c r="F35" s="1189">
        <v>0</v>
      </c>
      <c r="G35" s="1189">
        <v>0</v>
      </c>
      <c r="H35" s="1189">
        <v>0</v>
      </c>
      <c r="I35" s="1189">
        <v>0</v>
      </c>
      <c r="J35" s="1189">
        <v>0</v>
      </c>
      <c r="K35" s="1189">
        <v>0</v>
      </c>
      <c r="L35" s="1189">
        <v>0</v>
      </c>
      <c r="M35" s="1189">
        <v>0</v>
      </c>
      <c r="N35" s="1189">
        <v>0</v>
      </c>
      <c r="O35" s="1189">
        <v>0</v>
      </c>
      <c r="P35" s="1189">
        <v>0</v>
      </c>
      <c r="Q35" s="1189">
        <v>0</v>
      </c>
      <c r="R35" s="1189">
        <v>0</v>
      </c>
      <c r="S35" s="1189">
        <v>0</v>
      </c>
      <c r="T35" s="1189">
        <v>0</v>
      </c>
      <c r="U35" s="1189">
        <v>0</v>
      </c>
      <c r="V35" s="1189">
        <v>0</v>
      </c>
      <c r="W35" s="1189">
        <v>0</v>
      </c>
      <c r="X35" s="1189">
        <v>0</v>
      </c>
      <c r="Y35" s="1189">
        <v>0</v>
      </c>
      <c r="Z35" s="1189">
        <v>0</v>
      </c>
      <c r="AA35" s="1189">
        <v>0</v>
      </c>
      <c r="AB35" s="1353"/>
      <c r="AD35" s="96"/>
    </row>
    <row r="36" spans="2:31" ht="21" x14ac:dyDescent="0.25">
      <c r="B36" s="558" t="s">
        <v>396</v>
      </c>
      <c r="C36" s="102">
        <f>'Amount and Destination'!W91</f>
        <v>0</v>
      </c>
      <c r="D36" s="102">
        <f>+'Amount and Destination'!W92</f>
        <v>0</v>
      </c>
      <c r="E36" s="536">
        <f>+'Amount and Destination'!W93</f>
        <v>0</v>
      </c>
      <c r="F36" s="536">
        <f>+'Amount and Destination'!W94</f>
        <v>0</v>
      </c>
      <c r="G36" s="536">
        <f>+'Amount and Destination'!W95</f>
        <v>0</v>
      </c>
      <c r="H36" s="536">
        <f>+'Amount and Destination'!W96</f>
        <v>0</v>
      </c>
      <c r="I36" s="536">
        <f>+'Amount and Destination'!W97</f>
        <v>0</v>
      </c>
      <c r="J36" s="536">
        <f>+'Amount and Destination'!W98</f>
        <v>0</v>
      </c>
      <c r="K36" s="536">
        <f>+'Amount and Destination'!W99</f>
        <v>0</v>
      </c>
      <c r="L36" s="536">
        <f>+'Amount and Destination'!W100</f>
        <v>0</v>
      </c>
      <c r="M36" s="536">
        <f>+'Amount and Destination'!W101</f>
        <v>0</v>
      </c>
      <c r="N36" s="536">
        <f>+'Amount and Destination'!W102</f>
        <v>0</v>
      </c>
      <c r="O36" s="536">
        <f>+'Amount and Destination'!W103</f>
        <v>0</v>
      </c>
      <c r="P36" s="536">
        <f>+'Amount and Destination'!W104</f>
        <v>0</v>
      </c>
      <c r="Q36" s="536">
        <f>+'Amount and Destination'!W105</f>
        <v>0</v>
      </c>
      <c r="R36" s="536">
        <f>+'Amount and Destination'!W106</f>
        <v>0</v>
      </c>
      <c r="S36" s="536">
        <f>+'Amount and Destination'!W107</f>
        <v>0</v>
      </c>
      <c r="T36" s="537">
        <f>+'Amount and Destination'!W108</f>
        <v>0</v>
      </c>
      <c r="U36" s="537">
        <f>+'Amount and Destination'!W109</f>
        <v>0</v>
      </c>
      <c r="V36" s="537">
        <f>+'Amount and Destination'!W110</f>
        <v>0</v>
      </c>
      <c r="W36" s="537">
        <f>+'Amount and Destination'!W111</f>
        <v>0</v>
      </c>
      <c r="X36" s="537">
        <f>+'Amount and Destination'!W112</f>
        <v>0</v>
      </c>
      <c r="Y36" s="537">
        <f>+'Amount and Destination'!W113</f>
        <v>0</v>
      </c>
      <c r="Z36" s="537">
        <f>+'Amount and Destination'!W114</f>
        <v>0</v>
      </c>
      <c r="AA36" s="538">
        <f>+'Amount and Destination'!W115</f>
        <v>0</v>
      </c>
      <c r="AB36" s="1353"/>
      <c r="AC36" s="539" t="s">
        <v>44</v>
      </c>
      <c r="AD36" s="540">
        <f>SUM(C43:AA43)</f>
        <v>0</v>
      </c>
      <c r="AE36" s="1361" t="s">
        <v>559</v>
      </c>
    </row>
    <row r="37" spans="2:31" ht="15.75" customHeight="1" x14ac:dyDescent="0.25">
      <c r="B37" s="558" t="s">
        <v>870</v>
      </c>
      <c r="C37" s="542">
        <f>+'Amount and Destination'!Z91</f>
        <v>0</v>
      </c>
      <c r="D37" s="542">
        <f>+'Amount and Destination'!Z92</f>
        <v>0</v>
      </c>
      <c r="E37" s="542">
        <f>+'Amount and Destination'!Z93</f>
        <v>0</v>
      </c>
      <c r="F37" s="542">
        <f>+'Amount and Destination'!Z94</f>
        <v>0</v>
      </c>
      <c r="G37" s="542">
        <f>+'Amount and Destination'!Z95</f>
        <v>0</v>
      </c>
      <c r="H37" s="542">
        <f>+'Amount and Destination'!Z96</f>
        <v>0</v>
      </c>
      <c r="I37" s="542">
        <f>+'Amount and Destination'!Z97</f>
        <v>0</v>
      </c>
      <c r="J37" s="542">
        <f>+'Amount and Destination'!Z98</f>
        <v>0</v>
      </c>
      <c r="K37" s="542">
        <f>+'Amount and Destination'!Z99</f>
        <v>0</v>
      </c>
      <c r="L37" s="542">
        <f>+'Amount and Destination'!Z100</f>
        <v>0</v>
      </c>
      <c r="M37" s="542">
        <f>+'Amount and Destination'!Z101</f>
        <v>0</v>
      </c>
      <c r="N37" s="542">
        <f>+'Amount and Destination'!Z102</f>
        <v>0</v>
      </c>
      <c r="O37" s="542">
        <f>+'Amount and Destination'!Z103</f>
        <v>0</v>
      </c>
      <c r="P37" s="542">
        <f>+'Amount and Destination'!Z104</f>
        <v>0</v>
      </c>
      <c r="Q37" s="542">
        <f>+'Amount and Destination'!Z105</f>
        <v>0</v>
      </c>
      <c r="R37" s="542">
        <f>+'Amount and Destination'!Z106</f>
        <v>0</v>
      </c>
      <c r="S37" s="542">
        <f>+'Amount and Destination'!Z107</f>
        <v>0</v>
      </c>
      <c r="T37" s="873">
        <f>+'Amount and Destination'!Z108</f>
        <v>0</v>
      </c>
      <c r="U37" s="873">
        <f>+'Amount and Destination'!Z109</f>
        <v>0</v>
      </c>
      <c r="V37" s="873">
        <f>+'Amount and Destination'!Z110</f>
        <v>0</v>
      </c>
      <c r="W37" s="873">
        <f>+'Amount and Destination'!Z111</f>
        <v>0</v>
      </c>
      <c r="X37" s="873">
        <f>+'Amount and Destination'!Z112</f>
        <v>0</v>
      </c>
      <c r="Y37" s="873">
        <f>+'Amount and Destination'!Z113</f>
        <v>0</v>
      </c>
      <c r="Z37" s="873">
        <f>+'Amount and Destination'!Z114</f>
        <v>0</v>
      </c>
      <c r="AA37" s="874">
        <f>+'Amount and Destination'!Z115</f>
        <v>0</v>
      </c>
      <c r="AB37" s="1354"/>
      <c r="AC37" s="215" t="s">
        <v>228</v>
      </c>
      <c r="AD37" s="543">
        <f>AD36</f>
        <v>0</v>
      </c>
      <c r="AE37" s="1362"/>
    </row>
    <row r="38" spans="2:31" ht="15.75" customHeight="1" x14ac:dyDescent="0.25">
      <c r="B38" s="558" t="s">
        <v>2</v>
      </c>
      <c r="C38" s="544">
        <f t="shared" ref="C38:AA38" si="6">+$C$113</f>
        <v>2.4743422909272987</v>
      </c>
      <c r="D38" s="544">
        <f t="shared" si="6"/>
        <v>2.4743422909272987</v>
      </c>
      <c r="E38" s="544">
        <f t="shared" si="6"/>
        <v>2.4743422909272987</v>
      </c>
      <c r="F38" s="544">
        <f t="shared" si="6"/>
        <v>2.4743422909272987</v>
      </c>
      <c r="G38" s="544">
        <f t="shared" si="6"/>
        <v>2.4743422909272987</v>
      </c>
      <c r="H38" s="544">
        <f t="shared" si="6"/>
        <v>2.4743422909272987</v>
      </c>
      <c r="I38" s="544">
        <f t="shared" si="6"/>
        <v>2.4743422909272987</v>
      </c>
      <c r="J38" s="544">
        <f t="shared" si="6"/>
        <v>2.4743422909272987</v>
      </c>
      <c r="K38" s="544">
        <f t="shared" si="6"/>
        <v>2.4743422909272987</v>
      </c>
      <c r="L38" s="544">
        <f t="shared" si="6"/>
        <v>2.4743422909272987</v>
      </c>
      <c r="M38" s="544">
        <f t="shared" si="6"/>
        <v>2.4743422909272987</v>
      </c>
      <c r="N38" s="544">
        <f t="shared" si="6"/>
        <v>2.4743422909272987</v>
      </c>
      <c r="O38" s="544">
        <f t="shared" si="6"/>
        <v>2.4743422909272987</v>
      </c>
      <c r="P38" s="544">
        <f t="shared" si="6"/>
        <v>2.4743422909272987</v>
      </c>
      <c r="Q38" s="544">
        <f t="shared" si="6"/>
        <v>2.4743422909272987</v>
      </c>
      <c r="R38" s="544">
        <f t="shared" si="6"/>
        <v>2.4743422909272987</v>
      </c>
      <c r="S38" s="544">
        <f t="shared" si="6"/>
        <v>2.4743422909272987</v>
      </c>
      <c r="T38" s="544">
        <f t="shared" si="6"/>
        <v>2.4743422909272987</v>
      </c>
      <c r="U38" s="544">
        <f t="shared" si="6"/>
        <v>2.4743422909272987</v>
      </c>
      <c r="V38" s="544">
        <f t="shared" si="6"/>
        <v>2.4743422909272987</v>
      </c>
      <c r="W38" s="544">
        <f t="shared" si="6"/>
        <v>2.4743422909272987</v>
      </c>
      <c r="X38" s="544">
        <f t="shared" si="6"/>
        <v>2.4743422909272987</v>
      </c>
      <c r="Y38" s="544">
        <f t="shared" si="6"/>
        <v>2.4743422909272987</v>
      </c>
      <c r="Z38" s="544">
        <f t="shared" si="6"/>
        <v>2.4743422909272987</v>
      </c>
      <c r="AA38" s="544">
        <f t="shared" si="6"/>
        <v>2.4743422909272987</v>
      </c>
      <c r="AB38" s="1353"/>
      <c r="AC38" s="215" t="s">
        <v>229</v>
      </c>
      <c r="AD38" s="545" t="s">
        <v>307</v>
      </c>
      <c r="AE38" s="1362"/>
    </row>
    <row r="39" spans="2:31" ht="15.75" customHeight="1" x14ac:dyDescent="0.25">
      <c r="B39" s="558" t="s">
        <v>485</v>
      </c>
      <c r="C39" s="544">
        <f>'Amount and Destination'!R91</f>
        <v>0</v>
      </c>
      <c r="D39" s="544">
        <f>'Amount and Destination'!R92</f>
        <v>0</v>
      </c>
      <c r="E39" s="544">
        <f>'Amount and Destination'!R93</f>
        <v>0</v>
      </c>
      <c r="F39" s="544">
        <f>'Amount and Destination'!R94</f>
        <v>0</v>
      </c>
      <c r="G39" s="544">
        <f>'Amount and Destination'!R95</f>
        <v>0</v>
      </c>
      <c r="H39" s="544">
        <f>'Amount and Destination'!R96</f>
        <v>0</v>
      </c>
      <c r="I39" s="544">
        <f>'Amount and Destination'!R97</f>
        <v>0</v>
      </c>
      <c r="J39" s="544">
        <f>'Amount and Destination'!R98</f>
        <v>0</v>
      </c>
      <c r="K39" s="544">
        <f>'Amount and Destination'!R99</f>
        <v>0</v>
      </c>
      <c r="L39" s="544">
        <f>'Amount and Destination'!R100</f>
        <v>0</v>
      </c>
      <c r="M39" s="544">
        <f>'Amount and Destination'!R101</f>
        <v>0</v>
      </c>
      <c r="N39" s="544">
        <f>'Amount and Destination'!R102</f>
        <v>0</v>
      </c>
      <c r="O39" s="544">
        <f>'Amount and Destination'!R103</f>
        <v>0</v>
      </c>
      <c r="P39" s="544">
        <f>'Amount and Destination'!R104</f>
        <v>0</v>
      </c>
      <c r="Q39" s="544">
        <f>'Amount and Destination'!R105</f>
        <v>0</v>
      </c>
      <c r="R39" s="544">
        <f>'Amount and Destination'!R106</f>
        <v>0</v>
      </c>
      <c r="S39" s="544">
        <f>'Amount and Destination'!R107</f>
        <v>0</v>
      </c>
      <c r="T39" s="544">
        <f>'Amount and Destination'!R108</f>
        <v>0</v>
      </c>
      <c r="U39" s="544">
        <f>'Amount and Destination'!R109</f>
        <v>0</v>
      </c>
      <c r="V39" s="544">
        <f>'Amount and Destination'!R110</f>
        <v>0</v>
      </c>
      <c r="W39" s="544">
        <f>'Amount and Destination'!R111</f>
        <v>0</v>
      </c>
      <c r="X39" s="544">
        <f>'Amount and Destination'!R112</f>
        <v>0</v>
      </c>
      <c r="Y39" s="544">
        <f>'Amount and Destination'!R113</f>
        <v>0</v>
      </c>
      <c r="Z39" s="544">
        <f>'Amount and Destination'!R114</f>
        <v>0</v>
      </c>
      <c r="AA39" s="544">
        <f>'Amount and Destination'!R115</f>
        <v>0</v>
      </c>
      <c r="AB39" s="1353"/>
      <c r="AC39" s="215" t="s">
        <v>230</v>
      </c>
      <c r="AD39" s="545" t="s">
        <v>307</v>
      </c>
      <c r="AE39" s="1362"/>
    </row>
    <row r="40" spans="2:31" ht="15.75" customHeight="1" thickBot="1" x14ac:dyDescent="0.3">
      <c r="B40" s="558" t="s">
        <v>486</v>
      </c>
      <c r="C40" s="542" t="str">
        <f>IF(C39='References Assumptions'!$C$333,'Amount and Destination'!$V91,IF(C39='References Assumptions'!$C$334,'Amount and Destination'!$T91,"N/A"))</f>
        <v>N/A</v>
      </c>
      <c r="D40" s="542" t="str">
        <f>IF(D39='References Assumptions'!$C$333,'Amount and Destination'!$V92,IF(D39='References Assumptions'!$C$334,'Amount and Destination'!$T92,"N/A"))</f>
        <v>N/A</v>
      </c>
      <c r="E40" s="542" t="str">
        <f>IF(E39='References Assumptions'!$C$333,'Amount and Destination'!$V93,IF(E39='References Assumptions'!$C$334,'Amount and Destination'!$T93,"N/A"))</f>
        <v>N/A</v>
      </c>
      <c r="F40" s="542" t="str">
        <f>IF(F39='References Assumptions'!$C$333,'Amount and Destination'!$V94,IF(F39='References Assumptions'!$C$334,'Amount and Destination'!$T94,"N/A"))</f>
        <v>N/A</v>
      </c>
      <c r="G40" s="542" t="str">
        <f>IF(G39='References Assumptions'!$C$333,'Amount and Destination'!$V95,IF(G39='References Assumptions'!$C$334,'Amount and Destination'!$T95,"N/A"))</f>
        <v>N/A</v>
      </c>
      <c r="H40" s="542" t="str">
        <f>IF(H39='References Assumptions'!$C$333,'Amount and Destination'!$V96,IF(H39='References Assumptions'!$C$334,'Amount and Destination'!$T96,"N/A"))</f>
        <v>N/A</v>
      </c>
      <c r="I40" s="542" t="str">
        <f>IF(I39='References Assumptions'!$C$333,'Amount and Destination'!$V97,IF(I39='References Assumptions'!$C$334,'Amount and Destination'!$T97,"N/A"))</f>
        <v>N/A</v>
      </c>
      <c r="J40" s="542" t="str">
        <f>IF(J39='References Assumptions'!$C$333,'Amount and Destination'!$V98,IF(J39='References Assumptions'!$C$334,'Amount and Destination'!$T98,"N/A"))</f>
        <v>N/A</v>
      </c>
      <c r="K40" s="542" t="str">
        <f>IF(K39='References Assumptions'!$C$333,'Amount and Destination'!$V99,IF(K39='References Assumptions'!$C$334,'Amount and Destination'!$T99,"N/A"))</f>
        <v>N/A</v>
      </c>
      <c r="L40" s="542" t="str">
        <f>IF(L39='References Assumptions'!$C$333,'Amount and Destination'!$V100,IF(L39='References Assumptions'!$C$334,'Amount and Destination'!$T100,"N/A"))</f>
        <v>N/A</v>
      </c>
      <c r="M40" s="542" t="str">
        <f>IF(M39='References Assumptions'!$C$333,'Amount and Destination'!$V101,IF(M39='References Assumptions'!$C$334,'Amount and Destination'!$T101,"N/A"))</f>
        <v>N/A</v>
      </c>
      <c r="N40" s="542" t="str">
        <f>IF(N39='References Assumptions'!$C$333,'Amount and Destination'!$V102,IF(N39='References Assumptions'!$C$334,'Amount and Destination'!$T102,"N/A"))</f>
        <v>N/A</v>
      </c>
      <c r="O40" s="542" t="str">
        <f>IF(O39='References Assumptions'!$C$333,'Amount and Destination'!$V103,IF(O39='References Assumptions'!$C$334,'Amount and Destination'!$T103,"N/A"))</f>
        <v>N/A</v>
      </c>
      <c r="P40" s="542" t="str">
        <f>IF(P39='References Assumptions'!$C$333,'Amount and Destination'!$V104,IF(P39='References Assumptions'!$C$334,'Amount and Destination'!$T104,"N/A"))</f>
        <v>N/A</v>
      </c>
      <c r="Q40" s="542" t="str">
        <f>IF(Q39='References Assumptions'!$C$333,'Amount and Destination'!$V105,IF(Q39='References Assumptions'!$C$334,'Amount and Destination'!$T105,"N/A"))</f>
        <v>N/A</v>
      </c>
      <c r="R40" s="542" t="str">
        <f>IF(R39='References Assumptions'!$C$333,'Amount and Destination'!$V106,IF(R39='References Assumptions'!$C$334,'Amount and Destination'!$T106,"N/A"))</f>
        <v>N/A</v>
      </c>
      <c r="S40" s="542" t="str">
        <f>IF(S39='References Assumptions'!$C$333,'Amount and Destination'!$V107,IF(S39='References Assumptions'!$C$334,'Amount and Destination'!$T107,"N/A"))</f>
        <v>N/A</v>
      </c>
      <c r="T40" s="542" t="str">
        <f>IF(T39='References Assumptions'!$C$333,'Amount and Destination'!$V108,IF(T39='References Assumptions'!$C$334,'Amount and Destination'!$T108,"N/A"))</f>
        <v>N/A</v>
      </c>
      <c r="U40" s="542" t="str">
        <f>IF(U39='References Assumptions'!$C$333,'Amount and Destination'!$V109,IF(U39='References Assumptions'!$C$334,'Amount and Destination'!$T109,"N/A"))</f>
        <v>N/A</v>
      </c>
      <c r="V40" s="542" t="str">
        <f>IF(V39='References Assumptions'!$C$333,'Amount and Destination'!$V110,IF(V39='References Assumptions'!$C$334,'Amount and Destination'!$T110,"N/A"))</f>
        <v>N/A</v>
      </c>
      <c r="W40" s="542" t="str">
        <f>IF(W39='References Assumptions'!$C$333,'Amount and Destination'!$V111,IF(W39='References Assumptions'!$C$334,'Amount and Destination'!$T111,"N/A"))</f>
        <v>N/A</v>
      </c>
      <c r="X40" s="542" t="str">
        <f>IF(X39='References Assumptions'!$C$333,'Amount and Destination'!$V112,IF(X39='References Assumptions'!$C$334,'Amount and Destination'!$T112,"N/A"))</f>
        <v>N/A</v>
      </c>
      <c r="Y40" s="542" t="str">
        <f>IF(Y39='References Assumptions'!$C$333,'Amount and Destination'!$V113,IF(Y39='References Assumptions'!$C$334,'Amount and Destination'!$T113,"N/A"))</f>
        <v>N/A</v>
      </c>
      <c r="Z40" s="542" t="str">
        <f>IF(Z39='References Assumptions'!$C$333,'Amount and Destination'!$V114,IF(Z39='References Assumptions'!$C$334,'Amount and Destination'!$T114,"N/A"))</f>
        <v>N/A</v>
      </c>
      <c r="AA40" s="542" t="str">
        <f>IF(AA39='References Assumptions'!$C$333,'Amount and Destination'!$V115,IF(AA39='References Assumptions'!$C$334,'Amount and Destination'!$T115,"N/A"))</f>
        <v>N/A</v>
      </c>
      <c r="AB40" s="1354"/>
      <c r="AC40" s="215" t="s">
        <v>232</v>
      </c>
      <c r="AD40" s="545">
        <f>((C41*C42)+(D41*D42)+(E41*E42)+(F41*F42)+(G41*G42)+(H41*H42)+(I41*I42)+(J41*J42)+(K41*K42)+(L41*L42)+(M41*M42)+(N41*N42)+(O41*O42)+(P41*P42)+(Q41*Q42)+(R41*R42)+(S41*S42)+(T41*T42)+(U41*U42)+(V41*V42)+(W41*W42)+(X41*X42)+(Y41*Y42)+(Z41*Z42)+(AA41*AA42))*(CO2E_diesel__ClimateReg/Mg_g)</f>
        <v>0</v>
      </c>
      <c r="AE40" s="1363"/>
    </row>
    <row r="41" spans="2:31" ht="15.75" customHeight="1" x14ac:dyDescent="0.25">
      <c r="B41" s="46" t="s">
        <v>315</v>
      </c>
      <c r="C41" s="233">
        <f>IF(AND(C36='References Assumptions'!$C$331,C35&gt;0),C35/C37*C40/C38,0)</f>
        <v>0</v>
      </c>
      <c r="D41" s="233">
        <f>IF(AND(D36='References Assumptions'!$C$331,D35&gt;0),D35/D37*D40/D38,0)</f>
        <v>0</v>
      </c>
      <c r="E41" s="233">
        <f>IF(AND(E36='References Assumptions'!$C$331,E35&gt;0),E35/E37*E40/E38,0)</f>
        <v>0</v>
      </c>
      <c r="F41" s="233">
        <f>IF(AND(F36='References Assumptions'!$C$331,F35&gt;0),F35/F37*F40/F38,0)</f>
        <v>0</v>
      </c>
      <c r="G41" s="233">
        <f>IF(AND(G36='References Assumptions'!$C$331,G35&gt;0),G35/G37*G40/G38,0)</f>
        <v>0</v>
      </c>
      <c r="H41" s="233">
        <f>IF(AND(H36='References Assumptions'!$C$331,H35&gt;0),H35/H37*H40/H38,0)</f>
        <v>0</v>
      </c>
      <c r="I41" s="233">
        <f>IF(AND(I36='References Assumptions'!$C$331,I35&gt;0),I35/I37*I40/I38,0)</f>
        <v>0</v>
      </c>
      <c r="J41" s="233">
        <f>IF(AND(J36='References Assumptions'!$C$331,J35&gt;0),J35/J37*J40/J38,0)</f>
        <v>0</v>
      </c>
      <c r="K41" s="233">
        <f>IF(AND(K36='References Assumptions'!$C$331,K35&gt;0),K35/K37*K40/K38,0)</f>
        <v>0</v>
      </c>
      <c r="L41" s="233">
        <f>IF(AND(L36='References Assumptions'!$C$331,L35&gt;0),L35/L37*L40/L38,0)</f>
        <v>0</v>
      </c>
      <c r="M41" s="233">
        <f>IF(AND(M36='References Assumptions'!$C$331,M35&gt;0),M35/M37*M40/M38,0)</f>
        <v>0</v>
      </c>
      <c r="N41" s="233">
        <f>IF(AND(N36='References Assumptions'!$C$331,N35&gt;0),N35/N37*N40/N38,0)</f>
        <v>0</v>
      </c>
      <c r="O41" s="233">
        <f>IF(AND(O36='References Assumptions'!$C$331,O35&gt;0),O35/O37*O40/O38,0)</f>
        <v>0</v>
      </c>
      <c r="P41" s="233">
        <f>IF(AND(P36='References Assumptions'!$C$331,P35&gt;0),P35/P37*P40/P38,0)</f>
        <v>0</v>
      </c>
      <c r="Q41" s="233">
        <f>IF(AND(Q36='References Assumptions'!$C$331,Q35&gt;0),Q35/Q37*Q40/Q38,0)</f>
        <v>0</v>
      </c>
      <c r="R41" s="233">
        <f>IF(AND(R36='References Assumptions'!$C$331,R35&gt;0),R35/R37*R40/R38,0)</f>
        <v>0</v>
      </c>
      <c r="S41" s="233">
        <f>IF(AND(S36='References Assumptions'!$C$331,S35&gt;0),S35/S37*S40/S38,0)</f>
        <v>0</v>
      </c>
      <c r="T41" s="233">
        <f>IF(AND(T36='References Assumptions'!$C$331,T35&gt;0),T35/T37*T40/T38,0)</f>
        <v>0</v>
      </c>
      <c r="U41" s="233">
        <f>IF(AND(U36='References Assumptions'!$C$331,U35&gt;0),U35/U37*U40/U38,0)</f>
        <v>0</v>
      </c>
      <c r="V41" s="233">
        <f>IF(AND(V36='References Assumptions'!$C$331,V35&gt;0),V35/V37*V40/V38,0)</f>
        <v>0</v>
      </c>
      <c r="W41" s="233">
        <f>IF(AND(W36='References Assumptions'!$C$331,W35&gt;0),W35/W37*W40/W38,0)</f>
        <v>0</v>
      </c>
      <c r="X41" s="233">
        <f>IF(AND(X36='References Assumptions'!$C$331,X35&gt;0),X35/X37*X40/X38,0)</f>
        <v>0</v>
      </c>
      <c r="Y41" s="233">
        <f>IF(AND(Y36='References Assumptions'!$C$331,Y35&gt;0),Y35/Y37*Y40/Y38,0)</f>
        <v>0</v>
      </c>
      <c r="Z41" s="233">
        <f>IF(AND(Z36='References Assumptions'!$C$331,Z35&gt;0),Z35/Z37*Z40/Z38,0)</f>
        <v>0</v>
      </c>
      <c r="AA41" s="233">
        <f>IF(AND(AA36='References Assumptions'!$C$331,AA35&gt;0),AA35/AA37*AA40/AA38,0)</f>
        <v>0</v>
      </c>
      <c r="AB41" s="556">
        <f>SUM(C41:AA41)</f>
        <v>0</v>
      </c>
      <c r="AC41" s="547" t="s">
        <v>557</v>
      </c>
      <c r="AD41" s="548">
        <f>+SUMIF(C36:AA36,'References Assumptions'!$C$331,Transportation!C43:AA43)</f>
        <v>0</v>
      </c>
      <c r="AE41" s="549" t="e">
        <f>+AD41/SUMIF(C36:AA36,'References Assumptions'!$C$331,Transportation!C35:AA35)*Mg_kg</f>
        <v>#DIV/0!</v>
      </c>
    </row>
    <row r="42" spans="2:31" ht="15.75" customHeight="1" thickBot="1" x14ac:dyDescent="0.3">
      <c r="B42" s="46" t="s">
        <v>316</v>
      </c>
      <c r="C42" s="550">
        <f>'Amount and Destination'!AA91</f>
        <v>0</v>
      </c>
      <c r="D42" s="550">
        <f>'Amount and Destination'!AA92</f>
        <v>0</v>
      </c>
      <c r="E42" s="550">
        <f>'Amount and Destination'!AA93</f>
        <v>0</v>
      </c>
      <c r="F42" s="550">
        <f>'Amount and Destination'!AA94</f>
        <v>0</v>
      </c>
      <c r="G42" s="550">
        <f>'Amount and Destination'!AA95</f>
        <v>0</v>
      </c>
      <c r="H42" s="550">
        <f>'Amount and Destination'!AA96</f>
        <v>0</v>
      </c>
      <c r="I42" s="550">
        <f>'Amount and Destination'!AA97</f>
        <v>0</v>
      </c>
      <c r="J42" s="550">
        <f>'Amount and Destination'!AA98</f>
        <v>0</v>
      </c>
      <c r="K42" s="550">
        <f>'Amount and Destination'!AA99</f>
        <v>0</v>
      </c>
      <c r="L42" s="550">
        <f>'Amount and Destination'!AA100</f>
        <v>0</v>
      </c>
      <c r="M42" s="550">
        <f>'Amount and Destination'!AA101</f>
        <v>0</v>
      </c>
      <c r="N42" s="550">
        <f>'Amount and Destination'!AA102</f>
        <v>0</v>
      </c>
      <c r="O42" s="550">
        <f>'Amount and Destination'!AA103</f>
        <v>0</v>
      </c>
      <c r="P42" s="550">
        <f>'Amount and Destination'!AA104</f>
        <v>0</v>
      </c>
      <c r="Q42" s="550">
        <f>'Amount and Destination'!AA105</f>
        <v>0</v>
      </c>
      <c r="R42" s="550">
        <f>'Amount and Destination'!AA106</f>
        <v>0</v>
      </c>
      <c r="S42" s="550">
        <f>'Amount and Destination'!AA107</f>
        <v>0</v>
      </c>
      <c r="T42" s="550">
        <f>'Amount and Destination'!AA108</f>
        <v>0</v>
      </c>
      <c r="U42" s="550">
        <f>'Amount and Destination'!AA109</f>
        <v>0</v>
      </c>
      <c r="V42" s="550">
        <f>'Amount and Destination'!AA110</f>
        <v>0</v>
      </c>
      <c r="W42" s="550">
        <f>'Amount and Destination'!AA111</f>
        <v>0</v>
      </c>
      <c r="X42" s="550">
        <f>'Amount and Destination'!AA112</f>
        <v>0</v>
      </c>
      <c r="Y42" s="550">
        <f>'Amount and Destination'!AA113</f>
        <v>0</v>
      </c>
      <c r="Z42" s="550">
        <f>'Amount and Destination'!AA114</f>
        <v>0</v>
      </c>
      <c r="AA42" s="550">
        <f>'Amount and Destination'!AA115</f>
        <v>0</v>
      </c>
      <c r="AB42" s="557"/>
      <c r="AC42" s="552" t="s">
        <v>558</v>
      </c>
      <c r="AD42" s="553">
        <f>+SUMIF(C36:AA36,'References Assumptions'!$C$332,Transportation!C43:AA43)</f>
        <v>0</v>
      </c>
      <c r="AE42" s="221" t="e">
        <f>+AD42/SUMIF(C36:AA36,'References Assumptions'!$C$331,Transportation!C35:AA35)*Mg_kg</f>
        <v>#DIV/0!</v>
      </c>
    </row>
    <row r="43" spans="2:31" ht="15.75" customHeight="1" thickBot="1" x14ac:dyDescent="0.35">
      <c r="B43" s="153" t="s">
        <v>51</v>
      </c>
      <c r="C43" s="554" t="str">
        <f t="shared" ref="C43:AA43" si="7">IF(C36="Truck",C41*(1-C42)*CO2E_diesel__ClimateReg/1000000,IF(C36="Rail",C35*C40*rail_emis/Mg_kg,"N/A"))</f>
        <v>N/A</v>
      </c>
      <c r="D43" s="554" t="str">
        <f t="shared" si="7"/>
        <v>N/A</v>
      </c>
      <c r="E43" s="554" t="str">
        <f t="shared" si="7"/>
        <v>N/A</v>
      </c>
      <c r="F43" s="554" t="str">
        <f t="shared" si="7"/>
        <v>N/A</v>
      </c>
      <c r="G43" s="554" t="str">
        <f t="shared" si="7"/>
        <v>N/A</v>
      </c>
      <c r="H43" s="554" t="str">
        <f t="shared" si="7"/>
        <v>N/A</v>
      </c>
      <c r="I43" s="554" t="str">
        <f t="shared" si="7"/>
        <v>N/A</v>
      </c>
      <c r="J43" s="554" t="str">
        <f t="shared" si="7"/>
        <v>N/A</v>
      </c>
      <c r="K43" s="554" t="str">
        <f t="shared" si="7"/>
        <v>N/A</v>
      </c>
      <c r="L43" s="554" t="str">
        <f t="shared" si="7"/>
        <v>N/A</v>
      </c>
      <c r="M43" s="554" t="str">
        <f t="shared" si="7"/>
        <v>N/A</v>
      </c>
      <c r="N43" s="554" t="str">
        <f t="shared" si="7"/>
        <v>N/A</v>
      </c>
      <c r="O43" s="554" t="str">
        <f t="shared" si="7"/>
        <v>N/A</v>
      </c>
      <c r="P43" s="554" t="str">
        <f t="shared" si="7"/>
        <v>N/A</v>
      </c>
      <c r="Q43" s="554" t="str">
        <f t="shared" si="7"/>
        <v>N/A</v>
      </c>
      <c r="R43" s="554" t="str">
        <f t="shared" si="7"/>
        <v>N/A</v>
      </c>
      <c r="S43" s="554" t="str">
        <f t="shared" si="7"/>
        <v>N/A</v>
      </c>
      <c r="T43" s="554" t="str">
        <f t="shared" si="7"/>
        <v>N/A</v>
      </c>
      <c r="U43" s="554" t="str">
        <f t="shared" si="7"/>
        <v>N/A</v>
      </c>
      <c r="V43" s="554" t="str">
        <f t="shared" si="7"/>
        <v>N/A</v>
      </c>
      <c r="W43" s="554" t="str">
        <f t="shared" si="7"/>
        <v>N/A</v>
      </c>
      <c r="X43" s="554" t="str">
        <f t="shared" si="7"/>
        <v>N/A</v>
      </c>
      <c r="Y43" s="554" t="str">
        <f t="shared" si="7"/>
        <v>N/A</v>
      </c>
      <c r="Z43" s="554" t="str">
        <f t="shared" si="7"/>
        <v>N/A</v>
      </c>
      <c r="AA43" s="554" t="str">
        <f t="shared" si="7"/>
        <v>N/A</v>
      </c>
      <c r="AB43" s="555">
        <f>SUM(C43:AA43)</f>
        <v>0</v>
      </c>
    </row>
    <row r="44" spans="2:31" ht="15.75" x14ac:dyDescent="0.25">
      <c r="B44" s="148" t="str">
        <f>CONCATENATE("Transportation input - Scenario 5 - ",'Scenarios Data'!B129)</f>
        <v xml:space="preserve">Transportation input - Scenario 5 - </v>
      </c>
      <c r="C44" s="531" t="str">
        <f>IF(ISBLANK('Amount and Destination'!$C$120),"Destination 1",'Amount and Destination'!$C$120)</f>
        <v>Destination 1</v>
      </c>
      <c r="D44" s="531" t="str">
        <f>IF(ISBLANK('Amount and Destination'!$C$121),"Destination 2",'Amount and Destination'!$C$121)</f>
        <v>Destination 2</v>
      </c>
      <c r="E44" s="531" t="str">
        <f>IF(ISBLANK('Amount and Destination'!$C$122),"Destination 3",'Amount and Destination'!$C$122)</f>
        <v>Destination 3</v>
      </c>
      <c r="F44" s="531" t="str">
        <f>IF(ISBLANK('Amount and Destination'!$C$123),"Destination 4",'Amount and Destination'!$C$123)</f>
        <v>Destination 4</v>
      </c>
      <c r="G44" s="531" t="str">
        <f>IF(ISBLANK('Amount and Destination'!$C$124),"Destination 5",'Amount and Destination'!$C$124)</f>
        <v>Destination 5</v>
      </c>
      <c r="H44" s="531" t="str">
        <f>IF(ISBLANK('Amount and Destination'!$C$125),"Destination 6",'Amount and Destination'!$C$125)</f>
        <v>Destination 6</v>
      </c>
      <c r="I44" s="531" t="str">
        <f>IF(ISBLANK('Amount and Destination'!$C$126),"Destination 7",'Amount and Destination'!$C$126)</f>
        <v>Destination 7</v>
      </c>
      <c r="J44" s="531" t="str">
        <f>IF(ISBLANK('Amount and Destination'!$C$127),"Destination 8",'Amount and Destination'!$C$127)</f>
        <v>Destination 8</v>
      </c>
      <c r="K44" s="531" t="str">
        <f>IF(ISBLANK('Amount and Destination'!$C$128),"Destination 9",'Amount and Destination'!$C$128)</f>
        <v>Destination 9</v>
      </c>
      <c r="L44" s="531" t="str">
        <f>IF(ISBLANK('Amount and Destination'!$C$129),"Destination 10",'Amount and Destination'!$C$129)</f>
        <v>Destination 10</v>
      </c>
      <c r="M44" s="531" t="str">
        <f>IF(ISBLANK('Amount and Destination'!$C$130),"Destination 11",'Amount and Destination'!$C$130)</f>
        <v>Destination 11</v>
      </c>
      <c r="N44" s="531" t="str">
        <f>IF(ISBLANK('Amount and Destination'!$C$131),"Destination 12",'Amount and Destination'!$C$131)</f>
        <v>Destination 12</v>
      </c>
      <c r="O44" s="531" t="str">
        <f>IF(ISBLANK('Amount and Destination'!$C$132),"Destination 13",'Amount and Destination'!$C$132)</f>
        <v>Destination 13</v>
      </c>
      <c r="P44" s="531" t="str">
        <f>IF(ISBLANK('Amount and Destination'!$C$133),"Destination 14",'Amount and Destination'!$C$133)</f>
        <v>Destination 14</v>
      </c>
      <c r="Q44" s="531" t="str">
        <f>IF(ISBLANK('Amount and Destination'!$C$134),"Destination 15",'Amount and Destination'!$C$134)</f>
        <v>Destination 15</v>
      </c>
      <c r="R44" s="531" t="str">
        <f>IF(ISBLANK('Amount and Destination'!$C$135),"Destination 16",'Amount and Destination'!$C$135)</f>
        <v>Destination 16</v>
      </c>
      <c r="S44" s="531" t="str">
        <f>IF(ISBLANK('Amount and Destination'!$C$136),"Destination 17",'Amount and Destination'!$C$136)</f>
        <v>Destination 17</v>
      </c>
      <c r="T44" s="531" t="str">
        <f>IF(ISBLANK('Amount and Destination'!$C$137),"Destination 18",'Amount and Destination'!$C$137)</f>
        <v>Destination 18</v>
      </c>
      <c r="U44" s="531" t="str">
        <f>IF(ISBLANK('Amount and Destination'!$C$138),"Destination 19",'Amount and Destination'!$C$138)</f>
        <v>Destination 19</v>
      </c>
      <c r="V44" s="531" t="str">
        <f>IF(ISBLANK('Amount and Destination'!$C$139),"Destination 20",'Amount and Destination'!$C$139)</f>
        <v>Destination 20</v>
      </c>
      <c r="W44" s="531" t="str">
        <f>IF(ISBLANK('Amount and Destination'!$C$140),"Destination 21",'Amount and Destination'!$C$140)</f>
        <v>Destination 21</v>
      </c>
      <c r="X44" s="531" t="str">
        <f>IF(ISBLANK('Amount and Destination'!$C$141),"Destination 22",'Amount and Destination'!$C$141)</f>
        <v>Destination 22</v>
      </c>
      <c r="Y44" s="531" t="str">
        <f>IF(ISBLANK('Amount and Destination'!$C$142),"Destination 23",'Amount and Destination'!$C$42)</f>
        <v>Destination 23</v>
      </c>
      <c r="Z44" s="531" t="str">
        <f>IF(ISBLANK('Amount and Destination'!$C$143),"Destination 24",'Amount and Destination'!$C$143)</f>
        <v>Destination 24</v>
      </c>
      <c r="AA44" s="531" t="str">
        <f>IF(ISBLANK('Amount and Destination'!$C$144),"Destination 25",'Amount and Destination'!$C$144)</f>
        <v>Destination 25</v>
      </c>
      <c r="AB44" s="535" t="s">
        <v>162</v>
      </c>
    </row>
    <row r="45" spans="2:31" ht="15.75" customHeight="1" thickBot="1" x14ac:dyDescent="0.25">
      <c r="B45" s="245" t="s">
        <v>869</v>
      </c>
      <c r="C45" s="1189">
        <v>0</v>
      </c>
      <c r="D45" s="1189">
        <v>0</v>
      </c>
      <c r="E45" s="1189">
        <v>0</v>
      </c>
      <c r="F45" s="1189">
        <v>0</v>
      </c>
      <c r="G45" s="1189">
        <v>0</v>
      </c>
      <c r="H45" s="1189">
        <v>0</v>
      </c>
      <c r="I45" s="1189">
        <v>0</v>
      </c>
      <c r="J45" s="1189">
        <v>0</v>
      </c>
      <c r="K45" s="1189">
        <v>0</v>
      </c>
      <c r="L45" s="1189">
        <v>0</v>
      </c>
      <c r="M45" s="1189">
        <v>0</v>
      </c>
      <c r="N45" s="1189">
        <v>0</v>
      </c>
      <c r="O45" s="1189">
        <v>0</v>
      </c>
      <c r="P45" s="1189">
        <v>0</v>
      </c>
      <c r="Q45" s="1189">
        <v>0</v>
      </c>
      <c r="R45" s="1189">
        <v>0</v>
      </c>
      <c r="S45" s="1189">
        <v>0</v>
      </c>
      <c r="T45" s="1189">
        <v>0</v>
      </c>
      <c r="U45" s="1189">
        <v>0</v>
      </c>
      <c r="V45" s="1189">
        <v>0</v>
      </c>
      <c r="W45" s="1189">
        <v>0</v>
      </c>
      <c r="X45" s="1189">
        <v>0</v>
      </c>
      <c r="Y45" s="1189">
        <v>0</v>
      </c>
      <c r="Z45" s="1189">
        <v>0</v>
      </c>
      <c r="AA45" s="1189">
        <v>0</v>
      </c>
      <c r="AB45" s="1353"/>
      <c r="AD45" s="96"/>
    </row>
    <row r="46" spans="2:31" ht="21" x14ac:dyDescent="0.25">
      <c r="B46" s="558" t="s">
        <v>396</v>
      </c>
      <c r="C46" s="102">
        <f>'Amount and Destination'!W120</f>
        <v>0</v>
      </c>
      <c r="D46" s="102">
        <f>+'Amount and Destination'!W121</f>
        <v>0</v>
      </c>
      <c r="E46" s="536">
        <f>+'Amount and Destination'!W122</f>
        <v>0</v>
      </c>
      <c r="F46" s="536">
        <f>+'Amount and Destination'!W123</f>
        <v>0</v>
      </c>
      <c r="G46" s="536">
        <f>+'Amount and Destination'!W124</f>
        <v>0</v>
      </c>
      <c r="H46" s="536">
        <f>+'Amount and Destination'!W125</f>
        <v>0</v>
      </c>
      <c r="I46" s="536">
        <f>+'Amount and Destination'!W126</f>
        <v>0</v>
      </c>
      <c r="J46" s="536">
        <f>+'Amount and Destination'!W127</f>
        <v>0</v>
      </c>
      <c r="K46" s="536">
        <f>+'Amount and Destination'!W128</f>
        <v>0</v>
      </c>
      <c r="L46" s="536">
        <f>+'Amount and Destination'!W129</f>
        <v>0</v>
      </c>
      <c r="M46" s="536">
        <f>+'Amount and Destination'!W130</f>
        <v>0</v>
      </c>
      <c r="N46" s="536">
        <f>+'Amount and Destination'!W131</f>
        <v>0</v>
      </c>
      <c r="O46" s="536">
        <f>+'Amount and Destination'!W132</f>
        <v>0</v>
      </c>
      <c r="P46" s="536">
        <f>+'Amount and Destination'!W133</f>
        <v>0</v>
      </c>
      <c r="Q46" s="536">
        <f>+'Amount and Destination'!W134</f>
        <v>0</v>
      </c>
      <c r="R46" s="536">
        <f>+'Amount and Destination'!W135</f>
        <v>0</v>
      </c>
      <c r="S46" s="536">
        <f>+'Amount and Destination'!W136</f>
        <v>0</v>
      </c>
      <c r="T46" s="537">
        <f>+'Amount and Destination'!W137</f>
        <v>0</v>
      </c>
      <c r="U46" s="537">
        <f>+'Amount and Destination'!W138</f>
        <v>0</v>
      </c>
      <c r="V46" s="537">
        <f>+'Amount and Destination'!W139</f>
        <v>0</v>
      </c>
      <c r="W46" s="537">
        <f>+'Amount and Destination'!W140</f>
        <v>0</v>
      </c>
      <c r="X46" s="537">
        <f>+'Amount and Destination'!W141</f>
        <v>0</v>
      </c>
      <c r="Y46" s="537">
        <f>+'Amount and Destination'!W142</f>
        <v>0</v>
      </c>
      <c r="Z46" s="537">
        <f>+'Amount and Destination'!W143</f>
        <v>0</v>
      </c>
      <c r="AA46" s="538">
        <f>+'Amount and Destination'!W144</f>
        <v>0</v>
      </c>
      <c r="AB46" s="1353"/>
      <c r="AC46" s="539" t="s">
        <v>44</v>
      </c>
      <c r="AD46" s="540">
        <f>SUM(C53:AA53)</f>
        <v>0</v>
      </c>
      <c r="AE46" s="1361" t="s">
        <v>559</v>
      </c>
    </row>
    <row r="47" spans="2:31" ht="15.75" customHeight="1" x14ac:dyDescent="0.25">
      <c r="B47" s="558" t="s">
        <v>870</v>
      </c>
      <c r="C47" s="542">
        <f>+'Amount and Destination'!Z120</f>
        <v>0</v>
      </c>
      <c r="D47" s="542">
        <f>+'Amount and Destination'!Z121</f>
        <v>0</v>
      </c>
      <c r="E47" s="542">
        <f>+'Amount and Destination'!Z122</f>
        <v>0</v>
      </c>
      <c r="F47" s="542">
        <f>+'Amount and Destination'!Z123</f>
        <v>0</v>
      </c>
      <c r="G47" s="542">
        <f>+'Amount and Destination'!Z124</f>
        <v>0</v>
      </c>
      <c r="H47" s="542">
        <f>+'Amount and Destination'!Z125</f>
        <v>0</v>
      </c>
      <c r="I47" s="542">
        <f>+'Amount and Destination'!Z126</f>
        <v>0</v>
      </c>
      <c r="J47" s="542">
        <f>+'Amount and Destination'!Z127</f>
        <v>0</v>
      </c>
      <c r="K47" s="542">
        <f>+'Amount and Destination'!Z128</f>
        <v>0</v>
      </c>
      <c r="L47" s="542">
        <f>+'Amount and Destination'!Z129</f>
        <v>0</v>
      </c>
      <c r="M47" s="542">
        <f>+'Amount and Destination'!Z130</f>
        <v>0</v>
      </c>
      <c r="N47" s="542">
        <f>+'Amount and Destination'!Z131</f>
        <v>0</v>
      </c>
      <c r="O47" s="542">
        <f>+'Amount and Destination'!Z132</f>
        <v>0</v>
      </c>
      <c r="P47" s="542">
        <f>+'Amount and Destination'!Z133</f>
        <v>0</v>
      </c>
      <c r="Q47" s="542">
        <f>+'Amount and Destination'!Z134</f>
        <v>0</v>
      </c>
      <c r="R47" s="542">
        <f>+'Amount and Destination'!Z135</f>
        <v>0</v>
      </c>
      <c r="S47" s="542">
        <f>+'Amount and Destination'!Z136</f>
        <v>0</v>
      </c>
      <c r="T47" s="873">
        <f>+'Amount and Destination'!Z137</f>
        <v>0</v>
      </c>
      <c r="U47" s="873">
        <f>+'Amount and Destination'!Z138</f>
        <v>0</v>
      </c>
      <c r="V47" s="873">
        <f>+'Amount and Destination'!Z139</f>
        <v>0</v>
      </c>
      <c r="W47" s="873">
        <f>+'Amount and Destination'!Z140</f>
        <v>0</v>
      </c>
      <c r="X47" s="873">
        <f>+'Amount and Destination'!Z141</f>
        <v>0</v>
      </c>
      <c r="Y47" s="873">
        <f>+'Amount and Destination'!Z142</f>
        <v>0</v>
      </c>
      <c r="Z47" s="873">
        <f>+'Amount and Destination'!Z143</f>
        <v>0</v>
      </c>
      <c r="AA47" s="874">
        <f>+'Amount and Destination'!Z144</f>
        <v>0</v>
      </c>
      <c r="AB47" s="1354"/>
      <c r="AC47" s="215" t="s">
        <v>228</v>
      </c>
      <c r="AD47" s="543">
        <f>AD46</f>
        <v>0</v>
      </c>
      <c r="AE47" s="1362"/>
    </row>
    <row r="48" spans="2:31" ht="15.75" customHeight="1" x14ac:dyDescent="0.25">
      <c r="B48" s="558" t="s">
        <v>2</v>
      </c>
      <c r="C48" s="544">
        <f t="shared" ref="C48:AA48" si="8">+$C$113</f>
        <v>2.4743422909272987</v>
      </c>
      <c r="D48" s="544">
        <f t="shared" si="8"/>
        <v>2.4743422909272987</v>
      </c>
      <c r="E48" s="544">
        <f t="shared" si="8"/>
        <v>2.4743422909272987</v>
      </c>
      <c r="F48" s="544">
        <f t="shared" si="8"/>
        <v>2.4743422909272987</v>
      </c>
      <c r="G48" s="544">
        <f t="shared" si="8"/>
        <v>2.4743422909272987</v>
      </c>
      <c r="H48" s="544">
        <f t="shared" si="8"/>
        <v>2.4743422909272987</v>
      </c>
      <c r="I48" s="544">
        <f t="shared" si="8"/>
        <v>2.4743422909272987</v>
      </c>
      <c r="J48" s="544">
        <f t="shared" si="8"/>
        <v>2.4743422909272987</v>
      </c>
      <c r="K48" s="544">
        <f t="shared" si="8"/>
        <v>2.4743422909272987</v>
      </c>
      <c r="L48" s="544">
        <f t="shared" si="8"/>
        <v>2.4743422909272987</v>
      </c>
      <c r="M48" s="544">
        <f t="shared" si="8"/>
        <v>2.4743422909272987</v>
      </c>
      <c r="N48" s="544">
        <f t="shared" si="8"/>
        <v>2.4743422909272987</v>
      </c>
      <c r="O48" s="544">
        <f t="shared" si="8"/>
        <v>2.4743422909272987</v>
      </c>
      <c r="P48" s="544">
        <f t="shared" si="8"/>
        <v>2.4743422909272987</v>
      </c>
      <c r="Q48" s="544">
        <f t="shared" si="8"/>
        <v>2.4743422909272987</v>
      </c>
      <c r="R48" s="544">
        <f t="shared" si="8"/>
        <v>2.4743422909272987</v>
      </c>
      <c r="S48" s="544">
        <f t="shared" si="8"/>
        <v>2.4743422909272987</v>
      </c>
      <c r="T48" s="544">
        <f t="shared" si="8"/>
        <v>2.4743422909272987</v>
      </c>
      <c r="U48" s="544">
        <f t="shared" si="8"/>
        <v>2.4743422909272987</v>
      </c>
      <c r="V48" s="544">
        <f t="shared" si="8"/>
        <v>2.4743422909272987</v>
      </c>
      <c r="W48" s="544">
        <f t="shared" si="8"/>
        <v>2.4743422909272987</v>
      </c>
      <c r="X48" s="544">
        <f t="shared" si="8"/>
        <v>2.4743422909272987</v>
      </c>
      <c r="Y48" s="544">
        <f t="shared" si="8"/>
        <v>2.4743422909272987</v>
      </c>
      <c r="Z48" s="544">
        <f t="shared" si="8"/>
        <v>2.4743422909272987</v>
      </c>
      <c r="AA48" s="544">
        <f t="shared" si="8"/>
        <v>2.4743422909272987</v>
      </c>
      <c r="AB48" s="1353"/>
      <c r="AC48" s="215" t="s">
        <v>229</v>
      </c>
      <c r="AD48" s="545" t="s">
        <v>307</v>
      </c>
      <c r="AE48" s="1362"/>
    </row>
    <row r="49" spans="2:31" ht="15.75" customHeight="1" x14ac:dyDescent="0.25">
      <c r="B49" s="558" t="s">
        <v>485</v>
      </c>
      <c r="C49" s="544">
        <f>'Amount and Destination'!R120</f>
        <v>0</v>
      </c>
      <c r="D49" s="544">
        <f>'Amount and Destination'!R121</f>
        <v>0</v>
      </c>
      <c r="E49" s="544">
        <f>'Amount and Destination'!R122</f>
        <v>0</v>
      </c>
      <c r="F49" s="544">
        <f>'Amount and Destination'!R123</f>
        <v>0</v>
      </c>
      <c r="G49" s="544">
        <f>'Amount and Destination'!R124</f>
        <v>0</v>
      </c>
      <c r="H49" s="544">
        <f>'Amount and Destination'!R125</f>
        <v>0</v>
      </c>
      <c r="I49" s="544">
        <f>'Amount and Destination'!R126</f>
        <v>0</v>
      </c>
      <c r="J49" s="544">
        <f>'Amount and Destination'!R127</f>
        <v>0</v>
      </c>
      <c r="K49" s="544">
        <f>'Amount and Destination'!R128</f>
        <v>0</v>
      </c>
      <c r="L49" s="544">
        <f>'Amount and Destination'!R129</f>
        <v>0</v>
      </c>
      <c r="M49" s="544">
        <f>'Amount and Destination'!R130</f>
        <v>0</v>
      </c>
      <c r="N49" s="544">
        <f>'Amount and Destination'!R131</f>
        <v>0</v>
      </c>
      <c r="O49" s="544">
        <f>'Amount and Destination'!R132</f>
        <v>0</v>
      </c>
      <c r="P49" s="544">
        <f>'Amount and Destination'!R133</f>
        <v>0</v>
      </c>
      <c r="Q49" s="544">
        <f>'Amount and Destination'!R134</f>
        <v>0</v>
      </c>
      <c r="R49" s="544">
        <f>'Amount and Destination'!R135</f>
        <v>0</v>
      </c>
      <c r="S49" s="544">
        <f>'Amount and Destination'!R136</f>
        <v>0</v>
      </c>
      <c r="T49" s="544">
        <f>'Amount and Destination'!R137</f>
        <v>0</v>
      </c>
      <c r="U49" s="544">
        <f>'Amount and Destination'!R138</f>
        <v>0</v>
      </c>
      <c r="V49" s="544">
        <f>'Amount and Destination'!R139</f>
        <v>0</v>
      </c>
      <c r="W49" s="544">
        <f>'Amount and Destination'!R140</f>
        <v>0</v>
      </c>
      <c r="X49" s="544">
        <f>'Amount and Destination'!R141</f>
        <v>0</v>
      </c>
      <c r="Y49" s="544">
        <f>'Amount and Destination'!R142</f>
        <v>0</v>
      </c>
      <c r="Z49" s="544">
        <f>'Amount and Destination'!R143</f>
        <v>0</v>
      </c>
      <c r="AA49" s="544">
        <f>'Amount and Destination'!R144</f>
        <v>0</v>
      </c>
      <c r="AB49" s="1353"/>
      <c r="AC49" s="215" t="s">
        <v>230</v>
      </c>
      <c r="AD49" s="545" t="s">
        <v>307</v>
      </c>
      <c r="AE49" s="1362"/>
    </row>
    <row r="50" spans="2:31" ht="15.75" customHeight="1" thickBot="1" x14ac:dyDescent="0.3">
      <c r="B50" s="558" t="s">
        <v>486</v>
      </c>
      <c r="C50" s="542" t="str">
        <f>IF(C49='References Assumptions'!$C$333,'Amount and Destination'!$V120,IF(C49='References Assumptions'!$C$334,'Amount and Destination'!$T120,"N/A"))</f>
        <v>N/A</v>
      </c>
      <c r="D50" s="542" t="str">
        <f>IF(D49='References Assumptions'!$C$333,'Amount and Destination'!$V121,IF(D49='References Assumptions'!$C$334,'Amount and Destination'!$T121,"N/A"))</f>
        <v>N/A</v>
      </c>
      <c r="E50" s="542" t="str">
        <f>IF(E49='References Assumptions'!$C$333,'Amount and Destination'!$V122,IF(E49='References Assumptions'!$C$334,'Amount and Destination'!$T122,"N/A"))</f>
        <v>N/A</v>
      </c>
      <c r="F50" s="542" t="str">
        <f>IF(F49='References Assumptions'!$C$333,'Amount and Destination'!$V123,IF(F49='References Assumptions'!$C$334,'Amount and Destination'!$T123,"N/A"))</f>
        <v>N/A</v>
      </c>
      <c r="G50" s="542" t="str">
        <f>IF(G49='References Assumptions'!$C$333,'Amount and Destination'!$V124,IF(G49='References Assumptions'!$C$334,'Amount and Destination'!$T124,"N/A"))</f>
        <v>N/A</v>
      </c>
      <c r="H50" s="542" t="str">
        <f>IF(H49='References Assumptions'!$C$333,'Amount and Destination'!$V125,IF(H49='References Assumptions'!$C$334,'Amount and Destination'!$T125,"N/A"))</f>
        <v>N/A</v>
      </c>
      <c r="I50" s="542" t="str">
        <f>IF(I49='References Assumptions'!$C$333,'Amount and Destination'!$V126,IF(I49='References Assumptions'!$C$334,'Amount and Destination'!$T126,"N/A"))</f>
        <v>N/A</v>
      </c>
      <c r="J50" s="542" t="str">
        <f>IF(J49='References Assumptions'!$C$333,'Amount and Destination'!$V127,IF(J49='References Assumptions'!$C$334,'Amount and Destination'!$T127,"N/A"))</f>
        <v>N/A</v>
      </c>
      <c r="K50" s="542" t="str">
        <f>IF(K49='References Assumptions'!$C$333,'Amount and Destination'!$V128,IF(K49='References Assumptions'!$C$334,'Amount and Destination'!$T128,"N/A"))</f>
        <v>N/A</v>
      </c>
      <c r="L50" s="542" t="str">
        <f>IF(L49='References Assumptions'!$C$333,'Amount and Destination'!$V129,IF(L49='References Assumptions'!$C$334,'Amount and Destination'!$T129,"N/A"))</f>
        <v>N/A</v>
      </c>
      <c r="M50" s="542" t="str">
        <f>IF(M49='References Assumptions'!$C$333,'Amount and Destination'!$V130,IF(M49='References Assumptions'!$C$334,'Amount and Destination'!$T130,"N/A"))</f>
        <v>N/A</v>
      </c>
      <c r="N50" s="542" t="str">
        <f>IF(N49='References Assumptions'!$C$333,'Amount and Destination'!$V131,IF(N49='References Assumptions'!$C$334,'Amount and Destination'!$T131,"N/A"))</f>
        <v>N/A</v>
      </c>
      <c r="O50" s="542" t="str">
        <f>IF(O49='References Assumptions'!$C$333,'Amount and Destination'!$V132,IF(O49='References Assumptions'!$C$334,'Amount and Destination'!$T132,"N/A"))</f>
        <v>N/A</v>
      </c>
      <c r="P50" s="542" t="str">
        <f>IF(P49='References Assumptions'!$C$333,'Amount and Destination'!$V133,IF(P49='References Assumptions'!$C$334,'Amount and Destination'!$T133,"N/A"))</f>
        <v>N/A</v>
      </c>
      <c r="Q50" s="542" t="str">
        <f>IF(Q49='References Assumptions'!$C$333,'Amount and Destination'!$V134,IF(Q49='References Assumptions'!$C$334,'Amount and Destination'!$T134,"N/A"))</f>
        <v>N/A</v>
      </c>
      <c r="R50" s="542" t="str">
        <f>IF(R49='References Assumptions'!$C$333,'Amount and Destination'!$V135,IF(R49='References Assumptions'!$C$334,'Amount and Destination'!$T135,"N/A"))</f>
        <v>N/A</v>
      </c>
      <c r="S50" s="542" t="str">
        <f>IF(S49='References Assumptions'!$C$333,'Amount and Destination'!$V136,IF(S49='References Assumptions'!$C$334,'Amount and Destination'!$T136,"N/A"))</f>
        <v>N/A</v>
      </c>
      <c r="T50" s="542" t="str">
        <f>IF(T49='References Assumptions'!$C$333,'Amount and Destination'!$V137,IF(T49='References Assumptions'!$C$334,'Amount and Destination'!$T137,"N/A"))</f>
        <v>N/A</v>
      </c>
      <c r="U50" s="542" t="str">
        <f>IF(U49='References Assumptions'!$C$333,'Amount and Destination'!$V138,IF(U49='References Assumptions'!$C$334,'Amount and Destination'!$T138,"N/A"))</f>
        <v>N/A</v>
      </c>
      <c r="V50" s="542" t="str">
        <f>IF(V49='References Assumptions'!$C$333,'Amount and Destination'!$V139,IF(V49='References Assumptions'!$C$334,'Amount and Destination'!$T139,"N/A"))</f>
        <v>N/A</v>
      </c>
      <c r="W50" s="542" t="str">
        <f>IF(W49='References Assumptions'!$C$333,'Amount and Destination'!$V140,IF(W49='References Assumptions'!$C$334,'Amount and Destination'!$T140,"N/A"))</f>
        <v>N/A</v>
      </c>
      <c r="X50" s="542" t="str">
        <f>IF(X49='References Assumptions'!$C$333,'Amount and Destination'!$V141,IF(X49='References Assumptions'!$C$334,'Amount and Destination'!$T141,"N/A"))</f>
        <v>N/A</v>
      </c>
      <c r="Y50" s="542" t="str">
        <f>IF(Y49='References Assumptions'!$C$333,'Amount and Destination'!$V142,IF(Y49='References Assumptions'!$C$334,'Amount and Destination'!$T142,"N/A"))</f>
        <v>N/A</v>
      </c>
      <c r="Z50" s="542" t="str">
        <f>IF(Z49='References Assumptions'!$C$333,'Amount and Destination'!$V143,IF(Z49='References Assumptions'!$C$334,'Amount and Destination'!$T143,"N/A"))</f>
        <v>N/A</v>
      </c>
      <c r="AA50" s="542" t="str">
        <f>IF(AA49='References Assumptions'!$C$333,'Amount and Destination'!$V144,IF(AA49='References Assumptions'!$C$334,'Amount and Destination'!$T144,"N/A"))</f>
        <v>N/A</v>
      </c>
      <c r="AB50" s="1354"/>
      <c r="AC50" s="215" t="s">
        <v>232</v>
      </c>
      <c r="AD50" s="545">
        <f>((C51*C52)+(D51*D52)+(E51*E52)+(F51*F52)+(G51*G52)+(H51*H52)+(I51*I52)+(J51*J52)+(K51*K52)+(L51*L52)+(M51*M52)+(N51*N52)+(O51*O52)+(P51*P52)+(Q51*Q52)+(R51*R52)+(S51*S52)+(T51*T52)+(U51*U52)+(V51*V52)+(W51*W52)+(X51*X52)+(Y51*Y52)+(Z51*Z52)+(AA51*AA52))*(CO2E_diesel__ClimateReg/Mg_g)</f>
        <v>0</v>
      </c>
      <c r="AE50" s="1363"/>
    </row>
    <row r="51" spans="2:31" ht="15.75" customHeight="1" x14ac:dyDescent="0.25">
      <c r="B51" s="46" t="s">
        <v>315</v>
      </c>
      <c r="C51" s="233">
        <f>IF(AND(C46='References Assumptions'!$C$331,C45&gt;0),C45/C47*C50/C48,0)</f>
        <v>0</v>
      </c>
      <c r="D51" s="233">
        <f>IF(AND(D46='References Assumptions'!$C$331,D45&gt;0),D45/D47*D50/D48,0)</f>
        <v>0</v>
      </c>
      <c r="E51" s="233">
        <f>IF(AND(E46='References Assumptions'!$C$331,E45&gt;0),E45/E47*E50/E48,0)</f>
        <v>0</v>
      </c>
      <c r="F51" s="233">
        <f>IF(AND(F46='References Assumptions'!$C$331,F45&gt;0),F45/F47*F50/F48,0)</f>
        <v>0</v>
      </c>
      <c r="G51" s="233">
        <f>IF(AND(G46='References Assumptions'!$C$331,G45&gt;0),G45/G47*G50/G48,0)</f>
        <v>0</v>
      </c>
      <c r="H51" s="233">
        <f>IF(AND(H46='References Assumptions'!$C$331,H45&gt;0),H45/H47*H50/H48,0)</f>
        <v>0</v>
      </c>
      <c r="I51" s="233">
        <f>IF(AND(I46='References Assumptions'!$C$331,I45&gt;0),I45/I47*I50/I48,0)</f>
        <v>0</v>
      </c>
      <c r="J51" s="233">
        <f>IF(AND(J46='References Assumptions'!$C$331,J45&gt;0),J45/J47*J50/J48,0)</f>
        <v>0</v>
      </c>
      <c r="K51" s="233">
        <f>IF(AND(K46='References Assumptions'!$C$331,K45&gt;0),K45/K47*K50/K48,0)</f>
        <v>0</v>
      </c>
      <c r="L51" s="233">
        <f>IF(AND(L46='References Assumptions'!$C$331,L45&gt;0),L45/L47*L50/L48,0)</f>
        <v>0</v>
      </c>
      <c r="M51" s="233">
        <f>IF(AND(M46='References Assumptions'!$C$331,M45&gt;0),M45/M47*M50/M48,0)</f>
        <v>0</v>
      </c>
      <c r="N51" s="233">
        <f>IF(AND(N46='References Assumptions'!$C$331,N45&gt;0),N45/N47*N50/N48,0)</f>
        <v>0</v>
      </c>
      <c r="O51" s="233">
        <f>IF(AND(O46='References Assumptions'!$C$331,O45&gt;0),O45/O47*O50/O48,0)</f>
        <v>0</v>
      </c>
      <c r="P51" s="233">
        <f>IF(AND(P46='References Assumptions'!$C$331,P45&gt;0),P45/P47*P50/P48,0)</f>
        <v>0</v>
      </c>
      <c r="Q51" s="233">
        <f>IF(AND(Q46='References Assumptions'!$C$331,Q45&gt;0),Q45/Q47*Q50/Q48,0)</f>
        <v>0</v>
      </c>
      <c r="R51" s="233">
        <f>IF(AND(R46='References Assumptions'!$C$331,R45&gt;0),R45/R47*R50/R48,0)</f>
        <v>0</v>
      </c>
      <c r="S51" s="233">
        <f>IF(AND(S46='References Assumptions'!$C$331,S45&gt;0),S45/S47*S50/S48,0)</f>
        <v>0</v>
      </c>
      <c r="T51" s="233">
        <f>IF(AND(T46='References Assumptions'!$C$331,T45&gt;0),T45/T47*T50/T48,0)</f>
        <v>0</v>
      </c>
      <c r="U51" s="233">
        <f>IF(AND(U46='References Assumptions'!$C$331,U45&gt;0),U45/U47*U50/U48,0)</f>
        <v>0</v>
      </c>
      <c r="V51" s="233">
        <f>IF(AND(V46='References Assumptions'!$C$331,V45&gt;0),V45/V47*V50/V48,0)</f>
        <v>0</v>
      </c>
      <c r="W51" s="233">
        <f>IF(AND(W46='References Assumptions'!$C$331,W45&gt;0),W45/W47*W50/W48,0)</f>
        <v>0</v>
      </c>
      <c r="X51" s="233">
        <f>IF(AND(X46='References Assumptions'!$C$331,X45&gt;0),X45/X47*X50/X48,0)</f>
        <v>0</v>
      </c>
      <c r="Y51" s="233">
        <f>IF(AND(Y46='References Assumptions'!$C$331,Y45&gt;0),Y45/Y47*Y50/Y48,0)</f>
        <v>0</v>
      </c>
      <c r="Z51" s="233">
        <f>IF(AND(Z46='References Assumptions'!$C$331,Z45&gt;0),Z45/Z47*Z50/Z48,0)</f>
        <v>0</v>
      </c>
      <c r="AA51" s="233">
        <f>IF(AND(AA46='References Assumptions'!$C$331,AA45&gt;0),AA45/AA47*AA50/AA48,0)</f>
        <v>0</v>
      </c>
      <c r="AB51" s="556">
        <f>SUM(C51:AA51)</f>
        <v>0</v>
      </c>
      <c r="AC51" s="547" t="s">
        <v>557</v>
      </c>
      <c r="AD51" s="548">
        <f>+SUMIF(C46:AA46,'References Assumptions'!$C$331,Transportation!C53:AA53)</f>
        <v>0</v>
      </c>
      <c r="AE51" s="549" t="e">
        <f>+AD51/SUMIF(C46:AA46,'References Assumptions'!$C$331,Transportation!C45:AA45)*Mg_kg</f>
        <v>#DIV/0!</v>
      </c>
    </row>
    <row r="52" spans="2:31" ht="15.75" customHeight="1" thickBot="1" x14ac:dyDescent="0.3">
      <c r="B52" s="46" t="s">
        <v>316</v>
      </c>
      <c r="C52" s="550">
        <f>'Amount and Destination'!AA120</f>
        <v>0</v>
      </c>
      <c r="D52" s="550">
        <f>'Amount and Destination'!AA121</f>
        <v>0</v>
      </c>
      <c r="E52" s="550">
        <f>'Amount and Destination'!AA122</f>
        <v>0</v>
      </c>
      <c r="F52" s="550">
        <f>'Amount and Destination'!AA123</f>
        <v>0</v>
      </c>
      <c r="G52" s="550">
        <f>'Amount and Destination'!AA124</f>
        <v>0</v>
      </c>
      <c r="H52" s="550">
        <f>'Amount and Destination'!AA125</f>
        <v>0</v>
      </c>
      <c r="I52" s="550">
        <f>'Amount and Destination'!AA126</f>
        <v>0</v>
      </c>
      <c r="J52" s="550">
        <f>'Amount and Destination'!AA127</f>
        <v>0</v>
      </c>
      <c r="K52" s="550">
        <f>'Amount and Destination'!AA128</f>
        <v>0</v>
      </c>
      <c r="L52" s="550">
        <f>'Amount and Destination'!AA129</f>
        <v>0</v>
      </c>
      <c r="M52" s="550">
        <f>'Amount and Destination'!AA130</f>
        <v>0</v>
      </c>
      <c r="N52" s="550">
        <f>'Amount and Destination'!AA131</f>
        <v>0</v>
      </c>
      <c r="O52" s="550">
        <f>'Amount and Destination'!AA132</f>
        <v>0</v>
      </c>
      <c r="P52" s="550">
        <f>'Amount and Destination'!AA133</f>
        <v>0</v>
      </c>
      <c r="Q52" s="550">
        <f>'Amount and Destination'!AA134</f>
        <v>0</v>
      </c>
      <c r="R52" s="550">
        <f>'Amount and Destination'!AA135</f>
        <v>0</v>
      </c>
      <c r="S52" s="550">
        <f>'Amount and Destination'!AA136</f>
        <v>0</v>
      </c>
      <c r="T52" s="550">
        <f>'Amount and Destination'!AA137</f>
        <v>0</v>
      </c>
      <c r="U52" s="550">
        <f>'Amount and Destination'!AA138</f>
        <v>0</v>
      </c>
      <c r="V52" s="550">
        <f>'Amount and Destination'!AA139</f>
        <v>0</v>
      </c>
      <c r="W52" s="550">
        <f>'Amount and Destination'!AA140</f>
        <v>0</v>
      </c>
      <c r="X52" s="550">
        <f>'Amount and Destination'!AA141</f>
        <v>0</v>
      </c>
      <c r="Y52" s="550">
        <f>'Amount and Destination'!AA142</f>
        <v>0</v>
      </c>
      <c r="Z52" s="550">
        <f>'Amount and Destination'!AA143</f>
        <v>0</v>
      </c>
      <c r="AA52" s="550">
        <f>'Amount and Destination'!AA144</f>
        <v>0</v>
      </c>
      <c r="AB52" s="557"/>
      <c r="AC52" s="552" t="s">
        <v>558</v>
      </c>
      <c r="AD52" s="553">
        <f>+SUMIF(C46:AA46,'References Assumptions'!$C$332,Transportation!C53:AA53)</f>
        <v>0</v>
      </c>
      <c r="AE52" s="221" t="e">
        <f>+AD52/SUMIF(C46:AA46,'References Assumptions'!$C$331,Transportation!C45:AA45)*Mg_kg</f>
        <v>#DIV/0!</v>
      </c>
    </row>
    <row r="53" spans="2:31" ht="15.75" customHeight="1" thickBot="1" x14ac:dyDescent="0.35">
      <c r="B53" s="153" t="s">
        <v>51</v>
      </c>
      <c r="C53" s="554" t="str">
        <f t="shared" ref="C53:AA53" si="9">IF(C46="Truck",C51*(1-C52)*CO2E_diesel__ClimateReg/1000000,IF(C46="Rail",C45*C50*rail_emis/Mg_kg,"N/A"))</f>
        <v>N/A</v>
      </c>
      <c r="D53" s="554" t="str">
        <f t="shared" si="9"/>
        <v>N/A</v>
      </c>
      <c r="E53" s="554" t="str">
        <f t="shared" si="9"/>
        <v>N/A</v>
      </c>
      <c r="F53" s="554" t="str">
        <f t="shared" si="9"/>
        <v>N/A</v>
      </c>
      <c r="G53" s="554" t="str">
        <f t="shared" si="9"/>
        <v>N/A</v>
      </c>
      <c r="H53" s="554" t="str">
        <f t="shared" si="9"/>
        <v>N/A</v>
      </c>
      <c r="I53" s="554" t="str">
        <f t="shared" si="9"/>
        <v>N/A</v>
      </c>
      <c r="J53" s="554" t="str">
        <f t="shared" si="9"/>
        <v>N/A</v>
      </c>
      <c r="K53" s="554" t="str">
        <f t="shared" si="9"/>
        <v>N/A</v>
      </c>
      <c r="L53" s="554" t="str">
        <f t="shared" si="9"/>
        <v>N/A</v>
      </c>
      <c r="M53" s="554" t="str">
        <f t="shared" si="9"/>
        <v>N/A</v>
      </c>
      <c r="N53" s="554" t="str">
        <f t="shared" si="9"/>
        <v>N/A</v>
      </c>
      <c r="O53" s="554" t="str">
        <f t="shared" si="9"/>
        <v>N/A</v>
      </c>
      <c r="P53" s="554" t="str">
        <f t="shared" si="9"/>
        <v>N/A</v>
      </c>
      <c r="Q53" s="554" t="str">
        <f t="shared" si="9"/>
        <v>N/A</v>
      </c>
      <c r="R53" s="554" t="str">
        <f t="shared" si="9"/>
        <v>N/A</v>
      </c>
      <c r="S53" s="554" t="str">
        <f t="shared" si="9"/>
        <v>N/A</v>
      </c>
      <c r="T53" s="554" t="str">
        <f t="shared" si="9"/>
        <v>N/A</v>
      </c>
      <c r="U53" s="554" t="str">
        <f t="shared" si="9"/>
        <v>N/A</v>
      </c>
      <c r="V53" s="554" t="str">
        <f t="shared" si="9"/>
        <v>N/A</v>
      </c>
      <c r="W53" s="554" t="str">
        <f t="shared" si="9"/>
        <v>N/A</v>
      </c>
      <c r="X53" s="554" t="str">
        <f t="shared" si="9"/>
        <v>N/A</v>
      </c>
      <c r="Y53" s="554" t="str">
        <f t="shared" si="9"/>
        <v>N/A</v>
      </c>
      <c r="Z53" s="554" t="str">
        <f t="shared" si="9"/>
        <v>N/A</v>
      </c>
      <c r="AA53" s="554" t="str">
        <f t="shared" si="9"/>
        <v>N/A</v>
      </c>
      <c r="AB53" s="555">
        <f>SUM(C53:AA53)</f>
        <v>0</v>
      </c>
    </row>
    <row r="54" spans="2:31" ht="15.75" x14ac:dyDescent="0.25">
      <c r="B54" s="148" t="str">
        <f>CONCATENATE("Transportation input - Scenario 6 - ",'Scenarios Data'!B161)</f>
        <v xml:space="preserve">Transportation input - Scenario 6 - </v>
      </c>
      <c r="C54" s="531" t="str">
        <f>IF(ISBLANK('Amount and Destination'!$C$149),"Destination 1",'Amount and Destination'!$C$149)</f>
        <v>Destination 1</v>
      </c>
      <c r="D54" s="531" t="str">
        <f>IF(ISBLANK('Amount and Destination'!$C$150),"Destination 2",'Amount and Destination'!$C$150)</f>
        <v>Destination 2</v>
      </c>
      <c r="E54" s="531" t="str">
        <f>IF(ISBLANK('Amount and Destination'!$C$151),"Destination 3",'Amount and Destination'!$C$151)</f>
        <v>Destination 3</v>
      </c>
      <c r="F54" s="531" t="str">
        <f>IF(ISBLANK('Amount and Destination'!$C$152),"Destination 4",'Amount and Destination'!$C$152)</f>
        <v>Destination 4</v>
      </c>
      <c r="G54" s="531" t="str">
        <f>IF(ISBLANK('Amount and Destination'!$C$153),"Destination 5",'Amount and Destination'!$C$153)</f>
        <v>Destination 5</v>
      </c>
      <c r="H54" s="531" t="str">
        <f>IF(ISBLANK('Amount and Destination'!$C$154),"Destination 6",'Amount and Destination'!$C$154)</f>
        <v>Destination 6</v>
      </c>
      <c r="I54" s="531" t="str">
        <f>IF(ISBLANK('Amount and Destination'!$C$155),"Destination 7",'Amount and Destination'!$C$155)</f>
        <v>Destination 7</v>
      </c>
      <c r="J54" s="531" t="str">
        <f>IF(ISBLANK('Amount and Destination'!$C$156),"Destination 8",'Amount and Destination'!$C$156)</f>
        <v>Destination 8</v>
      </c>
      <c r="K54" s="531" t="str">
        <f>IF(ISBLANK('Amount and Destination'!$C$157),"Destination 9",'Amount and Destination'!$C$157)</f>
        <v>Destination 9</v>
      </c>
      <c r="L54" s="531" t="str">
        <f>IF(ISBLANK('Amount and Destination'!$C$158),"Destination 10",'Amount and Destination'!$C$158)</f>
        <v>Destination 10</v>
      </c>
      <c r="M54" s="532" t="str">
        <f>IF(ISBLANK('Amount and Destination'!$C$159),"Destination 11",'Amount and Destination'!$C$159)</f>
        <v>Destination 11</v>
      </c>
      <c r="N54" s="533" t="str">
        <f>IF(ISBLANK('Amount and Destination'!$C$160),"Destination 12",'Amount and Destination'!$C$160)</f>
        <v>Destination 12</v>
      </c>
      <c r="O54" s="533" t="str">
        <f>IF(ISBLANK('Amount and Destination'!$C$161),"Destination 13",'Amount and Destination'!$C$161)</f>
        <v>Destination 13</v>
      </c>
      <c r="P54" s="531" t="str">
        <f>IF(ISBLANK('Amount and Destination'!$C$162),"Destination 14",'Amount and Destination'!$C$162)</f>
        <v>Destination 14</v>
      </c>
      <c r="Q54" s="531" t="str">
        <f>IF(ISBLANK('Amount and Destination'!$C$163),"Destination 15",'Amount and Destination'!$C$163)</f>
        <v>Destination 15</v>
      </c>
      <c r="R54" s="531" t="str">
        <f>IF(ISBLANK('Amount and Destination'!$C$164),"Destination 16",'Amount and Destination'!$C$164)</f>
        <v>Destination 16</v>
      </c>
      <c r="S54" s="534" t="str">
        <f>IF(ISBLANK('Amount and Destination'!$C$165),"Destination 17",'Amount and Destination'!$C$165)</f>
        <v>Destination 17</v>
      </c>
      <c r="T54" s="531" t="str">
        <f>IF(ISBLANK('Amount and Destination'!$C$166),"Destination 18",'Amount and Destination'!$C$166)</f>
        <v>Destination 18</v>
      </c>
      <c r="U54" s="531" t="str">
        <f>IF(ISBLANK('Amount and Destination'!$C$167),"Destination 19",'Amount and Destination'!$C$167)</f>
        <v>Destination 19</v>
      </c>
      <c r="V54" s="531" t="str">
        <f>IF(ISBLANK('Amount and Destination'!$C$168),"Destination 20",'Amount and Destination'!$C$168)</f>
        <v>Destination 20</v>
      </c>
      <c r="W54" s="531" t="str">
        <f>IF(ISBLANK('Amount and Destination'!$C$169),"Destination 21",'Amount and Destination'!$C$169)</f>
        <v>Destination 21</v>
      </c>
      <c r="X54" s="531" t="str">
        <f>IF(ISBLANK('Amount and Destination'!$C$170),"Destination 22",'Amount and Destination'!$C$170)</f>
        <v>Destination 22</v>
      </c>
      <c r="Y54" s="531" t="str">
        <f>IF(ISBLANK('Amount and Destination'!$C$171),"Destination 23",'Amount and Destination'!$C$71)</f>
        <v>Destination 23</v>
      </c>
      <c r="Z54" s="531" t="str">
        <f>IF(ISBLANK('Amount and Destination'!$C$172),"Destination 24",'Amount and Destination'!$C$172)</f>
        <v>Destination 24</v>
      </c>
      <c r="AA54" s="531" t="str">
        <f>IF(ISBLANK('Amount and Destination'!$C$173),"Destination 25",'Amount and Destination'!$C$173)</f>
        <v>Destination 25</v>
      </c>
      <c r="AB54" s="535" t="s">
        <v>162</v>
      </c>
    </row>
    <row r="55" spans="2:31" ht="15.75" customHeight="1" thickBot="1" x14ac:dyDescent="0.25">
      <c r="B55" s="245" t="s">
        <v>869</v>
      </c>
      <c r="C55" s="1189">
        <v>45</v>
      </c>
      <c r="D55" s="1189">
        <v>0</v>
      </c>
      <c r="E55" s="1189">
        <v>0</v>
      </c>
      <c r="F55" s="1189">
        <v>0</v>
      </c>
      <c r="G55" s="1189">
        <v>0</v>
      </c>
      <c r="H55" s="1189">
        <v>0</v>
      </c>
      <c r="I55" s="1189">
        <v>0</v>
      </c>
      <c r="J55" s="1189">
        <v>0</v>
      </c>
      <c r="K55" s="1189">
        <v>0</v>
      </c>
      <c r="L55" s="1189">
        <v>0</v>
      </c>
      <c r="M55" s="1189">
        <v>0</v>
      </c>
      <c r="N55" s="1189">
        <v>0</v>
      </c>
      <c r="O55" s="1189">
        <v>0</v>
      </c>
      <c r="P55" s="1189">
        <v>0</v>
      </c>
      <c r="Q55" s="1189">
        <v>0</v>
      </c>
      <c r="R55" s="1189">
        <v>0</v>
      </c>
      <c r="S55" s="1189">
        <v>0</v>
      </c>
      <c r="T55" s="1189">
        <v>0</v>
      </c>
      <c r="U55" s="1189">
        <v>0</v>
      </c>
      <c r="V55" s="1189">
        <v>0</v>
      </c>
      <c r="W55" s="1189">
        <v>0</v>
      </c>
      <c r="X55" s="1189">
        <v>0</v>
      </c>
      <c r="Y55" s="1189">
        <v>0</v>
      </c>
      <c r="Z55" s="1189">
        <v>0</v>
      </c>
      <c r="AA55" s="1189">
        <v>0</v>
      </c>
      <c r="AB55" s="1353"/>
      <c r="AD55" s="96"/>
    </row>
    <row r="56" spans="2:31" ht="21" x14ac:dyDescent="0.25">
      <c r="B56" s="558" t="s">
        <v>396</v>
      </c>
      <c r="C56" s="102">
        <f>'Amount and Destination'!W149</f>
        <v>0</v>
      </c>
      <c r="D56" s="102">
        <f>+'Amount and Destination'!W150</f>
        <v>0</v>
      </c>
      <c r="E56" s="536">
        <f>+'Amount and Destination'!W151</f>
        <v>0</v>
      </c>
      <c r="F56" s="536">
        <f>+'Amount and Destination'!W152</f>
        <v>0</v>
      </c>
      <c r="G56" s="536">
        <f>+'Amount and Destination'!W153</f>
        <v>0</v>
      </c>
      <c r="H56" s="536">
        <f>+'Amount and Destination'!W154</f>
        <v>0</v>
      </c>
      <c r="I56" s="536">
        <f>+'Amount and Destination'!W155</f>
        <v>0</v>
      </c>
      <c r="J56" s="536">
        <f>+'Amount and Destination'!W156</f>
        <v>0</v>
      </c>
      <c r="K56" s="536">
        <f>+'Amount and Destination'!W157</f>
        <v>0</v>
      </c>
      <c r="L56" s="536">
        <f>+'Amount and Destination'!W158</f>
        <v>0</v>
      </c>
      <c r="M56" s="536">
        <f>+'Amount and Destination'!W159</f>
        <v>0</v>
      </c>
      <c r="N56" s="536">
        <f>+'Amount and Destination'!W160</f>
        <v>0</v>
      </c>
      <c r="O56" s="536">
        <f>+'Amount and Destination'!W161</f>
        <v>0</v>
      </c>
      <c r="P56" s="536">
        <f>+'Amount and Destination'!W162</f>
        <v>0</v>
      </c>
      <c r="Q56" s="536">
        <f>+'Amount and Destination'!W163</f>
        <v>0</v>
      </c>
      <c r="R56" s="536">
        <f>+'Amount and Destination'!W164</f>
        <v>0</v>
      </c>
      <c r="S56" s="536">
        <f>+'Amount and Destination'!W165</f>
        <v>0</v>
      </c>
      <c r="T56" s="537">
        <f>+'Amount and Destination'!W166</f>
        <v>0</v>
      </c>
      <c r="U56" s="537">
        <f>+'Amount and Destination'!W167</f>
        <v>0</v>
      </c>
      <c r="V56" s="537">
        <f>+'Amount and Destination'!W168</f>
        <v>0</v>
      </c>
      <c r="W56" s="537">
        <f>+'Amount and Destination'!W169</f>
        <v>0</v>
      </c>
      <c r="X56" s="537">
        <f>+'Amount and Destination'!W170</f>
        <v>0</v>
      </c>
      <c r="Y56" s="537">
        <f>+'Amount and Destination'!W171</f>
        <v>0</v>
      </c>
      <c r="Z56" s="537">
        <f>+'Amount and Destination'!W172</f>
        <v>0</v>
      </c>
      <c r="AA56" s="538">
        <f>+'Amount and Destination'!W173</f>
        <v>0</v>
      </c>
      <c r="AB56" s="1353"/>
      <c r="AC56" s="559" t="s">
        <v>44</v>
      </c>
      <c r="AD56" s="540">
        <f>SUM(C63:AA63)</f>
        <v>0</v>
      </c>
      <c r="AE56" s="1361" t="s">
        <v>559</v>
      </c>
    </row>
    <row r="57" spans="2:31" ht="15.75" customHeight="1" x14ac:dyDescent="0.25">
      <c r="B57" s="558" t="s">
        <v>870</v>
      </c>
      <c r="C57" s="542">
        <f>+'Amount and Destination'!Z149</f>
        <v>0</v>
      </c>
      <c r="D57" s="542">
        <f>+'Amount and Destination'!Z150</f>
        <v>0</v>
      </c>
      <c r="E57" s="542">
        <f>+'Amount and Destination'!Z151</f>
        <v>0</v>
      </c>
      <c r="F57" s="542">
        <f>+'Amount and Destination'!Z152</f>
        <v>0</v>
      </c>
      <c r="G57" s="542">
        <f>+'Amount and Destination'!Z153</f>
        <v>0</v>
      </c>
      <c r="H57" s="542">
        <f>+'Amount and Destination'!Z154</f>
        <v>0</v>
      </c>
      <c r="I57" s="542">
        <f>+'Amount and Destination'!Z155</f>
        <v>0</v>
      </c>
      <c r="J57" s="542">
        <f>+'Amount and Destination'!Z156</f>
        <v>0</v>
      </c>
      <c r="K57" s="542">
        <f>+'Amount and Destination'!Z157</f>
        <v>0</v>
      </c>
      <c r="L57" s="542">
        <f>+'Amount and Destination'!Z158</f>
        <v>0</v>
      </c>
      <c r="M57" s="542">
        <f>+'Amount and Destination'!Z159</f>
        <v>0</v>
      </c>
      <c r="N57" s="542">
        <f>+'Amount and Destination'!Z160</f>
        <v>0</v>
      </c>
      <c r="O57" s="542">
        <f>+'Amount and Destination'!Z161</f>
        <v>0</v>
      </c>
      <c r="P57" s="542">
        <f>+'Amount and Destination'!Z162</f>
        <v>0</v>
      </c>
      <c r="Q57" s="542">
        <f>+'Amount and Destination'!Z163</f>
        <v>0</v>
      </c>
      <c r="R57" s="542">
        <f>+'Amount and Destination'!Z164</f>
        <v>0</v>
      </c>
      <c r="S57" s="542">
        <f>+'Amount and Destination'!Z165</f>
        <v>0</v>
      </c>
      <c r="T57" s="873">
        <f>+'Amount and Destination'!Z166</f>
        <v>0</v>
      </c>
      <c r="U57" s="873">
        <f>+'Amount and Destination'!Z167</f>
        <v>0</v>
      </c>
      <c r="V57" s="873">
        <f>+'Amount and Destination'!Z168</f>
        <v>0</v>
      </c>
      <c r="W57" s="873">
        <f>+'Amount and Destination'!Z169</f>
        <v>0</v>
      </c>
      <c r="X57" s="873">
        <f>+'Amount and Destination'!Z170</f>
        <v>0</v>
      </c>
      <c r="Y57" s="873">
        <f>+'Amount and Destination'!Z171</f>
        <v>0</v>
      </c>
      <c r="Z57" s="873">
        <f>+'Amount and Destination'!Z172</f>
        <v>0</v>
      </c>
      <c r="AA57" s="874">
        <f>+'Amount and Destination'!Z173</f>
        <v>0</v>
      </c>
      <c r="AB57" s="1354"/>
      <c r="AC57" s="215" t="s">
        <v>228</v>
      </c>
      <c r="AD57" s="560">
        <f>AD56</f>
        <v>0</v>
      </c>
      <c r="AE57" s="1362"/>
    </row>
    <row r="58" spans="2:31" ht="15.75" customHeight="1" x14ac:dyDescent="0.25">
      <c r="B58" s="558" t="s">
        <v>2</v>
      </c>
      <c r="C58" s="544">
        <f t="shared" ref="C58:AA58" si="10">+$C$113</f>
        <v>2.4743422909272987</v>
      </c>
      <c r="D58" s="544">
        <f t="shared" si="10"/>
        <v>2.4743422909272987</v>
      </c>
      <c r="E58" s="544">
        <f t="shared" si="10"/>
        <v>2.4743422909272987</v>
      </c>
      <c r="F58" s="544">
        <f t="shared" si="10"/>
        <v>2.4743422909272987</v>
      </c>
      <c r="G58" s="544">
        <f t="shared" si="10"/>
        <v>2.4743422909272987</v>
      </c>
      <c r="H58" s="544">
        <f t="shared" si="10"/>
        <v>2.4743422909272987</v>
      </c>
      <c r="I58" s="544">
        <f t="shared" si="10"/>
        <v>2.4743422909272987</v>
      </c>
      <c r="J58" s="544">
        <f t="shared" si="10"/>
        <v>2.4743422909272987</v>
      </c>
      <c r="K58" s="544">
        <f t="shared" si="10"/>
        <v>2.4743422909272987</v>
      </c>
      <c r="L58" s="544">
        <f t="shared" si="10"/>
        <v>2.4743422909272987</v>
      </c>
      <c r="M58" s="544">
        <f t="shared" si="10"/>
        <v>2.4743422909272987</v>
      </c>
      <c r="N58" s="544">
        <f t="shared" si="10"/>
        <v>2.4743422909272987</v>
      </c>
      <c r="O58" s="544">
        <f t="shared" si="10"/>
        <v>2.4743422909272987</v>
      </c>
      <c r="P58" s="544">
        <f t="shared" si="10"/>
        <v>2.4743422909272987</v>
      </c>
      <c r="Q58" s="544">
        <f t="shared" si="10"/>
        <v>2.4743422909272987</v>
      </c>
      <c r="R58" s="544">
        <f t="shared" si="10"/>
        <v>2.4743422909272987</v>
      </c>
      <c r="S58" s="544">
        <f t="shared" si="10"/>
        <v>2.4743422909272987</v>
      </c>
      <c r="T58" s="544">
        <f t="shared" si="10"/>
        <v>2.4743422909272987</v>
      </c>
      <c r="U58" s="544">
        <f t="shared" si="10"/>
        <v>2.4743422909272987</v>
      </c>
      <c r="V58" s="544">
        <f t="shared" si="10"/>
        <v>2.4743422909272987</v>
      </c>
      <c r="W58" s="544">
        <f t="shared" si="10"/>
        <v>2.4743422909272987</v>
      </c>
      <c r="X58" s="544">
        <f t="shared" si="10"/>
        <v>2.4743422909272987</v>
      </c>
      <c r="Y58" s="544">
        <f t="shared" si="10"/>
        <v>2.4743422909272987</v>
      </c>
      <c r="Z58" s="544">
        <f t="shared" si="10"/>
        <v>2.4743422909272987</v>
      </c>
      <c r="AA58" s="544">
        <f t="shared" si="10"/>
        <v>2.4743422909272987</v>
      </c>
      <c r="AB58" s="1353"/>
      <c r="AC58" s="215" t="s">
        <v>229</v>
      </c>
      <c r="AD58" s="545" t="s">
        <v>307</v>
      </c>
      <c r="AE58" s="1362"/>
    </row>
    <row r="59" spans="2:31" ht="15.75" customHeight="1" x14ac:dyDescent="0.25">
      <c r="B59" s="558" t="s">
        <v>485</v>
      </c>
      <c r="C59" s="544">
        <f>'Amount and Destination'!R149</f>
        <v>0</v>
      </c>
      <c r="D59" s="544">
        <f>'Amount and Destination'!R150</f>
        <v>0</v>
      </c>
      <c r="E59" s="544">
        <f>'Amount and Destination'!R151</f>
        <v>0</v>
      </c>
      <c r="F59" s="544">
        <f>'Amount and Destination'!R152</f>
        <v>0</v>
      </c>
      <c r="G59" s="544">
        <f>'Amount and Destination'!R153</f>
        <v>0</v>
      </c>
      <c r="H59" s="544">
        <f>'Amount and Destination'!R154</f>
        <v>0</v>
      </c>
      <c r="I59" s="544">
        <f>'Amount and Destination'!R155</f>
        <v>0</v>
      </c>
      <c r="J59" s="544">
        <f>'Amount and Destination'!R156</f>
        <v>0</v>
      </c>
      <c r="K59" s="544">
        <f>'Amount and Destination'!R157</f>
        <v>0</v>
      </c>
      <c r="L59" s="544">
        <f>'Amount and Destination'!R158</f>
        <v>0</v>
      </c>
      <c r="M59" s="544">
        <f>'Amount and Destination'!R159</f>
        <v>0</v>
      </c>
      <c r="N59" s="544">
        <f>'Amount and Destination'!R160</f>
        <v>0</v>
      </c>
      <c r="O59" s="544">
        <f>'Amount and Destination'!R161</f>
        <v>0</v>
      </c>
      <c r="P59" s="544">
        <f>'Amount and Destination'!R162</f>
        <v>0</v>
      </c>
      <c r="Q59" s="544">
        <f>'Amount and Destination'!R163</f>
        <v>0</v>
      </c>
      <c r="R59" s="544">
        <f>'Amount and Destination'!R164</f>
        <v>0</v>
      </c>
      <c r="S59" s="544">
        <f>'Amount and Destination'!R165</f>
        <v>0</v>
      </c>
      <c r="T59" s="544">
        <f>'Amount and Destination'!R166</f>
        <v>0</v>
      </c>
      <c r="U59" s="544">
        <f>'Amount and Destination'!R167</f>
        <v>0</v>
      </c>
      <c r="V59" s="544">
        <f>'Amount and Destination'!R168</f>
        <v>0</v>
      </c>
      <c r="W59" s="544">
        <f>'Amount and Destination'!R169</f>
        <v>0</v>
      </c>
      <c r="X59" s="544">
        <f>'Amount and Destination'!R170</f>
        <v>0</v>
      </c>
      <c r="Y59" s="544">
        <f>'Amount and Destination'!R171</f>
        <v>0</v>
      </c>
      <c r="Z59" s="544">
        <f>'Amount and Destination'!R172</f>
        <v>0</v>
      </c>
      <c r="AA59" s="544">
        <f>'Amount and Destination'!R173</f>
        <v>0</v>
      </c>
      <c r="AB59" s="1353"/>
      <c r="AC59" s="215" t="s">
        <v>230</v>
      </c>
      <c r="AD59" s="545" t="s">
        <v>307</v>
      </c>
      <c r="AE59" s="1362"/>
    </row>
    <row r="60" spans="2:31" ht="15.75" customHeight="1" thickBot="1" x14ac:dyDescent="0.3">
      <c r="B60" s="558" t="s">
        <v>486</v>
      </c>
      <c r="C60" s="542" t="str">
        <f>IF(C59='References Assumptions'!$C$333,'Amount and Destination'!$V149,IF(C59='References Assumptions'!$C$334,'Amount and Destination'!$T149,"N/A"))</f>
        <v>N/A</v>
      </c>
      <c r="D60" s="542" t="str">
        <f>IF(D59='References Assumptions'!$C$333,'Amount and Destination'!$V150,IF(D59='References Assumptions'!$C$334,'Amount and Destination'!$T150,"N/A"))</f>
        <v>N/A</v>
      </c>
      <c r="E60" s="542" t="str">
        <f>IF(E59='References Assumptions'!$C$333,'Amount and Destination'!$V151,IF(E59='References Assumptions'!$C$334,'Amount and Destination'!$T151,"N/A"))</f>
        <v>N/A</v>
      </c>
      <c r="F60" s="542" t="str">
        <f>IF(F59='References Assumptions'!$C$333,'Amount and Destination'!$V152,IF(F59='References Assumptions'!$C$334,'Amount and Destination'!$T152,"N/A"))</f>
        <v>N/A</v>
      </c>
      <c r="G60" s="542" t="str">
        <f>IF(G59='References Assumptions'!$C$333,'Amount and Destination'!$V153,IF(G59='References Assumptions'!$C$334,'Amount and Destination'!$T153,"N/A"))</f>
        <v>N/A</v>
      </c>
      <c r="H60" s="542" t="str">
        <f>IF(H59='References Assumptions'!$C$333,'Amount and Destination'!$V154,IF(H59='References Assumptions'!$C$334,'Amount and Destination'!$T154,"N/A"))</f>
        <v>N/A</v>
      </c>
      <c r="I60" s="542" t="str">
        <f>IF(I59='References Assumptions'!$C$333,'Amount and Destination'!$V155,IF(I59='References Assumptions'!$C$334,'Amount and Destination'!$T155,"N/A"))</f>
        <v>N/A</v>
      </c>
      <c r="J60" s="542" t="str">
        <f>IF(J59='References Assumptions'!$C$333,'Amount and Destination'!$V156,IF(J59='References Assumptions'!$C$334,'Amount and Destination'!$T156,"N/A"))</f>
        <v>N/A</v>
      </c>
      <c r="K60" s="542" t="str">
        <f>IF(K59='References Assumptions'!$C$333,'Amount and Destination'!$V157,IF(K59='References Assumptions'!$C$334,'Amount and Destination'!$T157,"N/A"))</f>
        <v>N/A</v>
      </c>
      <c r="L60" s="542" t="str">
        <f>IF(L59='References Assumptions'!$C$333,'Amount and Destination'!$V158,IF(L59='References Assumptions'!$C$334,'Amount and Destination'!$T158,"N/A"))</f>
        <v>N/A</v>
      </c>
      <c r="M60" s="542" t="str">
        <f>IF(M59='References Assumptions'!$C$333,'Amount and Destination'!$V159,IF(M59='References Assumptions'!$C$334,'Amount and Destination'!$T159,"N/A"))</f>
        <v>N/A</v>
      </c>
      <c r="N60" s="542" t="str">
        <f>IF(N59='References Assumptions'!$C$333,'Amount and Destination'!$V160,IF(N59='References Assumptions'!$C$334,'Amount and Destination'!$T160,"N/A"))</f>
        <v>N/A</v>
      </c>
      <c r="O60" s="542" t="str">
        <f>IF(O59='References Assumptions'!$C$333,'Amount and Destination'!$V161,IF(O59='References Assumptions'!$C$334,'Amount and Destination'!$T161,"N/A"))</f>
        <v>N/A</v>
      </c>
      <c r="P60" s="542" t="str">
        <f>IF(P59='References Assumptions'!$C$333,'Amount and Destination'!$V162,IF(P59='References Assumptions'!$C$334,'Amount and Destination'!$T162,"N/A"))</f>
        <v>N/A</v>
      </c>
      <c r="Q60" s="542" t="str">
        <f>IF(Q59='References Assumptions'!$C$333,'Amount and Destination'!$V163,IF(Q59='References Assumptions'!$C$334,'Amount and Destination'!$T163,"N/A"))</f>
        <v>N/A</v>
      </c>
      <c r="R60" s="542" t="str">
        <f>IF(R59='References Assumptions'!$C$333,'Amount and Destination'!$V164,IF(R59='References Assumptions'!$C$334,'Amount and Destination'!$T164,"N/A"))</f>
        <v>N/A</v>
      </c>
      <c r="S60" s="542" t="str">
        <f>IF(S59='References Assumptions'!$C$333,'Amount and Destination'!$V165,IF(S59='References Assumptions'!$C$334,'Amount and Destination'!$T165,"N/A"))</f>
        <v>N/A</v>
      </c>
      <c r="T60" s="542" t="str">
        <f>IF(T59='References Assumptions'!$C$333,'Amount and Destination'!$V166,IF(T59='References Assumptions'!$C$334,'Amount and Destination'!$T166,"N/A"))</f>
        <v>N/A</v>
      </c>
      <c r="U60" s="542" t="str">
        <f>IF(U59='References Assumptions'!$C$333,'Amount and Destination'!$V167,IF(U59='References Assumptions'!$C$334,'Amount and Destination'!$T167,"N/A"))</f>
        <v>N/A</v>
      </c>
      <c r="V60" s="542" t="str">
        <f>IF(V59='References Assumptions'!$C$333,'Amount and Destination'!$V168,IF(V59='References Assumptions'!$C$334,'Amount and Destination'!$T168,"N/A"))</f>
        <v>N/A</v>
      </c>
      <c r="W60" s="542" t="str">
        <f>IF(W59='References Assumptions'!$C$333,'Amount and Destination'!$V169,IF(W59='References Assumptions'!$C$334,'Amount and Destination'!$T169,"N/A"))</f>
        <v>N/A</v>
      </c>
      <c r="X60" s="542" t="str">
        <f>IF(X59='References Assumptions'!$C$333,'Amount and Destination'!$V170,IF(X59='References Assumptions'!$C$334,'Amount and Destination'!$T170,"N/A"))</f>
        <v>N/A</v>
      </c>
      <c r="Y60" s="542" t="str">
        <f>IF(Y59='References Assumptions'!$C$333,'Amount and Destination'!$V171,IF(Y59='References Assumptions'!$C$334,'Amount and Destination'!$T171,"N/A"))</f>
        <v>N/A</v>
      </c>
      <c r="Z60" s="542" t="str">
        <f>IF(Z59='References Assumptions'!$C$333,'Amount and Destination'!$V172,IF(Z59='References Assumptions'!$C$334,'Amount and Destination'!$T172,"N/A"))</f>
        <v>N/A</v>
      </c>
      <c r="AA60" s="542" t="str">
        <f>IF(AA59='References Assumptions'!$C$333,'Amount and Destination'!$V173,IF(AA59='References Assumptions'!$C$334,'Amount and Destination'!$T173,"N/A"))</f>
        <v>N/A</v>
      </c>
      <c r="AB60" s="1354"/>
      <c r="AC60" s="215" t="s">
        <v>232</v>
      </c>
      <c r="AD60" s="545">
        <f>((C61*C62)+(D61*D62)+(E61*E62)+(F61*F62)+(G61*G62)+(H61*H62)+(I61*I62)+(J61*J62)+(K61*K62)+(L61*L62)+(M61*M62)+(N61*N62)+(O61*O62)+(P61*P62)+(Q61*Q62)+(R61*R62)+(S61*S62)+(T61*T62)+(U61*U62)+(V61*V62)+(W61*W62)+(X61*X62)+(Y61*Y62)+(Z61*Z62)+(AA61*AA62))*(CO2E_diesel__ClimateReg/Mg_g)</f>
        <v>0</v>
      </c>
      <c r="AE60" s="1363"/>
    </row>
    <row r="61" spans="2:31" ht="15.75" customHeight="1" x14ac:dyDescent="0.25">
      <c r="B61" s="46" t="s">
        <v>315</v>
      </c>
      <c r="C61" s="233">
        <f>IF(AND(C56='References Assumptions'!$C$331,C55&gt;0),C55/C57*C60/C58,0)</f>
        <v>0</v>
      </c>
      <c r="D61" s="233">
        <f>IF(AND(D56='References Assumptions'!$C$331,D55&gt;0),D55/D57*D60/D58,0)</f>
        <v>0</v>
      </c>
      <c r="E61" s="233">
        <f>IF(AND(E56='References Assumptions'!$C$331,E55&gt;0),E55/E57*E60/E58,0)</f>
        <v>0</v>
      </c>
      <c r="F61" s="233">
        <f>IF(AND(F56='References Assumptions'!$C$331,F55&gt;0),F55/F57*F60/F58,0)</f>
        <v>0</v>
      </c>
      <c r="G61" s="233">
        <f>IF(AND(G56='References Assumptions'!$C$331,G55&gt;0),G55/G57*G60/G58,0)</f>
        <v>0</v>
      </c>
      <c r="H61" s="233">
        <f>IF(AND(H56='References Assumptions'!$C$331,H55&gt;0),H55/H57*H60/H58,0)</f>
        <v>0</v>
      </c>
      <c r="I61" s="233">
        <f>IF(AND(I56='References Assumptions'!$C$331,I55&gt;0),I55/I57*I60/I58,0)</f>
        <v>0</v>
      </c>
      <c r="J61" s="233">
        <f>IF(AND(J56='References Assumptions'!$C$331,J55&gt;0),J55/J57*J60/J58,0)</f>
        <v>0</v>
      </c>
      <c r="K61" s="233">
        <f>IF(AND(K56='References Assumptions'!$C$331,K55&gt;0),K55/K57*K60/K58,0)</f>
        <v>0</v>
      </c>
      <c r="L61" s="233">
        <f>IF(AND(L56='References Assumptions'!$C$331,L55&gt;0),L55/L57*L60/L58,0)</f>
        <v>0</v>
      </c>
      <c r="M61" s="233">
        <f>IF(AND(M56='References Assumptions'!$C$331,M55&gt;0),M55/M57*M60/M58,0)</f>
        <v>0</v>
      </c>
      <c r="N61" s="233">
        <f>IF(AND(N56='References Assumptions'!$C$331,N55&gt;0),N55/N57*N60/N58,0)</f>
        <v>0</v>
      </c>
      <c r="O61" s="233">
        <f>IF(AND(O56='References Assumptions'!$C$331,O55&gt;0),O55/O57*O60/O58,0)</f>
        <v>0</v>
      </c>
      <c r="P61" s="233">
        <f>IF(AND(P56='References Assumptions'!$C$331,P55&gt;0),P55/P57*P60/P58,0)</f>
        <v>0</v>
      </c>
      <c r="Q61" s="233">
        <f>IF(AND(Q56='References Assumptions'!$C$331,Q55&gt;0),Q55/Q57*Q60/Q58,0)</f>
        <v>0</v>
      </c>
      <c r="R61" s="233">
        <f>IF(AND(R56='References Assumptions'!$C$331,R55&gt;0),R55/R57*R60/R58,0)</f>
        <v>0</v>
      </c>
      <c r="S61" s="233">
        <f>IF(AND(S56='References Assumptions'!$C$331,S55&gt;0),S55/S57*S60/S58,0)</f>
        <v>0</v>
      </c>
      <c r="T61" s="233">
        <f>IF(AND(T56='References Assumptions'!$C$331,T55&gt;0),T55/T57*T60/T58,0)</f>
        <v>0</v>
      </c>
      <c r="U61" s="233">
        <f>IF(AND(U56='References Assumptions'!$C$331,U55&gt;0),U55/U57*U60/U58,0)</f>
        <v>0</v>
      </c>
      <c r="V61" s="233">
        <f>IF(AND(V56='References Assumptions'!$C$331,V55&gt;0),V55/V57*V60/V58,0)</f>
        <v>0</v>
      </c>
      <c r="W61" s="233">
        <f>IF(AND(W56='References Assumptions'!$C$331,W55&gt;0),W55/W57*W60/W58,0)</f>
        <v>0</v>
      </c>
      <c r="X61" s="233">
        <f>IF(AND(X56='References Assumptions'!$C$331,X55&gt;0),X55/X57*X60/X58,0)</f>
        <v>0</v>
      </c>
      <c r="Y61" s="233">
        <f>IF(AND(Y56='References Assumptions'!$C$331,Y55&gt;0),Y55/Y57*Y60/Y58,0)</f>
        <v>0</v>
      </c>
      <c r="Z61" s="233">
        <f>IF(AND(Z56='References Assumptions'!$C$331,Z55&gt;0),Z55/Z57*Z60/Z58,0)</f>
        <v>0</v>
      </c>
      <c r="AA61" s="233">
        <f>IF(AND(AA56='References Assumptions'!$C$331,AA55&gt;0),AA55/AA57*AA60/AA58,0)</f>
        <v>0</v>
      </c>
      <c r="AB61" s="556">
        <f>SUM(C61:AA61)</f>
        <v>0</v>
      </c>
      <c r="AC61" s="547" t="s">
        <v>557</v>
      </c>
      <c r="AD61" s="548">
        <f>+SUMIF(C56:AA56,'References Assumptions'!$C$331,Transportation!C63:AA63)</f>
        <v>0</v>
      </c>
      <c r="AE61" s="549" t="e">
        <f>+AD61/SUMIF(C56:AA56,'References Assumptions'!$C$331,Transportation!C55:AA55)*Mg_kg</f>
        <v>#DIV/0!</v>
      </c>
    </row>
    <row r="62" spans="2:31" ht="17.25" thickBot="1" x14ac:dyDescent="0.3">
      <c r="B62" s="46" t="s">
        <v>316</v>
      </c>
      <c r="C62" s="550">
        <f>'Amount and Destination'!AA149</f>
        <v>0</v>
      </c>
      <c r="D62" s="550">
        <f>'Amount and Destination'!AA150</f>
        <v>0</v>
      </c>
      <c r="E62" s="550">
        <f>'Amount and Destination'!AA151</f>
        <v>0</v>
      </c>
      <c r="F62" s="550">
        <f>'Amount and Destination'!AA152</f>
        <v>0</v>
      </c>
      <c r="G62" s="550">
        <f>'Amount and Destination'!AA153</f>
        <v>0</v>
      </c>
      <c r="H62" s="550">
        <f>'Amount and Destination'!AA154</f>
        <v>0</v>
      </c>
      <c r="I62" s="550">
        <f>'Amount and Destination'!AA155</f>
        <v>0</v>
      </c>
      <c r="J62" s="550">
        <f>'Amount and Destination'!AA156</f>
        <v>0</v>
      </c>
      <c r="K62" s="550">
        <f>'Amount and Destination'!AA157</f>
        <v>0</v>
      </c>
      <c r="L62" s="550">
        <f>'Amount and Destination'!AA158</f>
        <v>0</v>
      </c>
      <c r="M62" s="550">
        <f>'Amount and Destination'!AA159</f>
        <v>0</v>
      </c>
      <c r="N62" s="550">
        <f>'Amount and Destination'!AA160</f>
        <v>0</v>
      </c>
      <c r="O62" s="550">
        <f>'Amount and Destination'!AA161</f>
        <v>0</v>
      </c>
      <c r="P62" s="550">
        <f>'Amount and Destination'!AA162</f>
        <v>0</v>
      </c>
      <c r="Q62" s="550">
        <f>'Amount and Destination'!AA163</f>
        <v>0</v>
      </c>
      <c r="R62" s="550">
        <f>'Amount and Destination'!AA164</f>
        <v>0</v>
      </c>
      <c r="S62" s="550">
        <f>'Amount and Destination'!AA165</f>
        <v>0</v>
      </c>
      <c r="T62" s="550">
        <f>'Amount and Destination'!AA166</f>
        <v>0</v>
      </c>
      <c r="U62" s="550">
        <f>'Amount and Destination'!AA167</f>
        <v>0</v>
      </c>
      <c r="V62" s="550">
        <f>'Amount and Destination'!AA168</f>
        <v>0</v>
      </c>
      <c r="W62" s="550">
        <f>'Amount and Destination'!AA169</f>
        <v>0</v>
      </c>
      <c r="X62" s="550">
        <f>'Amount and Destination'!AA170</f>
        <v>0</v>
      </c>
      <c r="Y62" s="550">
        <f>'Amount and Destination'!AA171</f>
        <v>0</v>
      </c>
      <c r="Z62" s="550">
        <f>'Amount and Destination'!AA172</f>
        <v>0</v>
      </c>
      <c r="AA62" s="550">
        <f>'Amount and Destination'!AA173</f>
        <v>0</v>
      </c>
      <c r="AB62" s="557"/>
      <c r="AC62" s="552" t="s">
        <v>558</v>
      </c>
      <c r="AD62" s="553">
        <f>+SUMIF(C56:AA56,'References Assumptions'!$C$332,Transportation!C63:AA63)</f>
        <v>0</v>
      </c>
      <c r="AE62" s="221" t="e">
        <f>+AD62/SUMIF(C56:AA56,'References Assumptions'!$C$331,Transportation!C55:AA55)*Mg_kg</f>
        <v>#DIV/0!</v>
      </c>
    </row>
    <row r="63" spans="2:31" s="105" customFormat="1" ht="17.25" thickBot="1" x14ac:dyDescent="0.35">
      <c r="B63" s="153" t="s">
        <v>51</v>
      </c>
      <c r="C63" s="554" t="str">
        <f t="shared" ref="C63:AA63" si="11">IF(C56="Truck",C61*(1-C62)*CO2E_diesel__ClimateReg/1000000,IF(C56="Rail",C55*C60*rail_emis/Mg_kg,"N/A"))</f>
        <v>N/A</v>
      </c>
      <c r="D63" s="554" t="str">
        <f t="shared" si="11"/>
        <v>N/A</v>
      </c>
      <c r="E63" s="554" t="str">
        <f t="shared" si="11"/>
        <v>N/A</v>
      </c>
      <c r="F63" s="554" t="str">
        <f t="shared" si="11"/>
        <v>N/A</v>
      </c>
      <c r="G63" s="554" t="str">
        <f t="shared" si="11"/>
        <v>N/A</v>
      </c>
      <c r="H63" s="554" t="str">
        <f t="shared" si="11"/>
        <v>N/A</v>
      </c>
      <c r="I63" s="554" t="str">
        <f t="shared" si="11"/>
        <v>N/A</v>
      </c>
      <c r="J63" s="554" t="str">
        <f t="shared" si="11"/>
        <v>N/A</v>
      </c>
      <c r="K63" s="554" t="str">
        <f t="shared" si="11"/>
        <v>N/A</v>
      </c>
      <c r="L63" s="554" t="str">
        <f t="shared" si="11"/>
        <v>N/A</v>
      </c>
      <c r="M63" s="554" t="str">
        <f t="shared" si="11"/>
        <v>N/A</v>
      </c>
      <c r="N63" s="554" t="str">
        <f t="shared" si="11"/>
        <v>N/A</v>
      </c>
      <c r="O63" s="554" t="str">
        <f t="shared" si="11"/>
        <v>N/A</v>
      </c>
      <c r="P63" s="554" t="str">
        <f t="shared" si="11"/>
        <v>N/A</v>
      </c>
      <c r="Q63" s="554" t="str">
        <f t="shared" si="11"/>
        <v>N/A</v>
      </c>
      <c r="R63" s="554" t="str">
        <f t="shared" si="11"/>
        <v>N/A</v>
      </c>
      <c r="S63" s="554" t="str">
        <f t="shared" si="11"/>
        <v>N/A</v>
      </c>
      <c r="T63" s="554" t="str">
        <f t="shared" si="11"/>
        <v>N/A</v>
      </c>
      <c r="U63" s="554" t="str">
        <f t="shared" si="11"/>
        <v>N/A</v>
      </c>
      <c r="V63" s="554" t="str">
        <f t="shared" si="11"/>
        <v>N/A</v>
      </c>
      <c r="W63" s="554" t="str">
        <f t="shared" si="11"/>
        <v>N/A</v>
      </c>
      <c r="X63" s="554" t="str">
        <f t="shared" si="11"/>
        <v>N/A</v>
      </c>
      <c r="Y63" s="554" t="str">
        <f t="shared" si="11"/>
        <v>N/A</v>
      </c>
      <c r="Z63" s="554" t="str">
        <f t="shared" si="11"/>
        <v>N/A</v>
      </c>
      <c r="AA63" s="554" t="str">
        <f t="shared" si="11"/>
        <v>N/A</v>
      </c>
      <c r="AB63" s="555">
        <f>SUM(C63:AA63)</f>
        <v>0</v>
      </c>
    </row>
    <row r="64" spans="2:31" s="105" customFormat="1" ht="15.75" x14ac:dyDescent="0.25">
      <c r="B64" s="148" t="str">
        <f>CONCATENATE("Transportation input - Scenario 7 - ",'Scenarios Data'!B193)</f>
        <v xml:space="preserve">Transportation input - Scenario 7 -  </v>
      </c>
      <c r="C64" s="531" t="str">
        <f>IF(ISBLANK('Amount and Destination'!$C$178),"Destination 1",'Amount and Destination'!$C$178)</f>
        <v>Destination 1</v>
      </c>
      <c r="D64" s="531" t="str">
        <f>IF(ISBLANK('Amount and Destination'!$C$179),"Destination 2",'Amount and Destination'!$C$179)</f>
        <v>Destination 2</v>
      </c>
      <c r="E64" s="531" t="str">
        <f>IF(ISBLANK('Amount and Destination'!$C$180),"Destination 3",'Amount and Destination'!$C$180)</f>
        <v>Destination 3</v>
      </c>
      <c r="F64" s="531" t="str">
        <f>IF(ISBLANK('Amount and Destination'!$C$181),"Destination 4",'Amount and Destination'!$C$181)</f>
        <v>Destination 4</v>
      </c>
      <c r="G64" s="531" t="str">
        <f>IF(ISBLANK('Amount and Destination'!$C$182),"Destination 5",'Amount and Destination'!$C$182)</f>
        <v>Destination 5</v>
      </c>
      <c r="H64" s="531" t="str">
        <f>IF(ISBLANK('Amount and Destination'!$C$183),"Destination 6",'Amount and Destination'!$C$183)</f>
        <v>Destination 6</v>
      </c>
      <c r="I64" s="531" t="str">
        <f>IF(ISBLANK('Amount and Destination'!$C$184),"Destination 7",'Amount and Destination'!$C$184)</f>
        <v>Destination 7</v>
      </c>
      <c r="J64" s="531" t="str">
        <f>IF(ISBLANK('Amount and Destination'!$C$185),"Destination 8",'Amount and Destination'!$C$185)</f>
        <v>Destination 8</v>
      </c>
      <c r="K64" s="531" t="str">
        <f>IF(ISBLANK('Amount and Destination'!$C$186),"Destination 9",'Amount and Destination'!$C$186)</f>
        <v>Destination 9</v>
      </c>
      <c r="L64" s="531" t="str">
        <f>IF(ISBLANK('Amount and Destination'!$C$187),"Destination 10",'Amount and Destination'!$C$187)</f>
        <v>Destination 10</v>
      </c>
      <c r="M64" s="532" t="str">
        <f>IF(ISBLANK('Amount and Destination'!$C$188),"Destination 11",'Amount and Destination'!$C$188)</f>
        <v>Destination 11</v>
      </c>
      <c r="N64" s="533" t="str">
        <f>IF(ISBLANK('Amount and Destination'!$C$189),"Destination 12",'Amount and Destination'!$C$189)</f>
        <v>Destination 12</v>
      </c>
      <c r="O64" s="533" t="str">
        <f>IF(ISBLANK('Amount and Destination'!$C$190),"Destination 13",'Amount and Destination'!$C$190)</f>
        <v>Destination 13</v>
      </c>
      <c r="P64" s="531" t="str">
        <f>IF(ISBLANK('Amount and Destination'!$C$191),"Destination 14",'Amount and Destination'!$C$191)</f>
        <v>Destination 14</v>
      </c>
      <c r="Q64" s="531" t="str">
        <f>IF(ISBLANK('Amount and Destination'!$C$192),"Destination 15",'Amount and Destination'!$C$192)</f>
        <v>Destination 15</v>
      </c>
      <c r="R64" s="531" t="str">
        <f>IF(ISBLANK('Amount and Destination'!$C$193),"Destination 16",'Amount and Destination'!$C$193)</f>
        <v>Destination 16</v>
      </c>
      <c r="S64" s="534" t="str">
        <f>IF(ISBLANK('Amount and Destination'!$C$194),"Destination 17",'Amount and Destination'!$C$194)</f>
        <v>Destination 17</v>
      </c>
      <c r="T64" s="531" t="str">
        <f>IF(ISBLANK('Amount and Destination'!$C$195),"Destination 18",'Amount and Destination'!$C$195)</f>
        <v>Destination 18</v>
      </c>
      <c r="U64" s="531" t="str">
        <f>IF(ISBLANK('Amount and Destination'!$C$196),"Destination 19",'Amount and Destination'!$C$196)</f>
        <v>Destination 19</v>
      </c>
      <c r="V64" s="531" t="str">
        <f>IF(ISBLANK('Amount and Destination'!$C$197),"Destination 20",'Amount and Destination'!$C$197)</f>
        <v>Destination 20</v>
      </c>
      <c r="W64" s="531" t="str">
        <f>IF(ISBLANK('Amount and Destination'!$C$198),"Destination 21",'Amount and Destination'!$C$198)</f>
        <v>Destination 21</v>
      </c>
      <c r="X64" s="531" t="str">
        <f>IF(ISBLANK('Amount and Destination'!$C$199),"Destination 22",'Amount and Destination'!$C$199)</f>
        <v>Destination 22</v>
      </c>
      <c r="Y64" s="531" t="str">
        <f>IF(ISBLANK('Amount and Destination'!$C$200),"Destination 23",'Amount and Destination'!$C$200)</f>
        <v>Destination 23</v>
      </c>
      <c r="Z64" s="531" t="str">
        <f>IF(ISBLANK('Amount and Destination'!$C$201),"Destination 24",'Amount and Destination'!$C$201)</f>
        <v>Destination 24</v>
      </c>
      <c r="AA64" s="531" t="str">
        <f>IF(ISBLANK('Amount and Destination'!$C$202),"Destination 25",'Amount and Destination'!$C$202)</f>
        <v>Destination 25</v>
      </c>
      <c r="AB64" s="535" t="s">
        <v>162</v>
      </c>
      <c r="AC64" s="130"/>
      <c r="AD64" s="130"/>
    </row>
    <row r="65" spans="2:31" ht="15" thickBot="1" x14ac:dyDescent="0.25">
      <c r="B65" s="245" t="s">
        <v>869</v>
      </c>
      <c r="C65" s="1189">
        <v>0</v>
      </c>
      <c r="D65" s="1189">
        <v>0</v>
      </c>
      <c r="E65" s="1189">
        <v>0</v>
      </c>
      <c r="F65" s="1189">
        <v>0</v>
      </c>
      <c r="G65" s="1189">
        <v>0</v>
      </c>
      <c r="H65" s="1189">
        <v>0</v>
      </c>
      <c r="I65" s="1189">
        <v>0</v>
      </c>
      <c r="J65" s="1189">
        <v>0</v>
      </c>
      <c r="K65" s="1189">
        <v>0</v>
      </c>
      <c r="L65" s="1189">
        <v>0</v>
      </c>
      <c r="M65" s="1189">
        <v>0</v>
      </c>
      <c r="N65" s="1189">
        <v>0</v>
      </c>
      <c r="O65" s="1189">
        <v>0</v>
      </c>
      <c r="P65" s="1189">
        <v>0</v>
      </c>
      <c r="Q65" s="1189">
        <v>0</v>
      </c>
      <c r="R65" s="1189">
        <v>0</v>
      </c>
      <c r="S65" s="1189">
        <v>0</v>
      </c>
      <c r="T65" s="1189">
        <v>0</v>
      </c>
      <c r="U65" s="1189">
        <v>0</v>
      </c>
      <c r="V65" s="1189">
        <v>0</v>
      </c>
      <c r="W65" s="1189">
        <v>0</v>
      </c>
      <c r="X65" s="1189">
        <v>0</v>
      </c>
      <c r="Y65" s="1189">
        <v>0</v>
      </c>
      <c r="Z65" s="1189">
        <v>0</v>
      </c>
      <c r="AA65" s="1189">
        <v>0</v>
      </c>
      <c r="AB65" s="1353"/>
      <c r="AD65" s="96"/>
    </row>
    <row r="66" spans="2:31" ht="21" x14ac:dyDescent="0.25">
      <c r="B66" s="558" t="s">
        <v>396</v>
      </c>
      <c r="C66" s="102">
        <f>'Amount and Destination'!W178</f>
        <v>0</v>
      </c>
      <c r="D66" s="102">
        <f>+'Amount and Destination'!W179</f>
        <v>0</v>
      </c>
      <c r="E66" s="536">
        <f>+'Amount and Destination'!W180</f>
        <v>0</v>
      </c>
      <c r="F66" s="536">
        <f>+'Amount and Destination'!W181</f>
        <v>0</v>
      </c>
      <c r="G66" s="536">
        <f>+'Amount and Destination'!W182</f>
        <v>0</v>
      </c>
      <c r="H66" s="536">
        <f>+'Amount and Destination'!W183</f>
        <v>0</v>
      </c>
      <c r="I66" s="536">
        <f>+'Amount and Destination'!W184</f>
        <v>0</v>
      </c>
      <c r="J66" s="536">
        <f>+'Amount and Destination'!W185</f>
        <v>0</v>
      </c>
      <c r="K66" s="536">
        <f>+'Amount and Destination'!W186</f>
        <v>0</v>
      </c>
      <c r="L66" s="536">
        <f>+'Amount and Destination'!W187</f>
        <v>0</v>
      </c>
      <c r="M66" s="536">
        <f>+'Amount and Destination'!W188</f>
        <v>0</v>
      </c>
      <c r="N66" s="536">
        <f>+'Amount and Destination'!W189</f>
        <v>0</v>
      </c>
      <c r="O66" s="536">
        <f>+'Amount and Destination'!W190</f>
        <v>0</v>
      </c>
      <c r="P66" s="536">
        <f>+'Amount and Destination'!W191</f>
        <v>0</v>
      </c>
      <c r="Q66" s="536">
        <f>+'Amount and Destination'!W192</f>
        <v>0</v>
      </c>
      <c r="R66" s="536">
        <f>+'Amount and Destination'!W193</f>
        <v>0</v>
      </c>
      <c r="S66" s="536">
        <f>+'Amount and Destination'!W194</f>
        <v>0</v>
      </c>
      <c r="T66" s="537">
        <f>+'Amount and Destination'!W195</f>
        <v>0</v>
      </c>
      <c r="U66" s="537">
        <f>+'Amount and Destination'!W196</f>
        <v>0</v>
      </c>
      <c r="V66" s="537">
        <f>+'Amount and Destination'!W197</f>
        <v>0</v>
      </c>
      <c r="W66" s="537">
        <f>+'Amount and Destination'!W198</f>
        <v>0</v>
      </c>
      <c r="X66" s="537">
        <f>+'Amount and Destination'!W199</f>
        <v>0</v>
      </c>
      <c r="Y66" s="537">
        <f>+'Amount and Destination'!W200</f>
        <v>0</v>
      </c>
      <c r="Z66" s="537">
        <f>+'Amount and Destination'!W201</f>
        <v>0</v>
      </c>
      <c r="AA66" s="538">
        <f>+'Amount and Destination'!W202</f>
        <v>0</v>
      </c>
      <c r="AB66" s="1353"/>
      <c r="AC66" s="539" t="s">
        <v>44</v>
      </c>
      <c r="AD66" s="540">
        <f>SUM(C73:AA73)</f>
        <v>0</v>
      </c>
      <c r="AE66" s="1361" t="s">
        <v>559</v>
      </c>
    </row>
    <row r="67" spans="2:31" ht="15" x14ac:dyDescent="0.25">
      <c r="B67" s="558" t="s">
        <v>870</v>
      </c>
      <c r="C67" s="542">
        <f>+'Amount and Destination'!Z178</f>
        <v>0</v>
      </c>
      <c r="D67" s="542">
        <f>+'Amount and Destination'!Z179</f>
        <v>0</v>
      </c>
      <c r="E67" s="542">
        <f>+'Amount and Destination'!Z180</f>
        <v>0</v>
      </c>
      <c r="F67" s="542">
        <f>+'Amount and Destination'!Z181</f>
        <v>0</v>
      </c>
      <c r="G67" s="542">
        <f>+'Amount and Destination'!Z182</f>
        <v>0</v>
      </c>
      <c r="H67" s="542">
        <f>+'Amount and Destination'!Z183</f>
        <v>0</v>
      </c>
      <c r="I67" s="542">
        <f>+'Amount and Destination'!Z184</f>
        <v>0</v>
      </c>
      <c r="J67" s="542">
        <f>+'Amount and Destination'!Z185</f>
        <v>0</v>
      </c>
      <c r="K67" s="542">
        <f>+'Amount and Destination'!Z186</f>
        <v>0</v>
      </c>
      <c r="L67" s="542">
        <f>+'Amount and Destination'!Z187</f>
        <v>0</v>
      </c>
      <c r="M67" s="542">
        <f>+'Amount and Destination'!Z188</f>
        <v>0</v>
      </c>
      <c r="N67" s="542">
        <f>+'Amount and Destination'!Z189</f>
        <v>0</v>
      </c>
      <c r="O67" s="542">
        <f>+'Amount and Destination'!Z190</f>
        <v>0</v>
      </c>
      <c r="P67" s="542">
        <f>+'Amount and Destination'!Z191</f>
        <v>0</v>
      </c>
      <c r="Q67" s="542">
        <f>+'Amount and Destination'!Z192</f>
        <v>0</v>
      </c>
      <c r="R67" s="542">
        <f>+'Amount and Destination'!Z193</f>
        <v>0</v>
      </c>
      <c r="S67" s="542">
        <f>+'Amount and Destination'!Z194</f>
        <v>0</v>
      </c>
      <c r="T67" s="873">
        <f>+'Amount and Destination'!Z195</f>
        <v>0</v>
      </c>
      <c r="U67" s="873">
        <f>+'Amount and Destination'!Z196</f>
        <v>0</v>
      </c>
      <c r="V67" s="873">
        <f>+'Amount and Destination'!Z197</f>
        <v>0</v>
      </c>
      <c r="W67" s="873">
        <f>+'Amount and Destination'!Z198</f>
        <v>0</v>
      </c>
      <c r="X67" s="873">
        <f>+'Amount and Destination'!Z199</f>
        <v>0</v>
      </c>
      <c r="Y67" s="873">
        <f>+'Amount and Destination'!Z200</f>
        <v>0</v>
      </c>
      <c r="Z67" s="873">
        <f>+'Amount and Destination'!Z201</f>
        <v>0</v>
      </c>
      <c r="AA67" s="874">
        <f>+'Amount and Destination'!Z202</f>
        <v>0</v>
      </c>
      <c r="AB67" s="1354"/>
      <c r="AC67" s="215" t="s">
        <v>228</v>
      </c>
      <c r="AD67" s="543">
        <f>AD66</f>
        <v>0</v>
      </c>
      <c r="AE67" s="1362"/>
    </row>
    <row r="68" spans="2:31" ht="15" x14ac:dyDescent="0.25">
      <c r="B68" s="558" t="s">
        <v>2</v>
      </c>
      <c r="C68" s="544">
        <f t="shared" ref="C68:AA68" si="12">+$C$113</f>
        <v>2.4743422909272987</v>
      </c>
      <c r="D68" s="544">
        <f t="shared" si="12"/>
        <v>2.4743422909272987</v>
      </c>
      <c r="E68" s="544">
        <f t="shared" si="12"/>
        <v>2.4743422909272987</v>
      </c>
      <c r="F68" s="544">
        <f t="shared" si="12"/>
        <v>2.4743422909272987</v>
      </c>
      <c r="G68" s="544">
        <f t="shared" si="12"/>
        <v>2.4743422909272987</v>
      </c>
      <c r="H68" s="544">
        <f t="shared" si="12"/>
        <v>2.4743422909272987</v>
      </c>
      <c r="I68" s="544">
        <f t="shared" si="12"/>
        <v>2.4743422909272987</v>
      </c>
      <c r="J68" s="544">
        <f t="shared" si="12"/>
        <v>2.4743422909272987</v>
      </c>
      <c r="K68" s="544">
        <f t="shared" si="12"/>
        <v>2.4743422909272987</v>
      </c>
      <c r="L68" s="544">
        <f t="shared" si="12"/>
        <v>2.4743422909272987</v>
      </c>
      <c r="M68" s="544">
        <f t="shared" si="12"/>
        <v>2.4743422909272987</v>
      </c>
      <c r="N68" s="544">
        <f t="shared" si="12"/>
        <v>2.4743422909272987</v>
      </c>
      <c r="O68" s="544">
        <f t="shared" si="12"/>
        <v>2.4743422909272987</v>
      </c>
      <c r="P68" s="544">
        <f t="shared" si="12"/>
        <v>2.4743422909272987</v>
      </c>
      <c r="Q68" s="544">
        <f t="shared" si="12"/>
        <v>2.4743422909272987</v>
      </c>
      <c r="R68" s="544">
        <f t="shared" si="12"/>
        <v>2.4743422909272987</v>
      </c>
      <c r="S68" s="544">
        <f t="shared" si="12"/>
        <v>2.4743422909272987</v>
      </c>
      <c r="T68" s="544">
        <f t="shared" si="12"/>
        <v>2.4743422909272987</v>
      </c>
      <c r="U68" s="544">
        <f t="shared" si="12"/>
        <v>2.4743422909272987</v>
      </c>
      <c r="V68" s="544">
        <f t="shared" si="12"/>
        <v>2.4743422909272987</v>
      </c>
      <c r="W68" s="544">
        <f t="shared" si="12"/>
        <v>2.4743422909272987</v>
      </c>
      <c r="X68" s="544">
        <f t="shared" si="12"/>
        <v>2.4743422909272987</v>
      </c>
      <c r="Y68" s="544">
        <f t="shared" si="12"/>
        <v>2.4743422909272987</v>
      </c>
      <c r="Z68" s="544">
        <f t="shared" si="12"/>
        <v>2.4743422909272987</v>
      </c>
      <c r="AA68" s="544">
        <f t="shared" si="12"/>
        <v>2.4743422909272987</v>
      </c>
      <c r="AB68" s="1353"/>
      <c r="AC68" s="215" t="s">
        <v>229</v>
      </c>
      <c r="AD68" s="545" t="s">
        <v>307</v>
      </c>
      <c r="AE68" s="1362"/>
    </row>
    <row r="69" spans="2:31" ht="15" x14ac:dyDescent="0.25">
      <c r="B69" s="558" t="s">
        <v>485</v>
      </c>
      <c r="C69" s="544">
        <f>'Amount and Destination'!R178</f>
        <v>0</v>
      </c>
      <c r="D69" s="544">
        <f>'Amount and Destination'!R179</f>
        <v>0</v>
      </c>
      <c r="E69" s="544">
        <f>'Amount and Destination'!R180</f>
        <v>0</v>
      </c>
      <c r="F69" s="544">
        <f>'Amount and Destination'!R181</f>
        <v>0</v>
      </c>
      <c r="G69" s="544">
        <f>'Amount and Destination'!R182</f>
        <v>0</v>
      </c>
      <c r="H69" s="544">
        <f>'Amount and Destination'!R183</f>
        <v>0</v>
      </c>
      <c r="I69" s="544">
        <f>'Amount and Destination'!R184</f>
        <v>0</v>
      </c>
      <c r="J69" s="544">
        <f>'Amount and Destination'!R185</f>
        <v>0</v>
      </c>
      <c r="K69" s="544">
        <f>'Amount and Destination'!R186</f>
        <v>0</v>
      </c>
      <c r="L69" s="544">
        <f>'Amount and Destination'!R187</f>
        <v>0</v>
      </c>
      <c r="M69" s="544">
        <f>'Amount and Destination'!R188</f>
        <v>0</v>
      </c>
      <c r="N69" s="544">
        <f>'Amount and Destination'!R189</f>
        <v>0</v>
      </c>
      <c r="O69" s="544">
        <f>'Amount and Destination'!R190</f>
        <v>0</v>
      </c>
      <c r="P69" s="544">
        <f>'Amount and Destination'!R191</f>
        <v>0</v>
      </c>
      <c r="Q69" s="544">
        <f>'Amount and Destination'!R192</f>
        <v>0</v>
      </c>
      <c r="R69" s="544">
        <f>'Amount and Destination'!R193</f>
        <v>0</v>
      </c>
      <c r="S69" s="544">
        <f>'Amount and Destination'!R194</f>
        <v>0</v>
      </c>
      <c r="T69" s="544">
        <f>'Amount and Destination'!R195</f>
        <v>0</v>
      </c>
      <c r="U69" s="544">
        <f>'Amount and Destination'!R196</f>
        <v>0</v>
      </c>
      <c r="V69" s="544">
        <f>'Amount and Destination'!R197</f>
        <v>0</v>
      </c>
      <c r="W69" s="544">
        <f>'Amount and Destination'!R198</f>
        <v>0</v>
      </c>
      <c r="X69" s="544">
        <f>'Amount and Destination'!R199</f>
        <v>0</v>
      </c>
      <c r="Y69" s="544">
        <f>'Amount and Destination'!R200</f>
        <v>0</v>
      </c>
      <c r="Z69" s="544">
        <f>'Amount and Destination'!R201</f>
        <v>0</v>
      </c>
      <c r="AA69" s="544">
        <f>'Amount and Destination'!R202</f>
        <v>0</v>
      </c>
      <c r="AB69" s="1353"/>
      <c r="AC69" s="215" t="s">
        <v>230</v>
      </c>
      <c r="AD69" s="545" t="s">
        <v>307</v>
      </c>
      <c r="AE69" s="1362"/>
    </row>
    <row r="70" spans="2:31" ht="15.75" thickBot="1" x14ac:dyDescent="0.3">
      <c r="B70" s="558" t="s">
        <v>486</v>
      </c>
      <c r="C70" s="542" t="str">
        <f>IF(C69='References Assumptions'!$C$333,'Amount and Destination'!$V178,IF(C69='References Assumptions'!$C$334,'Amount and Destination'!$T178,"N/A"))</f>
        <v>N/A</v>
      </c>
      <c r="D70" s="542" t="str">
        <f>IF(D69='References Assumptions'!$C$333,'Amount and Destination'!$V179,IF(D69='References Assumptions'!$C$334,'Amount and Destination'!$T179,"N/A"))</f>
        <v>N/A</v>
      </c>
      <c r="E70" s="542" t="str">
        <f>IF(E69='References Assumptions'!$C$333,'Amount and Destination'!$V180,IF(E69='References Assumptions'!$C$334,'Amount and Destination'!$T180,"N/A"))</f>
        <v>N/A</v>
      </c>
      <c r="F70" s="542" t="str">
        <f>IF(F69='References Assumptions'!$C$333,'Amount and Destination'!$V181,IF(F69='References Assumptions'!$C$334,'Amount and Destination'!$T181,"N/A"))</f>
        <v>N/A</v>
      </c>
      <c r="G70" s="542" t="str">
        <f>IF(G69='References Assumptions'!$C$333,'Amount and Destination'!$V182,IF(G69='References Assumptions'!$C$334,'Amount and Destination'!$T182,"N/A"))</f>
        <v>N/A</v>
      </c>
      <c r="H70" s="542" t="str">
        <f>IF(H69='References Assumptions'!$C$333,'Amount and Destination'!$V183,IF(H69='References Assumptions'!$C$334,'Amount and Destination'!$T183,"N/A"))</f>
        <v>N/A</v>
      </c>
      <c r="I70" s="542" t="str">
        <f>IF(I69='References Assumptions'!$C$333,'Amount and Destination'!$V184,IF(I69='References Assumptions'!$C$334,'Amount and Destination'!$T184,"N/A"))</f>
        <v>N/A</v>
      </c>
      <c r="J70" s="542" t="str">
        <f>IF(J69='References Assumptions'!$C$333,'Amount and Destination'!$V185,IF(J69='References Assumptions'!$C$334,'Amount and Destination'!$T185,"N/A"))</f>
        <v>N/A</v>
      </c>
      <c r="K70" s="542" t="str">
        <f>IF(K69='References Assumptions'!$C$333,'Amount and Destination'!$V186,IF(K69='References Assumptions'!$C$334,'Amount and Destination'!$T186,"N/A"))</f>
        <v>N/A</v>
      </c>
      <c r="L70" s="542" t="str">
        <f>IF(L69='References Assumptions'!$C$333,'Amount and Destination'!$V187,IF(L69='References Assumptions'!$C$334,'Amount and Destination'!$T187,"N/A"))</f>
        <v>N/A</v>
      </c>
      <c r="M70" s="542" t="str">
        <f>IF(M69='References Assumptions'!$C$333,'Amount and Destination'!$V188,IF(M69='References Assumptions'!$C$334,'Amount and Destination'!$T188,"N/A"))</f>
        <v>N/A</v>
      </c>
      <c r="N70" s="542" t="str">
        <f>IF(N69='References Assumptions'!$C$333,'Amount and Destination'!$V189,IF(N69='References Assumptions'!$C$334,'Amount and Destination'!$T189,"N/A"))</f>
        <v>N/A</v>
      </c>
      <c r="O70" s="542" t="str">
        <f>IF(O69='References Assumptions'!$C$333,'Amount and Destination'!$V190,IF(O69='References Assumptions'!$C$334,'Amount and Destination'!$T190,"N/A"))</f>
        <v>N/A</v>
      </c>
      <c r="P70" s="542" t="str">
        <f>IF(P69='References Assumptions'!$C$333,'Amount and Destination'!$V191,IF(P69='References Assumptions'!$C$334,'Amount and Destination'!$T191,"N/A"))</f>
        <v>N/A</v>
      </c>
      <c r="Q70" s="542" t="str">
        <f>IF(Q69='References Assumptions'!$C$333,'Amount and Destination'!$V192,IF(Q69='References Assumptions'!$C$334,'Amount and Destination'!$T192,"N/A"))</f>
        <v>N/A</v>
      </c>
      <c r="R70" s="542" t="str">
        <f>IF(R69='References Assumptions'!$C$333,'Amount and Destination'!$V193,IF(R69='References Assumptions'!$C$334,'Amount and Destination'!$T193,"N/A"))</f>
        <v>N/A</v>
      </c>
      <c r="S70" s="542" t="str">
        <f>IF(S69='References Assumptions'!$C$333,'Amount and Destination'!$V194,IF(S69='References Assumptions'!$C$334,'Amount and Destination'!$T194,"N/A"))</f>
        <v>N/A</v>
      </c>
      <c r="T70" s="542" t="str">
        <f>IF(T69='References Assumptions'!$C$333,'Amount and Destination'!$V195,IF(T69='References Assumptions'!$C$334,'Amount and Destination'!$T195,"N/A"))</f>
        <v>N/A</v>
      </c>
      <c r="U70" s="542" t="str">
        <f>IF(U69='References Assumptions'!$C$333,'Amount and Destination'!$V196,IF(U69='References Assumptions'!$C$334,'Amount and Destination'!$T196,"N/A"))</f>
        <v>N/A</v>
      </c>
      <c r="V70" s="542" t="str">
        <f>IF(V69='References Assumptions'!$C$333,'Amount and Destination'!$V197,IF(V69='References Assumptions'!$C$334,'Amount and Destination'!$T197,"N/A"))</f>
        <v>N/A</v>
      </c>
      <c r="W70" s="542" t="str">
        <f>IF(W69='References Assumptions'!$C$333,'Amount and Destination'!$V198,IF(W69='References Assumptions'!$C$334,'Amount and Destination'!$T198,"N/A"))</f>
        <v>N/A</v>
      </c>
      <c r="X70" s="542" t="str">
        <f>IF(X69='References Assumptions'!$C$333,'Amount and Destination'!$V199,IF(X69='References Assumptions'!$C$334,'Amount and Destination'!$T199,"N/A"))</f>
        <v>N/A</v>
      </c>
      <c r="Y70" s="542" t="str">
        <f>IF(Y69='References Assumptions'!$C$333,'Amount and Destination'!$V200,IF(Y69='References Assumptions'!$C$334,'Amount and Destination'!$T200,"N/A"))</f>
        <v>N/A</v>
      </c>
      <c r="Z70" s="542" t="str">
        <f>IF(Z69='References Assumptions'!$C$333,'Amount and Destination'!$V201,IF(Z69='References Assumptions'!$C$334,'Amount and Destination'!$T201,"N/A"))</f>
        <v>N/A</v>
      </c>
      <c r="AA70" s="542" t="str">
        <f>IF(AA69='References Assumptions'!$C$333,'Amount and Destination'!$V202,IF(AA69='References Assumptions'!$C$334,'Amount and Destination'!$T202,"N/A"))</f>
        <v>N/A</v>
      </c>
      <c r="AB70" s="1354"/>
      <c r="AC70" s="215" t="s">
        <v>232</v>
      </c>
      <c r="AD70" s="545">
        <f>((C71*C72)+(D71*D72)+(E71*E72)+(F71*F72)+(G71*G72)+(H71*H72)+(I71*I72)+(J71*J72)+(K71*K72)+(L71*L72)+(M71*M72)+(N71*N72)+(O71*O72)+(P71*P72)+(Q71*Q72)+(R71*R72)+(S71*S72)+(T71*T72)+(U71*U72)+(V71*V72)+(W71*W72)+(X71*X72)+(Y71*Y72)+(Z71*Z72)+(AA71*AA72))*(CO2E_diesel__ClimateReg/Mg_g)</f>
        <v>0</v>
      </c>
      <c r="AE70" s="1363"/>
    </row>
    <row r="71" spans="2:31" ht="16.5" x14ac:dyDescent="0.25">
      <c r="B71" s="46" t="s">
        <v>315</v>
      </c>
      <c r="C71" s="233">
        <f>IF(AND(C66='References Assumptions'!$C$331,C65&gt;0),C65/C67*C70/C68,0)</f>
        <v>0</v>
      </c>
      <c r="D71" s="233">
        <f>IF(AND(D66='References Assumptions'!$C$331,D65&gt;0),D65/D67*D70/D68,0)</f>
        <v>0</v>
      </c>
      <c r="E71" s="233">
        <f>IF(AND(E66='References Assumptions'!$C$331,E65&gt;0),E65/E67*E70/E68,0)</f>
        <v>0</v>
      </c>
      <c r="F71" s="233">
        <f>IF(AND(F66='References Assumptions'!$C$331,F65&gt;0),F65/F67*F70/F68,0)</f>
        <v>0</v>
      </c>
      <c r="G71" s="233">
        <f>IF(AND(G66='References Assumptions'!$C$331,G65&gt;0),G65/G67*G70/G68,0)</f>
        <v>0</v>
      </c>
      <c r="H71" s="233">
        <f>IF(AND(H66='References Assumptions'!$C$331,H65&gt;0),H65/H67*H70/H68,0)</f>
        <v>0</v>
      </c>
      <c r="I71" s="233">
        <f>IF(AND(I66='References Assumptions'!$C$331,I65&gt;0),I65/I67*I70/I68,0)</f>
        <v>0</v>
      </c>
      <c r="J71" s="233">
        <f>IF(AND(J66='References Assumptions'!$C$331,J65&gt;0),J65/J67*J70/J68,0)</f>
        <v>0</v>
      </c>
      <c r="K71" s="233">
        <f>IF(AND(K66='References Assumptions'!$C$331,K65&gt;0),K65/K67*K70/K68,0)</f>
        <v>0</v>
      </c>
      <c r="L71" s="233">
        <f>IF(AND(L66='References Assumptions'!$C$331,L65&gt;0),L65/L67*L70/L68,0)</f>
        <v>0</v>
      </c>
      <c r="M71" s="233">
        <f>IF(AND(M66='References Assumptions'!$C$331,M65&gt;0),M65/M67*M70/M68,0)</f>
        <v>0</v>
      </c>
      <c r="N71" s="233">
        <f>IF(AND(N66='References Assumptions'!$C$331,N65&gt;0),N65/N67*N70/N68,0)</f>
        <v>0</v>
      </c>
      <c r="O71" s="233">
        <f>IF(AND(O66='References Assumptions'!$C$331,O65&gt;0),O65/O67*O70/O68,0)</f>
        <v>0</v>
      </c>
      <c r="P71" s="233">
        <f>IF(AND(P66='References Assumptions'!$C$331,P65&gt;0),P65/P67*P70/P68,0)</f>
        <v>0</v>
      </c>
      <c r="Q71" s="233">
        <f>IF(AND(Q66='References Assumptions'!$C$331,Q65&gt;0),Q65/Q67*Q70/Q68,0)</f>
        <v>0</v>
      </c>
      <c r="R71" s="233">
        <f>IF(AND(R66='References Assumptions'!$C$331,R65&gt;0),R65/R67*R70/R68,0)</f>
        <v>0</v>
      </c>
      <c r="S71" s="233">
        <f>IF(AND(S66='References Assumptions'!$C$331,S65&gt;0),S65/S67*S70/S68,0)</f>
        <v>0</v>
      </c>
      <c r="T71" s="233">
        <f>IF(AND(T66='References Assumptions'!$C$331,T65&gt;0),T65/T67*T70/T68,0)</f>
        <v>0</v>
      </c>
      <c r="U71" s="233">
        <f>IF(AND(U66='References Assumptions'!$C$331,U65&gt;0),U65/U67*U70/U68,0)</f>
        <v>0</v>
      </c>
      <c r="V71" s="233">
        <f>IF(AND(V66='References Assumptions'!$C$331,V65&gt;0),V65/V67*V70/V68,0)</f>
        <v>0</v>
      </c>
      <c r="W71" s="233">
        <f>IF(AND(W66='References Assumptions'!$C$331,W65&gt;0),W65/W67*W70/W68,0)</f>
        <v>0</v>
      </c>
      <c r="X71" s="233">
        <f>IF(AND(X66='References Assumptions'!$C$331,X65&gt;0),X65/X67*X70/X68,0)</f>
        <v>0</v>
      </c>
      <c r="Y71" s="233">
        <f>IF(AND(Y66='References Assumptions'!$C$331,Y65&gt;0),Y65/Y67*Y70/Y68,0)</f>
        <v>0</v>
      </c>
      <c r="Z71" s="233">
        <f>IF(AND(Z66='References Assumptions'!$C$331,Z65&gt;0),Z65/Z67*Z70/Z68,0)</f>
        <v>0</v>
      </c>
      <c r="AA71" s="233">
        <f>IF(AND(AA66='References Assumptions'!$C$331,AA65&gt;0),AA65/AA67*AA70/AA68,0)</f>
        <v>0</v>
      </c>
      <c r="AB71" s="556">
        <f>SUM(C71:AA71)</f>
        <v>0</v>
      </c>
      <c r="AC71" s="547" t="s">
        <v>557</v>
      </c>
      <c r="AD71" s="548">
        <f>+SUMIF(C66:AA66,'References Assumptions'!$C$331,Transportation!C73:AA73)</f>
        <v>0</v>
      </c>
      <c r="AE71" s="549" t="e">
        <f>+AD71/SUMIF(C66:AA66,'References Assumptions'!$C$331,Transportation!C65:AA65)*Mg_kg</f>
        <v>#DIV/0!</v>
      </c>
    </row>
    <row r="72" spans="2:31" ht="17.25" thickBot="1" x14ac:dyDescent="0.3">
      <c r="B72" s="46" t="s">
        <v>316</v>
      </c>
      <c r="C72" s="550">
        <f>'Amount and Destination'!AA178</f>
        <v>0</v>
      </c>
      <c r="D72" s="550">
        <f>'Amount and Destination'!AA179</f>
        <v>0</v>
      </c>
      <c r="E72" s="550">
        <f>'Amount and Destination'!AA180</f>
        <v>0</v>
      </c>
      <c r="F72" s="550">
        <f>'Amount and Destination'!AA181</f>
        <v>0</v>
      </c>
      <c r="G72" s="550">
        <f>'Amount and Destination'!AA182</f>
        <v>0</v>
      </c>
      <c r="H72" s="550">
        <f>'Amount and Destination'!AA183</f>
        <v>0</v>
      </c>
      <c r="I72" s="550">
        <f>'Amount and Destination'!AA184</f>
        <v>0</v>
      </c>
      <c r="J72" s="550">
        <f>'Amount and Destination'!AA185</f>
        <v>0</v>
      </c>
      <c r="K72" s="550">
        <f>'Amount and Destination'!AA186</f>
        <v>0</v>
      </c>
      <c r="L72" s="550">
        <f>'Amount and Destination'!AA187</f>
        <v>0</v>
      </c>
      <c r="M72" s="550">
        <f>'Amount and Destination'!AA188</f>
        <v>0</v>
      </c>
      <c r="N72" s="550">
        <f>'Amount and Destination'!AA189</f>
        <v>0</v>
      </c>
      <c r="O72" s="550">
        <f>'Amount and Destination'!AA190</f>
        <v>0</v>
      </c>
      <c r="P72" s="550">
        <f>'Amount and Destination'!AA191</f>
        <v>0</v>
      </c>
      <c r="Q72" s="550">
        <f>'Amount and Destination'!AA192</f>
        <v>0</v>
      </c>
      <c r="R72" s="550">
        <f>'Amount and Destination'!AA193</f>
        <v>0</v>
      </c>
      <c r="S72" s="550">
        <f>'Amount and Destination'!AA194</f>
        <v>0</v>
      </c>
      <c r="T72" s="550">
        <f>'Amount and Destination'!AA195</f>
        <v>0</v>
      </c>
      <c r="U72" s="550">
        <f>'Amount and Destination'!AA196</f>
        <v>0</v>
      </c>
      <c r="V72" s="550">
        <f>'Amount and Destination'!AA197</f>
        <v>0</v>
      </c>
      <c r="W72" s="550">
        <f>'Amount and Destination'!AA198</f>
        <v>0</v>
      </c>
      <c r="X72" s="550">
        <f>'Amount and Destination'!AA199</f>
        <v>0</v>
      </c>
      <c r="Y72" s="550">
        <f>'Amount and Destination'!AA200</f>
        <v>0</v>
      </c>
      <c r="Z72" s="550">
        <f>'Amount and Destination'!AA201</f>
        <v>0</v>
      </c>
      <c r="AA72" s="550">
        <f>'Amount and Destination'!AA202</f>
        <v>0</v>
      </c>
      <c r="AB72" s="557"/>
      <c r="AC72" s="552" t="s">
        <v>558</v>
      </c>
      <c r="AD72" s="553">
        <f>+SUMIF(C66:AA66,'References Assumptions'!$C$332,Transportation!C73:AA73)</f>
        <v>0</v>
      </c>
      <c r="AE72" s="221" t="e">
        <f>+AD72/SUMIF(C66:AA66,'References Assumptions'!$C$331,Transportation!C65:AA65)*Mg_kg</f>
        <v>#DIV/0!</v>
      </c>
    </row>
    <row r="73" spans="2:31" ht="17.25" thickBot="1" x14ac:dyDescent="0.35">
      <c r="B73" s="153" t="s">
        <v>51</v>
      </c>
      <c r="C73" s="554" t="str">
        <f t="shared" ref="C73:AA73" si="13">IF(C66="Truck",C71*(1-C72)*CO2E_diesel__ClimateReg/1000000,IF(C66="Rail",C65*C70*rail_emis/Mg_kg,"N/A"))</f>
        <v>N/A</v>
      </c>
      <c r="D73" s="554" t="str">
        <f t="shared" si="13"/>
        <v>N/A</v>
      </c>
      <c r="E73" s="554" t="str">
        <f t="shared" si="13"/>
        <v>N/A</v>
      </c>
      <c r="F73" s="554" t="str">
        <f t="shared" si="13"/>
        <v>N/A</v>
      </c>
      <c r="G73" s="554" t="str">
        <f t="shared" si="13"/>
        <v>N/A</v>
      </c>
      <c r="H73" s="554" t="str">
        <f t="shared" si="13"/>
        <v>N/A</v>
      </c>
      <c r="I73" s="554" t="str">
        <f t="shared" si="13"/>
        <v>N/A</v>
      </c>
      <c r="J73" s="554" t="str">
        <f t="shared" si="13"/>
        <v>N/A</v>
      </c>
      <c r="K73" s="554" t="str">
        <f t="shared" si="13"/>
        <v>N/A</v>
      </c>
      <c r="L73" s="554" t="str">
        <f t="shared" si="13"/>
        <v>N/A</v>
      </c>
      <c r="M73" s="554" t="str">
        <f t="shared" si="13"/>
        <v>N/A</v>
      </c>
      <c r="N73" s="554" t="str">
        <f t="shared" si="13"/>
        <v>N/A</v>
      </c>
      <c r="O73" s="554" t="str">
        <f t="shared" si="13"/>
        <v>N/A</v>
      </c>
      <c r="P73" s="554" t="str">
        <f t="shared" si="13"/>
        <v>N/A</v>
      </c>
      <c r="Q73" s="554" t="str">
        <f t="shared" si="13"/>
        <v>N/A</v>
      </c>
      <c r="R73" s="554" t="str">
        <f t="shared" si="13"/>
        <v>N/A</v>
      </c>
      <c r="S73" s="554" t="str">
        <f t="shared" si="13"/>
        <v>N/A</v>
      </c>
      <c r="T73" s="554" t="str">
        <f t="shared" si="13"/>
        <v>N/A</v>
      </c>
      <c r="U73" s="554" t="str">
        <f t="shared" si="13"/>
        <v>N/A</v>
      </c>
      <c r="V73" s="554" t="str">
        <f t="shared" si="13"/>
        <v>N/A</v>
      </c>
      <c r="W73" s="554" t="str">
        <f t="shared" si="13"/>
        <v>N/A</v>
      </c>
      <c r="X73" s="554" t="str">
        <f t="shared" si="13"/>
        <v>N/A</v>
      </c>
      <c r="Y73" s="554" t="str">
        <f t="shared" si="13"/>
        <v>N/A</v>
      </c>
      <c r="Z73" s="554" t="str">
        <f t="shared" si="13"/>
        <v>N/A</v>
      </c>
      <c r="AA73" s="554" t="str">
        <f t="shared" si="13"/>
        <v>N/A</v>
      </c>
      <c r="AB73" s="555">
        <f>SUM(C73:AA73)</f>
        <v>0</v>
      </c>
    </row>
    <row r="74" spans="2:31" ht="15.75" x14ac:dyDescent="0.25">
      <c r="B74" s="148" t="str">
        <f>CONCATENATE("Transportation input - Scenario 8 - ",'Scenarios Data'!B225)</f>
        <v xml:space="preserve">Transportation input - Scenario 8 - </v>
      </c>
      <c r="C74" s="531" t="str">
        <f>IF(ISBLANK('Amount and Destination'!$C$207),"Destination 1",'Amount and Destination'!$C$207)</f>
        <v>Destination 1</v>
      </c>
      <c r="D74" s="531" t="str">
        <f>IF(ISBLANK('Amount and Destination'!$C$208),"Destination 2",'Amount and Destination'!$C$208)</f>
        <v>Destination 2</v>
      </c>
      <c r="E74" s="531" t="str">
        <f>IF(ISBLANK('Amount and Destination'!$C$209),"Destination 3",'Amount and Destination'!$C$209)</f>
        <v>Destination 3</v>
      </c>
      <c r="F74" s="531" t="str">
        <f>IF(ISBLANK('Amount and Destination'!$C$210),"Destination 4",'Amount and Destination'!$C$210)</f>
        <v>Destination 4</v>
      </c>
      <c r="G74" s="531" t="str">
        <f>IF(ISBLANK('Amount and Destination'!$C$211),"Destination 5",'Amount and Destination'!$C$211)</f>
        <v>Destination 5</v>
      </c>
      <c r="H74" s="531" t="str">
        <f>IF(ISBLANK('Amount and Destination'!$C$212),"Destination 6",'Amount and Destination'!$C$212)</f>
        <v>Destination 6</v>
      </c>
      <c r="I74" s="531" t="str">
        <f>IF(ISBLANK('Amount and Destination'!$C$213),"Destination 7",'Amount and Destination'!$C$213)</f>
        <v>Destination 7</v>
      </c>
      <c r="J74" s="531" t="str">
        <f>IF(ISBLANK('Amount and Destination'!$C$214),"Destination 8",'Amount and Destination'!$C$214)</f>
        <v>Destination 8</v>
      </c>
      <c r="K74" s="531" t="str">
        <f>IF(ISBLANK('Amount and Destination'!$C$215),"Destination 9",'Amount and Destination'!$C$215)</f>
        <v>Destination 9</v>
      </c>
      <c r="L74" s="531" t="str">
        <f>IF(ISBLANK('Amount and Destination'!$C$216),"Destination 10",'Amount and Destination'!$C$216)</f>
        <v>Destination 10</v>
      </c>
      <c r="M74" s="532" t="str">
        <f>IF(ISBLANK('Amount and Destination'!$C$217),"Destination 11",'Amount and Destination'!$C$217)</f>
        <v>Destination 11</v>
      </c>
      <c r="N74" s="533" t="str">
        <f>IF(ISBLANK('Amount and Destination'!$C$218),"Destination 12",'Amount and Destination'!$C$218)</f>
        <v>Destination 12</v>
      </c>
      <c r="O74" s="533" t="str">
        <f>IF(ISBLANK('Amount and Destination'!$C$219),"Destination 13",'Amount and Destination'!$C$219)</f>
        <v>Destination 13</v>
      </c>
      <c r="P74" s="531" t="str">
        <f>IF(ISBLANK('Amount and Destination'!$C$220),"Destination 14",'Amount and Destination'!$C$220)</f>
        <v>Destination 14</v>
      </c>
      <c r="Q74" s="531" t="str">
        <f>IF(ISBLANK('Amount and Destination'!$C$221),"Destination 15",'Amount and Destination'!$C$221)</f>
        <v>Destination 15</v>
      </c>
      <c r="R74" s="531" t="str">
        <f>IF(ISBLANK('Amount and Destination'!$C$222),"Destination 16",'Amount and Destination'!$C$222)</f>
        <v>Destination 16</v>
      </c>
      <c r="S74" s="534" t="str">
        <f>IF(ISBLANK('Amount and Destination'!$C$223),"Destination 17",'Amount and Destination'!$C$223)</f>
        <v>Destination 17</v>
      </c>
      <c r="T74" s="531" t="str">
        <f>IF(ISBLANK('Amount and Destination'!$C$224),"Destination 18",'Amount and Destination'!$C$224)</f>
        <v>Destination 18</v>
      </c>
      <c r="U74" s="531" t="str">
        <f>IF(ISBLANK('Amount and Destination'!$C$225),"Destination 19",'Amount and Destination'!$C$225)</f>
        <v>Destination 19</v>
      </c>
      <c r="V74" s="531" t="str">
        <f>IF(ISBLANK('Amount and Destination'!$C$226),"Destination 20",'Amount and Destination'!$C$226)</f>
        <v>Destination 20</v>
      </c>
      <c r="W74" s="531" t="str">
        <f>IF(ISBLANK('Amount and Destination'!$C$227),"Destination 21",'Amount and Destination'!$C$227)</f>
        <v>Destination 21</v>
      </c>
      <c r="X74" s="531" t="str">
        <f>IF(ISBLANK('Amount and Destination'!$C$228),"Destination 22",'Amount and Destination'!$C$228)</f>
        <v>Destination 22</v>
      </c>
      <c r="Y74" s="531" t="str">
        <f>IF(ISBLANK('Amount and Destination'!$C$229),"Destination 23",'Amount and Destination'!$C$229)</f>
        <v>Destination 23</v>
      </c>
      <c r="Z74" s="531" t="str">
        <f>IF(ISBLANK('Amount and Destination'!$C$230),"Destination 24",'Amount and Destination'!$C$230)</f>
        <v>Destination 24</v>
      </c>
      <c r="AA74" s="531" t="str">
        <f>IF(ISBLANK('Amount and Destination'!$C$231),"Destination 25",'Amount and Destination'!$C$231)</f>
        <v>Destination 25</v>
      </c>
      <c r="AB74" s="535" t="s">
        <v>162</v>
      </c>
    </row>
    <row r="75" spans="2:31" ht="15" thickBot="1" x14ac:dyDescent="0.25">
      <c r="B75" s="245" t="s">
        <v>869</v>
      </c>
      <c r="C75" s="1189">
        <v>0</v>
      </c>
      <c r="D75" s="1189">
        <v>0</v>
      </c>
      <c r="E75" s="1189">
        <v>0</v>
      </c>
      <c r="F75" s="1189">
        <v>0</v>
      </c>
      <c r="G75" s="1189">
        <v>0</v>
      </c>
      <c r="H75" s="1189">
        <v>0</v>
      </c>
      <c r="I75" s="1189">
        <v>0</v>
      </c>
      <c r="J75" s="1189">
        <v>0</v>
      </c>
      <c r="K75" s="1189">
        <v>0</v>
      </c>
      <c r="L75" s="1189">
        <v>0</v>
      </c>
      <c r="M75" s="1189">
        <v>0</v>
      </c>
      <c r="N75" s="1189">
        <v>0</v>
      </c>
      <c r="O75" s="1189">
        <v>0</v>
      </c>
      <c r="P75" s="1189">
        <v>0</v>
      </c>
      <c r="Q75" s="1189">
        <v>0</v>
      </c>
      <c r="R75" s="1189">
        <v>0</v>
      </c>
      <c r="S75" s="1189">
        <v>0</v>
      </c>
      <c r="T75" s="1189">
        <v>0</v>
      </c>
      <c r="U75" s="1189">
        <v>0</v>
      </c>
      <c r="V75" s="1189">
        <v>0</v>
      </c>
      <c r="W75" s="1189">
        <v>0</v>
      </c>
      <c r="X75" s="1189">
        <v>0</v>
      </c>
      <c r="Y75" s="1189">
        <v>0</v>
      </c>
      <c r="Z75" s="1189">
        <v>0</v>
      </c>
      <c r="AA75" s="1189">
        <v>0</v>
      </c>
      <c r="AB75" s="1353"/>
      <c r="AD75" s="96"/>
    </row>
    <row r="76" spans="2:31" ht="21" x14ac:dyDescent="0.25">
      <c r="B76" s="558" t="s">
        <v>396</v>
      </c>
      <c r="C76" s="102">
        <f>'Amount and Destination'!W207</f>
        <v>0</v>
      </c>
      <c r="D76" s="102">
        <f>+'Amount and Destination'!W208</f>
        <v>0</v>
      </c>
      <c r="E76" s="536">
        <f>+'Amount and Destination'!W209</f>
        <v>0</v>
      </c>
      <c r="F76" s="536">
        <f>+'Amount and Destination'!W210</f>
        <v>0</v>
      </c>
      <c r="G76" s="536">
        <f>+'Amount and Destination'!W211</f>
        <v>0</v>
      </c>
      <c r="H76" s="536">
        <f>+'Amount and Destination'!W212</f>
        <v>0</v>
      </c>
      <c r="I76" s="536">
        <f>+'Amount and Destination'!W213</f>
        <v>0</v>
      </c>
      <c r="J76" s="536">
        <f>+'Amount and Destination'!W214</f>
        <v>0</v>
      </c>
      <c r="K76" s="536">
        <f>+'Amount and Destination'!W215</f>
        <v>0</v>
      </c>
      <c r="L76" s="536">
        <f>+'Amount and Destination'!W216</f>
        <v>0</v>
      </c>
      <c r="M76" s="536">
        <f>+'Amount and Destination'!W217</f>
        <v>0</v>
      </c>
      <c r="N76" s="536">
        <f>+'Amount and Destination'!W218</f>
        <v>0</v>
      </c>
      <c r="O76" s="536">
        <f>+'Amount and Destination'!W219</f>
        <v>0</v>
      </c>
      <c r="P76" s="536">
        <f>+'Amount and Destination'!W220</f>
        <v>0</v>
      </c>
      <c r="Q76" s="536">
        <f>+'Amount and Destination'!W221</f>
        <v>0</v>
      </c>
      <c r="R76" s="536">
        <f>+'Amount and Destination'!W222</f>
        <v>0</v>
      </c>
      <c r="S76" s="536">
        <f>+'Amount and Destination'!W223</f>
        <v>0</v>
      </c>
      <c r="T76" s="537">
        <f>+'Amount and Destination'!W224</f>
        <v>0</v>
      </c>
      <c r="U76" s="537">
        <f>+'Amount and Destination'!W225</f>
        <v>0</v>
      </c>
      <c r="V76" s="537">
        <f>+'Amount and Destination'!W226</f>
        <v>0</v>
      </c>
      <c r="W76" s="537">
        <f>+'Amount and Destination'!W227</f>
        <v>0</v>
      </c>
      <c r="X76" s="537">
        <f>+'Amount and Destination'!W228</f>
        <v>0</v>
      </c>
      <c r="Y76" s="537">
        <f>+'Amount and Destination'!W229</f>
        <v>0</v>
      </c>
      <c r="Z76" s="537">
        <f>+'Amount and Destination'!W230</f>
        <v>0</v>
      </c>
      <c r="AA76" s="538">
        <f>+'Amount and Destination'!W231</f>
        <v>0</v>
      </c>
      <c r="AB76" s="1353"/>
      <c r="AC76" s="539" t="s">
        <v>44</v>
      </c>
      <c r="AD76" s="540">
        <f>SUM(C83:AA83)</f>
        <v>0</v>
      </c>
      <c r="AE76" s="1361" t="s">
        <v>559</v>
      </c>
    </row>
    <row r="77" spans="2:31" ht="15" x14ac:dyDescent="0.25">
      <c r="B77" s="558" t="s">
        <v>870</v>
      </c>
      <c r="C77" s="542">
        <f>+'Amount and Destination'!Z207</f>
        <v>0</v>
      </c>
      <c r="D77" s="542">
        <f>+'Amount and Destination'!Z208</f>
        <v>0</v>
      </c>
      <c r="E77" s="542">
        <f>+'Amount and Destination'!Z209</f>
        <v>0</v>
      </c>
      <c r="F77" s="542">
        <f>+'Amount and Destination'!Z210</f>
        <v>0</v>
      </c>
      <c r="G77" s="542">
        <f>+'Amount and Destination'!Z211</f>
        <v>0</v>
      </c>
      <c r="H77" s="542">
        <f>+'Amount and Destination'!Z212</f>
        <v>0</v>
      </c>
      <c r="I77" s="542">
        <f>+'Amount and Destination'!Z213</f>
        <v>0</v>
      </c>
      <c r="J77" s="542">
        <f>+'Amount and Destination'!Z214</f>
        <v>0</v>
      </c>
      <c r="K77" s="542">
        <f>+'Amount and Destination'!Z215</f>
        <v>0</v>
      </c>
      <c r="L77" s="542">
        <f>+'Amount and Destination'!Z216</f>
        <v>0</v>
      </c>
      <c r="M77" s="542">
        <f>+'Amount and Destination'!Z217</f>
        <v>0</v>
      </c>
      <c r="N77" s="542">
        <f>+'Amount and Destination'!Z218</f>
        <v>0</v>
      </c>
      <c r="O77" s="542">
        <f>+'Amount and Destination'!Z219</f>
        <v>0</v>
      </c>
      <c r="P77" s="542">
        <f>+'Amount and Destination'!Z220</f>
        <v>0</v>
      </c>
      <c r="Q77" s="542">
        <f>+'Amount and Destination'!Z221</f>
        <v>0</v>
      </c>
      <c r="R77" s="542">
        <f>+'Amount and Destination'!Z222</f>
        <v>0</v>
      </c>
      <c r="S77" s="542">
        <f>+'Amount and Destination'!Z223</f>
        <v>0</v>
      </c>
      <c r="T77" s="873">
        <f>+'Amount and Destination'!Z224</f>
        <v>0</v>
      </c>
      <c r="U77" s="873">
        <f>+'Amount and Destination'!Z225</f>
        <v>0</v>
      </c>
      <c r="V77" s="873">
        <f>+'Amount and Destination'!Z226</f>
        <v>0</v>
      </c>
      <c r="W77" s="873">
        <f>+'Amount and Destination'!Z227</f>
        <v>0</v>
      </c>
      <c r="X77" s="873">
        <f>+'Amount and Destination'!Z228</f>
        <v>0</v>
      </c>
      <c r="Y77" s="873">
        <f>+'Amount and Destination'!Z229</f>
        <v>0</v>
      </c>
      <c r="Z77" s="873">
        <f>+'Amount and Destination'!Z230</f>
        <v>0</v>
      </c>
      <c r="AA77" s="874">
        <f>+'Amount and Destination'!Z231</f>
        <v>0</v>
      </c>
      <c r="AB77" s="1354"/>
      <c r="AC77" s="215" t="s">
        <v>228</v>
      </c>
      <c r="AD77" s="543">
        <f>AD76</f>
        <v>0</v>
      </c>
      <c r="AE77" s="1362"/>
    </row>
    <row r="78" spans="2:31" ht="15" x14ac:dyDescent="0.25">
      <c r="B78" s="558" t="s">
        <v>2</v>
      </c>
      <c r="C78" s="544">
        <f t="shared" ref="C78:AA78" si="14">+$C$113</f>
        <v>2.4743422909272987</v>
      </c>
      <c r="D78" s="544">
        <f t="shared" si="14"/>
        <v>2.4743422909272987</v>
      </c>
      <c r="E78" s="544">
        <f t="shared" si="14"/>
        <v>2.4743422909272987</v>
      </c>
      <c r="F78" s="544">
        <f t="shared" si="14"/>
        <v>2.4743422909272987</v>
      </c>
      <c r="G78" s="544">
        <f t="shared" si="14"/>
        <v>2.4743422909272987</v>
      </c>
      <c r="H78" s="544">
        <f t="shared" si="14"/>
        <v>2.4743422909272987</v>
      </c>
      <c r="I78" s="544">
        <f t="shared" si="14"/>
        <v>2.4743422909272987</v>
      </c>
      <c r="J78" s="544">
        <f t="shared" si="14"/>
        <v>2.4743422909272987</v>
      </c>
      <c r="K78" s="544">
        <f t="shared" si="14"/>
        <v>2.4743422909272987</v>
      </c>
      <c r="L78" s="544">
        <f t="shared" si="14"/>
        <v>2.4743422909272987</v>
      </c>
      <c r="M78" s="544">
        <f t="shared" si="14"/>
        <v>2.4743422909272987</v>
      </c>
      <c r="N78" s="544">
        <f t="shared" si="14"/>
        <v>2.4743422909272987</v>
      </c>
      <c r="O78" s="544">
        <f t="shared" si="14"/>
        <v>2.4743422909272987</v>
      </c>
      <c r="P78" s="544">
        <f t="shared" si="14"/>
        <v>2.4743422909272987</v>
      </c>
      <c r="Q78" s="544">
        <f t="shared" si="14"/>
        <v>2.4743422909272987</v>
      </c>
      <c r="R78" s="544">
        <f t="shared" si="14"/>
        <v>2.4743422909272987</v>
      </c>
      <c r="S78" s="544">
        <f t="shared" si="14"/>
        <v>2.4743422909272987</v>
      </c>
      <c r="T78" s="544">
        <f t="shared" si="14"/>
        <v>2.4743422909272987</v>
      </c>
      <c r="U78" s="544">
        <f t="shared" si="14"/>
        <v>2.4743422909272987</v>
      </c>
      <c r="V78" s="544">
        <f t="shared" si="14"/>
        <v>2.4743422909272987</v>
      </c>
      <c r="W78" s="544">
        <f t="shared" si="14"/>
        <v>2.4743422909272987</v>
      </c>
      <c r="X78" s="544">
        <f t="shared" si="14"/>
        <v>2.4743422909272987</v>
      </c>
      <c r="Y78" s="544">
        <f t="shared" si="14"/>
        <v>2.4743422909272987</v>
      </c>
      <c r="Z78" s="544">
        <f t="shared" si="14"/>
        <v>2.4743422909272987</v>
      </c>
      <c r="AA78" s="544">
        <f t="shared" si="14"/>
        <v>2.4743422909272987</v>
      </c>
      <c r="AB78" s="1353"/>
      <c r="AC78" s="215" t="s">
        <v>229</v>
      </c>
      <c r="AD78" s="545" t="s">
        <v>307</v>
      </c>
      <c r="AE78" s="1362"/>
    </row>
    <row r="79" spans="2:31" ht="15" x14ac:dyDescent="0.25">
      <c r="B79" s="558" t="s">
        <v>485</v>
      </c>
      <c r="C79" s="544">
        <f>'Amount and Destination'!R207</f>
        <v>0</v>
      </c>
      <c r="D79" s="544">
        <f>'Amount and Destination'!R208</f>
        <v>0</v>
      </c>
      <c r="E79" s="544">
        <f>'Amount and Destination'!R209</f>
        <v>0</v>
      </c>
      <c r="F79" s="544">
        <f>'Amount and Destination'!R210</f>
        <v>0</v>
      </c>
      <c r="G79" s="544">
        <f>'Amount and Destination'!R211</f>
        <v>0</v>
      </c>
      <c r="H79" s="544">
        <f>'Amount and Destination'!R212</f>
        <v>0</v>
      </c>
      <c r="I79" s="544">
        <f>'Amount and Destination'!R213</f>
        <v>0</v>
      </c>
      <c r="J79" s="544">
        <f>'Amount and Destination'!R214</f>
        <v>0</v>
      </c>
      <c r="K79" s="544">
        <f>'Amount and Destination'!R215</f>
        <v>0</v>
      </c>
      <c r="L79" s="544">
        <f>'Amount and Destination'!R216</f>
        <v>0</v>
      </c>
      <c r="M79" s="544">
        <f>'Amount and Destination'!R217</f>
        <v>0</v>
      </c>
      <c r="N79" s="544">
        <f>'Amount and Destination'!R218</f>
        <v>0</v>
      </c>
      <c r="O79" s="544">
        <f>'Amount and Destination'!R219</f>
        <v>0</v>
      </c>
      <c r="P79" s="544">
        <f>'Amount and Destination'!R220</f>
        <v>0</v>
      </c>
      <c r="Q79" s="544">
        <f>'Amount and Destination'!R221</f>
        <v>0</v>
      </c>
      <c r="R79" s="544">
        <f>'Amount and Destination'!R222</f>
        <v>0</v>
      </c>
      <c r="S79" s="544">
        <f>'Amount and Destination'!R223</f>
        <v>0</v>
      </c>
      <c r="T79" s="544">
        <f>'Amount and Destination'!R224</f>
        <v>0</v>
      </c>
      <c r="U79" s="544">
        <f>'Amount and Destination'!R225</f>
        <v>0</v>
      </c>
      <c r="V79" s="544">
        <f>'Amount and Destination'!R226</f>
        <v>0</v>
      </c>
      <c r="W79" s="544">
        <f>'Amount and Destination'!R227</f>
        <v>0</v>
      </c>
      <c r="X79" s="544">
        <f>'Amount and Destination'!R228</f>
        <v>0</v>
      </c>
      <c r="Y79" s="544">
        <f>'Amount and Destination'!R229</f>
        <v>0</v>
      </c>
      <c r="Z79" s="544">
        <f>'Amount and Destination'!R230</f>
        <v>0</v>
      </c>
      <c r="AA79" s="544">
        <f>'Amount and Destination'!R231</f>
        <v>0</v>
      </c>
      <c r="AB79" s="1353"/>
      <c r="AC79" s="215" t="s">
        <v>230</v>
      </c>
      <c r="AD79" s="545" t="s">
        <v>307</v>
      </c>
      <c r="AE79" s="1362"/>
    </row>
    <row r="80" spans="2:31" ht="15.75" thickBot="1" x14ac:dyDescent="0.3">
      <c r="B80" s="558" t="s">
        <v>486</v>
      </c>
      <c r="C80" s="542" t="str">
        <f>IF(C79='References Assumptions'!$C$333,'Amount and Destination'!$V207,IF(C79='References Assumptions'!$C$334,'Amount and Destination'!$T207,"N/A"))</f>
        <v>N/A</v>
      </c>
      <c r="D80" s="542" t="str">
        <f>IF(D79='References Assumptions'!$C$333,'Amount and Destination'!$V208,IF(D79='References Assumptions'!$C$334,'Amount and Destination'!$T208,"N/A"))</f>
        <v>N/A</v>
      </c>
      <c r="E80" s="542" t="str">
        <f>IF(E79='References Assumptions'!$C$333,'Amount and Destination'!$V209,IF(E79='References Assumptions'!$C$334,'Amount and Destination'!$T209,"N/A"))</f>
        <v>N/A</v>
      </c>
      <c r="F80" s="542" t="str">
        <f>IF(F79='References Assumptions'!$C$333,'Amount and Destination'!$V210,IF(F79='References Assumptions'!$C$334,'Amount and Destination'!$T210,"N/A"))</f>
        <v>N/A</v>
      </c>
      <c r="G80" s="542" t="str">
        <f>IF(G79='References Assumptions'!$C$333,'Amount and Destination'!$V211,IF(G79='References Assumptions'!$C$334,'Amount and Destination'!$T211,"N/A"))</f>
        <v>N/A</v>
      </c>
      <c r="H80" s="542" t="str">
        <f>IF(H79='References Assumptions'!$C$333,'Amount and Destination'!$V212,IF(H79='References Assumptions'!$C$334,'Amount and Destination'!$T212,"N/A"))</f>
        <v>N/A</v>
      </c>
      <c r="I80" s="542" t="str">
        <f>IF(I79='References Assumptions'!$C$333,'Amount and Destination'!$V213,IF(I79='References Assumptions'!$C$334,'Amount and Destination'!$T213,"N/A"))</f>
        <v>N/A</v>
      </c>
      <c r="J80" s="542" t="str">
        <f>IF(J79='References Assumptions'!$C$333,'Amount and Destination'!$V214,IF(J79='References Assumptions'!$C$334,'Amount and Destination'!$T214,"N/A"))</f>
        <v>N/A</v>
      </c>
      <c r="K80" s="542" t="str">
        <f>IF(K79='References Assumptions'!$C$333,'Amount and Destination'!$V215,IF(K79='References Assumptions'!$C$334,'Amount and Destination'!$T215,"N/A"))</f>
        <v>N/A</v>
      </c>
      <c r="L80" s="542" t="str">
        <f>IF(L79='References Assumptions'!$C$333,'Amount and Destination'!$V216,IF(L79='References Assumptions'!$C$334,'Amount and Destination'!$T216,"N/A"))</f>
        <v>N/A</v>
      </c>
      <c r="M80" s="542" t="str">
        <f>IF(M79='References Assumptions'!$C$333,'Amount and Destination'!$V217,IF(M79='References Assumptions'!$C$334,'Amount and Destination'!$T217,"N/A"))</f>
        <v>N/A</v>
      </c>
      <c r="N80" s="542" t="str">
        <f>IF(N79='References Assumptions'!$C$333,'Amount and Destination'!$V218,IF(N79='References Assumptions'!$C$334,'Amount and Destination'!$T218,"N/A"))</f>
        <v>N/A</v>
      </c>
      <c r="O80" s="542" t="str">
        <f>IF(O79='References Assumptions'!$C$333,'Amount and Destination'!$V219,IF(O79='References Assumptions'!$C$334,'Amount and Destination'!$T219,"N/A"))</f>
        <v>N/A</v>
      </c>
      <c r="P80" s="542" t="str">
        <f>IF(P79='References Assumptions'!$C$333,'Amount and Destination'!$V220,IF(P79='References Assumptions'!$C$334,'Amount and Destination'!$T220,"N/A"))</f>
        <v>N/A</v>
      </c>
      <c r="Q80" s="542" t="str">
        <f>IF(Q79='References Assumptions'!$C$333,'Amount and Destination'!$V221,IF(Q79='References Assumptions'!$C$334,'Amount and Destination'!$T221,"N/A"))</f>
        <v>N/A</v>
      </c>
      <c r="R80" s="542" t="str">
        <f>IF(R79='References Assumptions'!$C$333,'Amount and Destination'!$V222,IF(R79='References Assumptions'!$C$334,'Amount and Destination'!$T222,"N/A"))</f>
        <v>N/A</v>
      </c>
      <c r="S80" s="542" t="str">
        <f>IF(S79='References Assumptions'!$C$333,'Amount and Destination'!$V223,IF(S79='References Assumptions'!$C$334,'Amount and Destination'!$T223,"N/A"))</f>
        <v>N/A</v>
      </c>
      <c r="T80" s="542" t="str">
        <f>IF(T79='References Assumptions'!$C$333,'Amount and Destination'!$V224,IF(T79='References Assumptions'!$C$334,'Amount and Destination'!$T224,"N/A"))</f>
        <v>N/A</v>
      </c>
      <c r="U80" s="542" t="str">
        <f>IF(U79='References Assumptions'!$C$333,'Amount and Destination'!$V225,IF(U79='References Assumptions'!$C$334,'Amount and Destination'!$T225,"N/A"))</f>
        <v>N/A</v>
      </c>
      <c r="V80" s="542" t="str">
        <f>IF(V79='References Assumptions'!$C$333,'Amount and Destination'!$V226,IF(V79='References Assumptions'!$C$334,'Amount and Destination'!$T226,"N/A"))</f>
        <v>N/A</v>
      </c>
      <c r="W80" s="542" t="str">
        <f>IF(W79='References Assumptions'!$C$333,'Amount and Destination'!$V227,IF(W79='References Assumptions'!$C$334,'Amount and Destination'!$T227,"N/A"))</f>
        <v>N/A</v>
      </c>
      <c r="X80" s="542" t="str">
        <f>IF(X79='References Assumptions'!$C$333,'Amount and Destination'!$V228,IF(X79='References Assumptions'!$C$334,'Amount and Destination'!$T228,"N/A"))</f>
        <v>N/A</v>
      </c>
      <c r="Y80" s="542" t="str">
        <f>IF(Y79='References Assumptions'!$C$333,'Amount and Destination'!$V229,IF(Y79='References Assumptions'!$C$334,'Amount and Destination'!$T229,"N/A"))</f>
        <v>N/A</v>
      </c>
      <c r="Z80" s="542" t="str">
        <f>IF(Z79='References Assumptions'!$C$333,'Amount and Destination'!$V230,IF(Z79='References Assumptions'!$C$334,'Amount and Destination'!$T230,"N/A"))</f>
        <v>N/A</v>
      </c>
      <c r="AA80" s="542" t="str">
        <f>IF(AA79='References Assumptions'!$C$333,'Amount and Destination'!$V231,IF(AA79='References Assumptions'!$C$334,'Amount and Destination'!$T231,"N/A"))</f>
        <v>N/A</v>
      </c>
      <c r="AB80" s="1354"/>
      <c r="AC80" s="215" t="s">
        <v>232</v>
      </c>
      <c r="AD80" s="545">
        <f>((C81*C82)+(D81*D82)+(E81*E82)+(F81*F82)+(G81*G82)+(H81*H82)+(I81*I82)+(J81*J82)+(K81*K82)+(L81*L82)+(M81*M82)+(N81*N82)+(O81*O82)+(P81*P82)+(Q81*Q82)+(R81*R82)+(S81*S82)+(T81*T82)+(U81*U82)+(V81*V82)+(W81*W82)+(X81*X82)+(Y81*Y82)+(Z81*Z82)+(AA81*AA82))*(CO2E_diesel__ClimateReg/Mg_g)</f>
        <v>0</v>
      </c>
      <c r="AE80" s="1363"/>
    </row>
    <row r="81" spans="2:31" ht="16.5" x14ac:dyDescent="0.25">
      <c r="B81" s="46" t="s">
        <v>315</v>
      </c>
      <c r="C81" s="233">
        <f>IF(AND(C76='References Assumptions'!$C$331,C75&gt;0),C75/C77*C80/C78,0)</f>
        <v>0</v>
      </c>
      <c r="D81" s="233">
        <f>IF(AND(D76='References Assumptions'!$C$331,D75&gt;0),D75/D77*D80/D78,0)</f>
        <v>0</v>
      </c>
      <c r="E81" s="233">
        <f>IF(AND(E76='References Assumptions'!$C$331,E75&gt;0),E75/E77*E80/E78,0)</f>
        <v>0</v>
      </c>
      <c r="F81" s="233">
        <f>IF(AND(F76='References Assumptions'!$C$331,F75&gt;0),F75/F77*F80/F78,0)</f>
        <v>0</v>
      </c>
      <c r="G81" s="233">
        <f>IF(AND(G76='References Assumptions'!$C$331,G75&gt;0),G75/G77*G80/G78,0)</f>
        <v>0</v>
      </c>
      <c r="H81" s="233">
        <f>IF(AND(H76='References Assumptions'!$C$331,H75&gt;0),H75/H77*H80/H78,0)</f>
        <v>0</v>
      </c>
      <c r="I81" s="233">
        <f>IF(AND(I76='References Assumptions'!$C$331,I75&gt;0),I75/I77*I80/I78,0)</f>
        <v>0</v>
      </c>
      <c r="J81" s="233">
        <f>IF(AND(J76='References Assumptions'!$C$331,J75&gt;0),J75/J77*J80/J78,0)</f>
        <v>0</v>
      </c>
      <c r="K81" s="233">
        <f>IF(AND(K76='References Assumptions'!$C$331,K75&gt;0),K75/K77*K80/K78,0)</f>
        <v>0</v>
      </c>
      <c r="L81" s="233">
        <f>IF(AND(L76='References Assumptions'!$C$331,L75&gt;0),L75/L77*L80/L78,0)</f>
        <v>0</v>
      </c>
      <c r="M81" s="233">
        <f>IF(AND(M76='References Assumptions'!$C$331,M75&gt;0),M75/M77*M80/M78,0)</f>
        <v>0</v>
      </c>
      <c r="N81" s="233">
        <f>IF(AND(N76='References Assumptions'!$C$331,N75&gt;0),N75/N77*N80/N78,0)</f>
        <v>0</v>
      </c>
      <c r="O81" s="233">
        <f>IF(AND(O76='References Assumptions'!$C$331,O75&gt;0),O75/O77*O80/O78,0)</f>
        <v>0</v>
      </c>
      <c r="P81" s="233">
        <f>IF(AND(P76='References Assumptions'!$C$331,P75&gt;0),P75/P77*P80/P78,0)</f>
        <v>0</v>
      </c>
      <c r="Q81" s="233">
        <f>IF(AND(Q76='References Assumptions'!$C$331,Q75&gt;0),Q75/Q77*Q80/Q78,0)</f>
        <v>0</v>
      </c>
      <c r="R81" s="233">
        <f>IF(AND(R76='References Assumptions'!$C$331,R75&gt;0),R75/R77*R80/R78,0)</f>
        <v>0</v>
      </c>
      <c r="S81" s="233">
        <f>IF(AND(S76='References Assumptions'!$C$331,S75&gt;0),S75/S77*S80/S78,0)</f>
        <v>0</v>
      </c>
      <c r="T81" s="233">
        <f>IF(AND(T76='References Assumptions'!$C$331,T75&gt;0),T75/T77*T80/T78,0)</f>
        <v>0</v>
      </c>
      <c r="U81" s="233">
        <f>IF(AND(U76='References Assumptions'!$C$331,U75&gt;0),U75/U77*U80/U78,0)</f>
        <v>0</v>
      </c>
      <c r="V81" s="233">
        <f>IF(AND(V76='References Assumptions'!$C$331,V75&gt;0),V75/V77*V80/V78,0)</f>
        <v>0</v>
      </c>
      <c r="W81" s="233">
        <f>IF(AND(W76='References Assumptions'!$C$331,W75&gt;0),W75/W77*W80/W78,0)</f>
        <v>0</v>
      </c>
      <c r="X81" s="233">
        <f>IF(AND(X76='References Assumptions'!$C$331,X75&gt;0),X75/X77*X80/X78,0)</f>
        <v>0</v>
      </c>
      <c r="Y81" s="233">
        <f>IF(AND(Y76='References Assumptions'!$C$331,Y75&gt;0),Y75/Y77*Y80/Y78,0)</f>
        <v>0</v>
      </c>
      <c r="Z81" s="233">
        <f>IF(AND(Z76='References Assumptions'!$C$331,Z75&gt;0),Z75/Z77*Z80/Z78,0)</f>
        <v>0</v>
      </c>
      <c r="AA81" s="233">
        <f>IF(AND(AA76='References Assumptions'!$C$331,AA75&gt;0),AA75/AA77*AA80/AA78,0)</f>
        <v>0</v>
      </c>
      <c r="AB81" s="556">
        <f>SUM(C81:AA81)</f>
        <v>0</v>
      </c>
      <c r="AC81" s="547" t="s">
        <v>557</v>
      </c>
      <c r="AD81" s="548">
        <f>+SUMIF(C76:AA76,'References Assumptions'!$C$331,Transportation!C83:AA83)</f>
        <v>0</v>
      </c>
      <c r="AE81" s="549" t="e">
        <f>+AD81/SUMIF(C76:AA76,'References Assumptions'!$C$331,Transportation!C75:AA75)*Mg_kg</f>
        <v>#DIV/0!</v>
      </c>
    </row>
    <row r="82" spans="2:31" ht="17.25" thickBot="1" x14ac:dyDescent="0.3">
      <c r="B82" s="46" t="s">
        <v>316</v>
      </c>
      <c r="C82" s="550">
        <f>'Amount and Destination'!AA207</f>
        <v>0</v>
      </c>
      <c r="D82" s="550">
        <f>'Amount and Destination'!AA208</f>
        <v>0</v>
      </c>
      <c r="E82" s="550">
        <f>'Amount and Destination'!AA209</f>
        <v>0</v>
      </c>
      <c r="F82" s="550">
        <f>'Amount and Destination'!AA210</f>
        <v>0</v>
      </c>
      <c r="G82" s="550">
        <f>'Amount and Destination'!AA211</f>
        <v>0</v>
      </c>
      <c r="H82" s="550">
        <f>'Amount and Destination'!AA212</f>
        <v>0</v>
      </c>
      <c r="I82" s="550">
        <f>'Amount and Destination'!AA213</f>
        <v>0</v>
      </c>
      <c r="J82" s="550">
        <f>'Amount and Destination'!AA214</f>
        <v>0</v>
      </c>
      <c r="K82" s="550">
        <f>'Amount and Destination'!AA215</f>
        <v>0</v>
      </c>
      <c r="L82" s="550">
        <f>'Amount and Destination'!AA216</f>
        <v>0</v>
      </c>
      <c r="M82" s="550">
        <f>'Amount and Destination'!AA217</f>
        <v>0</v>
      </c>
      <c r="N82" s="550">
        <f>'Amount and Destination'!AA218</f>
        <v>0</v>
      </c>
      <c r="O82" s="550">
        <f>'Amount and Destination'!AA219</f>
        <v>0</v>
      </c>
      <c r="P82" s="550">
        <f>'Amount and Destination'!AA220</f>
        <v>0</v>
      </c>
      <c r="Q82" s="550">
        <f>'Amount and Destination'!AA221</f>
        <v>0</v>
      </c>
      <c r="R82" s="550">
        <f>'Amount and Destination'!AA222</f>
        <v>0</v>
      </c>
      <c r="S82" s="550">
        <f>'Amount and Destination'!AA223</f>
        <v>0</v>
      </c>
      <c r="T82" s="550">
        <f>'Amount and Destination'!AA224</f>
        <v>0</v>
      </c>
      <c r="U82" s="550">
        <f>'Amount and Destination'!AA225</f>
        <v>0</v>
      </c>
      <c r="V82" s="550">
        <f>'Amount and Destination'!AA226</f>
        <v>0</v>
      </c>
      <c r="W82" s="550">
        <f>'Amount and Destination'!AA227</f>
        <v>0</v>
      </c>
      <c r="X82" s="550">
        <f>'Amount and Destination'!AA228</f>
        <v>0</v>
      </c>
      <c r="Y82" s="550">
        <f>'Amount and Destination'!AA229</f>
        <v>0</v>
      </c>
      <c r="Z82" s="550">
        <f>'Amount and Destination'!AA230</f>
        <v>0</v>
      </c>
      <c r="AA82" s="550">
        <f>'Amount and Destination'!AA231</f>
        <v>0</v>
      </c>
      <c r="AB82" s="557"/>
      <c r="AC82" s="552" t="s">
        <v>558</v>
      </c>
      <c r="AD82" s="553">
        <f>+SUMIF(C76:AA76,'References Assumptions'!$C$332,Transportation!C83:AA83)</f>
        <v>0</v>
      </c>
      <c r="AE82" s="221" t="e">
        <f>+AD82/SUMIF(C76:AA76,'References Assumptions'!$C$331,Transportation!C75:AA75)*Mg_kg</f>
        <v>#DIV/0!</v>
      </c>
    </row>
    <row r="83" spans="2:31" ht="17.25" thickBot="1" x14ac:dyDescent="0.35">
      <c r="B83" s="153" t="s">
        <v>51</v>
      </c>
      <c r="C83" s="554" t="str">
        <f t="shared" ref="C83:AA83" si="15">IF(C76="Truck",C81*(1-C82)*CO2E_diesel__ClimateReg/1000000,IF(C76="Rail",C75*C80*rail_emis/Mg_kg,"N/A"))</f>
        <v>N/A</v>
      </c>
      <c r="D83" s="554" t="str">
        <f t="shared" si="15"/>
        <v>N/A</v>
      </c>
      <c r="E83" s="554" t="str">
        <f t="shared" si="15"/>
        <v>N/A</v>
      </c>
      <c r="F83" s="554" t="str">
        <f t="shared" si="15"/>
        <v>N/A</v>
      </c>
      <c r="G83" s="554" t="str">
        <f t="shared" si="15"/>
        <v>N/A</v>
      </c>
      <c r="H83" s="554" t="str">
        <f t="shared" si="15"/>
        <v>N/A</v>
      </c>
      <c r="I83" s="554" t="str">
        <f t="shared" si="15"/>
        <v>N/A</v>
      </c>
      <c r="J83" s="554" t="str">
        <f t="shared" si="15"/>
        <v>N/A</v>
      </c>
      <c r="K83" s="554" t="str">
        <f t="shared" si="15"/>
        <v>N/A</v>
      </c>
      <c r="L83" s="554" t="str">
        <f t="shared" si="15"/>
        <v>N/A</v>
      </c>
      <c r="M83" s="554" t="str">
        <f t="shared" si="15"/>
        <v>N/A</v>
      </c>
      <c r="N83" s="554" t="str">
        <f t="shared" si="15"/>
        <v>N/A</v>
      </c>
      <c r="O83" s="554" t="str">
        <f t="shared" si="15"/>
        <v>N/A</v>
      </c>
      <c r="P83" s="554" t="str">
        <f t="shared" si="15"/>
        <v>N/A</v>
      </c>
      <c r="Q83" s="554" t="str">
        <f t="shared" si="15"/>
        <v>N/A</v>
      </c>
      <c r="R83" s="554" t="str">
        <f t="shared" si="15"/>
        <v>N/A</v>
      </c>
      <c r="S83" s="554" t="str">
        <f t="shared" si="15"/>
        <v>N/A</v>
      </c>
      <c r="T83" s="554" t="str">
        <f t="shared" si="15"/>
        <v>N/A</v>
      </c>
      <c r="U83" s="554" t="str">
        <f t="shared" si="15"/>
        <v>N/A</v>
      </c>
      <c r="V83" s="554" t="str">
        <f t="shared" si="15"/>
        <v>N/A</v>
      </c>
      <c r="W83" s="554" t="str">
        <f t="shared" si="15"/>
        <v>N/A</v>
      </c>
      <c r="X83" s="554" t="str">
        <f t="shared" si="15"/>
        <v>N/A</v>
      </c>
      <c r="Y83" s="554" t="str">
        <f t="shared" si="15"/>
        <v>N/A</v>
      </c>
      <c r="Z83" s="554" t="str">
        <f t="shared" si="15"/>
        <v>N/A</v>
      </c>
      <c r="AA83" s="554" t="str">
        <f t="shared" si="15"/>
        <v>N/A</v>
      </c>
      <c r="AB83" s="555">
        <f>SUM(C83:AA83)</f>
        <v>0</v>
      </c>
    </row>
    <row r="84" spans="2:31" ht="15.75" x14ac:dyDescent="0.25">
      <c r="B84" s="148" t="str">
        <f>CONCATENATE("Transportation input - Scenario 9 - ",'Scenarios Data'!B257)</f>
        <v xml:space="preserve">Transportation input - Scenario 9 - </v>
      </c>
      <c r="C84" s="531" t="str">
        <f>IF(ISBLANK('Amount and Destination'!$C$236),"Destination 1",'Amount and Destination'!$C$236)</f>
        <v>Destination 1</v>
      </c>
      <c r="D84" s="531" t="str">
        <f>IF(ISBLANK('Amount and Destination'!$C$237),"Destination 2",'Amount and Destination'!$C$237)</f>
        <v>Destination 2</v>
      </c>
      <c r="E84" s="531" t="str">
        <f>IF(ISBLANK('Amount and Destination'!$C$238),"Destination 3",'Amount and Destination'!$C$238)</f>
        <v>Destination 3</v>
      </c>
      <c r="F84" s="531" t="str">
        <f>IF(ISBLANK('Amount and Destination'!$C$239),"Destination 4",'Amount and Destination'!$C$239)</f>
        <v>Destination 4</v>
      </c>
      <c r="G84" s="531" t="str">
        <f>IF(ISBLANK('Amount and Destination'!$C$240),"Destination 5",'Amount and Destination'!$C$240)</f>
        <v>Destination 5</v>
      </c>
      <c r="H84" s="531" t="str">
        <f>IF(ISBLANK('Amount and Destination'!$C$241),"Destination 6",'Amount and Destination'!$C$241)</f>
        <v>Destination 6</v>
      </c>
      <c r="I84" s="531" t="str">
        <f>IF(ISBLANK('Amount and Destination'!$C$242),"Destination 7",'Amount and Destination'!$C$242)</f>
        <v>Destination 7</v>
      </c>
      <c r="J84" s="531" t="str">
        <f>IF(ISBLANK('Amount and Destination'!$C$243),"Destination 8",'Amount and Destination'!$C$243)</f>
        <v>Destination 8</v>
      </c>
      <c r="K84" s="531" t="str">
        <f>IF(ISBLANK('Amount and Destination'!$C$244),"Destination 9",'Amount and Destination'!$C$244)</f>
        <v>Destination 9</v>
      </c>
      <c r="L84" s="531" t="str">
        <f>IF(ISBLANK('Amount and Destination'!$C$245),"Destination 10",'Amount and Destination'!$C$245)</f>
        <v>Destination 10</v>
      </c>
      <c r="M84" s="532" t="str">
        <f>IF(ISBLANK('Amount and Destination'!$C$246),"Destination 11",'Amount and Destination'!$C$246)</f>
        <v>Destination 11</v>
      </c>
      <c r="N84" s="533" t="str">
        <f>IF(ISBLANK('Amount and Destination'!$C$247),"Destination 12",'Amount and Destination'!$C$247)</f>
        <v>Destination 12</v>
      </c>
      <c r="O84" s="533" t="str">
        <f>IF(ISBLANK('Amount and Destination'!$C$248),"Destination 13",'Amount and Destination'!$C$248)</f>
        <v>Destination 13</v>
      </c>
      <c r="P84" s="531" t="str">
        <f>IF(ISBLANK('Amount and Destination'!$C$249),"Destination 14",'Amount and Destination'!$C$249)</f>
        <v>Destination 14</v>
      </c>
      <c r="Q84" s="531" t="str">
        <f>IF(ISBLANK('Amount and Destination'!$C$250),"Destination 15",'Amount and Destination'!$C$250)</f>
        <v>Destination 15</v>
      </c>
      <c r="R84" s="531" t="str">
        <f>IF(ISBLANK('Amount and Destination'!$C$251),"Destination 16",'Amount and Destination'!$C$251)</f>
        <v>Destination 16</v>
      </c>
      <c r="S84" s="534" t="str">
        <f>IF(ISBLANK('Amount and Destination'!$C$252),"Destination 17",'Amount and Destination'!$C$252)</f>
        <v>Destination 17</v>
      </c>
      <c r="T84" s="531" t="str">
        <f>IF(ISBLANK('Amount and Destination'!$C$253),"Destination 18",'Amount and Destination'!$C$253)</f>
        <v>Destination 18</v>
      </c>
      <c r="U84" s="531" t="str">
        <f>IF(ISBLANK('Amount and Destination'!$C$254),"Destination 19",'Amount and Destination'!$C$254)</f>
        <v>Destination 19</v>
      </c>
      <c r="V84" s="531" t="str">
        <f>IF(ISBLANK('Amount and Destination'!$C$255),"Destination 20",'Amount and Destination'!$C$255)</f>
        <v>Destination 20</v>
      </c>
      <c r="W84" s="531" t="str">
        <f>IF(ISBLANK('Amount and Destination'!$C$256),"Destination 21",'Amount and Destination'!$C$256)</f>
        <v>Destination 21</v>
      </c>
      <c r="X84" s="531" t="str">
        <f>IF(ISBLANK('Amount and Destination'!$C$257),"Destination 22",'Amount and Destination'!$C$257)</f>
        <v>Destination 22</v>
      </c>
      <c r="Y84" s="531" t="str">
        <f>IF(ISBLANK('Amount and Destination'!$C$258),"Destination 23",'Amount and Destination'!$C$258)</f>
        <v>Destination 23</v>
      </c>
      <c r="Z84" s="531" t="str">
        <f>IF(ISBLANK('Amount and Destination'!$C$259),"Destination 24",'Amount and Destination'!$C$259)</f>
        <v>Destination 24</v>
      </c>
      <c r="AA84" s="531" t="str">
        <f>IF(ISBLANK('Amount and Destination'!$C$28),"Destination 260",'Amount and Destination'!$C$260)</f>
        <v>Destination 260</v>
      </c>
      <c r="AB84" s="535" t="s">
        <v>162</v>
      </c>
    </row>
    <row r="85" spans="2:31" ht="15" thickBot="1" x14ac:dyDescent="0.25">
      <c r="B85" s="245" t="s">
        <v>869</v>
      </c>
      <c r="C85" s="1189">
        <v>0</v>
      </c>
      <c r="D85" s="1189">
        <v>0</v>
      </c>
      <c r="E85" s="1189">
        <v>0</v>
      </c>
      <c r="F85" s="1189">
        <v>0</v>
      </c>
      <c r="G85" s="1189">
        <v>0</v>
      </c>
      <c r="H85" s="1189">
        <v>0</v>
      </c>
      <c r="I85" s="1189">
        <v>0</v>
      </c>
      <c r="J85" s="1189">
        <v>0</v>
      </c>
      <c r="K85" s="1189">
        <v>0</v>
      </c>
      <c r="L85" s="1189">
        <v>0</v>
      </c>
      <c r="M85" s="1189">
        <v>0</v>
      </c>
      <c r="N85" s="1189">
        <v>0</v>
      </c>
      <c r="O85" s="1189">
        <v>0</v>
      </c>
      <c r="P85" s="1189">
        <v>0</v>
      </c>
      <c r="Q85" s="1189">
        <v>0</v>
      </c>
      <c r="R85" s="1189">
        <v>0</v>
      </c>
      <c r="S85" s="1189">
        <v>0</v>
      </c>
      <c r="T85" s="1189">
        <v>0</v>
      </c>
      <c r="U85" s="1189">
        <v>0</v>
      </c>
      <c r="V85" s="1189">
        <v>0</v>
      </c>
      <c r="W85" s="1189">
        <v>0</v>
      </c>
      <c r="X85" s="1189">
        <v>0</v>
      </c>
      <c r="Y85" s="1189">
        <v>0</v>
      </c>
      <c r="Z85" s="1189">
        <v>0</v>
      </c>
      <c r="AA85" s="1189">
        <v>0</v>
      </c>
      <c r="AB85" s="1353"/>
      <c r="AD85" s="96"/>
    </row>
    <row r="86" spans="2:31" ht="21" x14ac:dyDescent="0.25">
      <c r="B86" s="558" t="s">
        <v>396</v>
      </c>
      <c r="C86" s="102">
        <f>'Amount and Destination'!W236</f>
        <v>0</v>
      </c>
      <c r="D86" s="102">
        <f>+'Amount and Destination'!W237</f>
        <v>0</v>
      </c>
      <c r="E86" s="536">
        <f>+'Amount and Destination'!W238</f>
        <v>0</v>
      </c>
      <c r="F86" s="536">
        <f>+'Amount and Destination'!W239</f>
        <v>0</v>
      </c>
      <c r="G86" s="536">
        <f>+'Amount and Destination'!W240</f>
        <v>0</v>
      </c>
      <c r="H86" s="536">
        <f>+'Amount and Destination'!W241</f>
        <v>0</v>
      </c>
      <c r="I86" s="536">
        <f>+'Amount and Destination'!W242</f>
        <v>0</v>
      </c>
      <c r="J86" s="536">
        <f>+'Amount and Destination'!W243</f>
        <v>0</v>
      </c>
      <c r="K86" s="536">
        <f>+'Amount and Destination'!W244</f>
        <v>0</v>
      </c>
      <c r="L86" s="536">
        <f>+'Amount and Destination'!W245</f>
        <v>0</v>
      </c>
      <c r="M86" s="536">
        <f>+'Amount and Destination'!W246</f>
        <v>0</v>
      </c>
      <c r="N86" s="536">
        <f>+'Amount and Destination'!W247</f>
        <v>0</v>
      </c>
      <c r="O86" s="536">
        <f>+'Amount and Destination'!W248</f>
        <v>0</v>
      </c>
      <c r="P86" s="536">
        <f>+'Amount and Destination'!W249</f>
        <v>0</v>
      </c>
      <c r="Q86" s="536">
        <f>+'Amount and Destination'!W250</f>
        <v>0</v>
      </c>
      <c r="R86" s="536">
        <f>+'Amount and Destination'!W251</f>
        <v>0</v>
      </c>
      <c r="S86" s="536">
        <f>+'Amount and Destination'!W252</f>
        <v>0</v>
      </c>
      <c r="T86" s="537">
        <f>+'Amount and Destination'!W253</f>
        <v>0</v>
      </c>
      <c r="U86" s="537">
        <f>+'Amount and Destination'!W254</f>
        <v>0</v>
      </c>
      <c r="V86" s="537">
        <f>+'Amount and Destination'!W255</f>
        <v>0</v>
      </c>
      <c r="W86" s="537">
        <f>+'Amount and Destination'!W256</f>
        <v>0</v>
      </c>
      <c r="X86" s="537">
        <f>+'Amount and Destination'!W257</f>
        <v>0</v>
      </c>
      <c r="Y86" s="537">
        <f>+'Amount and Destination'!W258</f>
        <v>0</v>
      </c>
      <c r="Z86" s="537">
        <f>+'Amount and Destination'!W259</f>
        <v>0</v>
      </c>
      <c r="AA86" s="538">
        <f>+'Amount and Destination'!W260</f>
        <v>0</v>
      </c>
      <c r="AB86" s="1353"/>
      <c r="AC86" s="539" t="s">
        <v>44</v>
      </c>
      <c r="AD86" s="540">
        <f>SUM(C93:AA93)</f>
        <v>0</v>
      </c>
      <c r="AE86" s="1361" t="s">
        <v>559</v>
      </c>
    </row>
    <row r="87" spans="2:31" ht="15" x14ac:dyDescent="0.25">
      <c r="B87" s="558" t="s">
        <v>870</v>
      </c>
      <c r="C87" s="542">
        <f>+'Amount and Destination'!Z236</f>
        <v>0</v>
      </c>
      <c r="D87" s="542">
        <f>+'Amount and Destination'!Z237</f>
        <v>0</v>
      </c>
      <c r="E87" s="542">
        <f>+'Amount and Destination'!Z238</f>
        <v>0</v>
      </c>
      <c r="F87" s="542">
        <f>+'Amount and Destination'!Z239</f>
        <v>0</v>
      </c>
      <c r="G87" s="542">
        <f>+'Amount and Destination'!Z240</f>
        <v>0</v>
      </c>
      <c r="H87" s="542">
        <f>+'Amount and Destination'!Z241</f>
        <v>0</v>
      </c>
      <c r="I87" s="542">
        <f>+'Amount and Destination'!Z242</f>
        <v>0</v>
      </c>
      <c r="J87" s="542">
        <f>+'Amount and Destination'!Z243</f>
        <v>0</v>
      </c>
      <c r="K87" s="542">
        <f>+'Amount and Destination'!Z244</f>
        <v>0</v>
      </c>
      <c r="L87" s="542">
        <f>+'Amount and Destination'!Z245</f>
        <v>0</v>
      </c>
      <c r="M87" s="542">
        <f>+'Amount and Destination'!Z246</f>
        <v>0</v>
      </c>
      <c r="N87" s="542">
        <f>+'Amount and Destination'!Z247</f>
        <v>0</v>
      </c>
      <c r="O87" s="542">
        <f>+'Amount and Destination'!Z248</f>
        <v>0</v>
      </c>
      <c r="P87" s="542">
        <f>+'Amount and Destination'!Z249</f>
        <v>0</v>
      </c>
      <c r="Q87" s="542">
        <f>+'Amount and Destination'!Z250</f>
        <v>0</v>
      </c>
      <c r="R87" s="542">
        <f>+'Amount and Destination'!Z251</f>
        <v>0</v>
      </c>
      <c r="S87" s="542">
        <f>+'Amount and Destination'!Z252</f>
        <v>0</v>
      </c>
      <c r="T87" s="873">
        <f>+'Amount and Destination'!Z253</f>
        <v>0</v>
      </c>
      <c r="U87" s="873">
        <f>+'Amount and Destination'!Z254</f>
        <v>0</v>
      </c>
      <c r="V87" s="873">
        <f>+'Amount and Destination'!Z255</f>
        <v>0</v>
      </c>
      <c r="W87" s="873">
        <f>+'Amount and Destination'!Z256</f>
        <v>0</v>
      </c>
      <c r="X87" s="873">
        <f>+'Amount and Destination'!Z257</f>
        <v>0</v>
      </c>
      <c r="Y87" s="873">
        <f>+'Amount and Destination'!Z258</f>
        <v>0</v>
      </c>
      <c r="Z87" s="873">
        <f>+'Amount and Destination'!Z259</f>
        <v>0</v>
      </c>
      <c r="AA87" s="874">
        <f>+'Amount and Destination'!Z260</f>
        <v>0</v>
      </c>
      <c r="AB87" s="1354"/>
      <c r="AC87" s="215" t="s">
        <v>228</v>
      </c>
      <c r="AD87" s="543">
        <f>AD86</f>
        <v>0</v>
      </c>
      <c r="AE87" s="1362"/>
    </row>
    <row r="88" spans="2:31" ht="15" x14ac:dyDescent="0.25">
      <c r="B88" s="558" t="s">
        <v>2</v>
      </c>
      <c r="C88" s="544">
        <f t="shared" ref="C88:AA88" si="16">+$C$113</f>
        <v>2.4743422909272987</v>
      </c>
      <c r="D88" s="544">
        <f t="shared" si="16"/>
        <v>2.4743422909272987</v>
      </c>
      <c r="E88" s="544">
        <f t="shared" si="16"/>
        <v>2.4743422909272987</v>
      </c>
      <c r="F88" s="544">
        <f t="shared" si="16"/>
        <v>2.4743422909272987</v>
      </c>
      <c r="G88" s="544">
        <f t="shared" si="16"/>
        <v>2.4743422909272987</v>
      </c>
      <c r="H88" s="544">
        <f t="shared" si="16"/>
        <v>2.4743422909272987</v>
      </c>
      <c r="I88" s="544">
        <f t="shared" si="16"/>
        <v>2.4743422909272987</v>
      </c>
      <c r="J88" s="544">
        <f t="shared" si="16"/>
        <v>2.4743422909272987</v>
      </c>
      <c r="K88" s="544">
        <f t="shared" si="16"/>
        <v>2.4743422909272987</v>
      </c>
      <c r="L88" s="544">
        <f t="shared" si="16"/>
        <v>2.4743422909272987</v>
      </c>
      <c r="M88" s="544">
        <f t="shared" si="16"/>
        <v>2.4743422909272987</v>
      </c>
      <c r="N88" s="544">
        <f t="shared" si="16"/>
        <v>2.4743422909272987</v>
      </c>
      <c r="O88" s="544">
        <f t="shared" si="16"/>
        <v>2.4743422909272987</v>
      </c>
      <c r="P88" s="544">
        <f t="shared" si="16"/>
        <v>2.4743422909272987</v>
      </c>
      <c r="Q88" s="544">
        <f t="shared" si="16"/>
        <v>2.4743422909272987</v>
      </c>
      <c r="R88" s="544">
        <f t="shared" si="16"/>
        <v>2.4743422909272987</v>
      </c>
      <c r="S88" s="544">
        <f t="shared" si="16"/>
        <v>2.4743422909272987</v>
      </c>
      <c r="T88" s="544">
        <f t="shared" si="16"/>
        <v>2.4743422909272987</v>
      </c>
      <c r="U88" s="544">
        <f t="shared" si="16"/>
        <v>2.4743422909272987</v>
      </c>
      <c r="V88" s="544">
        <f t="shared" si="16"/>
        <v>2.4743422909272987</v>
      </c>
      <c r="W88" s="544">
        <f t="shared" si="16"/>
        <v>2.4743422909272987</v>
      </c>
      <c r="X88" s="544">
        <f t="shared" si="16"/>
        <v>2.4743422909272987</v>
      </c>
      <c r="Y88" s="544">
        <f t="shared" si="16"/>
        <v>2.4743422909272987</v>
      </c>
      <c r="Z88" s="544">
        <f t="shared" si="16"/>
        <v>2.4743422909272987</v>
      </c>
      <c r="AA88" s="544">
        <f t="shared" si="16"/>
        <v>2.4743422909272987</v>
      </c>
      <c r="AB88" s="1353"/>
      <c r="AC88" s="215" t="s">
        <v>229</v>
      </c>
      <c r="AD88" s="545" t="s">
        <v>307</v>
      </c>
      <c r="AE88" s="1362"/>
    </row>
    <row r="89" spans="2:31" ht="15" x14ac:dyDescent="0.25">
      <c r="B89" s="558" t="s">
        <v>485</v>
      </c>
      <c r="C89" s="544">
        <f>'Amount and Destination'!R236</f>
        <v>0</v>
      </c>
      <c r="D89" s="544">
        <f>'Amount and Destination'!R237</f>
        <v>0</v>
      </c>
      <c r="E89" s="544">
        <f>'Amount and Destination'!R238</f>
        <v>0</v>
      </c>
      <c r="F89" s="544">
        <f>'Amount and Destination'!R239</f>
        <v>0</v>
      </c>
      <c r="G89" s="544">
        <f>'Amount and Destination'!R240</f>
        <v>0</v>
      </c>
      <c r="H89" s="544">
        <f>'Amount and Destination'!R241</f>
        <v>0</v>
      </c>
      <c r="I89" s="544">
        <f>'Amount and Destination'!R242</f>
        <v>0</v>
      </c>
      <c r="J89" s="544">
        <f>'Amount and Destination'!R243</f>
        <v>0</v>
      </c>
      <c r="K89" s="544">
        <f>'Amount and Destination'!R244</f>
        <v>0</v>
      </c>
      <c r="L89" s="544">
        <f>'Amount and Destination'!R245</f>
        <v>0</v>
      </c>
      <c r="M89" s="544">
        <f>'Amount and Destination'!R246</f>
        <v>0</v>
      </c>
      <c r="N89" s="544">
        <f>'Amount and Destination'!R247</f>
        <v>0</v>
      </c>
      <c r="O89" s="544">
        <f>'Amount and Destination'!R248</f>
        <v>0</v>
      </c>
      <c r="P89" s="544">
        <f>'Amount and Destination'!R249</f>
        <v>0</v>
      </c>
      <c r="Q89" s="544">
        <f>'Amount and Destination'!R250</f>
        <v>0</v>
      </c>
      <c r="R89" s="544">
        <f>'Amount and Destination'!R251</f>
        <v>0</v>
      </c>
      <c r="S89" s="544">
        <f>'Amount and Destination'!R252</f>
        <v>0</v>
      </c>
      <c r="T89" s="544">
        <f>'Amount and Destination'!R253</f>
        <v>0</v>
      </c>
      <c r="U89" s="544">
        <f>'Amount and Destination'!R254</f>
        <v>0</v>
      </c>
      <c r="V89" s="544">
        <f>'Amount and Destination'!R255</f>
        <v>0</v>
      </c>
      <c r="W89" s="544">
        <f>'Amount and Destination'!R256</f>
        <v>0</v>
      </c>
      <c r="X89" s="544">
        <f>'Amount and Destination'!R257</f>
        <v>0</v>
      </c>
      <c r="Y89" s="544">
        <f>'Amount and Destination'!R258</f>
        <v>0</v>
      </c>
      <c r="Z89" s="544">
        <f>'Amount and Destination'!R259</f>
        <v>0</v>
      </c>
      <c r="AA89" s="544">
        <f>'Amount and Destination'!R260</f>
        <v>0</v>
      </c>
      <c r="AB89" s="1353"/>
      <c r="AC89" s="215" t="s">
        <v>230</v>
      </c>
      <c r="AD89" s="545" t="s">
        <v>307</v>
      </c>
      <c r="AE89" s="1362"/>
    </row>
    <row r="90" spans="2:31" ht="15.75" thickBot="1" x14ac:dyDescent="0.3">
      <c r="B90" s="558" t="s">
        <v>486</v>
      </c>
      <c r="C90" s="542" t="str">
        <f>IF(C89='References Assumptions'!$C$333,'Amount and Destination'!$V236,IF(C89='References Assumptions'!$C$334,'Amount and Destination'!$T236,"N/A"))</f>
        <v>N/A</v>
      </c>
      <c r="D90" s="542" t="str">
        <f>IF(D89='References Assumptions'!$C$333,'Amount and Destination'!$V237,IF(D89='References Assumptions'!$C$334,'Amount and Destination'!$T237,"N/A"))</f>
        <v>N/A</v>
      </c>
      <c r="E90" s="542" t="str">
        <f>IF(E89='References Assumptions'!$C$333,'Amount and Destination'!$V238,IF(E89='References Assumptions'!$C$334,'Amount and Destination'!$T238,"N/A"))</f>
        <v>N/A</v>
      </c>
      <c r="F90" s="542" t="str">
        <f>IF(F89='References Assumptions'!$C$333,'Amount and Destination'!$V239,IF(F89='References Assumptions'!$C$334,'Amount and Destination'!$T239,"N/A"))</f>
        <v>N/A</v>
      </c>
      <c r="G90" s="542" t="str">
        <f>IF(G89='References Assumptions'!$C$333,'Amount and Destination'!$V240,IF(G89='References Assumptions'!$C$334,'Amount and Destination'!$T240,"N/A"))</f>
        <v>N/A</v>
      </c>
      <c r="H90" s="542" t="str">
        <f>IF(H89='References Assumptions'!$C$333,'Amount and Destination'!$V241,IF(H89='References Assumptions'!$C$334,'Amount and Destination'!$T241,"N/A"))</f>
        <v>N/A</v>
      </c>
      <c r="I90" s="542" t="str">
        <f>IF(I89='References Assumptions'!$C$333,'Amount and Destination'!$V242,IF(I89='References Assumptions'!$C$334,'Amount and Destination'!$T242,"N/A"))</f>
        <v>N/A</v>
      </c>
      <c r="J90" s="542" t="str">
        <f>IF(J89='References Assumptions'!$C$333,'Amount and Destination'!$V243,IF(J89='References Assumptions'!$C$334,'Amount and Destination'!$T243,"N/A"))</f>
        <v>N/A</v>
      </c>
      <c r="K90" s="542" t="str">
        <f>IF(K89='References Assumptions'!$C$333,'Amount and Destination'!$V244,IF(K89='References Assumptions'!$C$334,'Amount and Destination'!$T244,"N/A"))</f>
        <v>N/A</v>
      </c>
      <c r="L90" s="542" t="str">
        <f>IF(L89='References Assumptions'!$C$333,'Amount and Destination'!$V245,IF(L89='References Assumptions'!$C$334,'Amount and Destination'!$T245,"N/A"))</f>
        <v>N/A</v>
      </c>
      <c r="M90" s="542" t="str">
        <f>IF(M89='References Assumptions'!$C$333,'Amount and Destination'!$V246,IF(M89='References Assumptions'!$C$334,'Amount and Destination'!$T246,"N/A"))</f>
        <v>N/A</v>
      </c>
      <c r="N90" s="542" t="str">
        <f>IF(N89='References Assumptions'!$C$333,'Amount and Destination'!$V247,IF(N89='References Assumptions'!$C$334,'Amount and Destination'!$T247,"N/A"))</f>
        <v>N/A</v>
      </c>
      <c r="O90" s="542" t="str">
        <f>IF(O89='References Assumptions'!$C$333,'Amount and Destination'!$V248,IF(O89='References Assumptions'!$C$334,'Amount and Destination'!$T248,"N/A"))</f>
        <v>N/A</v>
      </c>
      <c r="P90" s="542" t="str">
        <f>IF(P89='References Assumptions'!$C$333,'Amount and Destination'!$V249,IF(P89='References Assumptions'!$C$334,'Amount and Destination'!$T249,"N/A"))</f>
        <v>N/A</v>
      </c>
      <c r="Q90" s="542" t="str">
        <f>IF(Q89='References Assumptions'!$C$333,'Amount and Destination'!$V250,IF(Q89='References Assumptions'!$C$334,'Amount and Destination'!$T250,"N/A"))</f>
        <v>N/A</v>
      </c>
      <c r="R90" s="542" t="str">
        <f>IF(R89='References Assumptions'!$C$333,'Amount and Destination'!$V251,IF(R89='References Assumptions'!$C$334,'Amount and Destination'!$T251,"N/A"))</f>
        <v>N/A</v>
      </c>
      <c r="S90" s="542" t="str">
        <f>IF(S89='References Assumptions'!$C$333,'Amount and Destination'!$V252,IF(S89='References Assumptions'!$C$334,'Amount and Destination'!$T252,"N/A"))</f>
        <v>N/A</v>
      </c>
      <c r="T90" s="542" t="str">
        <f>IF(T89='References Assumptions'!$C$333,'Amount and Destination'!$V253,IF(T89='References Assumptions'!$C$334,'Amount and Destination'!$T253,"N/A"))</f>
        <v>N/A</v>
      </c>
      <c r="U90" s="542" t="str">
        <f>IF(U89='References Assumptions'!$C$333,'Amount and Destination'!$V254,IF(U89='References Assumptions'!$C$334,'Amount and Destination'!$T254,"N/A"))</f>
        <v>N/A</v>
      </c>
      <c r="V90" s="542" t="str">
        <f>IF(V89='References Assumptions'!$C$333,'Amount and Destination'!$V255,IF(V89='References Assumptions'!$C$334,'Amount and Destination'!$T255,"N/A"))</f>
        <v>N/A</v>
      </c>
      <c r="W90" s="542" t="str">
        <f>IF(W89='References Assumptions'!$C$333,'Amount and Destination'!$V256,IF(W89='References Assumptions'!$C$334,'Amount and Destination'!$T256,"N/A"))</f>
        <v>N/A</v>
      </c>
      <c r="X90" s="542" t="str">
        <f>IF(X89='References Assumptions'!$C$333,'Amount and Destination'!$V257,IF(X89='References Assumptions'!$C$334,'Amount and Destination'!$T257,"N/A"))</f>
        <v>N/A</v>
      </c>
      <c r="Y90" s="542" t="str">
        <f>IF(Y89='References Assumptions'!$C$333,'Amount and Destination'!$V258,IF(Y89='References Assumptions'!$C$334,'Amount and Destination'!$T258,"N/A"))</f>
        <v>N/A</v>
      </c>
      <c r="Z90" s="542" t="str">
        <f>IF(Z89='References Assumptions'!$C$333,'Amount and Destination'!$V259,IF(Z89='References Assumptions'!$C$334,'Amount and Destination'!$T259,"N/A"))</f>
        <v>N/A</v>
      </c>
      <c r="AA90" s="542" t="str">
        <f>IF(AA89='References Assumptions'!$C$333,'Amount and Destination'!$V260,IF(AA89='References Assumptions'!$C$334,'Amount and Destination'!$T260,"N/A"))</f>
        <v>N/A</v>
      </c>
      <c r="AB90" s="1354"/>
      <c r="AC90" s="215" t="s">
        <v>232</v>
      </c>
      <c r="AD90" s="545">
        <f>((C91*C92)+(D91*D92)+(E91*E92)+(F91*F92)+(G91*G92)+(H91*H92)+(I91*I92)+(J91*J92)+(K91*K92)+(L91*L92)+(M91*M92)+(N91*N92)+(O91*O92)+(P91*P92)+(Q91*Q92)+(R91*R92)+(S91*S92)+(T91*T92)+(U91*U92)+(V91*V92)+(W91*W92)+(X91*X92)+(Y91*Y92)+(Z91*Z92)+(AA91*AA92))*(CO2E_diesel__ClimateReg/Mg_g)</f>
        <v>0</v>
      </c>
      <c r="AE90" s="1363"/>
    </row>
    <row r="91" spans="2:31" ht="16.5" x14ac:dyDescent="0.25">
      <c r="B91" s="46" t="s">
        <v>315</v>
      </c>
      <c r="C91" s="233">
        <f>IF(AND(C86='References Assumptions'!$C$331,C85&gt;0),C85/C87*C90/C88,0)</f>
        <v>0</v>
      </c>
      <c r="D91" s="233">
        <f>IF(AND(D86='References Assumptions'!$C$331,D85&gt;0),D85/D87*D90/D88,0)</f>
        <v>0</v>
      </c>
      <c r="E91" s="233">
        <f>IF(AND(E86='References Assumptions'!$C$331,E85&gt;0),E85/E87*E90/E88,0)</f>
        <v>0</v>
      </c>
      <c r="F91" s="233">
        <f>IF(AND(F86='References Assumptions'!$C$331,F85&gt;0),F85/F87*F90/F88,0)</f>
        <v>0</v>
      </c>
      <c r="G91" s="233">
        <f>IF(AND(G86='References Assumptions'!$C$331,G85&gt;0),G85/G87*G90/G88,0)</f>
        <v>0</v>
      </c>
      <c r="H91" s="233">
        <f>IF(AND(H86='References Assumptions'!$C$331,H85&gt;0),H85/H87*H90/H88,0)</f>
        <v>0</v>
      </c>
      <c r="I91" s="233">
        <f>IF(AND(I86='References Assumptions'!$C$331,I85&gt;0),I85/I87*I90/I88,0)</f>
        <v>0</v>
      </c>
      <c r="J91" s="233">
        <f>IF(AND(J86='References Assumptions'!$C$331,J85&gt;0),J85/J87*J90/J88,0)</f>
        <v>0</v>
      </c>
      <c r="K91" s="233">
        <f>IF(AND(K86='References Assumptions'!$C$331,K85&gt;0),K85/K87*K90/K88,0)</f>
        <v>0</v>
      </c>
      <c r="L91" s="233">
        <f>IF(AND(L86='References Assumptions'!$C$331,L85&gt;0),L85/L87*L90/L88,0)</f>
        <v>0</v>
      </c>
      <c r="M91" s="233">
        <f>IF(AND(M86='References Assumptions'!$C$331,M85&gt;0),M85/M87*M90/M88,0)</f>
        <v>0</v>
      </c>
      <c r="N91" s="233">
        <f>IF(AND(N86='References Assumptions'!$C$331,N85&gt;0),N85/N87*N90/N88,0)</f>
        <v>0</v>
      </c>
      <c r="O91" s="233">
        <f>IF(AND(O86='References Assumptions'!$C$331,O85&gt;0),O85/O87*O90/O88,0)</f>
        <v>0</v>
      </c>
      <c r="P91" s="233">
        <f>IF(AND(P86='References Assumptions'!$C$331,P85&gt;0),P85/P87*P90/P88,0)</f>
        <v>0</v>
      </c>
      <c r="Q91" s="233">
        <f>IF(AND(Q86='References Assumptions'!$C$331,Q85&gt;0),Q85/Q87*Q90/Q88,0)</f>
        <v>0</v>
      </c>
      <c r="R91" s="233">
        <f>IF(AND(R86='References Assumptions'!$C$331,R85&gt;0),R85/R87*R90/R88,0)</f>
        <v>0</v>
      </c>
      <c r="S91" s="233">
        <f>IF(AND(S86='References Assumptions'!$C$331,S85&gt;0),S85/S87*S90/S88,0)</f>
        <v>0</v>
      </c>
      <c r="T91" s="233">
        <f>IF(AND(T86='References Assumptions'!$C$331,T85&gt;0),T85/T87*T90/T88,0)</f>
        <v>0</v>
      </c>
      <c r="U91" s="233">
        <f>IF(AND(U86='References Assumptions'!$C$331,U85&gt;0),U85/U87*U90/U88,0)</f>
        <v>0</v>
      </c>
      <c r="V91" s="233">
        <f>IF(AND(V86='References Assumptions'!$C$331,V85&gt;0),V85/V87*V90/V88,0)</f>
        <v>0</v>
      </c>
      <c r="W91" s="233">
        <f>IF(AND(W86='References Assumptions'!$C$331,W85&gt;0),W85/W87*W90/W88,0)</f>
        <v>0</v>
      </c>
      <c r="X91" s="233">
        <f>IF(AND(X86='References Assumptions'!$C$331,X85&gt;0),X85/X87*X90/X88,0)</f>
        <v>0</v>
      </c>
      <c r="Y91" s="233">
        <f>IF(AND(Y86='References Assumptions'!$C$331,Y85&gt;0),Y85/Y87*Y90/Y88,0)</f>
        <v>0</v>
      </c>
      <c r="Z91" s="233">
        <f>IF(AND(Z86='References Assumptions'!$C$331,Z85&gt;0),Z85/Z87*Z90/Z88,0)</f>
        <v>0</v>
      </c>
      <c r="AA91" s="233">
        <f>IF(AND(AA86='References Assumptions'!$C$331,AA85&gt;0),AA85/AA87*AA90/AA88,0)</f>
        <v>0</v>
      </c>
      <c r="AB91" s="556">
        <f>SUM(C91:AA91)</f>
        <v>0</v>
      </c>
      <c r="AC91" s="547" t="s">
        <v>557</v>
      </c>
      <c r="AD91" s="548">
        <f>+SUMIF(C86:AA86,'References Assumptions'!$C$331,Transportation!C93:AA93)</f>
        <v>0</v>
      </c>
      <c r="AE91" s="549" t="e">
        <f>+AD91/SUMIF(C86:AA86,'References Assumptions'!$C$331,Transportation!C85:AA85)*Mg_kg</f>
        <v>#DIV/0!</v>
      </c>
    </row>
    <row r="92" spans="2:31" ht="17.25" thickBot="1" x14ac:dyDescent="0.3">
      <c r="B92" s="46" t="s">
        <v>316</v>
      </c>
      <c r="C92" s="550">
        <f>'Amount and Destination'!AA236</f>
        <v>0</v>
      </c>
      <c r="D92" s="550">
        <f>'Amount and Destination'!AA237</f>
        <v>0</v>
      </c>
      <c r="E92" s="550">
        <f>'Amount and Destination'!AA238</f>
        <v>0</v>
      </c>
      <c r="F92" s="550">
        <f>'Amount and Destination'!AA239</f>
        <v>0</v>
      </c>
      <c r="G92" s="550">
        <f>'Amount and Destination'!AA240</f>
        <v>0</v>
      </c>
      <c r="H92" s="550">
        <f>'Amount and Destination'!AA241</f>
        <v>0</v>
      </c>
      <c r="I92" s="550">
        <f>'Amount and Destination'!AA242</f>
        <v>0</v>
      </c>
      <c r="J92" s="550">
        <f>'Amount and Destination'!AA243</f>
        <v>0</v>
      </c>
      <c r="K92" s="550">
        <f>'Amount and Destination'!AA244</f>
        <v>0</v>
      </c>
      <c r="L92" s="550">
        <f>'Amount and Destination'!AA245</f>
        <v>0</v>
      </c>
      <c r="M92" s="550">
        <f>'Amount and Destination'!AA246</f>
        <v>0</v>
      </c>
      <c r="N92" s="550">
        <f>'Amount and Destination'!AA247</f>
        <v>0</v>
      </c>
      <c r="O92" s="550">
        <f>'Amount and Destination'!AA248</f>
        <v>0</v>
      </c>
      <c r="P92" s="550">
        <f>'Amount and Destination'!AA249</f>
        <v>0</v>
      </c>
      <c r="Q92" s="550">
        <f>'Amount and Destination'!AA250</f>
        <v>0</v>
      </c>
      <c r="R92" s="550">
        <f>'Amount and Destination'!AA251</f>
        <v>0</v>
      </c>
      <c r="S92" s="550">
        <f>'Amount and Destination'!AA252</f>
        <v>0</v>
      </c>
      <c r="T92" s="550">
        <f>'Amount and Destination'!AA253</f>
        <v>0</v>
      </c>
      <c r="U92" s="550">
        <f>'Amount and Destination'!AA254</f>
        <v>0</v>
      </c>
      <c r="V92" s="550">
        <f>'Amount and Destination'!AA255</f>
        <v>0</v>
      </c>
      <c r="W92" s="550">
        <f>'Amount and Destination'!AA256</f>
        <v>0</v>
      </c>
      <c r="X92" s="550">
        <f>'Amount and Destination'!AA257</f>
        <v>0</v>
      </c>
      <c r="Y92" s="550">
        <f>'Amount and Destination'!AA258</f>
        <v>0</v>
      </c>
      <c r="Z92" s="550">
        <f>'Amount and Destination'!AA259</f>
        <v>0</v>
      </c>
      <c r="AA92" s="550">
        <f>'Amount and Destination'!AA260</f>
        <v>0</v>
      </c>
      <c r="AB92" s="557"/>
      <c r="AC92" s="552" t="s">
        <v>558</v>
      </c>
      <c r="AD92" s="553">
        <f>+SUMIF(C86:AA86,'References Assumptions'!$C$332,Transportation!C93:AA93)</f>
        <v>0</v>
      </c>
      <c r="AE92" s="221" t="e">
        <f>+AD92/SUMIF(C86:AA86,'References Assumptions'!$C$331,Transportation!C85:AA85)*Mg_kg</f>
        <v>#DIV/0!</v>
      </c>
    </row>
    <row r="93" spans="2:31" ht="17.25" thickBot="1" x14ac:dyDescent="0.35">
      <c r="B93" s="153" t="s">
        <v>51</v>
      </c>
      <c r="C93" s="554" t="str">
        <f>IF(C86="Truck",C91*(1-C92)*CO2E_diesel__ClimateReg/1000000,IF(C86="Rail",C85*C90*rail_emis/Mg_kg,"N/A"))</f>
        <v>N/A</v>
      </c>
      <c r="D93" s="554" t="str">
        <f t="shared" ref="D93:AA93" si="17">IF(D86="Truck",D91*(1-D92)*CO2E_diesel__ClimateReg/1000000,IF(D86="Rail",D85*D90*rail_emis/Mg_kg,"N/A"))</f>
        <v>N/A</v>
      </c>
      <c r="E93" s="554" t="str">
        <f t="shared" si="17"/>
        <v>N/A</v>
      </c>
      <c r="F93" s="554" t="str">
        <f t="shared" si="17"/>
        <v>N/A</v>
      </c>
      <c r="G93" s="554" t="str">
        <f t="shared" si="17"/>
        <v>N/A</v>
      </c>
      <c r="H93" s="554" t="str">
        <f t="shared" si="17"/>
        <v>N/A</v>
      </c>
      <c r="I93" s="554" t="str">
        <f t="shared" si="17"/>
        <v>N/A</v>
      </c>
      <c r="J93" s="554" t="str">
        <f t="shared" si="17"/>
        <v>N/A</v>
      </c>
      <c r="K93" s="554" t="str">
        <f t="shared" si="17"/>
        <v>N/A</v>
      </c>
      <c r="L93" s="554" t="str">
        <f t="shared" si="17"/>
        <v>N/A</v>
      </c>
      <c r="M93" s="554" t="str">
        <f t="shared" si="17"/>
        <v>N/A</v>
      </c>
      <c r="N93" s="554" t="str">
        <f t="shared" si="17"/>
        <v>N/A</v>
      </c>
      <c r="O93" s="554" t="str">
        <f t="shared" si="17"/>
        <v>N/A</v>
      </c>
      <c r="P93" s="554" t="str">
        <f t="shared" si="17"/>
        <v>N/A</v>
      </c>
      <c r="Q93" s="554" t="str">
        <f t="shared" si="17"/>
        <v>N/A</v>
      </c>
      <c r="R93" s="554" t="str">
        <f t="shared" si="17"/>
        <v>N/A</v>
      </c>
      <c r="S93" s="554" t="str">
        <f t="shared" si="17"/>
        <v>N/A</v>
      </c>
      <c r="T93" s="554" t="str">
        <f t="shared" si="17"/>
        <v>N/A</v>
      </c>
      <c r="U93" s="554" t="str">
        <f t="shared" si="17"/>
        <v>N/A</v>
      </c>
      <c r="V93" s="554" t="str">
        <f t="shared" si="17"/>
        <v>N/A</v>
      </c>
      <c r="W93" s="554" t="str">
        <f t="shared" si="17"/>
        <v>N/A</v>
      </c>
      <c r="X93" s="554" t="str">
        <f t="shared" si="17"/>
        <v>N/A</v>
      </c>
      <c r="Y93" s="554" t="str">
        <f t="shared" si="17"/>
        <v>N/A</v>
      </c>
      <c r="Z93" s="554" t="str">
        <f t="shared" si="17"/>
        <v>N/A</v>
      </c>
      <c r="AA93" s="554" t="str">
        <f t="shared" si="17"/>
        <v>N/A</v>
      </c>
      <c r="AB93" s="555">
        <f>SUM(C93:AA93)</f>
        <v>0</v>
      </c>
    </row>
    <row r="94" spans="2:31" ht="15.75" x14ac:dyDescent="0.25">
      <c r="B94" s="148" t="str">
        <f>CONCATENATE("Transportation input - Scenario 10 - ",'Scenarios Data'!B289)</f>
        <v xml:space="preserve">Transportation input - Scenario 10 - </v>
      </c>
      <c r="C94" s="531" t="str">
        <f>IF(ISBLANK('Amount and Destination'!$C$265),"Destination 1",'Amount and Destination'!$C$265)</f>
        <v>Destination 1</v>
      </c>
      <c r="D94" s="531" t="str">
        <f>IF(ISBLANK('Amount and Destination'!$C$266),"Destination 2",'Amount and Destination'!$C$266)</f>
        <v>Destination 2</v>
      </c>
      <c r="E94" s="531" t="str">
        <f>IF(ISBLANK('Amount and Destination'!$C$267),"Destination 3",'Amount and Destination'!$C$267)</f>
        <v>Destination 3</v>
      </c>
      <c r="F94" s="531" t="str">
        <f>IF(ISBLANK('Amount and Destination'!$C$268),"Destination 4",'Amount and Destination'!$C$268)</f>
        <v>Destination 4</v>
      </c>
      <c r="G94" s="531" t="str">
        <f>IF(ISBLANK('Amount and Destination'!$C$269),"Destination 5",'Amount and Destination'!$C$269)</f>
        <v>Destination 5</v>
      </c>
      <c r="H94" s="531" t="str">
        <f>IF(ISBLANK('Amount and Destination'!$C$270),"Destination 6",'Amount and Destination'!$C$270)</f>
        <v>Destination 6</v>
      </c>
      <c r="I94" s="531" t="str">
        <f>IF(ISBLANK('Amount and Destination'!$C$271),"Destination 7",'Amount and Destination'!$C$271)</f>
        <v>Destination 7</v>
      </c>
      <c r="J94" s="531" t="str">
        <f>IF(ISBLANK('Amount and Destination'!$C$272),"Destination 8",'Amount and Destination'!$C$272)</f>
        <v>Destination 8</v>
      </c>
      <c r="K94" s="531" t="str">
        <f>IF(ISBLANK('Amount and Destination'!$C$273),"Destination 9",'Amount and Destination'!$C$273)</f>
        <v>Destination 9</v>
      </c>
      <c r="L94" s="531" t="str">
        <f>IF(ISBLANK('Amount and Destination'!$C$274),"Destination 10",'Amount and Destination'!$C$274)</f>
        <v>Destination 10</v>
      </c>
      <c r="M94" s="532" t="str">
        <f>IF(ISBLANK('Amount and Destination'!$C$275),"Destination 11",'Amount and Destination'!$C$275)</f>
        <v>Destination 11</v>
      </c>
      <c r="N94" s="533" t="str">
        <f>IF(ISBLANK('Amount and Destination'!$C$276),"Destination 12",'Amount and Destination'!$C$276)</f>
        <v>Destination 12</v>
      </c>
      <c r="O94" s="533" t="str">
        <f>IF(ISBLANK('Amount and Destination'!$C$277),"Destination 13",'Amount and Destination'!$C$277)</f>
        <v>Destination 13</v>
      </c>
      <c r="P94" s="531" t="str">
        <f>IF(ISBLANK('Amount and Destination'!$C$278),"Destination 14",'Amount and Destination'!$C$278)</f>
        <v>Destination 14</v>
      </c>
      <c r="Q94" s="531" t="str">
        <f>IF(ISBLANK('Amount and Destination'!$C$279),"Destination 15",'Amount and Destination'!$C$279)</f>
        <v>Destination 15</v>
      </c>
      <c r="R94" s="531" t="str">
        <f>IF(ISBLANK('Amount and Destination'!$C$280),"Destination 16",'Amount and Destination'!$C$280)</f>
        <v>Destination 16</v>
      </c>
      <c r="S94" s="534" t="str">
        <f>IF(ISBLANK('Amount and Destination'!$C$281),"Destination 17",'Amount and Destination'!$C$281)</f>
        <v>Destination 17</v>
      </c>
      <c r="T94" s="531" t="str">
        <f>IF(ISBLANK('Amount and Destination'!$C$282),"Destination 18",'Amount and Destination'!$C$282)</f>
        <v>Destination 18</v>
      </c>
      <c r="U94" s="531" t="str">
        <f>IF(ISBLANK('Amount and Destination'!$C$283),"Destination 19",'Amount and Destination'!$C$283)</f>
        <v>Destination 19</v>
      </c>
      <c r="V94" s="531" t="str">
        <f>IF(ISBLANK('Amount and Destination'!$C$284),"Destination 20",'Amount and Destination'!$C$284)</f>
        <v>Destination 20</v>
      </c>
      <c r="W94" s="531" t="str">
        <f>IF(ISBLANK('Amount and Destination'!$C$285),"Destination 21",'Amount and Destination'!$C$285)</f>
        <v>Destination 21</v>
      </c>
      <c r="X94" s="531" t="str">
        <f>IF(ISBLANK('Amount and Destination'!$C$286),"Destination 22",'Amount and Destination'!$C$286)</f>
        <v>Destination 22</v>
      </c>
      <c r="Y94" s="531" t="str">
        <f>IF(ISBLANK('Amount and Destination'!$C$287),"Destination 23",'Amount and Destination'!$C$287)</f>
        <v>Destination 23</v>
      </c>
      <c r="Z94" s="531" t="str">
        <f>IF(ISBLANK('Amount and Destination'!$C$288),"Destination 24",'Amount and Destination'!$C$288)</f>
        <v>Destination 24</v>
      </c>
      <c r="AA94" s="531" t="str">
        <f>IF(ISBLANK('Amount and Destination'!$C$289),"Destination 25",'Amount and Destination'!$C$289)</f>
        <v>Destination 25</v>
      </c>
      <c r="AB94" s="535" t="s">
        <v>162</v>
      </c>
    </row>
    <row r="95" spans="2:31" ht="15" thickBot="1" x14ac:dyDescent="0.25">
      <c r="B95" s="245" t="s">
        <v>869</v>
      </c>
      <c r="C95" s="1189">
        <v>0</v>
      </c>
      <c r="D95" s="1189">
        <v>0</v>
      </c>
      <c r="E95" s="1189">
        <v>0</v>
      </c>
      <c r="F95" s="1189">
        <v>0</v>
      </c>
      <c r="G95" s="1189">
        <v>0</v>
      </c>
      <c r="H95" s="1189">
        <v>0</v>
      </c>
      <c r="I95" s="1189">
        <v>0</v>
      </c>
      <c r="J95" s="1189">
        <v>0</v>
      </c>
      <c r="K95" s="1189">
        <v>0</v>
      </c>
      <c r="L95" s="1189">
        <v>0</v>
      </c>
      <c r="M95" s="1189">
        <v>0</v>
      </c>
      <c r="N95" s="1189">
        <v>0</v>
      </c>
      <c r="O95" s="1189">
        <v>0</v>
      </c>
      <c r="P95" s="1189">
        <v>0</v>
      </c>
      <c r="Q95" s="1189">
        <v>0</v>
      </c>
      <c r="R95" s="1189">
        <v>0</v>
      </c>
      <c r="S95" s="1189">
        <v>0</v>
      </c>
      <c r="T95" s="1189">
        <v>0</v>
      </c>
      <c r="U95" s="1189">
        <v>0</v>
      </c>
      <c r="V95" s="1189">
        <v>0</v>
      </c>
      <c r="W95" s="1189">
        <v>0</v>
      </c>
      <c r="X95" s="1189">
        <v>0</v>
      </c>
      <c r="Y95" s="1189">
        <v>0</v>
      </c>
      <c r="Z95" s="1189">
        <v>0</v>
      </c>
      <c r="AA95" s="1189">
        <v>0</v>
      </c>
      <c r="AB95" s="1353"/>
      <c r="AD95" s="96"/>
    </row>
    <row r="96" spans="2:31" ht="21" x14ac:dyDescent="0.25">
      <c r="B96" s="558" t="s">
        <v>396</v>
      </c>
      <c r="C96" s="102">
        <f>'Amount and Destination'!W265</f>
        <v>0</v>
      </c>
      <c r="D96" s="102">
        <f>+'Amount and Destination'!W266</f>
        <v>0</v>
      </c>
      <c r="E96" s="536">
        <f>+'Amount and Destination'!W267</f>
        <v>0</v>
      </c>
      <c r="F96" s="536">
        <f>+'Amount and Destination'!W268</f>
        <v>0</v>
      </c>
      <c r="G96" s="536">
        <f>+'Amount and Destination'!W269</f>
        <v>0</v>
      </c>
      <c r="H96" s="536">
        <f>+'Amount and Destination'!W270</f>
        <v>0</v>
      </c>
      <c r="I96" s="536">
        <f>+'Amount and Destination'!W271</f>
        <v>0</v>
      </c>
      <c r="J96" s="536">
        <f>+'Amount and Destination'!W272</f>
        <v>0</v>
      </c>
      <c r="K96" s="536">
        <f>+'Amount and Destination'!W273</f>
        <v>0</v>
      </c>
      <c r="L96" s="536">
        <f>+'Amount and Destination'!W274</f>
        <v>0</v>
      </c>
      <c r="M96" s="536">
        <f>+'Amount and Destination'!W275</f>
        <v>0</v>
      </c>
      <c r="N96" s="536">
        <f>+'Amount and Destination'!W276</f>
        <v>0</v>
      </c>
      <c r="O96" s="536">
        <f>+'Amount and Destination'!W277</f>
        <v>0</v>
      </c>
      <c r="P96" s="536">
        <f>+'Amount and Destination'!W278</f>
        <v>0</v>
      </c>
      <c r="Q96" s="536">
        <f>+'Amount and Destination'!W279</f>
        <v>0</v>
      </c>
      <c r="R96" s="536">
        <f>+'Amount and Destination'!W280</f>
        <v>0</v>
      </c>
      <c r="S96" s="536">
        <f>+'Amount and Destination'!W281</f>
        <v>0</v>
      </c>
      <c r="T96" s="537">
        <f>+'Amount and Destination'!W282</f>
        <v>0</v>
      </c>
      <c r="U96" s="537">
        <f>+'Amount and Destination'!W283</f>
        <v>0</v>
      </c>
      <c r="V96" s="537">
        <f>+'Amount and Destination'!W284</f>
        <v>0</v>
      </c>
      <c r="W96" s="537">
        <f>+'Amount and Destination'!W285</f>
        <v>0</v>
      </c>
      <c r="X96" s="537">
        <f>+'Amount and Destination'!W286</f>
        <v>0</v>
      </c>
      <c r="Y96" s="537">
        <f>+'Amount and Destination'!W287</f>
        <v>0</v>
      </c>
      <c r="Z96" s="537">
        <f>+'Amount and Destination'!W288</f>
        <v>0</v>
      </c>
      <c r="AA96" s="538">
        <f>+'Amount and Destination'!W289</f>
        <v>0</v>
      </c>
      <c r="AB96" s="1353"/>
      <c r="AC96" s="539" t="s">
        <v>44</v>
      </c>
      <c r="AD96" s="540">
        <f>SUM(C103:AA103)</f>
        <v>0</v>
      </c>
      <c r="AE96" s="1361" t="s">
        <v>559</v>
      </c>
    </row>
    <row r="97" spans="2:31" ht="15" x14ac:dyDescent="0.25">
      <c r="B97" s="558" t="s">
        <v>870</v>
      </c>
      <c r="C97" s="542">
        <f>+'Amount and Destination'!Z265</f>
        <v>0</v>
      </c>
      <c r="D97" s="542">
        <f>+'Amount and Destination'!Z266</f>
        <v>0</v>
      </c>
      <c r="E97" s="542">
        <f>+'Amount and Destination'!Z267</f>
        <v>0</v>
      </c>
      <c r="F97" s="542">
        <f>+'Amount and Destination'!Z268</f>
        <v>0</v>
      </c>
      <c r="G97" s="542">
        <f>+'Amount and Destination'!Z269</f>
        <v>0</v>
      </c>
      <c r="H97" s="542">
        <f>+'Amount and Destination'!Z270</f>
        <v>0</v>
      </c>
      <c r="I97" s="542">
        <f>+'Amount and Destination'!Z271</f>
        <v>0</v>
      </c>
      <c r="J97" s="542">
        <f>+'Amount and Destination'!Z272</f>
        <v>0</v>
      </c>
      <c r="K97" s="542">
        <f>+'Amount and Destination'!Z273</f>
        <v>0</v>
      </c>
      <c r="L97" s="542">
        <f>+'Amount and Destination'!Z274</f>
        <v>0</v>
      </c>
      <c r="M97" s="542">
        <f>+'Amount and Destination'!Z275</f>
        <v>0</v>
      </c>
      <c r="N97" s="542">
        <f>+'Amount and Destination'!Z276</f>
        <v>0</v>
      </c>
      <c r="O97" s="542">
        <f>+'Amount and Destination'!Z277</f>
        <v>0</v>
      </c>
      <c r="P97" s="542">
        <f>+'Amount and Destination'!Z278</f>
        <v>0</v>
      </c>
      <c r="Q97" s="542">
        <f>+'Amount and Destination'!Z279</f>
        <v>0</v>
      </c>
      <c r="R97" s="542">
        <f>+'Amount and Destination'!Z280</f>
        <v>0</v>
      </c>
      <c r="S97" s="542">
        <f>+'Amount and Destination'!Z281</f>
        <v>0</v>
      </c>
      <c r="T97" s="873">
        <f>+'Amount and Destination'!Z282</f>
        <v>0</v>
      </c>
      <c r="U97" s="873">
        <f>+'Amount and Destination'!Z283</f>
        <v>0</v>
      </c>
      <c r="V97" s="873">
        <f>+'Amount and Destination'!Z284</f>
        <v>0</v>
      </c>
      <c r="W97" s="873">
        <f>+'Amount and Destination'!Z285</f>
        <v>0</v>
      </c>
      <c r="X97" s="873">
        <f>+'Amount and Destination'!Z286</f>
        <v>0</v>
      </c>
      <c r="Y97" s="873">
        <f>+'Amount and Destination'!Z287</f>
        <v>0</v>
      </c>
      <c r="Z97" s="873">
        <f>+'Amount and Destination'!Z288</f>
        <v>0</v>
      </c>
      <c r="AA97" s="874">
        <f>+'Amount and Destination'!Z289</f>
        <v>0</v>
      </c>
      <c r="AB97" s="1354"/>
      <c r="AC97" s="215" t="s">
        <v>228</v>
      </c>
      <c r="AD97" s="543">
        <f>AD96</f>
        <v>0</v>
      </c>
      <c r="AE97" s="1362"/>
    </row>
    <row r="98" spans="2:31" ht="15" x14ac:dyDescent="0.25">
      <c r="B98" s="558" t="s">
        <v>2</v>
      </c>
      <c r="C98" s="544">
        <f t="shared" ref="C98:AA98" si="18">+$C$113</f>
        <v>2.4743422909272987</v>
      </c>
      <c r="D98" s="544">
        <f t="shared" si="18"/>
        <v>2.4743422909272987</v>
      </c>
      <c r="E98" s="544">
        <f t="shared" si="18"/>
        <v>2.4743422909272987</v>
      </c>
      <c r="F98" s="544">
        <f t="shared" si="18"/>
        <v>2.4743422909272987</v>
      </c>
      <c r="G98" s="544">
        <f t="shared" si="18"/>
        <v>2.4743422909272987</v>
      </c>
      <c r="H98" s="544">
        <f t="shared" si="18"/>
        <v>2.4743422909272987</v>
      </c>
      <c r="I98" s="544">
        <f t="shared" si="18"/>
        <v>2.4743422909272987</v>
      </c>
      <c r="J98" s="544">
        <f t="shared" si="18"/>
        <v>2.4743422909272987</v>
      </c>
      <c r="K98" s="544">
        <f t="shared" si="18"/>
        <v>2.4743422909272987</v>
      </c>
      <c r="L98" s="544">
        <f t="shared" si="18"/>
        <v>2.4743422909272987</v>
      </c>
      <c r="M98" s="544">
        <f t="shared" si="18"/>
        <v>2.4743422909272987</v>
      </c>
      <c r="N98" s="544">
        <f t="shared" si="18"/>
        <v>2.4743422909272987</v>
      </c>
      <c r="O98" s="544">
        <f t="shared" si="18"/>
        <v>2.4743422909272987</v>
      </c>
      <c r="P98" s="544">
        <f t="shared" si="18"/>
        <v>2.4743422909272987</v>
      </c>
      <c r="Q98" s="544">
        <f t="shared" si="18"/>
        <v>2.4743422909272987</v>
      </c>
      <c r="R98" s="544">
        <f t="shared" si="18"/>
        <v>2.4743422909272987</v>
      </c>
      <c r="S98" s="544">
        <f t="shared" si="18"/>
        <v>2.4743422909272987</v>
      </c>
      <c r="T98" s="544">
        <f t="shared" si="18"/>
        <v>2.4743422909272987</v>
      </c>
      <c r="U98" s="544">
        <f t="shared" si="18"/>
        <v>2.4743422909272987</v>
      </c>
      <c r="V98" s="544">
        <f t="shared" si="18"/>
        <v>2.4743422909272987</v>
      </c>
      <c r="W98" s="544">
        <f t="shared" si="18"/>
        <v>2.4743422909272987</v>
      </c>
      <c r="X98" s="544">
        <f t="shared" si="18"/>
        <v>2.4743422909272987</v>
      </c>
      <c r="Y98" s="544">
        <f t="shared" si="18"/>
        <v>2.4743422909272987</v>
      </c>
      <c r="Z98" s="544">
        <f t="shared" si="18"/>
        <v>2.4743422909272987</v>
      </c>
      <c r="AA98" s="544">
        <f t="shared" si="18"/>
        <v>2.4743422909272987</v>
      </c>
      <c r="AB98" s="1353"/>
      <c r="AC98" s="215" t="s">
        <v>229</v>
      </c>
      <c r="AD98" s="545" t="s">
        <v>307</v>
      </c>
      <c r="AE98" s="1362"/>
    </row>
    <row r="99" spans="2:31" ht="15" x14ac:dyDescent="0.25">
      <c r="B99" s="558" t="s">
        <v>485</v>
      </c>
      <c r="C99" s="544">
        <f>'Amount and Destination'!R265</f>
        <v>0</v>
      </c>
      <c r="D99" s="544">
        <f>'Amount and Destination'!R266</f>
        <v>0</v>
      </c>
      <c r="E99" s="544">
        <f>'Amount and Destination'!R267</f>
        <v>0</v>
      </c>
      <c r="F99" s="544">
        <f>'Amount and Destination'!R268</f>
        <v>0</v>
      </c>
      <c r="G99" s="544">
        <f>'Amount and Destination'!R269</f>
        <v>0</v>
      </c>
      <c r="H99" s="544">
        <f>'Amount and Destination'!R270</f>
        <v>0</v>
      </c>
      <c r="I99" s="544">
        <f>'Amount and Destination'!R271</f>
        <v>0</v>
      </c>
      <c r="J99" s="544">
        <f>'Amount and Destination'!R272</f>
        <v>0</v>
      </c>
      <c r="K99" s="544">
        <f>'Amount and Destination'!R273</f>
        <v>0</v>
      </c>
      <c r="L99" s="544">
        <f>'Amount and Destination'!R274</f>
        <v>0</v>
      </c>
      <c r="M99" s="544">
        <f>'Amount and Destination'!R275</f>
        <v>0</v>
      </c>
      <c r="N99" s="544">
        <f>'Amount and Destination'!R276</f>
        <v>0</v>
      </c>
      <c r="O99" s="544">
        <f>'Amount and Destination'!R277</f>
        <v>0</v>
      </c>
      <c r="P99" s="544">
        <f>'Amount and Destination'!R278</f>
        <v>0</v>
      </c>
      <c r="Q99" s="544">
        <f>'Amount and Destination'!R279</f>
        <v>0</v>
      </c>
      <c r="R99" s="544">
        <f>'Amount and Destination'!R280</f>
        <v>0</v>
      </c>
      <c r="S99" s="544">
        <f>'Amount and Destination'!R281</f>
        <v>0</v>
      </c>
      <c r="T99" s="544">
        <f>'Amount and Destination'!R282</f>
        <v>0</v>
      </c>
      <c r="U99" s="544">
        <f>'Amount and Destination'!R283</f>
        <v>0</v>
      </c>
      <c r="V99" s="544">
        <f>'Amount and Destination'!R284</f>
        <v>0</v>
      </c>
      <c r="W99" s="544">
        <f>'Amount and Destination'!R285</f>
        <v>0</v>
      </c>
      <c r="X99" s="544">
        <f>'Amount and Destination'!R286</f>
        <v>0</v>
      </c>
      <c r="Y99" s="544">
        <f>'Amount and Destination'!R287</f>
        <v>0</v>
      </c>
      <c r="Z99" s="544">
        <f>'Amount and Destination'!R288</f>
        <v>0</v>
      </c>
      <c r="AA99" s="544">
        <f>'Amount and Destination'!R289</f>
        <v>0</v>
      </c>
      <c r="AB99" s="1353"/>
      <c r="AC99" s="215" t="s">
        <v>230</v>
      </c>
      <c r="AD99" s="545" t="s">
        <v>307</v>
      </c>
      <c r="AE99" s="1362"/>
    </row>
    <row r="100" spans="2:31" ht="15.75" thickBot="1" x14ac:dyDescent="0.3">
      <c r="B100" s="558" t="s">
        <v>486</v>
      </c>
      <c r="C100" s="542" t="str">
        <f>IF(C99='References Assumptions'!$C$333,'Amount and Destination'!$V265,IF(C99='References Assumptions'!$C$334,'Amount and Destination'!$T265,"N/A"))</f>
        <v>N/A</v>
      </c>
      <c r="D100" s="542" t="str">
        <f>IF(D99='References Assumptions'!$C$333,'Amount and Destination'!$V266,IF(D99='References Assumptions'!$C$334,'Amount and Destination'!$T266,"N/A"))</f>
        <v>N/A</v>
      </c>
      <c r="E100" s="542" t="str">
        <f>IF(E99='References Assumptions'!$C$333,'Amount and Destination'!$V267,IF(E99='References Assumptions'!$C$334,'Amount and Destination'!$T267,"N/A"))</f>
        <v>N/A</v>
      </c>
      <c r="F100" s="542" t="str">
        <f>IF(F99='References Assumptions'!$C$333,'Amount and Destination'!$V268,IF(F99='References Assumptions'!$C$334,'Amount and Destination'!$T268,"N/A"))</f>
        <v>N/A</v>
      </c>
      <c r="G100" s="542" t="str">
        <f>IF(G99='References Assumptions'!$C$333,'Amount and Destination'!$V269,IF(G99='References Assumptions'!$C$334,'Amount and Destination'!$T269,"N/A"))</f>
        <v>N/A</v>
      </c>
      <c r="H100" s="542" t="str">
        <f>IF(H99='References Assumptions'!$C$333,'Amount and Destination'!$V270,IF(H99='References Assumptions'!$C$334,'Amount and Destination'!$T270,"N/A"))</f>
        <v>N/A</v>
      </c>
      <c r="I100" s="542" t="str">
        <f>IF(I99='References Assumptions'!$C$333,'Amount and Destination'!$V271,IF(I99='References Assumptions'!$C$334,'Amount and Destination'!$T271,"N/A"))</f>
        <v>N/A</v>
      </c>
      <c r="J100" s="542" t="str">
        <f>IF(J99='References Assumptions'!$C$333,'Amount and Destination'!$V272,IF(J99='References Assumptions'!$C$334,'Amount and Destination'!$T272,"N/A"))</f>
        <v>N/A</v>
      </c>
      <c r="K100" s="542" t="str">
        <f>IF(K99='References Assumptions'!$C$333,'Amount and Destination'!$V273,IF(K99='References Assumptions'!$C$334,'Amount and Destination'!$T273,"N/A"))</f>
        <v>N/A</v>
      </c>
      <c r="L100" s="542" t="str">
        <f>IF(L99='References Assumptions'!$C$333,'Amount and Destination'!$V274,IF(L99='References Assumptions'!$C$334,'Amount and Destination'!$T274,"N/A"))</f>
        <v>N/A</v>
      </c>
      <c r="M100" s="542" t="str">
        <f>IF(M99='References Assumptions'!$C$333,'Amount and Destination'!$V275,IF(M99='References Assumptions'!$C$334,'Amount and Destination'!$T275,"N/A"))</f>
        <v>N/A</v>
      </c>
      <c r="N100" s="542" t="str">
        <f>IF(N99='References Assumptions'!$C$333,'Amount and Destination'!$V276,IF(N99='References Assumptions'!$C$334,'Amount and Destination'!$T276,"N/A"))</f>
        <v>N/A</v>
      </c>
      <c r="O100" s="542" t="str">
        <f>IF(O99='References Assumptions'!$C$333,'Amount and Destination'!$V277,IF(O99='References Assumptions'!$C$334,'Amount and Destination'!$T277,"N/A"))</f>
        <v>N/A</v>
      </c>
      <c r="P100" s="542" t="str">
        <f>IF(P99='References Assumptions'!$C$333,'Amount and Destination'!$V278,IF(P99='References Assumptions'!$C$334,'Amount and Destination'!$T278,"N/A"))</f>
        <v>N/A</v>
      </c>
      <c r="Q100" s="542" t="str">
        <f>IF(Q99='References Assumptions'!$C$333,'Amount and Destination'!$V279,IF(Q99='References Assumptions'!$C$334,'Amount and Destination'!$T279,"N/A"))</f>
        <v>N/A</v>
      </c>
      <c r="R100" s="542" t="str">
        <f>IF(R99='References Assumptions'!$C$333,'Amount and Destination'!$V280,IF(R99='References Assumptions'!$C$334,'Amount and Destination'!$T280,"N/A"))</f>
        <v>N/A</v>
      </c>
      <c r="S100" s="542" t="str">
        <f>IF(S99='References Assumptions'!$C$333,'Amount and Destination'!$V281,IF(S99='References Assumptions'!$C$334,'Amount and Destination'!$T281,"N/A"))</f>
        <v>N/A</v>
      </c>
      <c r="T100" s="542" t="str">
        <f>IF(T99='References Assumptions'!$C$333,'Amount and Destination'!$V282,IF(T99='References Assumptions'!$C$334,'Amount and Destination'!$T282,"N/A"))</f>
        <v>N/A</v>
      </c>
      <c r="U100" s="542" t="str">
        <f>IF(U99='References Assumptions'!$C$333,'Amount and Destination'!$V283,IF(U99='References Assumptions'!$C$334,'Amount and Destination'!$T283,"N/A"))</f>
        <v>N/A</v>
      </c>
      <c r="V100" s="542" t="str">
        <f>IF(V99='References Assumptions'!$C$333,'Amount and Destination'!$V284,IF(V99='References Assumptions'!$C$334,'Amount and Destination'!$T284,"N/A"))</f>
        <v>N/A</v>
      </c>
      <c r="W100" s="542" t="str">
        <f>IF(W99='References Assumptions'!$C$333,'Amount and Destination'!$V285,IF(W99='References Assumptions'!$C$334,'Amount and Destination'!$T285,"N/A"))</f>
        <v>N/A</v>
      </c>
      <c r="X100" s="542" t="str">
        <f>IF(X99='References Assumptions'!$C$333,'Amount and Destination'!$V286,IF(X99='References Assumptions'!$C$334,'Amount and Destination'!$T286,"N/A"))</f>
        <v>N/A</v>
      </c>
      <c r="Y100" s="542" t="str">
        <f>IF(Y99='References Assumptions'!$C$333,'Amount and Destination'!$V287,IF(Y99='References Assumptions'!$C$334,'Amount and Destination'!$T287,"N/A"))</f>
        <v>N/A</v>
      </c>
      <c r="Z100" s="542" t="str">
        <f>IF(Z99='References Assumptions'!$C$333,'Amount and Destination'!$V288,IF(Z99='References Assumptions'!$C$334,'Amount and Destination'!$T288,"N/A"))</f>
        <v>N/A</v>
      </c>
      <c r="AA100" s="542" t="str">
        <f>IF(AA99='References Assumptions'!$C$333,'Amount and Destination'!$V289,IF(AA99='References Assumptions'!$C$334,'Amount and Destination'!$T289,"N/A"))</f>
        <v>N/A</v>
      </c>
      <c r="AB100" s="1354"/>
      <c r="AC100" s="215" t="s">
        <v>232</v>
      </c>
      <c r="AD100" s="545">
        <f>((C101*C102)+(D101*D102)+(E101*E102)+(F101*F102)+(G101*G102)+(H101*H102)+(I101*I102)+(J101*J102)+(K101*K102)+(L101*L102)+(M101*M102)+(N101*N102)+(O101*O102)+(P101*P102)+(Q101*Q102)+(R101*R102)+(S101*S102)+(T101*T102)+(U101*U102)+(V101*V102)+(W101*W102)+(X101*X102)+(Y101*Y102)+(Z101*Z102)+(AA101*AA102))*(CO2E_diesel__ClimateReg/Mg_g)</f>
        <v>0</v>
      </c>
      <c r="AE100" s="1363"/>
    </row>
    <row r="101" spans="2:31" ht="16.5" x14ac:dyDescent="0.25">
      <c r="B101" s="46" t="s">
        <v>315</v>
      </c>
      <c r="C101" s="233">
        <f>IF(AND(C96='References Assumptions'!$C$331,C95&gt;0),C95/C97*C100/C98,0)</f>
        <v>0</v>
      </c>
      <c r="D101" s="233">
        <f>IF(AND(D96='References Assumptions'!$C$331,D95&gt;0),D95/D97*D100/D98,0)</f>
        <v>0</v>
      </c>
      <c r="E101" s="233">
        <f>IF(AND(E96='References Assumptions'!$C$331,E95&gt;0),E95/E97*E100/E98,0)</f>
        <v>0</v>
      </c>
      <c r="F101" s="233">
        <f>IF(AND(F96='References Assumptions'!$C$331,F95&gt;0),F95/F97*F100/F98,0)</f>
        <v>0</v>
      </c>
      <c r="G101" s="233">
        <f>IF(AND(G96='References Assumptions'!$C$331,G95&gt;0),G95/G97*G100/G98,0)</f>
        <v>0</v>
      </c>
      <c r="H101" s="233">
        <f>IF(AND(H96='References Assumptions'!$C$331,H95&gt;0),H95/H97*H100/H98,0)</f>
        <v>0</v>
      </c>
      <c r="I101" s="233">
        <f>IF(AND(I96='References Assumptions'!$C$331,I95&gt;0),I95/I97*I100/I98,0)</f>
        <v>0</v>
      </c>
      <c r="J101" s="233">
        <f>IF(AND(J96='References Assumptions'!$C$331,J95&gt;0),J95/J97*J100/J98,0)</f>
        <v>0</v>
      </c>
      <c r="K101" s="233">
        <f>IF(AND(K96='References Assumptions'!$C$331,K95&gt;0),K95/K97*K100/K98,0)</f>
        <v>0</v>
      </c>
      <c r="L101" s="233">
        <f>IF(AND(L96='References Assumptions'!$C$331,L95&gt;0),L95/L97*L100/L98,0)</f>
        <v>0</v>
      </c>
      <c r="M101" s="233">
        <f>IF(AND(M96='References Assumptions'!$C$331,M95&gt;0),M95/M97*M100/M98,0)</f>
        <v>0</v>
      </c>
      <c r="N101" s="233">
        <f>IF(AND(N96='References Assumptions'!$C$331,N95&gt;0),N95/N97*N100/N98,0)</f>
        <v>0</v>
      </c>
      <c r="O101" s="233">
        <f>IF(AND(O96='References Assumptions'!$C$331,O95&gt;0),O95/O97*O100/O98,0)</f>
        <v>0</v>
      </c>
      <c r="P101" s="233">
        <f>IF(AND(P96='References Assumptions'!$C$331,P95&gt;0),P95/P97*P100/P98,0)</f>
        <v>0</v>
      </c>
      <c r="Q101" s="233">
        <f>IF(AND(Q96='References Assumptions'!$C$331,Q95&gt;0),Q95/Q97*Q100/Q98,0)</f>
        <v>0</v>
      </c>
      <c r="R101" s="233">
        <f>IF(AND(R96='References Assumptions'!$C$331,R95&gt;0),R95/R97*R100/R98,0)</f>
        <v>0</v>
      </c>
      <c r="S101" s="233">
        <f>IF(AND(S96='References Assumptions'!$C$331,S95&gt;0),S95/S97*S100/S98,0)</f>
        <v>0</v>
      </c>
      <c r="T101" s="233">
        <f>IF(AND(T96='References Assumptions'!$C$331,T95&gt;0),T95/T97*T100/T98,0)</f>
        <v>0</v>
      </c>
      <c r="U101" s="233">
        <f>IF(AND(U96='References Assumptions'!$C$331,U95&gt;0),U95/U97*U100/U98,0)</f>
        <v>0</v>
      </c>
      <c r="V101" s="233">
        <f>IF(AND(V96='References Assumptions'!$C$331,V95&gt;0),V95/V97*V100/V98,0)</f>
        <v>0</v>
      </c>
      <c r="W101" s="233">
        <f>IF(AND(W96='References Assumptions'!$C$331,W95&gt;0),W95/W97*W100/W98,0)</f>
        <v>0</v>
      </c>
      <c r="X101" s="233">
        <f>IF(AND(X96='References Assumptions'!$C$331,X95&gt;0),X95/X97*X100/X98,0)</f>
        <v>0</v>
      </c>
      <c r="Y101" s="233">
        <f>IF(AND(Y96='References Assumptions'!$C$331,Y95&gt;0),Y95/Y97*Y100/Y98,0)</f>
        <v>0</v>
      </c>
      <c r="Z101" s="233">
        <f>IF(AND(Z96='References Assumptions'!$C$331,Z95&gt;0),Z95/Z97*Z100/Z98,0)</f>
        <v>0</v>
      </c>
      <c r="AA101" s="233">
        <f>IF(AND(AA96='References Assumptions'!$C$331,AA95&gt;0),AA95/AA97*AA100/AA98,0)</f>
        <v>0</v>
      </c>
      <c r="AB101" s="556">
        <f>SUM(C101:AA101)</f>
        <v>0</v>
      </c>
      <c r="AC101" s="547" t="s">
        <v>557</v>
      </c>
      <c r="AD101" s="548">
        <f>+SUMIF(C96:AA96,'References Assumptions'!$C$331,Transportation!C103:AA103)</f>
        <v>0</v>
      </c>
      <c r="AE101" s="549" t="e">
        <f>+AD101/SUMIF(C96:AA96,'References Assumptions'!$C$331,Transportation!C95:AA95)*Mg_kg</f>
        <v>#DIV/0!</v>
      </c>
    </row>
    <row r="102" spans="2:31" ht="17.25" thickBot="1" x14ac:dyDescent="0.3">
      <c r="B102" s="46" t="s">
        <v>316</v>
      </c>
      <c r="C102" s="550">
        <f>'Amount and Destination'!AA265</f>
        <v>0</v>
      </c>
      <c r="D102" s="550">
        <f>'Amount and Destination'!AA266</f>
        <v>0</v>
      </c>
      <c r="E102" s="550">
        <f>'Amount and Destination'!AA267</f>
        <v>0</v>
      </c>
      <c r="F102" s="550">
        <f>'Amount and Destination'!AA268</f>
        <v>0</v>
      </c>
      <c r="G102" s="550">
        <f>'Amount and Destination'!AA269</f>
        <v>0</v>
      </c>
      <c r="H102" s="550">
        <f>'Amount and Destination'!AA270</f>
        <v>0</v>
      </c>
      <c r="I102" s="550">
        <f>'Amount and Destination'!AA271</f>
        <v>0</v>
      </c>
      <c r="J102" s="550">
        <f>'Amount and Destination'!AA272</f>
        <v>0</v>
      </c>
      <c r="K102" s="550">
        <f>'Amount and Destination'!AA273</f>
        <v>0</v>
      </c>
      <c r="L102" s="550">
        <f>'Amount and Destination'!AA274</f>
        <v>0</v>
      </c>
      <c r="M102" s="550">
        <f>'Amount and Destination'!AA275</f>
        <v>0</v>
      </c>
      <c r="N102" s="550">
        <f>'Amount and Destination'!AA276</f>
        <v>0</v>
      </c>
      <c r="O102" s="550">
        <f>'Amount and Destination'!AA277</f>
        <v>0</v>
      </c>
      <c r="P102" s="550">
        <f>'Amount and Destination'!AA278</f>
        <v>0</v>
      </c>
      <c r="Q102" s="550">
        <f>'Amount and Destination'!AA279</f>
        <v>0</v>
      </c>
      <c r="R102" s="550">
        <f>'Amount and Destination'!AA280</f>
        <v>0</v>
      </c>
      <c r="S102" s="550">
        <f>'Amount and Destination'!AA281</f>
        <v>0</v>
      </c>
      <c r="T102" s="550">
        <f>'Amount and Destination'!AA282</f>
        <v>0</v>
      </c>
      <c r="U102" s="550">
        <f>'Amount and Destination'!AA283</f>
        <v>0</v>
      </c>
      <c r="V102" s="550">
        <f>'Amount and Destination'!AA284</f>
        <v>0</v>
      </c>
      <c r="W102" s="550">
        <f>'Amount and Destination'!AA285</f>
        <v>0</v>
      </c>
      <c r="X102" s="550">
        <f>'Amount and Destination'!AA286</f>
        <v>0</v>
      </c>
      <c r="Y102" s="550">
        <f>'Amount and Destination'!AA287</f>
        <v>0</v>
      </c>
      <c r="Z102" s="550">
        <f>'Amount and Destination'!AA288</f>
        <v>0</v>
      </c>
      <c r="AA102" s="550">
        <f>'Amount and Destination'!AA289</f>
        <v>0</v>
      </c>
      <c r="AB102" s="557"/>
      <c r="AC102" s="552" t="s">
        <v>558</v>
      </c>
      <c r="AD102" s="553">
        <f>+SUMIF(C96:AA96,'References Assumptions'!$C$332,Transportation!C103:AA103)</f>
        <v>0</v>
      </c>
      <c r="AE102" s="221" t="e">
        <f>+AD102/SUMIF(C96:AA96,'References Assumptions'!$C$331,Transportation!C95:AA95)*Mg_kg</f>
        <v>#DIV/0!</v>
      </c>
    </row>
    <row r="103" spans="2:31" ht="17.25" thickBot="1" x14ac:dyDescent="0.35">
      <c r="B103" s="153" t="s">
        <v>51</v>
      </c>
      <c r="C103" s="554" t="str">
        <f>IF(C96="Truck",C101*(1-C102)*CO2E_diesel__ClimateReg/1000000,IF(C96="Rail",C95*C100*rail_emis/Mg_kg,"N/A"))</f>
        <v>N/A</v>
      </c>
      <c r="D103" s="554" t="str">
        <f t="shared" ref="D103:AA103" si="19">IF(D96="Truck",D101*(1-D102)*CO2E_diesel__ClimateReg/1000000,IF(D96="Rail",D95*D100*rail_emis/Mg_kg,"N/A"))</f>
        <v>N/A</v>
      </c>
      <c r="E103" s="887" t="str">
        <f t="shared" si="19"/>
        <v>N/A</v>
      </c>
      <c r="F103" s="554" t="str">
        <f t="shared" si="19"/>
        <v>N/A</v>
      </c>
      <c r="G103" s="554" t="str">
        <f t="shared" si="19"/>
        <v>N/A</v>
      </c>
      <c r="H103" s="554" t="str">
        <f t="shared" si="19"/>
        <v>N/A</v>
      </c>
      <c r="I103" s="554" t="str">
        <f t="shared" si="19"/>
        <v>N/A</v>
      </c>
      <c r="J103" s="554" t="str">
        <f t="shared" si="19"/>
        <v>N/A</v>
      </c>
      <c r="K103" s="554" t="str">
        <f t="shared" si="19"/>
        <v>N/A</v>
      </c>
      <c r="L103" s="554" t="str">
        <f t="shared" si="19"/>
        <v>N/A</v>
      </c>
      <c r="M103" s="554" t="str">
        <f t="shared" si="19"/>
        <v>N/A</v>
      </c>
      <c r="N103" s="554" t="str">
        <f t="shared" si="19"/>
        <v>N/A</v>
      </c>
      <c r="O103" s="554" t="str">
        <f t="shared" si="19"/>
        <v>N/A</v>
      </c>
      <c r="P103" s="554" t="str">
        <f t="shared" si="19"/>
        <v>N/A</v>
      </c>
      <c r="Q103" s="554" t="str">
        <f t="shared" si="19"/>
        <v>N/A</v>
      </c>
      <c r="R103" s="554" t="str">
        <f t="shared" si="19"/>
        <v>N/A</v>
      </c>
      <c r="S103" s="554" t="str">
        <f t="shared" si="19"/>
        <v>N/A</v>
      </c>
      <c r="T103" s="554" t="str">
        <f t="shared" si="19"/>
        <v>N/A</v>
      </c>
      <c r="U103" s="554" t="str">
        <f t="shared" si="19"/>
        <v>N/A</v>
      </c>
      <c r="V103" s="554" t="str">
        <f t="shared" si="19"/>
        <v>N/A</v>
      </c>
      <c r="W103" s="554" t="str">
        <f t="shared" si="19"/>
        <v>N/A</v>
      </c>
      <c r="X103" s="554" t="str">
        <f t="shared" si="19"/>
        <v>N/A</v>
      </c>
      <c r="Y103" s="554" t="str">
        <f t="shared" si="19"/>
        <v>N/A</v>
      </c>
      <c r="Z103" s="554" t="str">
        <f t="shared" si="19"/>
        <v>N/A</v>
      </c>
      <c r="AA103" s="554" t="str">
        <f t="shared" si="19"/>
        <v>N/A</v>
      </c>
      <c r="AB103" s="555">
        <f>SUM(C103:AA103)</f>
        <v>0</v>
      </c>
    </row>
    <row r="111" spans="2:31" ht="45.75" customHeight="1" thickBot="1" x14ac:dyDescent="0.25">
      <c r="B111" s="1297" t="s">
        <v>20</v>
      </c>
      <c r="C111" s="1297"/>
      <c r="D111" s="1297"/>
      <c r="E111" s="1297"/>
      <c r="F111" s="1297"/>
      <c r="G111" s="1297"/>
    </row>
    <row r="112" spans="2:31" ht="15.75" thickBot="1" x14ac:dyDescent="0.3">
      <c r="C112" s="561">
        <f>+heavy_duty_diesel_truck_mileage</f>
        <v>2.4743422909272987</v>
      </c>
      <c r="D112" s="130" t="s">
        <v>93</v>
      </c>
      <c r="R112"/>
      <c r="S112" s="1368" t="s">
        <v>110</v>
      </c>
      <c r="T112" s="1369"/>
    </row>
    <row r="113" spans="3:26" ht="15" x14ac:dyDescent="0.25">
      <c r="C113" s="562">
        <f>+heavy_duty_diesel_truck_mileage</f>
        <v>2.4743422909272987</v>
      </c>
      <c r="D113" s="96" t="s">
        <v>1</v>
      </c>
      <c r="R113"/>
      <c r="S113" s="178" t="s">
        <v>31</v>
      </c>
      <c r="T113" s="179">
        <v>0</v>
      </c>
      <c r="U113" s="178"/>
      <c r="V113" s="178"/>
      <c r="W113" s="178"/>
      <c r="X113" s="178"/>
      <c r="Y113" s="178"/>
      <c r="Z113" s="178"/>
    </row>
    <row r="114" spans="3:26" ht="15" x14ac:dyDescent="0.25">
      <c r="R114"/>
      <c r="S114" s="178" t="s">
        <v>32</v>
      </c>
      <c r="T114" s="180">
        <v>0</v>
      </c>
      <c r="U114" s="178"/>
      <c r="V114" s="178"/>
      <c r="W114" s="178"/>
      <c r="X114" s="178"/>
      <c r="Y114" s="178"/>
      <c r="Z114" s="178"/>
    </row>
    <row r="115" spans="3:26" ht="15.75" thickBot="1" x14ac:dyDescent="0.3">
      <c r="R115"/>
      <c r="S115" s="178" t="s">
        <v>70</v>
      </c>
      <c r="T115" s="181">
        <v>0</v>
      </c>
      <c r="U115" s="178"/>
      <c r="V115" s="178"/>
      <c r="W115" s="178"/>
      <c r="X115" s="178"/>
      <c r="Y115" s="178"/>
      <c r="Z115" s="178"/>
    </row>
  </sheetData>
  <sheetProtection sheet="1" formatCells="0" formatColumns="0" formatRows="0" insertColumns="0" insertRows="0" insertHyperlinks="0" deleteColumns="0" deleteRows="0" sort="0" autoFilter="0" pivotTables="0"/>
  <mergeCells count="31">
    <mergeCell ref="C3:AA3"/>
    <mergeCell ref="AB15:AB20"/>
    <mergeCell ref="AB35:AB40"/>
    <mergeCell ref="S112:T112"/>
    <mergeCell ref="AB65:AB70"/>
    <mergeCell ref="AB75:AB80"/>
    <mergeCell ref="AB85:AB90"/>
    <mergeCell ref="AB45:AB50"/>
    <mergeCell ref="AG6:AN6"/>
    <mergeCell ref="AB55:AB60"/>
    <mergeCell ref="AB95:AB100"/>
    <mergeCell ref="B111:G111"/>
    <mergeCell ref="AB25:AB30"/>
    <mergeCell ref="AB5:AB10"/>
    <mergeCell ref="AE16:AE20"/>
    <mergeCell ref="AE26:AE30"/>
    <mergeCell ref="AE36:AE40"/>
    <mergeCell ref="AE46:AE50"/>
    <mergeCell ref="AE56:AE60"/>
    <mergeCell ref="AE66:AE70"/>
    <mergeCell ref="AE76:AE80"/>
    <mergeCell ref="AE86:AE90"/>
    <mergeCell ref="AE96:AE100"/>
    <mergeCell ref="AE6:AE10"/>
    <mergeCell ref="AP10:AR10"/>
    <mergeCell ref="AP11:AR11"/>
    <mergeCell ref="AP5:AS5"/>
    <mergeCell ref="AP6:AR6"/>
    <mergeCell ref="AP7:AR7"/>
    <mergeCell ref="AP8:AR8"/>
    <mergeCell ref="AP9:AR9"/>
  </mergeCells>
  <phoneticPr fontId="44" type="noConversion"/>
  <pageMargins left="0.7" right="0.7" top="0.75" bottom="0.75" header="0.3" footer="0.3"/>
  <pageSetup scale="26" orientation="landscape" horizontalDpi="300" r:id="rId1"/>
  <ignoredErrors>
    <ignoredError sqref="C10:AA10 C9:AA9 V16:AA17 N16:U17 J16:M17 K26:AA27 J30 C26:J27 C30:G30 V19:AA20 N19:U20 J19:M20 K29:AA30" unlockedFormula="1"/>
    <ignoredError sqref="I16:I17 H16:H17 C16 C19:G20 D16:G16 C17:G17 I19 H19" formula="1" unlockedFormula="1"/>
    <ignoredError sqref="C21" formula="1"/>
  </ignoredError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4">
    <pageSetUpPr fitToPage="1"/>
  </sheetPr>
  <dimension ref="A1:U374"/>
  <sheetViews>
    <sheetView topLeftCell="A113" zoomScale="70" zoomScaleNormal="70" workbookViewId="0">
      <selection activeCell="B141" sqref="B141"/>
    </sheetView>
  </sheetViews>
  <sheetFormatPr defaultColWidth="9.140625" defaultRowHeight="14.25" x14ac:dyDescent="0.2"/>
  <cols>
    <col min="1" max="1" width="108.5703125" style="105" customWidth="1"/>
    <col min="2" max="2" width="16.42578125" style="105" customWidth="1"/>
    <col min="3" max="5" width="12.5703125" style="105" customWidth="1"/>
    <col min="6" max="6" width="17.42578125" style="105" customWidth="1"/>
    <col min="7" max="8" width="12.85546875" style="105" customWidth="1"/>
    <col min="9" max="9" width="26" style="105" customWidth="1"/>
    <col min="10" max="10" width="12.85546875" style="105" customWidth="1"/>
    <col min="11" max="11" width="22.85546875" style="105" customWidth="1"/>
    <col min="12" max="12" width="12.85546875" style="105" customWidth="1"/>
    <col min="13" max="13" width="15.85546875" style="105" customWidth="1"/>
    <col min="14" max="14" width="16.85546875" style="105" customWidth="1"/>
    <col min="15" max="16" width="9.140625" style="105"/>
    <col min="17" max="17" width="12.42578125" style="105" customWidth="1"/>
    <col min="18" max="18" width="14.140625" style="105" customWidth="1"/>
    <col min="19" max="19" width="9.42578125" style="105" customWidth="1"/>
    <col min="20" max="20" width="7.140625" style="105" customWidth="1"/>
    <col min="21" max="16384" width="9.140625" style="105"/>
  </cols>
  <sheetData>
    <row r="1" spans="1:17" ht="23.25" x14ac:dyDescent="0.35">
      <c r="A1" s="369" t="s">
        <v>815</v>
      </c>
      <c r="B1" s="528"/>
      <c r="C1" s="528"/>
      <c r="D1" s="528"/>
      <c r="E1" s="528"/>
      <c r="F1" s="528"/>
    </row>
    <row r="2" spans="1:17" ht="20.100000000000001" customHeight="1" thickBot="1" x14ac:dyDescent="0.4">
      <c r="A2" s="369"/>
      <c r="B2" s="528"/>
      <c r="C2" s="528"/>
      <c r="D2" s="528"/>
      <c r="E2" s="528"/>
      <c r="F2" s="528"/>
    </row>
    <row r="3" spans="1:17" ht="20.100000000000001" customHeight="1" x14ac:dyDescent="0.35">
      <c r="B3" s="1374" t="s">
        <v>810</v>
      </c>
      <c r="C3" s="1375"/>
      <c r="D3" s="1375"/>
      <c r="E3" s="1376"/>
      <c r="F3" s="528"/>
    </row>
    <row r="4" spans="1:17" ht="20.100000000000001" customHeight="1" x14ac:dyDescent="0.35">
      <c r="B4" s="1377" t="s">
        <v>973</v>
      </c>
      <c r="C4" s="1378"/>
      <c r="D4" s="1379"/>
      <c r="E4" s="757"/>
      <c r="F4" s="528"/>
    </row>
    <row r="5" spans="1:17" ht="20.100000000000001" customHeight="1" x14ac:dyDescent="0.35">
      <c r="B5" s="1380" t="s">
        <v>811</v>
      </c>
      <c r="C5" s="1381"/>
      <c r="D5" s="1382"/>
      <c r="E5" s="1000"/>
      <c r="F5" s="528"/>
    </row>
    <row r="6" spans="1:17" ht="20.100000000000001" customHeight="1" x14ac:dyDescent="0.35">
      <c r="B6" s="1380" t="s">
        <v>809</v>
      </c>
      <c r="C6" s="1381"/>
      <c r="D6" s="1382"/>
      <c r="E6" s="1007"/>
      <c r="F6" s="528"/>
    </row>
    <row r="7" spans="1:17" ht="20.100000000000001" customHeight="1" thickBot="1" x14ac:dyDescent="0.4">
      <c r="B7" s="1383" t="s">
        <v>611</v>
      </c>
      <c r="C7" s="1384"/>
      <c r="D7" s="1385"/>
      <c r="E7" s="760"/>
      <c r="F7" s="528"/>
    </row>
    <row r="8" spans="1:17" ht="20.100000000000001" customHeight="1" thickBot="1" x14ac:dyDescent="0.4">
      <c r="A8" s="742" t="s">
        <v>407</v>
      </c>
      <c r="B8" s="528"/>
      <c r="C8" s="528"/>
      <c r="D8" s="528"/>
      <c r="E8" s="528"/>
      <c r="F8" s="528"/>
    </row>
    <row r="9" spans="1:17" ht="20.100000000000001" customHeight="1" x14ac:dyDescent="0.35">
      <c r="A9" s="369"/>
      <c r="B9" s="1386" t="s">
        <v>561</v>
      </c>
      <c r="C9" s="1013" t="s">
        <v>898</v>
      </c>
      <c r="D9" s="1013" t="s">
        <v>900</v>
      </c>
      <c r="E9" s="1013" t="s">
        <v>899</v>
      </c>
      <c r="F9" s="1014" t="s">
        <v>543</v>
      </c>
      <c r="G9" s="7" t="s">
        <v>405</v>
      </c>
    </row>
    <row r="10" spans="1:17" ht="20.100000000000001" customHeight="1" x14ac:dyDescent="0.35">
      <c r="A10" s="369"/>
      <c r="B10" s="1387"/>
      <c r="C10" s="985">
        <v>10.210000000000001</v>
      </c>
      <c r="D10" s="987">
        <v>5.1000000000000004E-3</v>
      </c>
      <c r="E10" s="987">
        <v>4.7999999999999996E-3</v>
      </c>
      <c r="F10" s="237">
        <f>C10+(D10*HH_truck_std_mpg/1000)+(E10*HH_truck_std_mpg/1000)</f>
        <v>10.210057618</v>
      </c>
      <c r="G10" s="130"/>
    </row>
    <row r="11" spans="1:17" ht="20.100000000000001" customHeight="1" x14ac:dyDescent="0.35">
      <c r="A11" s="369"/>
      <c r="B11" s="1395" t="s">
        <v>560</v>
      </c>
      <c r="C11" s="992" t="s">
        <v>776</v>
      </c>
      <c r="D11" s="992" t="s">
        <v>777</v>
      </c>
      <c r="E11" s="992" t="s">
        <v>778</v>
      </c>
      <c r="F11" s="1015" t="s">
        <v>901</v>
      </c>
    </row>
    <row r="12" spans="1:17" ht="20.100000000000001" customHeight="1" thickBot="1" x14ac:dyDescent="0.4">
      <c r="A12" s="369"/>
      <c r="B12" s="1396"/>
      <c r="C12" s="986">
        <v>2.3E-2</v>
      </c>
      <c r="D12" s="987">
        <v>1.8E-3</v>
      </c>
      <c r="E12" s="987">
        <v>5.9999999999999995E-4</v>
      </c>
      <c r="F12" s="984">
        <f>+C12+(D12/Mg_kg*CO2E_of_CH4_ClimateReg)+(E12/Mg_kg*CO2E_of_N2O_Climate_Reg)</f>
        <v>2.3223799999999999E-2</v>
      </c>
      <c r="G12" s="445" t="s">
        <v>410</v>
      </c>
    </row>
    <row r="13" spans="1:17" ht="20.100000000000001" customHeight="1" x14ac:dyDescent="0.35">
      <c r="A13" s="383" t="s">
        <v>897</v>
      </c>
      <c r="B13" s="983">
        <f>F10</f>
        <v>10.210057618</v>
      </c>
      <c r="C13" s="445" t="s">
        <v>542</v>
      </c>
      <c r="D13" s="183"/>
      <c r="E13" s="183"/>
      <c r="F13" s="183"/>
      <c r="L13" s="183"/>
      <c r="M13" s="183"/>
      <c r="N13" s="183"/>
      <c r="O13" s="183"/>
      <c r="P13" s="183"/>
      <c r="Q13" s="183"/>
    </row>
    <row r="14" spans="1:17" ht="20.100000000000001" customHeight="1" x14ac:dyDescent="0.35">
      <c r="A14" s="383" t="s">
        <v>871</v>
      </c>
      <c r="B14" s="744">
        <f>+B13*Mg_kg*$E$263</f>
        <v>2697.2131467925533</v>
      </c>
      <c r="C14" s="445" t="s">
        <v>343</v>
      </c>
      <c r="D14" s="130"/>
      <c r="E14" s="130"/>
      <c r="F14" s="130"/>
      <c r="G14" s="7"/>
      <c r="H14" s="130"/>
      <c r="I14" s="130"/>
      <c r="J14" s="130"/>
      <c r="K14" s="130"/>
      <c r="L14" s="130"/>
      <c r="M14" s="130"/>
      <c r="N14" s="130"/>
      <c r="O14" s="130"/>
      <c r="P14" s="130"/>
      <c r="Q14" s="130"/>
    </row>
    <row r="15" spans="1:17" ht="20.100000000000001" customHeight="1" x14ac:dyDescent="0.2">
      <c r="A15" s="745" t="s">
        <v>241</v>
      </c>
      <c r="B15" s="768">
        <v>5.82</v>
      </c>
      <c r="C15" s="445" t="s">
        <v>406</v>
      </c>
    </row>
    <row r="16" spans="1:17" ht="20.100000000000001" customHeight="1" x14ac:dyDescent="0.2">
      <c r="A16" s="746" t="s">
        <v>242</v>
      </c>
      <c r="B16" s="747">
        <f>+B15*E247/E246</f>
        <v>2.4743422909272987</v>
      </c>
      <c r="C16" s="445" t="s">
        <v>343</v>
      </c>
    </row>
    <row r="17" spans="1:17" ht="20.100000000000001" customHeight="1" x14ac:dyDescent="0.25">
      <c r="A17" s="383" t="s">
        <v>872</v>
      </c>
      <c r="B17" s="959">
        <f>+F12*Mg_ton*km_mile</f>
        <v>1.58930217396E-2</v>
      </c>
      <c r="C17" s="445" t="s">
        <v>343</v>
      </c>
    </row>
    <row r="18" spans="1:17" ht="20.100000000000001" customHeight="1" x14ac:dyDescent="0.2">
      <c r="A18" s="742"/>
      <c r="B18" s="748"/>
      <c r="C18" s="749"/>
      <c r="D18" s="130"/>
      <c r="E18" s="130"/>
      <c r="F18" s="130"/>
      <c r="G18" s="130"/>
      <c r="H18" s="130"/>
      <c r="I18" s="130"/>
      <c r="J18" s="130"/>
      <c r="K18" s="130"/>
      <c r="L18" s="130"/>
      <c r="M18" s="130"/>
      <c r="N18" s="130"/>
      <c r="O18" s="130"/>
      <c r="P18" s="130"/>
      <c r="Q18" s="130"/>
    </row>
    <row r="19" spans="1:17" ht="20.100000000000001" customHeight="1" x14ac:dyDescent="0.2">
      <c r="A19" s="742" t="s">
        <v>280</v>
      </c>
      <c r="B19" s="748"/>
      <c r="C19" s="749"/>
      <c r="D19" s="988"/>
      <c r="E19" s="130"/>
      <c r="F19" s="130"/>
      <c r="G19" s="130"/>
      <c r="H19" s="130"/>
      <c r="I19" s="130"/>
      <c r="J19" s="130"/>
      <c r="K19" s="130"/>
      <c r="L19" s="130"/>
      <c r="M19" s="130"/>
      <c r="N19" s="130"/>
      <c r="O19" s="130"/>
      <c r="P19" s="130"/>
      <c r="Q19" s="130"/>
    </row>
    <row r="20" spans="1:17" ht="20.100000000000001" customHeight="1" x14ac:dyDescent="0.35">
      <c r="A20" s="383" t="s">
        <v>873</v>
      </c>
      <c r="B20" s="750">
        <v>1901</v>
      </c>
      <c r="C20" s="445" t="s">
        <v>167</v>
      </c>
    </row>
    <row r="21" spans="1:17" ht="20.100000000000001" customHeight="1" x14ac:dyDescent="0.3">
      <c r="A21" s="746" t="s">
        <v>251</v>
      </c>
      <c r="B21" s="750">
        <v>36263.478419999999</v>
      </c>
      <c r="C21" s="752" t="s">
        <v>167</v>
      </c>
      <c r="D21" s="183"/>
      <c r="E21" s="183"/>
      <c r="F21" s="183"/>
      <c r="G21" s="183"/>
      <c r="H21" s="183"/>
      <c r="I21" s="183"/>
      <c r="J21" s="183"/>
      <c r="K21" s="183"/>
      <c r="L21" s="183"/>
      <c r="M21" s="183"/>
      <c r="N21" s="183"/>
      <c r="O21" s="183"/>
      <c r="P21" s="183"/>
      <c r="Q21" s="183"/>
    </row>
    <row r="22" spans="1:17" ht="20.100000000000001" customHeight="1" x14ac:dyDescent="0.2">
      <c r="A22" s="183"/>
      <c r="B22" s="753"/>
      <c r="C22" s="748"/>
      <c r="D22" s="183"/>
      <c r="E22" s="183"/>
      <c r="F22" s="183"/>
      <c r="G22" s="183"/>
      <c r="H22" s="183"/>
      <c r="I22" s="183"/>
      <c r="J22" s="183"/>
      <c r="K22" s="183"/>
      <c r="L22" s="183"/>
      <c r="M22" s="183"/>
      <c r="N22" s="183"/>
      <c r="O22" s="183"/>
      <c r="P22" s="183"/>
      <c r="Q22" s="183"/>
    </row>
    <row r="23" spans="1:17" ht="20.100000000000001" customHeight="1" x14ac:dyDescent="0.2">
      <c r="A23" s="742" t="s">
        <v>216</v>
      </c>
      <c r="B23" s="748"/>
      <c r="C23" s="183"/>
      <c r="D23" s="183"/>
      <c r="E23" s="183"/>
      <c r="F23" s="183"/>
      <c r="G23" s="183"/>
      <c r="H23" s="183"/>
      <c r="I23" s="183"/>
      <c r="J23" s="183"/>
      <c r="K23" s="183"/>
      <c r="L23" s="183"/>
      <c r="M23" s="183"/>
      <c r="N23" s="183"/>
      <c r="O23" s="183"/>
      <c r="P23" s="183"/>
      <c r="Q23" s="183"/>
    </row>
    <row r="24" spans="1:17" ht="20.100000000000001" customHeight="1" x14ac:dyDescent="0.2">
      <c r="A24" s="383" t="s">
        <v>874</v>
      </c>
      <c r="B24" s="768">
        <v>0.70699999999999996</v>
      </c>
      <c r="C24" s="752" t="s">
        <v>94</v>
      </c>
      <c r="D24" s="183"/>
      <c r="E24" s="183"/>
      <c r="F24" s="183"/>
      <c r="G24" s="183"/>
      <c r="H24" s="183"/>
      <c r="I24" s="183"/>
      <c r="J24" s="183"/>
      <c r="K24" s="183"/>
      <c r="L24" s="183"/>
      <c r="M24" s="183"/>
      <c r="N24" s="183"/>
      <c r="O24" s="183"/>
      <c r="P24" s="183"/>
      <c r="Q24" s="183"/>
    </row>
    <row r="25" spans="1:17" ht="20.100000000000001" customHeight="1" x14ac:dyDescent="0.2">
      <c r="A25" s="383" t="s">
        <v>227</v>
      </c>
      <c r="B25" s="750">
        <v>35830</v>
      </c>
      <c r="C25" s="445" t="s">
        <v>350</v>
      </c>
      <c r="D25" s="754"/>
      <c r="E25" s="183"/>
      <c r="F25" s="183"/>
      <c r="G25" s="183"/>
      <c r="H25" s="183"/>
      <c r="I25" s="183"/>
      <c r="J25" s="183"/>
      <c r="K25" s="183"/>
      <c r="L25" s="183"/>
      <c r="M25" s="183"/>
      <c r="N25" s="183"/>
      <c r="O25" s="183"/>
      <c r="P25" s="183"/>
      <c r="Q25" s="183"/>
    </row>
    <row r="26" spans="1:17" ht="20.100000000000001" customHeight="1" x14ac:dyDescent="0.2">
      <c r="D26" s="130"/>
      <c r="E26" s="130"/>
      <c r="F26" s="130"/>
      <c r="G26" s="130"/>
      <c r="H26" s="130"/>
      <c r="I26" s="130"/>
      <c r="J26" s="130"/>
      <c r="K26" s="130"/>
      <c r="L26" s="130"/>
      <c r="M26" s="130"/>
      <c r="N26" s="130"/>
      <c r="O26" s="130"/>
      <c r="P26" s="130"/>
      <c r="Q26" s="130"/>
    </row>
    <row r="27" spans="1:17" ht="20.100000000000001" customHeight="1" x14ac:dyDescent="0.2">
      <c r="B27" s="445"/>
    </row>
    <row r="28" spans="1:17" ht="20.100000000000001" customHeight="1" x14ac:dyDescent="0.2">
      <c r="A28" s="742" t="s">
        <v>727</v>
      </c>
      <c r="B28" s="445"/>
    </row>
    <row r="29" spans="1:17" ht="20.100000000000001" customHeight="1" x14ac:dyDescent="0.2">
      <c r="A29" s="383" t="s">
        <v>895</v>
      </c>
      <c r="B29" s="768">
        <v>2.4E-2</v>
      </c>
      <c r="C29" s="445" t="s">
        <v>728</v>
      </c>
    </row>
    <row r="30" spans="1:17" ht="20.100000000000001" customHeight="1" x14ac:dyDescent="0.2">
      <c r="A30" s="383" t="s">
        <v>729</v>
      </c>
      <c r="B30" s="750">
        <v>18</v>
      </c>
      <c r="C30" s="445" t="s">
        <v>728</v>
      </c>
    </row>
    <row r="31" spans="1:17" ht="20.100000000000001" customHeight="1" x14ac:dyDescent="0.35">
      <c r="A31" s="383" t="s">
        <v>896</v>
      </c>
      <c r="B31" s="1154">
        <f>+B29/B30*kg_lbs</f>
        <v>2.9399999999999999E-3</v>
      </c>
    </row>
    <row r="32" spans="1:17" ht="20.100000000000001" customHeight="1" x14ac:dyDescent="0.2">
      <c r="B32" s="445"/>
    </row>
    <row r="33" spans="1:17" s="183" customFormat="1" ht="20.100000000000001" customHeight="1" x14ac:dyDescent="0.3">
      <c r="A33" s="756" t="s">
        <v>268</v>
      </c>
      <c r="B33" s="748"/>
      <c r="G33" s="130"/>
      <c r="H33" s="130"/>
      <c r="I33" s="130"/>
    </row>
    <row r="34" spans="1:17" s="183" customFormat="1" ht="20.100000000000001" customHeight="1" x14ac:dyDescent="0.2">
      <c r="A34" s="383" t="s">
        <v>875</v>
      </c>
      <c r="B34" s="755">
        <v>150</v>
      </c>
      <c r="C34" s="752" t="s">
        <v>224</v>
      </c>
      <c r="G34" s="130"/>
      <c r="H34" s="130"/>
      <c r="I34" s="130"/>
    </row>
    <row r="35" spans="1:17" s="183" customFormat="1" ht="20.100000000000001" customHeight="1" x14ac:dyDescent="0.2">
      <c r="A35" s="383" t="s">
        <v>258</v>
      </c>
      <c r="B35" s="758">
        <v>0.01</v>
      </c>
      <c r="C35" s="445" t="s">
        <v>259</v>
      </c>
      <c r="G35" s="130"/>
      <c r="H35" s="130"/>
      <c r="I35" s="130"/>
    </row>
    <row r="36" spans="1:17" s="130" customFormat="1" ht="20.100000000000001" customHeight="1" x14ac:dyDescent="0.2">
      <c r="A36" s="743" t="s">
        <v>236</v>
      </c>
      <c r="B36" s="759">
        <v>0.04</v>
      </c>
      <c r="C36" s="749" t="s">
        <v>201</v>
      </c>
      <c r="G36" s="105"/>
      <c r="H36" s="105"/>
    </row>
    <row r="37" spans="1:17" ht="20.100000000000001" customHeight="1" x14ac:dyDescent="0.2">
      <c r="A37" s="130"/>
      <c r="B37" s="761"/>
      <c r="C37" s="445"/>
    </row>
    <row r="38" spans="1:17" ht="20.100000000000001" customHeight="1" x14ac:dyDescent="0.3">
      <c r="A38" s="762" t="s">
        <v>333</v>
      </c>
      <c r="B38" s="989" t="s">
        <v>736</v>
      </c>
      <c r="C38" s="989" t="s">
        <v>121</v>
      </c>
      <c r="D38" s="989" t="s">
        <v>122</v>
      </c>
      <c r="F38" s="130"/>
      <c r="G38" s="130"/>
      <c r="H38" s="130"/>
      <c r="I38" s="130"/>
      <c r="J38" s="130"/>
      <c r="O38" s="96"/>
      <c r="P38" s="96"/>
      <c r="Q38" s="96"/>
    </row>
    <row r="39" spans="1:17" ht="20.100000000000001" customHeight="1" x14ac:dyDescent="0.2">
      <c r="A39" s="746" t="s">
        <v>264</v>
      </c>
      <c r="B39" s="763">
        <v>0.04</v>
      </c>
      <c r="C39" s="763">
        <v>0.05</v>
      </c>
      <c r="D39" s="763">
        <v>3.2000000000000001E-2</v>
      </c>
      <c r="E39" s="1388" t="s">
        <v>773</v>
      </c>
      <c r="K39" s="764"/>
    </row>
    <row r="40" spans="1:17" ht="20.100000000000001" customHeight="1" x14ac:dyDescent="0.2">
      <c r="A40" s="743" t="s">
        <v>245</v>
      </c>
      <c r="B40" s="765">
        <v>1.4999999999999999E-2</v>
      </c>
      <c r="C40" s="765">
        <v>1.9E-2</v>
      </c>
      <c r="D40" s="765">
        <v>1.2E-2</v>
      </c>
      <c r="E40" s="1388"/>
      <c r="K40" s="764"/>
    </row>
    <row r="41" spans="1:17" ht="20.100000000000001" customHeight="1" x14ac:dyDescent="0.2">
      <c r="A41" s="746" t="s">
        <v>265</v>
      </c>
      <c r="B41" s="765">
        <v>0.78</v>
      </c>
      <c r="C41" s="765">
        <v>0.65</v>
      </c>
      <c r="D41" s="765">
        <v>0.52</v>
      </c>
      <c r="E41" s="1388"/>
      <c r="K41" s="764"/>
    </row>
    <row r="42" spans="1:17" ht="20.100000000000001" customHeight="1" x14ac:dyDescent="0.2">
      <c r="A42" s="130"/>
      <c r="B42" s="761"/>
      <c r="C42" s="445"/>
      <c r="H42" s="766"/>
    </row>
    <row r="43" spans="1:17" ht="20.100000000000001" customHeight="1" x14ac:dyDescent="0.3">
      <c r="A43" s="756" t="s">
        <v>244</v>
      </c>
      <c r="B43" s="767"/>
      <c r="C43" s="445" t="s">
        <v>974</v>
      </c>
    </row>
    <row r="44" spans="1:17" s="183" customFormat="1" ht="20.100000000000001" customHeight="1" x14ac:dyDescent="0.35">
      <c r="A44" s="383" t="s">
        <v>893</v>
      </c>
      <c r="B44" s="768">
        <v>0.12</v>
      </c>
      <c r="C44" s="445" t="s">
        <v>344</v>
      </c>
    </row>
    <row r="45" spans="1:17" s="130" customFormat="1" ht="20.100000000000001" customHeight="1" x14ac:dyDescent="0.35">
      <c r="A45" s="383" t="s">
        <v>894</v>
      </c>
      <c r="B45" s="769">
        <v>0.4</v>
      </c>
      <c r="C45" s="445" t="s">
        <v>345</v>
      </c>
    </row>
    <row r="46" spans="1:17" s="130" customFormat="1" ht="20.100000000000001" customHeight="1" x14ac:dyDescent="0.2">
      <c r="A46" s="383" t="s">
        <v>320</v>
      </c>
      <c r="B46" s="770">
        <v>0.9</v>
      </c>
      <c r="C46" s="445" t="s">
        <v>319</v>
      </c>
    </row>
    <row r="47" spans="1:17" s="130" customFormat="1" ht="20.100000000000001" customHeight="1" x14ac:dyDescent="0.2">
      <c r="A47" s="383" t="s">
        <v>295</v>
      </c>
      <c r="B47" s="771">
        <f>(0.004*B34)+5</f>
        <v>5.6</v>
      </c>
      <c r="C47" s="445" t="s">
        <v>289</v>
      </c>
    </row>
    <row r="48" spans="1:17" s="183" customFormat="1" ht="20.100000000000001" customHeight="1" x14ac:dyDescent="0.2">
      <c r="A48" s="383" t="s">
        <v>819</v>
      </c>
      <c r="B48" s="1000">
        <v>0.41670000000000001</v>
      </c>
      <c r="C48" s="445" t="s">
        <v>820</v>
      </c>
    </row>
    <row r="49" spans="1:20" s="183" customFormat="1" ht="20.100000000000001" customHeight="1" x14ac:dyDescent="0.2">
      <c r="A49" s="96"/>
      <c r="B49" s="96"/>
      <c r="C49" s="96"/>
    </row>
    <row r="50" spans="1:20" s="183" customFormat="1" ht="20.100000000000001" customHeight="1" x14ac:dyDescent="0.35">
      <c r="A50" s="762" t="s">
        <v>722</v>
      </c>
      <c r="B50" s="1155"/>
      <c r="C50" s="528"/>
    </row>
    <row r="51" spans="1:20" s="183" customFormat="1" ht="20.100000000000001" customHeight="1" x14ac:dyDescent="0.2">
      <c r="A51" s="383" t="s">
        <v>730</v>
      </c>
      <c r="B51" s="1156">
        <v>2.3777674374000002</v>
      </c>
      <c r="C51" s="445" t="s">
        <v>731</v>
      </c>
    </row>
    <row r="52" spans="1:20" s="183" customFormat="1" ht="20.100000000000001" customHeight="1" x14ac:dyDescent="0.2">
      <c r="A52" s="383" t="s">
        <v>732</v>
      </c>
      <c r="B52" s="1157">
        <v>17.632000000000001</v>
      </c>
      <c r="C52" s="445" t="s">
        <v>731</v>
      </c>
    </row>
    <row r="53" spans="1:20" s="183" customFormat="1" ht="20.100000000000001" customHeight="1" x14ac:dyDescent="0.2">
      <c r="A53" s="383" t="s">
        <v>733</v>
      </c>
      <c r="B53" s="1156">
        <v>4.997732426303856E-2</v>
      </c>
      <c r="C53" s="445" t="s">
        <v>731</v>
      </c>
    </row>
    <row r="54" spans="1:20" ht="20.100000000000001" customHeight="1" x14ac:dyDescent="0.25">
      <c r="J54" s="772"/>
      <c r="K54" s="130"/>
      <c r="L54" s="489"/>
      <c r="M54" s="489"/>
      <c r="N54" s="489"/>
      <c r="O54" s="489"/>
      <c r="P54" s="489"/>
      <c r="Q54" s="489"/>
      <c r="R54" s="489"/>
      <c r="S54" s="489"/>
      <c r="T54" s="489"/>
    </row>
    <row r="55" spans="1:20" s="130" customFormat="1" ht="20.100000000000001" customHeight="1" x14ac:dyDescent="0.3">
      <c r="A55" s="756" t="s">
        <v>272</v>
      </c>
      <c r="L55" s="773"/>
      <c r="M55" s="773"/>
      <c r="N55" s="773"/>
      <c r="O55" s="773"/>
      <c r="P55" s="773"/>
      <c r="Q55" s="774"/>
      <c r="R55" s="775"/>
      <c r="S55" s="775"/>
      <c r="T55" s="773"/>
    </row>
    <row r="56" spans="1:20" ht="20.100000000000001" customHeight="1" x14ac:dyDescent="0.2">
      <c r="A56" s="383" t="s">
        <v>260</v>
      </c>
      <c r="B56" s="776">
        <v>4.9000000000000004</v>
      </c>
      <c r="C56" s="445" t="s">
        <v>334</v>
      </c>
      <c r="L56" s="777"/>
      <c r="M56" s="777"/>
      <c r="N56" s="777"/>
      <c r="O56" s="777"/>
      <c r="P56" s="777"/>
      <c r="Q56" s="778"/>
      <c r="R56" s="779"/>
      <c r="S56" s="779"/>
      <c r="T56" s="777"/>
    </row>
    <row r="57" spans="1:20" s="183" customFormat="1" ht="20.100000000000001" customHeight="1" x14ac:dyDescent="0.2">
      <c r="A57" s="383" t="s">
        <v>261</v>
      </c>
      <c r="B57" s="782">
        <v>33</v>
      </c>
      <c r="C57" s="445" t="s">
        <v>671</v>
      </c>
      <c r="L57" s="780"/>
      <c r="M57" s="780"/>
      <c r="N57" s="780"/>
      <c r="O57" s="780"/>
      <c r="P57" s="780"/>
      <c r="Q57" s="781"/>
      <c r="R57" s="365"/>
      <c r="S57" s="365"/>
      <c r="T57" s="780"/>
    </row>
    <row r="58" spans="1:20" s="130" customFormat="1" ht="20.100000000000001" customHeight="1" x14ac:dyDescent="0.2">
      <c r="A58" s="383" t="s">
        <v>322</v>
      </c>
      <c r="B58" s="776">
        <v>11.3</v>
      </c>
      <c r="C58" s="445" t="s">
        <v>336</v>
      </c>
      <c r="L58" s="773"/>
      <c r="M58" s="773"/>
      <c r="N58" s="773"/>
      <c r="O58" s="773"/>
      <c r="P58" s="773"/>
      <c r="Q58" s="774"/>
      <c r="R58" s="775"/>
      <c r="S58" s="775"/>
      <c r="T58" s="773"/>
    </row>
    <row r="59" spans="1:20" ht="20.100000000000001" customHeight="1" x14ac:dyDescent="0.2">
      <c r="A59" s="383" t="s">
        <v>327</v>
      </c>
      <c r="B59" s="782">
        <v>107</v>
      </c>
      <c r="C59" s="445" t="s">
        <v>671</v>
      </c>
      <c r="L59" s="777"/>
      <c r="M59" s="777"/>
      <c r="N59" s="777"/>
      <c r="O59" s="777"/>
      <c r="P59" s="777"/>
      <c r="Q59" s="778"/>
      <c r="R59" s="779"/>
      <c r="S59" s="779"/>
      <c r="T59" s="777"/>
    </row>
    <row r="60" spans="1:20" ht="20.100000000000001" customHeight="1" x14ac:dyDescent="0.2">
      <c r="A60" s="745" t="s">
        <v>237</v>
      </c>
      <c r="B60" s="782">
        <v>5</v>
      </c>
      <c r="C60" s="783" t="s">
        <v>89</v>
      </c>
      <c r="L60" s="777"/>
      <c r="M60" s="777"/>
      <c r="N60" s="777"/>
      <c r="O60" s="777"/>
      <c r="P60" s="777"/>
      <c r="Q60" s="778"/>
      <c r="R60" s="779"/>
      <c r="S60" s="779"/>
      <c r="T60" s="777"/>
    </row>
    <row r="61" spans="1:20" s="183" customFormat="1" ht="20.100000000000001" customHeight="1" x14ac:dyDescent="0.2">
      <c r="A61" s="746" t="s">
        <v>88</v>
      </c>
      <c r="B61" s="784">
        <v>5</v>
      </c>
      <c r="C61" s="783" t="s">
        <v>109</v>
      </c>
      <c r="L61" s="780"/>
      <c r="M61" s="780"/>
      <c r="N61" s="780"/>
      <c r="O61" s="780"/>
      <c r="P61" s="780"/>
      <c r="Q61" s="781"/>
      <c r="R61" s="365"/>
      <c r="S61" s="365"/>
      <c r="T61" s="780"/>
    </row>
    <row r="62" spans="1:20" s="130" customFormat="1" ht="20.100000000000001" customHeight="1" x14ac:dyDescent="0.25">
      <c r="A62" s="383" t="s">
        <v>876</v>
      </c>
      <c r="B62" s="776">
        <v>1.6</v>
      </c>
      <c r="C62" s="445" t="s">
        <v>975</v>
      </c>
      <c r="L62" s="773"/>
      <c r="M62" s="773"/>
      <c r="N62" s="773"/>
      <c r="O62" s="773"/>
      <c r="P62" s="773"/>
      <c r="Q62" s="774"/>
      <c r="R62" s="775"/>
      <c r="S62" s="775"/>
      <c r="T62" s="773"/>
    </row>
    <row r="63" spans="1:20" s="130" customFormat="1" ht="20.100000000000001" customHeight="1" x14ac:dyDescent="0.2">
      <c r="A63" s="383" t="s">
        <v>490</v>
      </c>
      <c r="B63" s="785">
        <v>1000</v>
      </c>
      <c r="C63" s="445" t="s">
        <v>491</v>
      </c>
      <c r="L63" s="773"/>
      <c r="M63" s="773"/>
      <c r="N63" s="773"/>
      <c r="O63" s="773"/>
      <c r="P63" s="773"/>
      <c r="Q63" s="774"/>
      <c r="R63" s="775"/>
      <c r="S63" s="775"/>
      <c r="T63" s="773"/>
    </row>
    <row r="64" spans="1:20" ht="20.100000000000001" customHeight="1" x14ac:dyDescent="0.2">
      <c r="A64" s="383" t="s">
        <v>62</v>
      </c>
      <c r="B64" s="785">
        <v>950</v>
      </c>
      <c r="C64" s="445" t="s">
        <v>351</v>
      </c>
      <c r="D64" s="130"/>
      <c r="L64" s="777"/>
      <c r="M64" s="777"/>
      <c r="N64" s="777"/>
      <c r="O64" s="777"/>
      <c r="P64" s="777"/>
      <c r="Q64" s="778"/>
      <c r="R64" s="779"/>
      <c r="S64" s="779"/>
      <c r="T64" s="777"/>
    </row>
    <row r="65" spans="1:20" s="183" customFormat="1" ht="20.100000000000001" customHeight="1" x14ac:dyDescent="0.2">
      <c r="A65" s="105"/>
      <c r="B65" s="786"/>
      <c r="C65" s="752"/>
      <c r="L65" s="780"/>
      <c r="M65" s="780"/>
      <c r="N65" s="780"/>
      <c r="O65" s="780"/>
      <c r="P65" s="780"/>
      <c r="Q65" s="781"/>
      <c r="R65" s="365"/>
      <c r="S65" s="365"/>
      <c r="T65" s="780"/>
    </row>
    <row r="66" spans="1:20" s="183" customFormat="1" ht="20.100000000000001" customHeight="1" x14ac:dyDescent="0.3">
      <c r="A66" s="762" t="s">
        <v>195</v>
      </c>
      <c r="B66" s="786"/>
      <c r="C66" s="752"/>
    </row>
    <row r="67" spans="1:20" ht="20.100000000000001" customHeight="1" x14ac:dyDescent="0.2">
      <c r="A67" s="383" t="s">
        <v>283</v>
      </c>
      <c r="B67" s="787">
        <v>0.03</v>
      </c>
      <c r="C67" s="445" t="s">
        <v>252</v>
      </c>
    </row>
    <row r="68" spans="1:20" ht="20.100000000000001" customHeight="1" x14ac:dyDescent="0.2">
      <c r="A68" s="383" t="s">
        <v>920</v>
      </c>
      <c r="B68" s="782">
        <v>40</v>
      </c>
      <c r="C68" s="445" t="s">
        <v>768</v>
      </c>
      <c r="D68" s="96"/>
    </row>
    <row r="69" spans="1:20" s="130" customFormat="1" ht="20.100000000000001" customHeight="1" x14ac:dyDescent="0.2">
      <c r="A69" s="183"/>
      <c r="B69" s="788"/>
      <c r="C69" s="749"/>
    </row>
    <row r="70" spans="1:20" ht="20.100000000000001" customHeight="1" x14ac:dyDescent="0.3">
      <c r="A70" s="762" t="s">
        <v>197</v>
      </c>
    </row>
    <row r="71" spans="1:20" ht="20.100000000000001" customHeight="1" x14ac:dyDescent="0.2">
      <c r="A71" s="745" t="s">
        <v>198</v>
      </c>
      <c r="B71" s="789">
        <v>0.65</v>
      </c>
      <c r="C71" s="445" t="s">
        <v>248</v>
      </c>
    </row>
    <row r="72" spans="1:20" s="183" customFormat="1" ht="20.100000000000001" customHeight="1" x14ac:dyDescent="0.2">
      <c r="A72" s="746" t="s">
        <v>279</v>
      </c>
      <c r="B72" s="790">
        <v>0.9</v>
      </c>
      <c r="C72" s="752" t="s">
        <v>158</v>
      </c>
    </row>
    <row r="73" spans="1:20" s="130" customFormat="1" ht="20.100000000000001" customHeight="1" x14ac:dyDescent="0.2">
      <c r="A73" s="383" t="s">
        <v>921</v>
      </c>
      <c r="B73" s="769">
        <f>(6070/45)/36.5*(1/0.8)</f>
        <v>4.6194824961948253</v>
      </c>
      <c r="C73" s="445" t="s">
        <v>352</v>
      </c>
    </row>
    <row r="74" spans="1:20" ht="20.100000000000001" customHeight="1" x14ac:dyDescent="0.2">
      <c r="A74" s="961" t="s">
        <v>877</v>
      </c>
      <c r="B74" s="791">
        <v>6.4999999999999997E-3</v>
      </c>
      <c r="C74" s="445" t="s">
        <v>262</v>
      </c>
    </row>
    <row r="75" spans="1:20" ht="20.100000000000001" customHeight="1" x14ac:dyDescent="0.2">
      <c r="A75" s="961" t="s">
        <v>922</v>
      </c>
      <c r="B75" s="785">
        <v>22</v>
      </c>
      <c r="C75" s="445" t="s">
        <v>769</v>
      </c>
    </row>
    <row r="76" spans="1:20" ht="20.100000000000001" customHeight="1" x14ac:dyDescent="0.2">
      <c r="A76" s="1018" t="s">
        <v>976</v>
      </c>
      <c r="C76" s="445"/>
    </row>
    <row r="77" spans="1:20" ht="20.100000000000001" customHeight="1" x14ac:dyDescent="0.25">
      <c r="A77" s="982" t="s">
        <v>712</v>
      </c>
      <c r="B77" s="789">
        <v>0.38</v>
      </c>
      <c r="C77" s="445" t="s">
        <v>977</v>
      </c>
    </row>
    <row r="78" spans="1:20" ht="20.100000000000001" customHeight="1" x14ac:dyDescent="0.25">
      <c r="A78" s="982" t="s">
        <v>709</v>
      </c>
      <c r="B78" s="789">
        <v>0.42</v>
      </c>
      <c r="C78" s="445"/>
    </row>
    <row r="79" spans="1:20" ht="20.100000000000001" customHeight="1" x14ac:dyDescent="0.25">
      <c r="A79" s="982" t="s">
        <v>710</v>
      </c>
      <c r="B79" s="789">
        <v>0.55000000000000004</v>
      </c>
      <c r="C79" s="445"/>
    </row>
    <row r="80" spans="1:20" ht="20.100000000000001" customHeight="1" x14ac:dyDescent="0.25">
      <c r="A80" s="982" t="s">
        <v>711</v>
      </c>
      <c r="B80" s="789">
        <v>0.62</v>
      </c>
      <c r="C80" s="445"/>
    </row>
    <row r="81" spans="1:5" ht="20.100000000000001" customHeight="1" x14ac:dyDescent="0.2">
      <c r="A81" s="383" t="s">
        <v>670</v>
      </c>
      <c r="B81" s="792">
        <v>8.5400000000000002E-5</v>
      </c>
      <c r="C81" s="445" t="s">
        <v>346</v>
      </c>
    </row>
    <row r="82" spans="1:5" ht="20.100000000000001" customHeight="1" x14ac:dyDescent="0.2">
      <c r="A82" s="383" t="s">
        <v>878</v>
      </c>
      <c r="B82" s="792">
        <f>1/btu_kwh</f>
        <v>2.9308323563892143E-4</v>
      </c>
      <c r="C82" s="445" t="s">
        <v>493</v>
      </c>
    </row>
    <row r="83" spans="1:5" ht="20.100000000000001" customHeight="1" x14ac:dyDescent="0.2">
      <c r="A83" s="383" t="s">
        <v>494</v>
      </c>
      <c r="B83" s="793">
        <f>+Conversion_of_BtU_to_kWh/B82</f>
        <v>0.29138480000000005</v>
      </c>
      <c r="C83" s="445" t="s">
        <v>737</v>
      </c>
    </row>
    <row r="84" spans="1:5" ht="20.100000000000001" customHeight="1" x14ac:dyDescent="0.2">
      <c r="A84" s="383" t="s">
        <v>738</v>
      </c>
      <c r="B84" s="789">
        <v>0.85</v>
      </c>
      <c r="C84" s="752" t="s">
        <v>94</v>
      </c>
      <c r="D84" s="183"/>
      <c r="E84" s="183"/>
    </row>
    <row r="85" spans="1:5" ht="20.100000000000001" customHeight="1" x14ac:dyDescent="0.2">
      <c r="A85" s="1017" t="s">
        <v>749</v>
      </c>
      <c r="B85" s="445"/>
      <c r="C85" s="445"/>
      <c r="D85" s="183"/>
      <c r="E85" s="183"/>
    </row>
    <row r="86" spans="1:5" ht="20.100000000000001" customHeight="1" x14ac:dyDescent="0.2">
      <c r="A86" s="993" t="s">
        <v>774</v>
      </c>
      <c r="E86" s="445"/>
    </row>
    <row r="87" spans="1:5" ht="20.100000000000001" customHeight="1" x14ac:dyDescent="0.25">
      <c r="A87" s="982" t="s">
        <v>790</v>
      </c>
      <c r="B87" s="962">
        <v>0.01</v>
      </c>
      <c r="C87" s="445" t="s">
        <v>796</v>
      </c>
      <c r="D87" s="183"/>
      <c r="E87" s="445"/>
    </row>
    <row r="88" spans="1:5" ht="20.100000000000001" customHeight="1" x14ac:dyDescent="0.25">
      <c r="A88" s="982" t="s">
        <v>741</v>
      </c>
      <c r="B88" s="962">
        <v>0</v>
      </c>
      <c r="C88" s="445" t="s">
        <v>797</v>
      </c>
      <c r="E88" s="183"/>
    </row>
    <row r="89" spans="1:5" ht="20.100000000000001" customHeight="1" x14ac:dyDescent="0.25">
      <c r="A89" s="982" t="s">
        <v>740</v>
      </c>
      <c r="B89" s="962">
        <v>0.05</v>
      </c>
      <c r="C89" s="445" t="s">
        <v>797</v>
      </c>
    </row>
    <row r="90" spans="1:5" ht="20.100000000000001" customHeight="1" x14ac:dyDescent="0.25">
      <c r="A90" s="982" t="s">
        <v>782</v>
      </c>
      <c r="B90" s="1175">
        <v>3.0000000000000001E-3</v>
      </c>
      <c r="C90" s="445" t="s">
        <v>569</v>
      </c>
    </row>
    <row r="91" spans="1:5" ht="20.100000000000001" customHeight="1" x14ac:dyDescent="0.2">
      <c r="A91" s="1019" t="s">
        <v>750</v>
      </c>
      <c r="C91" s="445"/>
      <c r="D91" s="183"/>
    </row>
    <row r="92" spans="1:5" ht="20.100000000000001" customHeight="1" x14ac:dyDescent="0.2">
      <c r="A92" s="383" t="s">
        <v>759</v>
      </c>
    </row>
    <row r="93" spans="1:5" ht="20.100000000000001" customHeight="1" x14ac:dyDescent="0.25">
      <c r="A93" s="982" t="s">
        <v>751</v>
      </c>
      <c r="B93" s="962">
        <v>3.0000000000000001E-3</v>
      </c>
      <c r="C93" s="445" t="s">
        <v>753</v>
      </c>
      <c r="D93" s="445"/>
    </row>
    <row r="94" spans="1:5" ht="20.100000000000001" customHeight="1" x14ac:dyDescent="0.25">
      <c r="A94" s="982" t="s">
        <v>752</v>
      </c>
      <c r="B94" s="962">
        <v>0.01</v>
      </c>
      <c r="C94" s="445" t="s">
        <v>978</v>
      </c>
      <c r="D94" s="445"/>
    </row>
    <row r="95" spans="1:5" ht="20.100000000000001" customHeight="1" x14ac:dyDescent="0.25">
      <c r="A95" s="982" t="s">
        <v>782</v>
      </c>
      <c r="B95" s="1175">
        <v>1.4999999999999999E-2</v>
      </c>
      <c r="C95" s="445" t="s">
        <v>798</v>
      </c>
    </row>
    <row r="96" spans="1:5" ht="20.100000000000001" customHeight="1" x14ac:dyDescent="0.25">
      <c r="A96" s="383" t="s">
        <v>879</v>
      </c>
      <c r="B96" s="813">
        <v>0.92669999999999997</v>
      </c>
      <c r="C96" s="445" t="s">
        <v>758</v>
      </c>
      <c r="D96" s="183"/>
      <c r="E96" s="183"/>
    </row>
    <row r="97" spans="1:16" ht="20.100000000000001" customHeight="1" x14ac:dyDescent="0.2">
      <c r="A97" s="949" t="s">
        <v>746</v>
      </c>
      <c r="C97" s="445"/>
    </row>
    <row r="98" spans="1:16" ht="20.100000000000001" customHeight="1" x14ac:dyDescent="0.2">
      <c r="A98" s="383" t="s">
        <v>703</v>
      </c>
      <c r="B98" s="990">
        <v>0.35</v>
      </c>
      <c r="C98" s="445" t="s">
        <v>706</v>
      </c>
    </row>
    <row r="99" spans="1:16" ht="20.100000000000001" customHeight="1" x14ac:dyDescent="0.2">
      <c r="A99" s="383" t="s">
        <v>979</v>
      </c>
      <c r="B99" s="990">
        <v>0.42</v>
      </c>
      <c r="C99" s="445" t="s">
        <v>707</v>
      </c>
    </row>
    <row r="100" spans="1:16" ht="20.100000000000001" customHeight="1" x14ac:dyDescent="0.2">
      <c r="A100" s="383" t="s">
        <v>704</v>
      </c>
      <c r="B100" s="793">
        <f>+B98+B99</f>
        <v>0.77</v>
      </c>
      <c r="C100" s="445"/>
    </row>
    <row r="101" spans="1:16" s="183" customFormat="1" ht="20.100000000000001" customHeight="1" x14ac:dyDescent="0.2">
      <c r="A101" s="949" t="s">
        <v>747</v>
      </c>
      <c r="C101" s="445"/>
    </row>
    <row r="102" spans="1:16" s="183" customFormat="1" ht="20.100000000000001" customHeight="1" x14ac:dyDescent="0.2">
      <c r="A102" s="383" t="s">
        <v>748</v>
      </c>
      <c r="B102" s="962">
        <v>0.16900000000000001</v>
      </c>
      <c r="C102" s="445" t="s">
        <v>775</v>
      </c>
    </row>
    <row r="103" spans="1:16" s="183" customFormat="1" ht="20.100000000000001" customHeight="1" x14ac:dyDescent="0.2"/>
    <row r="104" spans="1:16" s="183" customFormat="1" ht="20.100000000000001" customHeight="1" x14ac:dyDescent="0.3">
      <c r="A104" s="762" t="s">
        <v>814</v>
      </c>
      <c r="B104" s="752"/>
      <c r="C104" s="752"/>
    </row>
    <row r="105" spans="1:16" s="183" customFormat="1" ht="20.100000000000001" customHeight="1" x14ac:dyDescent="0.2">
      <c r="A105" s="742" t="s">
        <v>193</v>
      </c>
      <c r="B105" s="752"/>
      <c r="C105" s="752"/>
    </row>
    <row r="106" spans="1:16" s="183" customFormat="1" ht="20.100000000000001" customHeight="1" x14ac:dyDescent="0.2">
      <c r="A106" s="383" t="s">
        <v>630</v>
      </c>
      <c r="B106" s="794">
        <v>1542.8000000000002</v>
      </c>
      <c r="C106" s="445" t="s">
        <v>629</v>
      </c>
    </row>
    <row r="107" spans="1:16" s="183" customFormat="1" ht="20.100000000000001" customHeight="1" x14ac:dyDescent="0.2">
      <c r="A107" s="383" t="s">
        <v>631</v>
      </c>
      <c r="B107" s="784">
        <v>154.28</v>
      </c>
      <c r="C107" s="445" t="s">
        <v>629</v>
      </c>
    </row>
    <row r="108" spans="1:16" s="183" customFormat="1" ht="20.100000000000001" customHeight="1" x14ac:dyDescent="0.2">
      <c r="A108" s="105"/>
      <c r="B108" s="752"/>
      <c r="C108" s="752"/>
    </row>
    <row r="109" spans="1:16" s="130" customFormat="1" ht="20.100000000000001" customHeight="1" x14ac:dyDescent="0.3">
      <c r="A109" s="756" t="s">
        <v>133</v>
      </c>
      <c r="B109" s="752"/>
      <c r="C109" s="445"/>
      <c r="G109" s="183"/>
      <c r="H109" s="183"/>
      <c r="I109" s="183"/>
      <c r="J109" s="183"/>
      <c r="K109" s="183"/>
      <c r="L109" s="183"/>
      <c r="M109" s="183"/>
      <c r="N109" s="183"/>
      <c r="O109" s="183"/>
      <c r="P109" s="183"/>
    </row>
    <row r="110" spans="1:16" s="130" customFormat="1" ht="20.100000000000001" customHeight="1" x14ac:dyDescent="0.2">
      <c r="A110" s="746" t="s">
        <v>136</v>
      </c>
      <c r="B110" s="784">
        <v>214</v>
      </c>
      <c r="C110" s="445" t="s">
        <v>353</v>
      </c>
    </row>
    <row r="111" spans="1:16" s="130" customFormat="1" ht="20.100000000000001" customHeight="1" x14ac:dyDescent="0.2">
      <c r="A111" s="183"/>
      <c r="B111" s="795"/>
      <c r="C111" s="749"/>
    </row>
    <row r="112" spans="1:16" ht="20.100000000000001" customHeight="1" x14ac:dyDescent="0.3">
      <c r="A112" s="762" t="s">
        <v>269</v>
      </c>
    </row>
    <row r="113" spans="1:10" ht="20.100000000000001" customHeight="1" x14ac:dyDescent="0.35">
      <c r="A113" s="383" t="s">
        <v>880</v>
      </c>
      <c r="B113" s="796">
        <v>0.9</v>
      </c>
      <c r="C113" s="445" t="s">
        <v>354</v>
      </c>
    </row>
    <row r="114" spans="1:10" ht="20.100000000000001" customHeight="1" x14ac:dyDescent="0.2">
      <c r="A114" s="383" t="s">
        <v>253</v>
      </c>
      <c r="B114" s="771">
        <v>0.2</v>
      </c>
      <c r="C114" s="445" t="s">
        <v>355</v>
      </c>
    </row>
    <row r="115" spans="1:10" ht="20.100000000000001" customHeight="1" x14ac:dyDescent="0.2">
      <c r="A115" s="383" t="s">
        <v>312</v>
      </c>
      <c r="B115" s="771">
        <v>0.3</v>
      </c>
      <c r="C115" s="445" t="s">
        <v>356</v>
      </c>
    </row>
    <row r="116" spans="1:10" ht="20.100000000000001" customHeight="1" x14ac:dyDescent="0.25">
      <c r="A116" s="383" t="s">
        <v>254</v>
      </c>
      <c r="B116" s="797">
        <v>4.87</v>
      </c>
      <c r="C116" s="445" t="s">
        <v>335</v>
      </c>
    </row>
    <row r="117" spans="1:10" ht="20.100000000000001" customHeight="1" x14ac:dyDescent="0.25">
      <c r="A117" s="383" t="s">
        <v>255</v>
      </c>
      <c r="B117" s="797">
        <v>3.7</v>
      </c>
      <c r="C117" s="445" t="s">
        <v>708</v>
      </c>
      <c r="G117" s="183"/>
      <c r="H117" s="183"/>
      <c r="I117" s="183"/>
      <c r="J117" s="183"/>
    </row>
    <row r="118" spans="1:10" ht="20.100000000000001" customHeight="1" x14ac:dyDescent="0.25">
      <c r="A118" s="383" t="s">
        <v>881</v>
      </c>
      <c r="B118" s="797">
        <v>15.6</v>
      </c>
      <c r="C118" s="445" t="s">
        <v>708</v>
      </c>
      <c r="G118" s="183"/>
      <c r="H118" s="183"/>
      <c r="I118" s="183"/>
      <c r="J118" s="183"/>
    </row>
    <row r="119" spans="1:10" ht="20.100000000000001" customHeight="1" x14ac:dyDescent="0.2">
      <c r="G119" s="183"/>
      <c r="H119" s="183"/>
      <c r="I119" s="183"/>
      <c r="J119" s="183"/>
    </row>
    <row r="120" spans="1:10" ht="20.100000000000001" customHeight="1" x14ac:dyDescent="0.3">
      <c r="A120" s="762" t="s">
        <v>250</v>
      </c>
    </row>
    <row r="121" spans="1:10" s="183" customFormat="1" ht="20.100000000000001" customHeight="1" x14ac:dyDescent="0.2">
      <c r="A121" s="798" t="s">
        <v>249</v>
      </c>
    </row>
    <row r="122" spans="1:10" s="130" customFormat="1" ht="20.100000000000001" customHeight="1" x14ac:dyDescent="0.2">
      <c r="A122" s="383" t="s">
        <v>882</v>
      </c>
      <c r="B122" s="796">
        <v>5</v>
      </c>
      <c r="C122" s="749" t="s">
        <v>192</v>
      </c>
    </row>
    <row r="123" spans="1:10" ht="20.100000000000001" customHeight="1" x14ac:dyDescent="0.2">
      <c r="A123" s="383" t="s">
        <v>884</v>
      </c>
      <c r="B123" s="771">
        <v>2.5</v>
      </c>
      <c r="C123" s="445" t="s">
        <v>177</v>
      </c>
    </row>
    <row r="124" spans="1:10" s="183" customFormat="1" ht="20.100000000000001" customHeight="1" x14ac:dyDescent="0.2">
      <c r="A124" s="383" t="s">
        <v>883</v>
      </c>
      <c r="B124" s="755">
        <v>3.3</v>
      </c>
      <c r="C124" s="752" t="s">
        <v>177</v>
      </c>
    </row>
    <row r="125" spans="1:10" s="130" customFormat="1" ht="20.100000000000001" customHeight="1" x14ac:dyDescent="0.2">
      <c r="A125" s="183"/>
      <c r="B125" s="183"/>
      <c r="C125" s="749"/>
    </row>
    <row r="126" spans="1:10" s="183" customFormat="1" ht="20.100000000000001" customHeight="1" x14ac:dyDescent="0.2">
      <c r="A126" s="742" t="s">
        <v>303</v>
      </c>
      <c r="B126" s="105"/>
      <c r="C126" s="752"/>
    </row>
    <row r="127" spans="1:10" s="130" customFormat="1" ht="20.100000000000001" customHeight="1" x14ac:dyDescent="0.35">
      <c r="A127" s="743" t="s">
        <v>323</v>
      </c>
      <c r="B127" s="991">
        <v>6.2319999999999997E-4</v>
      </c>
      <c r="C127" s="445" t="s">
        <v>598</v>
      </c>
    </row>
    <row r="128" spans="1:10" s="130" customFormat="1" ht="20.100000000000001" customHeight="1" x14ac:dyDescent="0.35">
      <c r="A128" s="383" t="s">
        <v>348</v>
      </c>
      <c r="B128" s="799">
        <v>0</v>
      </c>
      <c r="C128" s="749" t="s">
        <v>177</v>
      </c>
    </row>
    <row r="129" spans="1:11" s="183" customFormat="1" ht="20.100000000000001" customHeight="1" x14ac:dyDescent="0.35">
      <c r="A129" s="746" t="s">
        <v>305</v>
      </c>
      <c r="B129" s="991">
        <v>1.37E-4</v>
      </c>
      <c r="C129" s="445" t="s">
        <v>598</v>
      </c>
    </row>
    <row r="130" spans="1:11" s="183" customFormat="1" ht="20.100000000000001" customHeight="1" x14ac:dyDescent="0.35">
      <c r="A130" s="383" t="s">
        <v>349</v>
      </c>
      <c r="B130" s="799">
        <v>0</v>
      </c>
      <c r="C130" s="749" t="s">
        <v>177</v>
      </c>
    </row>
    <row r="131" spans="1:11" ht="20.100000000000001" customHeight="1" x14ac:dyDescent="0.35">
      <c r="A131" s="383" t="s">
        <v>357</v>
      </c>
      <c r="B131" s="789">
        <v>0.55000000000000004</v>
      </c>
      <c r="C131" s="445" t="s">
        <v>361</v>
      </c>
    </row>
    <row r="132" spans="1:11" s="183" customFormat="1" ht="20.100000000000001" customHeight="1" x14ac:dyDescent="0.2">
      <c r="A132" s="746" t="s">
        <v>91</v>
      </c>
      <c r="B132" s="755">
        <v>30</v>
      </c>
      <c r="C132" s="445" t="s">
        <v>361</v>
      </c>
    </row>
    <row r="133" spans="1:11" s="130" customFormat="1" ht="20.100000000000001" customHeight="1" x14ac:dyDescent="0.2">
      <c r="A133" s="183"/>
      <c r="B133" s="183"/>
      <c r="C133" s="749"/>
    </row>
    <row r="134" spans="1:11" s="183" customFormat="1" ht="20.100000000000001" customHeight="1" x14ac:dyDescent="0.2">
      <c r="A134" s="742" t="s">
        <v>131</v>
      </c>
      <c r="B134" s="105"/>
      <c r="C134" s="752"/>
    </row>
    <row r="135" spans="1:11" s="130" customFormat="1" ht="20.100000000000001" customHeight="1" x14ac:dyDescent="0.2">
      <c r="A135" s="800" t="s">
        <v>175</v>
      </c>
      <c r="B135" s="796">
        <v>291</v>
      </c>
      <c r="C135" s="749" t="s">
        <v>157</v>
      </c>
    </row>
    <row r="136" spans="1:11" ht="20.100000000000001" customHeight="1" x14ac:dyDescent="0.2">
      <c r="A136" s="383" t="s">
        <v>341</v>
      </c>
      <c r="B136" s="771">
        <v>180</v>
      </c>
      <c r="C136" s="445" t="s">
        <v>112</v>
      </c>
    </row>
    <row r="137" spans="1:11" s="183" customFormat="1" ht="20.100000000000001" customHeight="1" x14ac:dyDescent="0.2">
      <c r="A137" s="105"/>
      <c r="B137" s="105"/>
      <c r="C137" s="801"/>
    </row>
    <row r="138" spans="1:11" s="183" customFormat="1" ht="20.100000000000001" customHeight="1" x14ac:dyDescent="0.2">
      <c r="A138" s="742" t="s">
        <v>184</v>
      </c>
      <c r="B138" s="1020" t="s">
        <v>233</v>
      </c>
      <c r="C138" s="1407" t="s">
        <v>321</v>
      </c>
      <c r="D138" s="1407"/>
      <c r="E138" s="1407"/>
      <c r="F138" s="1407"/>
      <c r="G138" s="1407"/>
      <c r="H138" s="1407"/>
      <c r="I138" s="1407"/>
      <c r="J138" s="1407"/>
      <c r="K138" s="1407"/>
    </row>
    <row r="139" spans="1:11" s="130" customFormat="1" ht="20.100000000000001" customHeight="1" x14ac:dyDescent="0.2">
      <c r="A139" s="743" t="s">
        <v>137</v>
      </c>
      <c r="B139" s="802">
        <v>250</v>
      </c>
      <c r="C139" s="1411" t="s">
        <v>321</v>
      </c>
      <c r="D139" s="1411"/>
      <c r="E139" s="1411"/>
      <c r="F139" s="803"/>
      <c r="G139" s="803"/>
      <c r="H139" s="803"/>
      <c r="I139" s="803"/>
      <c r="J139" s="803"/>
      <c r="K139" s="803"/>
    </row>
    <row r="140" spans="1:11" ht="20.100000000000001" customHeight="1" x14ac:dyDescent="0.2">
      <c r="A140" s="745" t="s">
        <v>170</v>
      </c>
      <c r="B140" s="804">
        <v>0.61</v>
      </c>
      <c r="C140" s="1411"/>
      <c r="D140" s="1411"/>
      <c r="E140" s="1411"/>
      <c r="F140" s="803"/>
      <c r="G140" s="803"/>
      <c r="H140" s="803"/>
      <c r="I140" s="803"/>
      <c r="J140" s="803"/>
      <c r="K140" s="803"/>
    </row>
    <row r="141" spans="1:11" s="183" customFormat="1" ht="20.100000000000001" customHeight="1" x14ac:dyDescent="0.2">
      <c r="A141" s="746" t="s">
        <v>264</v>
      </c>
      <c r="B141" s="805">
        <v>2.3999999999999998E-3</v>
      </c>
      <c r="C141" s="1411"/>
      <c r="D141" s="1411"/>
      <c r="E141" s="1411"/>
      <c r="F141" s="803"/>
      <c r="G141" s="803"/>
      <c r="H141" s="803"/>
      <c r="I141" s="803"/>
      <c r="J141" s="803"/>
      <c r="K141" s="803"/>
    </row>
    <row r="142" spans="1:11" s="183" customFormat="1" ht="20.100000000000001" customHeight="1" x14ac:dyDescent="0.2">
      <c r="A142" s="746" t="s">
        <v>265</v>
      </c>
      <c r="B142" s="805">
        <v>0.92500000000000004</v>
      </c>
      <c r="C142" s="1411"/>
      <c r="D142" s="1411"/>
      <c r="E142" s="1411"/>
      <c r="F142" s="803"/>
      <c r="G142" s="803"/>
      <c r="H142" s="803"/>
      <c r="I142" s="803"/>
      <c r="J142" s="803"/>
      <c r="K142" s="803"/>
    </row>
    <row r="143" spans="1:11" s="130" customFormat="1" ht="20.100000000000001" customHeight="1" x14ac:dyDescent="0.2">
      <c r="A143" s="743" t="s">
        <v>65</v>
      </c>
      <c r="B143" s="806">
        <f>+sawdust_tvs*Carbon_as_a___of_TVS_compostinghandbook</f>
        <v>0.51800000000000013</v>
      </c>
      <c r="C143" s="1411"/>
      <c r="D143" s="1411"/>
      <c r="E143" s="1411"/>
    </row>
    <row r="144" spans="1:11" ht="20.100000000000001" customHeight="1" x14ac:dyDescent="0.2">
      <c r="A144" s="130"/>
      <c r="B144" s="130"/>
      <c r="C144" s="445"/>
    </row>
    <row r="145" spans="1:11" s="130" customFormat="1" ht="20.100000000000001" customHeight="1" x14ac:dyDescent="0.3">
      <c r="A145" s="756" t="s">
        <v>235</v>
      </c>
    </row>
    <row r="146" spans="1:11" s="130" customFormat="1" ht="20.100000000000001" customHeight="1" x14ac:dyDescent="0.3">
      <c r="A146" s="993" t="s">
        <v>779</v>
      </c>
    </row>
    <row r="147" spans="1:11" s="130" customFormat="1" ht="20.100000000000001" customHeight="1" x14ac:dyDescent="0.25">
      <c r="A147" s="982" t="s">
        <v>780</v>
      </c>
      <c r="B147" s="994">
        <v>0.15</v>
      </c>
      <c r="C147" s="445" t="s">
        <v>980</v>
      </c>
    </row>
    <row r="148" spans="1:11" s="130" customFormat="1" ht="20.100000000000001" customHeight="1" x14ac:dyDescent="0.25">
      <c r="A148" s="982" t="s">
        <v>734</v>
      </c>
      <c r="B148" s="995">
        <v>0.66</v>
      </c>
      <c r="C148" s="445" t="s">
        <v>963</v>
      </c>
    </row>
    <row r="149" spans="1:11" s="130" customFormat="1" ht="20.100000000000001" customHeight="1" x14ac:dyDescent="0.25">
      <c r="A149" s="982" t="s">
        <v>781</v>
      </c>
      <c r="B149" s="995">
        <v>0.95</v>
      </c>
      <c r="C149" s="445" t="s">
        <v>821</v>
      </c>
    </row>
    <row r="150" spans="1:11" s="130" customFormat="1" ht="20.100000000000001" customHeight="1" x14ac:dyDescent="0.25">
      <c r="A150" s="982" t="s">
        <v>782</v>
      </c>
      <c r="B150" s="1176">
        <v>0</v>
      </c>
      <c r="C150" s="445" t="s">
        <v>569</v>
      </c>
    </row>
    <row r="151" spans="1:11" ht="20.100000000000001" customHeight="1" x14ac:dyDescent="0.2">
      <c r="A151" s="383" t="s">
        <v>651</v>
      </c>
      <c r="B151" s="759">
        <v>0.9</v>
      </c>
      <c r="C151" s="445" t="s">
        <v>802</v>
      </c>
      <c r="F151" s="130"/>
      <c r="G151" s="445"/>
      <c r="J151" s="130"/>
      <c r="K151" s="130"/>
    </row>
    <row r="152" spans="1:11" ht="20.100000000000001" customHeight="1" x14ac:dyDescent="0.2">
      <c r="A152" s="96"/>
      <c r="B152" s="445"/>
      <c r="C152" s="445"/>
      <c r="F152" s="445"/>
    </row>
    <row r="153" spans="1:11" s="130" customFormat="1" ht="20.100000000000001" customHeight="1" x14ac:dyDescent="0.3">
      <c r="A153" s="756" t="s">
        <v>226</v>
      </c>
    </row>
    <row r="154" spans="1:11" ht="20.100000000000001" customHeight="1" x14ac:dyDescent="0.35">
      <c r="A154" s="383" t="s">
        <v>294</v>
      </c>
      <c r="B154" s="771">
        <v>4</v>
      </c>
      <c r="C154" s="445" t="s">
        <v>362</v>
      </c>
    </row>
    <row r="155" spans="1:11" ht="20.100000000000001" customHeight="1" x14ac:dyDescent="0.35">
      <c r="A155" s="746" t="s">
        <v>199</v>
      </c>
      <c r="B155" s="755">
        <v>2</v>
      </c>
      <c r="C155" s="752" t="s">
        <v>234</v>
      </c>
    </row>
    <row r="156" spans="1:11" s="183" customFormat="1" ht="20.100000000000001" customHeight="1" x14ac:dyDescent="0.2"/>
    <row r="157" spans="1:11" s="183" customFormat="1" ht="20.100000000000001" customHeight="1" x14ac:dyDescent="0.3">
      <c r="A157" s="756" t="s">
        <v>267</v>
      </c>
      <c r="B157" s="130"/>
      <c r="C157" s="130"/>
    </row>
    <row r="158" spans="1:11" s="183" customFormat="1" ht="20.100000000000001" customHeight="1" x14ac:dyDescent="0.2">
      <c r="A158" s="745" t="s">
        <v>183</v>
      </c>
      <c r="B158" s="789">
        <v>0.75</v>
      </c>
      <c r="C158" s="445" t="s">
        <v>206</v>
      </c>
    </row>
    <row r="159" spans="1:11" s="183" customFormat="1" ht="20.100000000000001" customHeight="1" x14ac:dyDescent="0.2">
      <c r="A159" s="745" t="str">
        <f>+CONCATENATE("Using same N₂O emissions from composting- &lt;",Cut_off_between_low_and_high_C_N,":1 C:N (% of initial N content) for landfilling (1.5%)")</f>
        <v>Using same N₂O emissions from composting- &lt;30:1 C:N (% of initial N content) for landfilling (1.5%)</v>
      </c>
      <c r="B159" s="807">
        <v>1.4999999999999999E-2</v>
      </c>
      <c r="C159" s="445" t="s">
        <v>177</v>
      </c>
    </row>
    <row r="160" spans="1:11" s="183" customFormat="1" ht="20.100000000000001" customHeight="1" x14ac:dyDescent="0.25">
      <c r="A160" s="808" t="s">
        <v>190</v>
      </c>
      <c r="B160" s="789">
        <v>0.75</v>
      </c>
      <c r="C160" s="445" t="s">
        <v>411</v>
      </c>
    </row>
    <row r="161" spans="1:16" s="183" customFormat="1" ht="20.100000000000001" customHeight="1" x14ac:dyDescent="0.2">
      <c r="A161" s="746" t="s">
        <v>125</v>
      </c>
      <c r="B161" s="770">
        <v>0.25</v>
      </c>
      <c r="C161" s="445" t="s">
        <v>361</v>
      </c>
    </row>
    <row r="162" spans="1:16" s="183" customFormat="1" ht="20.100000000000001" customHeight="1" x14ac:dyDescent="0.2">
      <c r="A162" s="743" t="s">
        <v>114</v>
      </c>
      <c r="B162" s="759">
        <v>0.1</v>
      </c>
      <c r="C162" s="749" t="s">
        <v>115</v>
      </c>
    </row>
    <row r="163" spans="1:16" s="183" customFormat="1" ht="20.100000000000001" customHeight="1" x14ac:dyDescent="0.2">
      <c r="A163" s="383" t="s">
        <v>178</v>
      </c>
      <c r="B163" s="759">
        <v>0.5</v>
      </c>
      <c r="C163" s="752" t="s">
        <v>115</v>
      </c>
    </row>
    <row r="164" spans="1:16" s="183" customFormat="1" ht="20.100000000000001" customHeight="1" x14ac:dyDescent="0.2">
      <c r="A164" s="993" t="s">
        <v>783</v>
      </c>
    </row>
    <row r="165" spans="1:16" s="183" customFormat="1" ht="20.100000000000001" customHeight="1" x14ac:dyDescent="0.25">
      <c r="A165" s="982" t="s">
        <v>567</v>
      </c>
      <c r="B165" s="789">
        <v>0.5</v>
      </c>
      <c r="C165" s="749" t="s">
        <v>115</v>
      </c>
    </row>
    <row r="166" spans="1:16" s="183" customFormat="1" ht="20.100000000000001" customHeight="1" x14ac:dyDescent="0.25">
      <c r="A166" s="982" t="s">
        <v>568</v>
      </c>
      <c r="B166" s="789">
        <v>0.65</v>
      </c>
      <c r="C166" s="445" t="s">
        <v>361</v>
      </c>
    </row>
    <row r="167" spans="1:16" s="183" customFormat="1" ht="20.100000000000001" customHeight="1" x14ac:dyDescent="0.25">
      <c r="A167" s="982" t="s">
        <v>566</v>
      </c>
      <c r="B167" s="789">
        <v>0.8</v>
      </c>
      <c r="C167" s="445" t="s">
        <v>138</v>
      </c>
    </row>
    <row r="168" spans="1:16" s="183" customFormat="1" ht="20.100000000000001" customHeight="1" x14ac:dyDescent="0.25">
      <c r="A168" s="982" t="s">
        <v>782</v>
      </c>
      <c r="B168" s="1177">
        <v>0.45</v>
      </c>
      <c r="C168" s="445" t="s">
        <v>569</v>
      </c>
    </row>
    <row r="169" spans="1:16" s="183" customFormat="1" ht="20.100000000000001" customHeight="1" x14ac:dyDescent="0.2">
      <c r="A169" s="745" t="s">
        <v>240</v>
      </c>
      <c r="B169" s="771">
        <v>1</v>
      </c>
      <c r="C169" s="445" t="s">
        <v>115</v>
      </c>
    </row>
    <row r="170" spans="1:16" s="183" customFormat="1" ht="20.100000000000001" customHeight="1" x14ac:dyDescent="0.2">
      <c r="A170" s="993" t="s">
        <v>784</v>
      </c>
    </row>
    <row r="171" spans="1:16" s="183" customFormat="1" ht="20.100000000000001" customHeight="1" x14ac:dyDescent="0.25">
      <c r="A171" s="982" t="s">
        <v>366</v>
      </c>
      <c r="B171" s="755">
        <v>0.06</v>
      </c>
      <c r="C171" s="445" t="s">
        <v>786</v>
      </c>
      <c r="L171" s="445" t="s">
        <v>164</v>
      </c>
    </row>
    <row r="172" spans="1:16" s="183" customFormat="1" ht="20.100000000000001" customHeight="1" x14ac:dyDescent="0.25">
      <c r="A172" s="982" t="s">
        <v>367</v>
      </c>
      <c r="B172" s="771">
        <v>0.185</v>
      </c>
      <c r="C172" s="445" t="s">
        <v>787</v>
      </c>
      <c r="L172" s="445" t="s">
        <v>165</v>
      </c>
    </row>
    <row r="173" spans="1:16" s="183" customFormat="1" ht="20.100000000000001" customHeight="1" x14ac:dyDescent="0.25">
      <c r="A173" s="982" t="s">
        <v>368</v>
      </c>
      <c r="B173" s="796">
        <v>8.5000000000000006E-2</v>
      </c>
      <c r="C173" s="445" t="s">
        <v>788</v>
      </c>
    </row>
    <row r="174" spans="1:16" s="183" customFormat="1" ht="20.100000000000001" customHeight="1" x14ac:dyDescent="0.25">
      <c r="A174" s="982" t="s">
        <v>369</v>
      </c>
      <c r="B174" s="755">
        <v>0.4</v>
      </c>
      <c r="C174" s="445" t="s">
        <v>789</v>
      </c>
    </row>
    <row r="175" spans="1:16" s="183" customFormat="1" ht="20.100000000000001" customHeight="1" x14ac:dyDescent="0.25">
      <c r="A175" s="982" t="s">
        <v>782</v>
      </c>
      <c r="B175" s="1178">
        <v>0.6</v>
      </c>
      <c r="C175" s="445" t="s">
        <v>569</v>
      </c>
    </row>
    <row r="176" spans="1:16" s="183" customFormat="1" ht="20.100000000000001" customHeight="1" x14ac:dyDescent="0.2">
      <c r="A176" s="96" t="s">
        <v>412</v>
      </c>
      <c r="B176" s="130"/>
      <c r="C176" s="130"/>
      <c r="I176" s="96"/>
      <c r="J176" s="96"/>
      <c r="K176" s="96"/>
      <c r="L176" s="96"/>
      <c r="M176" s="96"/>
      <c r="N176" s="96"/>
      <c r="O176" s="96"/>
      <c r="P176" s="96"/>
    </row>
    <row r="177" spans="1:16" ht="20.100000000000001" customHeight="1" x14ac:dyDescent="0.3">
      <c r="A177" s="762" t="s">
        <v>222</v>
      </c>
      <c r="I177" s="96"/>
      <c r="J177" s="96"/>
      <c r="K177" s="96"/>
      <c r="L177" s="96"/>
      <c r="M177" s="96"/>
      <c r="N177" s="96"/>
      <c r="O177" s="96"/>
      <c r="P177" s="96"/>
    </row>
    <row r="178" spans="1:16" s="183" customFormat="1" ht="20.100000000000001" customHeight="1" x14ac:dyDescent="0.2">
      <c r="A178" s="809" t="s">
        <v>96</v>
      </c>
      <c r="B178" s="96"/>
      <c r="I178" s="96"/>
      <c r="J178" s="951"/>
      <c r="K178" s="952"/>
      <c r="L178" s="96"/>
      <c r="M178" s="96"/>
      <c r="N178" s="96"/>
      <c r="O178" s="96"/>
      <c r="P178" s="96"/>
    </row>
    <row r="179" spans="1:16" s="130" customFormat="1" ht="20.100000000000001" customHeight="1" x14ac:dyDescent="0.25">
      <c r="A179" s="383" t="s">
        <v>892</v>
      </c>
      <c r="B179" s="796">
        <v>4.85E-5</v>
      </c>
      <c r="C179" s="445" t="s">
        <v>363</v>
      </c>
      <c r="I179" s="96"/>
      <c r="J179" s="951"/>
      <c r="K179" s="96"/>
      <c r="L179" s="96"/>
      <c r="M179" s="96"/>
      <c r="N179" s="96"/>
      <c r="O179" s="96"/>
      <c r="P179" s="96"/>
    </row>
    <row r="180" spans="1:16" ht="20.100000000000001" customHeight="1" x14ac:dyDescent="0.2">
      <c r="A180" s="1018"/>
      <c r="B180" s="183"/>
      <c r="I180" s="96"/>
      <c r="J180" s="951"/>
      <c r="K180" s="96"/>
      <c r="L180" s="96"/>
      <c r="M180" s="96"/>
      <c r="N180" s="96"/>
      <c r="O180" s="96"/>
      <c r="P180" s="96"/>
    </row>
    <row r="181" spans="1:16" s="183" customFormat="1" ht="20.100000000000001" customHeight="1" x14ac:dyDescent="0.3">
      <c r="A181" s="810" t="s">
        <v>271</v>
      </c>
      <c r="I181" s="96"/>
      <c r="J181" s="96"/>
      <c r="K181" s="96"/>
      <c r="L181" s="96"/>
      <c r="M181" s="96"/>
      <c r="N181" s="96"/>
      <c r="O181" s="96"/>
      <c r="P181" s="96"/>
    </row>
    <row r="182" spans="1:16" s="96" customFormat="1" ht="20.100000000000001" customHeight="1" x14ac:dyDescent="0.2">
      <c r="A182" s="383" t="s">
        <v>885</v>
      </c>
      <c r="B182" s="759">
        <v>0.2</v>
      </c>
      <c r="C182" s="445" t="s">
        <v>361</v>
      </c>
      <c r="J182" s="366"/>
    </row>
    <row r="183" spans="1:16" s="96" customFormat="1" ht="20.100000000000001" customHeight="1" x14ac:dyDescent="0.2">
      <c r="A183" s="383" t="s">
        <v>886</v>
      </c>
      <c r="B183" s="811">
        <v>0.5</v>
      </c>
      <c r="C183" s="445" t="s">
        <v>364</v>
      </c>
      <c r="J183" s="441"/>
    </row>
    <row r="184" spans="1:16" s="96" customFormat="1" ht="20.100000000000001" customHeight="1" x14ac:dyDescent="0.2">
      <c r="A184" s="383" t="s">
        <v>887</v>
      </c>
      <c r="B184" s="811">
        <v>0.6</v>
      </c>
      <c r="C184" s="445" t="s">
        <v>364</v>
      </c>
    </row>
    <row r="185" spans="1:16" s="96" customFormat="1" ht="20.100000000000001" customHeight="1" x14ac:dyDescent="0.35">
      <c r="A185" s="1392" t="s">
        <v>147</v>
      </c>
      <c r="B185" s="1393"/>
      <c r="C185" s="445" t="s">
        <v>149</v>
      </c>
      <c r="D185" s="812"/>
      <c r="E185" s="812"/>
      <c r="F185" s="812"/>
      <c r="G185" s="812"/>
      <c r="H185" s="812"/>
    </row>
    <row r="186" spans="1:16" s="96" customFormat="1" ht="20.100000000000001" customHeight="1" x14ac:dyDescent="0.2">
      <c r="A186" s="950" t="s">
        <v>145</v>
      </c>
      <c r="B186" s="813">
        <v>161.30000000000001</v>
      </c>
      <c r="C186" s="445" t="s">
        <v>149</v>
      </c>
      <c r="D186" s="812"/>
      <c r="E186" s="812"/>
      <c r="F186" s="812"/>
      <c r="G186" s="812"/>
      <c r="H186" s="812"/>
    </row>
    <row r="187" spans="1:16" s="96" customFormat="1" ht="20.100000000000001" customHeight="1" x14ac:dyDescent="0.2">
      <c r="A187" s="950" t="s">
        <v>148</v>
      </c>
      <c r="B187" s="813">
        <v>0.14000000000000001</v>
      </c>
      <c r="C187" s="445" t="s">
        <v>149</v>
      </c>
      <c r="D187" s="812"/>
      <c r="E187" s="812"/>
      <c r="F187" s="812"/>
      <c r="G187" s="812"/>
      <c r="H187" s="812"/>
    </row>
    <row r="188" spans="1:16" s="96" customFormat="1" ht="20.100000000000001" customHeight="1" x14ac:dyDescent="0.2">
      <c r="A188" s="383" t="s">
        <v>317</v>
      </c>
      <c r="B188" s="755">
        <v>750</v>
      </c>
      <c r="C188" s="814" t="s">
        <v>358</v>
      </c>
      <c r="D188" s="815"/>
      <c r="E188" s="815"/>
      <c r="F188" s="815"/>
      <c r="G188" s="815"/>
      <c r="H188" s="815"/>
    </row>
    <row r="189" spans="1:16" s="96" customFormat="1" ht="20.100000000000001" customHeight="1" x14ac:dyDescent="0.2">
      <c r="A189" s="286"/>
      <c r="C189" s="814" t="s">
        <v>981</v>
      </c>
      <c r="D189" s="815"/>
      <c r="E189" s="815"/>
      <c r="F189" s="815"/>
      <c r="G189" s="815"/>
      <c r="H189" s="815"/>
    </row>
    <row r="190" spans="1:16" ht="20.100000000000001" customHeight="1" x14ac:dyDescent="0.2">
      <c r="A190" s="742" t="s">
        <v>146</v>
      </c>
    </row>
    <row r="191" spans="1:16" s="183" customFormat="1" ht="20.100000000000001" customHeight="1" x14ac:dyDescent="0.2">
      <c r="A191" s="746" t="s">
        <v>171</v>
      </c>
      <c r="B191" s="816">
        <v>23000</v>
      </c>
      <c r="C191" s="752" t="s">
        <v>173</v>
      </c>
    </row>
    <row r="192" spans="1:16" s="130" customFormat="1" ht="20.100000000000001" customHeight="1" x14ac:dyDescent="0.2">
      <c r="A192" s="743" t="s">
        <v>172</v>
      </c>
      <c r="B192" s="817">
        <v>12000</v>
      </c>
      <c r="C192" s="749" t="s">
        <v>179</v>
      </c>
    </row>
    <row r="193" spans="1:3" s="130" customFormat="1" ht="20.100000000000001" customHeight="1" x14ac:dyDescent="0.2"/>
    <row r="194" spans="1:3" ht="20.100000000000001" customHeight="1" x14ac:dyDescent="0.2">
      <c r="A194" s="742" t="s">
        <v>193</v>
      </c>
    </row>
    <row r="195" spans="1:3" s="183" customFormat="1" ht="20.100000000000001" customHeight="1" x14ac:dyDescent="0.2">
      <c r="A195" s="746" t="s">
        <v>129</v>
      </c>
      <c r="B195" s="755">
        <v>285</v>
      </c>
      <c r="C195" s="445" t="s">
        <v>359</v>
      </c>
    </row>
    <row r="196" spans="1:3" s="130" customFormat="1" ht="20.100000000000001" customHeight="1" x14ac:dyDescent="0.2">
      <c r="A196" s="743" t="s">
        <v>132</v>
      </c>
      <c r="B196" s="796">
        <v>200</v>
      </c>
      <c r="C196" s="445" t="s">
        <v>360</v>
      </c>
    </row>
    <row r="197" spans="1:3" ht="20.100000000000001" customHeight="1" x14ac:dyDescent="0.2">
      <c r="A197" s="96"/>
      <c r="B197" s="96"/>
      <c r="C197" s="445"/>
    </row>
    <row r="198" spans="1:3" s="130" customFormat="1" ht="20.100000000000001" customHeight="1" x14ac:dyDescent="0.2">
      <c r="A198" s="798" t="s">
        <v>144</v>
      </c>
      <c r="B198" s="183"/>
      <c r="C198" s="749"/>
    </row>
    <row r="199" spans="1:3" s="130" customFormat="1" ht="20.100000000000001" customHeight="1" x14ac:dyDescent="0.2">
      <c r="A199" s="743" t="s">
        <v>174</v>
      </c>
      <c r="B199" s="818">
        <v>4.5</v>
      </c>
      <c r="C199" s="749" t="s">
        <v>161</v>
      </c>
    </row>
    <row r="200" spans="1:3" s="96" customFormat="1" ht="20.100000000000001" customHeight="1" x14ac:dyDescent="0.2">
      <c r="A200" s="383" t="s">
        <v>188</v>
      </c>
      <c r="B200" s="811">
        <v>0.8</v>
      </c>
      <c r="C200" s="445" t="s">
        <v>361</v>
      </c>
    </row>
    <row r="201" spans="1:3" s="96" customFormat="1" ht="20.100000000000001" customHeight="1" x14ac:dyDescent="0.2">
      <c r="A201" s="383" t="s">
        <v>318</v>
      </c>
      <c r="B201" s="811">
        <v>0.2</v>
      </c>
      <c r="C201" s="445" t="s">
        <v>361</v>
      </c>
    </row>
    <row r="202" spans="1:3" ht="20.100000000000001" customHeight="1" x14ac:dyDescent="0.2"/>
    <row r="203" spans="1:3" ht="20.100000000000001" customHeight="1" x14ac:dyDescent="0.2">
      <c r="A203" s="742" t="s">
        <v>213</v>
      </c>
    </row>
    <row r="204" spans="1:3" s="96" customFormat="1" ht="20.100000000000001" customHeight="1" x14ac:dyDescent="0.35">
      <c r="A204" s="383" t="s">
        <v>888</v>
      </c>
      <c r="B204" s="755">
        <v>1.2675000000000001</v>
      </c>
      <c r="C204" s="445" t="s">
        <v>340</v>
      </c>
    </row>
    <row r="205" spans="1:3" s="96" customFormat="1" ht="20.100000000000001" customHeight="1" x14ac:dyDescent="0.2">
      <c r="A205" s="105"/>
      <c r="B205" s="105"/>
      <c r="C205" s="445"/>
    </row>
    <row r="206" spans="1:3" s="96" customFormat="1" ht="20.100000000000001" customHeight="1" x14ac:dyDescent="0.3">
      <c r="A206" s="762" t="s">
        <v>545</v>
      </c>
      <c r="B206" s="105"/>
      <c r="C206" s="445"/>
    </row>
    <row r="207" spans="1:3" s="96" customFormat="1" ht="20.100000000000001" customHeight="1" x14ac:dyDescent="0.2">
      <c r="A207" s="809" t="s">
        <v>96</v>
      </c>
      <c r="C207" s="183"/>
    </row>
    <row r="208" spans="1:3" s="96" customFormat="1" ht="20.100000000000001" customHeight="1" x14ac:dyDescent="0.25">
      <c r="A208" s="383" t="s">
        <v>889</v>
      </c>
      <c r="B208" s="796">
        <v>2.65</v>
      </c>
      <c r="C208" s="819" t="s">
        <v>636</v>
      </c>
    </row>
    <row r="209" spans="1:19" s="96" customFormat="1" ht="20.100000000000001" customHeight="1" x14ac:dyDescent="0.2">
      <c r="A209" s="746"/>
      <c r="B209" s="746">
        <v>3.58</v>
      </c>
      <c r="C209" s="819" t="s">
        <v>637</v>
      </c>
    </row>
    <row r="210" spans="1:19" s="96" customFormat="1" ht="20.100000000000001" customHeight="1" x14ac:dyDescent="0.3">
      <c r="A210" s="809" t="s">
        <v>271</v>
      </c>
      <c r="B210" s="746"/>
      <c r="C210" s="445"/>
    </row>
    <row r="211" spans="1:19" s="96" customFormat="1" ht="20.100000000000001" customHeight="1" x14ac:dyDescent="0.25">
      <c r="A211" s="383" t="s">
        <v>627</v>
      </c>
      <c r="B211" s="796">
        <v>5.23</v>
      </c>
      <c r="C211" s="819" t="s">
        <v>636</v>
      </c>
    </row>
    <row r="212" spans="1:19" s="96" customFormat="1" ht="20.100000000000001" customHeight="1" x14ac:dyDescent="0.2">
      <c r="B212" s="746">
        <v>15.34</v>
      </c>
      <c r="C212" s="819" t="s">
        <v>637</v>
      </c>
    </row>
    <row r="213" spans="1:19" s="96" customFormat="1" ht="20.100000000000001" customHeight="1" x14ac:dyDescent="0.2"/>
    <row r="214" spans="1:19" s="96" customFormat="1" ht="20.100000000000001" customHeight="1" x14ac:dyDescent="0.2">
      <c r="A214" s="810" t="s">
        <v>785</v>
      </c>
    </row>
    <row r="215" spans="1:19" s="96" customFormat="1" ht="20.100000000000001" customHeight="1" x14ac:dyDescent="0.25">
      <c r="A215" s="982" t="s">
        <v>625</v>
      </c>
      <c r="B215" s="759">
        <v>0.5</v>
      </c>
      <c r="C215" s="445" t="s">
        <v>638</v>
      </c>
    </row>
    <row r="216" spans="1:19" s="96" customFormat="1" ht="20.100000000000001" customHeight="1" x14ac:dyDescent="0.25">
      <c r="A216" s="982" t="s">
        <v>799</v>
      </c>
      <c r="B216" s="1177">
        <v>0.45</v>
      </c>
      <c r="C216" s="445" t="str">
        <f>+A216</f>
        <v>User-defined 1</v>
      </c>
    </row>
    <row r="217" spans="1:19" s="96" customFormat="1" ht="20.100000000000001" customHeight="1" x14ac:dyDescent="0.25">
      <c r="A217" s="982" t="s">
        <v>735</v>
      </c>
      <c r="B217" s="1177">
        <v>0.55000000000000004</v>
      </c>
      <c r="C217" s="445" t="str">
        <f>+A217</f>
        <v>User-defined 2</v>
      </c>
    </row>
    <row r="218" spans="1:19" s="96" customFormat="1" ht="20.100000000000001" customHeight="1" x14ac:dyDescent="0.25">
      <c r="A218" s="982" t="s">
        <v>800</v>
      </c>
      <c r="B218" s="1177">
        <v>0.65</v>
      </c>
      <c r="C218" s="445" t="str">
        <f>+A218</f>
        <v>User-defined 3</v>
      </c>
    </row>
    <row r="219" spans="1:19" s="96" customFormat="1" ht="20.100000000000001" customHeight="1" x14ac:dyDescent="0.2"/>
    <row r="220" spans="1:19" s="96" customFormat="1" ht="20.100000000000001" customHeight="1" x14ac:dyDescent="0.2">
      <c r="A220" s="742" t="s">
        <v>193</v>
      </c>
      <c r="B220" s="105"/>
      <c r="C220" s="445"/>
      <c r="H220" s="445"/>
      <c r="I220" s="183"/>
      <c r="L220" s="445"/>
      <c r="M220" s="183"/>
    </row>
    <row r="221" spans="1:19" s="96" customFormat="1" ht="20.100000000000001" customHeight="1" x14ac:dyDescent="0.2">
      <c r="A221" s="383" t="s">
        <v>630</v>
      </c>
      <c r="B221" s="784">
        <v>-2115.84</v>
      </c>
      <c r="C221" s="445" t="s">
        <v>629</v>
      </c>
      <c r="G221" s="188"/>
      <c r="O221" s="820"/>
      <c r="S221" s="820"/>
    </row>
    <row r="222" spans="1:19" s="96" customFormat="1" ht="20.100000000000001" customHeight="1" x14ac:dyDescent="0.2">
      <c r="A222" s="383" t="s">
        <v>631</v>
      </c>
      <c r="B222" s="784">
        <v>123.42400000000001</v>
      </c>
      <c r="C222" s="445" t="s">
        <v>635</v>
      </c>
      <c r="G222" s="188"/>
    </row>
    <row r="223" spans="1:19" s="96" customFormat="1" ht="20.100000000000001" customHeight="1" x14ac:dyDescent="0.2">
      <c r="A223" s="383" t="s">
        <v>641</v>
      </c>
      <c r="B223" s="784">
        <f>Pyrolysis_Electricity_Use_for_Heating+Biodrying_Electricity_Use_for_Heating</f>
        <v>-573.04</v>
      </c>
    </row>
    <row r="224" spans="1:19" s="96" customFormat="1" ht="20.100000000000001" customHeight="1" x14ac:dyDescent="0.2">
      <c r="A224" s="105"/>
    </row>
    <row r="225" spans="1:21" ht="20.100000000000001" customHeight="1" x14ac:dyDescent="0.3">
      <c r="A225" s="756" t="s">
        <v>182</v>
      </c>
      <c r="B225" s="130"/>
      <c r="C225" s="130"/>
    </row>
    <row r="226" spans="1:21" s="130" customFormat="1" ht="20.100000000000001" customHeight="1" x14ac:dyDescent="0.2">
      <c r="A226" s="798" t="s">
        <v>298</v>
      </c>
      <c r="B226" s="183"/>
      <c r="C226" s="749"/>
    </row>
    <row r="227" spans="1:21" ht="20.100000000000001" customHeight="1" x14ac:dyDescent="0.35">
      <c r="A227" s="745" t="s">
        <v>200</v>
      </c>
      <c r="B227" s="758">
        <v>0</v>
      </c>
      <c r="C227" s="445" t="s">
        <v>580</v>
      </c>
    </row>
    <row r="228" spans="1:21" ht="20.100000000000001" customHeight="1" x14ac:dyDescent="0.35">
      <c r="A228" s="743" t="s">
        <v>313</v>
      </c>
      <c r="B228" s="1002">
        <v>2.75E-2</v>
      </c>
      <c r="C228" s="445" t="s">
        <v>581</v>
      </c>
    </row>
    <row r="229" spans="1:21" ht="20.100000000000001" customHeight="1" x14ac:dyDescent="0.2">
      <c r="A229" s="383" t="s">
        <v>801</v>
      </c>
      <c r="B229" s="770">
        <v>0.5</v>
      </c>
      <c r="C229" s="445" t="s">
        <v>365</v>
      </c>
    </row>
    <row r="230" spans="1:21" ht="20.100000000000001" customHeight="1" x14ac:dyDescent="0.35">
      <c r="A230" s="746" t="s">
        <v>111</v>
      </c>
      <c r="B230" s="770">
        <v>0.8</v>
      </c>
      <c r="C230" s="445" t="s">
        <v>365</v>
      </c>
      <c r="J230" s="130"/>
      <c r="K230" s="130"/>
      <c r="L230" s="130"/>
      <c r="M230" s="130"/>
      <c r="N230" s="130"/>
      <c r="O230" s="130"/>
      <c r="P230" s="130"/>
      <c r="Q230" s="130"/>
      <c r="R230" s="130"/>
      <c r="S230" s="130"/>
      <c r="T230" s="130"/>
      <c r="U230" s="130"/>
    </row>
    <row r="231" spans="1:21" ht="20.100000000000001" customHeight="1" x14ac:dyDescent="0.35">
      <c r="A231" s="745" t="s">
        <v>56</v>
      </c>
      <c r="B231" s="1001">
        <v>1</v>
      </c>
      <c r="C231" s="445" t="s">
        <v>583</v>
      </c>
      <c r="J231" s="130"/>
      <c r="K231" s="130"/>
      <c r="L231" s="130"/>
      <c r="M231" s="130"/>
      <c r="N231" s="130"/>
      <c r="O231" s="130"/>
      <c r="P231" s="130"/>
      <c r="Q231" s="130"/>
      <c r="R231" s="130"/>
      <c r="S231" s="130"/>
      <c r="T231" s="130"/>
      <c r="U231" s="130"/>
    </row>
    <row r="232" spans="1:21" ht="20.100000000000001" customHeight="1" x14ac:dyDescent="0.2">
      <c r="A232" s="383" t="str">
        <f>+CONCATENATE("Land Application/Compost climate - MAP/PET&lt;1 - ",C360)</f>
        <v>Land Application/Compost climate - MAP/PET&lt;1 - Humid</v>
      </c>
      <c r="B232" s="821" t="str">
        <f>+C360</f>
        <v>Humid</v>
      </c>
      <c r="C232" s="445"/>
      <c r="J232" s="130"/>
      <c r="K232" s="130"/>
      <c r="L232" s="130"/>
      <c r="M232" s="130"/>
      <c r="N232" s="130"/>
      <c r="O232" s="130"/>
      <c r="P232" s="130"/>
      <c r="Q232" s="130"/>
      <c r="R232" s="130"/>
      <c r="S232" s="130"/>
      <c r="T232" s="130"/>
      <c r="U232" s="130"/>
    </row>
    <row r="233" spans="1:21" ht="20.100000000000001" customHeight="1" x14ac:dyDescent="0.2">
      <c r="A233" s="383" t="str">
        <f>+CONCATENATE("Land Application/Compost climate - MAP/PET&lt;1 - ",C361)</f>
        <v>Land Application/Compost climate - MAP/PET&lt;1 - Arid</v>
      </c>
      <c r="B233" s="821" t="str">
        <f>+C361</f>
        <v>Arid</v>
      </c>
      <c r="C233" s="445"/>
      <c r="J233" s="130"/>
      <c r="K233" s="130"/>
      <c r="L233" s="130"/>
      <c r="M233" s="130"/>
      <c r="N233" s="130"/>
      <c r="O233" s="130"/>
      <c r="P233" s="130"/>
      <c r="Q233" s="130"/>
      <c r="R233" s="130"/>
      <c r="S233" s="130"/>
      <c r="T233" s="130"/>
      <c r="U233" s="130"/>
    </row>
    <row r="234" spans="1:21" ht="20.100000000000001" customHeight="1" x14ac:dyDescent="0.35">
      <c r="A234" s="383" t="s">
        <v>890</v>
      </c>
      <c r="B234" s="813">
        <v>9.1000000000000004E-3</v>
      </c>
      <c r="C234" s="445" t="s">
        <v>0</v>
      </c>
      <c r="J234" s="130"/>
      <c r="K234" s="130"/>
      <c r="L234" s="130"/>
      <c r="M234" s="130"/>
      <c r="N234" s="130"/>
      <c r="O234" s="130"/>
      <c r="P234" s="130"/>
      <c r="Q234" s="130"/>
      <c r="R234" s="130"/>
      <c r="S234" s="130"/>
      <c r="T234" s="130"/>
      <c r="U234" s="130"/>
    </row>
    <row r="235" spans="1:21" ht="20.100000000000001" customHeight="1" x14ac:dyDescent="0.35">
      <c r="A235" s="383" t="s">
        <v>891</v>
      </c>
      <c r="B235" s="813">
        <v>4.2999999999999999E-4</v>
      </c>
      <c r="C235" s="445" t="s">
        <v>0</v>
      </c>
      <c r="J235" s="130"/>
      <c r="K235" s="130"/>
      <c r="L235" s="130"/>
      <c r="M235" s="130"/>
      <c r="N235" s="130"/>
      <c r="O235" s="130"/>
      <c r="P235" s="130"/>
      <c r="Q235" s="130"/>
      <c r="R235" s="130"/>
      <c r="S235" s="130"/>
      <c r="T235" s="130"/>
      <c r="U235" s="130"/>
    </row>
    <row r="236" spans="1:21" ht="20.100000000000001" customHeight="1" x14ac:dyDescent="0.2">
      <c r="A236" s="96"/>
      <c r="B236" s="96"/>
      <c r="C236" s="445"/>
      <c r="J236" s="130"/>
      <c r="K236" s="130"/>
      <c r="L236" s="130"/>
      <c r="M236" s="130"/>
      <c r="N236" s="130"/>
      <c r="O236" s="130"/>
      <c r="P236" s="130"/>
      <c r="Q236" s="130"/>
      <c r="R236" s="130"/>
      <c r="S236" s="130"/>
      <c r="T236" s="130"/>
      <c r="U236" s="130"/>
    </row>
    <row r="237" spans="1:21" ht="20.100000000000001" customHeight="1" x14ac:dyDescent="0.2">
      <c r="A237" s="798" t="s">
        <v>57</v>
      </c>
      <c r="B237" s="183"/>
      <c r="C237" s="749"/>
    </row>
    <row r="238" spans="1:21" ht="20.100000000000001" customHeight="1" x14ac:dyDescent="0.2">
      <c r="A238" s="746" t="s">
        <v>113</v>
      </c>
      <c r="B238" s="755">
        <v>25</v>
      </c>
      <c r="C238" s="1" t="s">
        <v>58</v>
      </c>
    </row>
    <row r="239" spans="1:21" ht="20.100000000000001" customHeight="1" x14ac:dyDescent="0.2">
      <c r="A239" s="746" t="s">
        <v>59</v>
      </c>
      <c r="B239" s="755">
        <v>3</v>
      </c>
      <c r="C239" s="752" t="s">
        <v>61</v>
      </c>
    </row>
    <row r="240" spans="1:21" ht="20.100000000000001" customHeight="1" x14ac:dyDescent="0.2">
      <c r="A240" s="745" t="s">
        <v>60</v>
      </c>
      <c r="B240" s="771">
        <v>13</v>
      </c>
      <c r="C240" s="445" t="s">
        <v>61</v>
      </c>
    </row>
    <row r="241" spans="1:14" ht="20.100000000000001" customHeight="1" x14ac:dyDescent="0.35">
      <c r="A241" s="745" t="s">
        <v>347</v>
      </c>
      <c r="B241" s="791">
        <f>+Size_of_loads__m3*Time_to_apply__loads_hr/Tractor_fuel_use__l_diesel_hr*CO2E_diesel__ClimateReg/1000000/(Density_of_de_watered_sludge/1000)</f>
        <v>4.4291079042067198E-3</v>
      </c>
      <c r="C241" s="445" t="s">
        <v>343</v>
      </c>
    </row>
    <row r="242" spans="1:14" ht="20.100000000000001" customHeight="1" x14ac:dyDescent="0.2">
      <c r="M242" s="1037"/>
      <c r="N242" s="1037"/>
    </row>
    <row r="243" spans="1:14" ht="20.100000000000001" customHeight="1" x14ac:dyDescent="0.2"/>
    <row r="244" spans="1:14" ht="20.100000000000001" customHeight="1" x14ac:dyDescent="0.3">
      <c r="A244" s="762" t="s">
        <v>218</v>
      </c>
      <c r="E244" s="748"/>
      <c r="F244" s="183"/>
    </row>
    <row r="245" spans="1:14" ht="20.100000000000001" customHeight="1" x14ac:dyDescent="0.2">
      <c r="A245" s="183"/>
      <c r="C245" s="1408" t="s">
        <v>562</v>
      </c>
      <c r="D245" s="1409"/>
      <c r="E245" s="1409"/>
      <c r="F245" s="1410"/>
    </row>
    <row r="246" spans="1:14" ht="20.100000000000001" customHeight="1" x14ac:dyDescent="0.2">
      <c r="C246" s="822" t="s">
        <v>163</v>
      </c>
      <c r="D246" s="823" t="s">
        <v>217</v>
      </c>
      <c r="E246" s="824">
        <v>0.62136999999999998</v>
      </c>
      <c r="F246" s="825" t="s">
        <v>243</v>
      </c>
    </row>
    <row r="247" spans="1:14" ht="20.100000000000001" customHeight="1" x14ac:dyDescent="0.2">
      <c r="C247" s="822" t="s">
        <v>220</v>
      </c>
      <c r="D247" s="826" t="s">
        <v>217</v>
      </c>
      <c r="E247" s="824">
        <v>0.26417217685798894</v>
      </c>
      <c r="F247" s="825" t="s">
        <v>219</v>
      </c>
    </row>
    <row r="248" spans="1:14" ht="20.100000000000001" customHeight="1" x14ac:dyDescent="0.2">
      <c r="C248" s="822" t="s">
        <v>191</v>
      </c>
      <c r="D248" s="823" t="s">
        <v>217</v>
      </c>
      <c r="E248" s="827">
        <v>947.81700000000001</v>
      </c>
      <c r="F248" s="825" t="s">
        <v>169</v>
      </c>
      <c r="M248" s="183"/>
    </row>
    <row r="249" spans="1:14" ht="20.100000000000001" customHeight="1" x14ac:dyDescent="0.2">
      <c r="A249" s="183"/>
      <c r="C249" s="828" t="s">
        <v>168</v>
      </c>
      <c r="D249" s="829" t="s">
        <v>217</v>
      </c>
      <c r="E249" s="830">
        <v>947817</v>
      </c>
      <c r="F249" s="831" t="s">
        <v>169</v>
      </c>
      <c r="M249" s="130"/>
    </row>
    <row r="250" spans="1:14" ht="20.100000000000001" customHeight="1" x14ac:dyDescent="0.2">
      <c r="C250" s="832" t="s">
        <v>6</v>
      </c>
      <c r="D250" s="823" t="s">
        <v>217</v>
      </c>
      <c r="E250" s="833">
        <v>273.14999999999998</v>
      </c>
      <c r="F250" s="834" t="s">
        <v>143</v>
      </c>
      <c r="M250" s="130"/>
    </row>
    <row r="251" spans="1:14" ht="20.100000000000001" customHeight="1" x14ac:dyDescent="0.2">
      <c r="C251" s="950" t="s">
        <v>373</v>
      </c>
      <c r="D251" s="905" t="s">
        <v>217</v>
      </c>
      <c r="E251" s="833">
        <v>454</v>
      </c>
      <c r="F251" s="383" t="s">
        <v>374</v>
      </c>
      <c r="G251" s="96"/>
      <c r="M251" s="749" t="s">
        <v>115</v>
      </c>
    </row>
    <row r="252" spans="1:14" ht="20.100000000000001" customHeight="1" x14ac:dyDescent="0.2">
      <c r="C252" s="950" t="s">
        <v>375</v>
      </c>
      <c r="D252" s="905" t="s">
        <v>217</v>
      </c>
      <c r="E252" s="833">
        <v>2.2050000000000001</v>
      </c>
      <c r="F252" s="383" t="s">
        <v>374</v>
      </c>
      <c r="G252" s="96"/>
      <c r="M252" s="445" t="s">
        <v>361</v>
      </c>
    </row>
    <row r="253" spans="1:14" ht="20.100000000000001" customHeight="1" x14ac:dyDescent="0.2">
      <c r="C253" s="950" t="s">
        <v>376</v>
      </c>
      <c r="D253" s="905" t="s">
        <v>217</v>
      </c>
      <c r="E253" s="830">
        <v>1000</v>
      </c>
      <c r="F253" s="383" t="s">
        <v>375</v>
      </c>
      <c r="G253" s="96"/>
      <c r="M253" s="445" t="s">
        <v>138</v>
      </c>
    </row>
    <row r="254" spans="1:14" ht="20.100000000000001" customHeight="1" x14ac:dyDescent="0.2">
      <c r="C254" s="950" t="s">
        <v>376</v>
      </c>
      <c r="D254" s="905" t="s">
        <v>217</v>
      </c>
      <c r="E254" s="833">
        <v>1.1020000000000001</v>
      </c>
      <c r="F254" s="383" t="s">
        <v>377</v>
      </c>
      <c r="G254" s="96"/>
      <c r="M254" s="445" t="s">
        <v>565</v>
      </c>
    </row>
    <row r="255" spans="1:14" ht="20.100000000000001" customHeight="1" x14ac:dyDescent="0.2">
      <c r="C255" s="950" t="s">
        <v>377</v>
      </c>
      <c r="D255" s="905" t="s">
        <v>217</v>
      </c>
      <c r="E255" s="830">
        <v>2000</v>
      </c>
      <c r="F255" s="383" t="s">
        <v>374</v>
      </c>
      <c r="G255" s="96"/>
    </row>
    <row r="256" spans="1:14" ht="20.100000000000001" customHeight="1" x14ac:dyDescent="0.2">
      <c r="C256" s="950" t="s">
        <v>378</v>
      </c>
      <c r="D256" s="905" t="s">
        <v>217</v>
      </c>
      <c r="E256" s="833">
        <v>1.31</v>
      </c>
      <c r="F256" s="383" t="s">
        <v>379</v>
      </c>
      <c r="G256" s="96"/>
      <c r="M256" s="183"/>
    </row>
    <row r="257" spans="3:18" ht="20.100000000000001" customHeight="1" x14ac:dyDescent="0.2">
      <c r="C257" s="950" t="s">
        <v>379</v>
      </c>
      <c r="D257" s="905" t="s">
        <v>217</v>
      </c>
      <c r="E257" s="833">
        <v>27</v>
      </c>
      <c r="F257" s="383" t="s">
        <v>380</v>
      </c>
      <c r="G257" s="96"/>
      <c r="M257" s="130"/>
      <c r="Q257" s="96" t="s">
        <v>644</v>
      </c>
      <c r="R257" s="96" t="s">
        <v>643</v>
      </c>
    </row>
    <row r="258" spans="3:18" ht="20.100000000000001" customHeight="1" x14ac:dyDescent="0.2">
      <c r="C258" s="950" t="s">
        <v>378</v>
      </c>
      <c r="D258" s="905" t="s">
        <v>217</v>
      </c>
      <c r="E258" s="833">
        <f>+E256*E257</f>
        <v>35.370000000000005</v>
      </c>
      <c r="F258" s="383" t="s">
        <v>380</v>
      </c>
      <c r="G258" s="96"/>
      <c r="Q258" s="746" t="s">
        <v>625</v>
      </c>
      <c r="R258" s="835">
        <f>B215</f>
        <v>0.5</v>
      </c>
    </row>
    <row r="259" spans="3:18" ht="20.100000000000001" customHeight="1" x14ac:dyDescent="0.2">
      <c r="C259" s="950" t="s">
        <v>378</v>
      </c>
      <c r="D259" s="905" t="s">
        <v>217</v>
      </c>
      <c r="E259" s="833">
        <v>264.17</v>
      </c>
      <c r="F259" s="383" t="s">
        <v>219</v>
      </c>
      <c r="G259" s="96"/>
      <c r="Q259" s="746" t="s">
        <v>622</v>
      </c>
      <c r="R259" s="835">
        <f>B216</f>
        <v>0.45</v>
      </c>
    </row>
    <row r="260" spans="3:18" ht="20.100000000000001" customHeight="1" x14ac:dyDescent="0.2">
      <c r="C260" s="950" t="s">
        <v>380</v>
      </c>
      <c r="D260" s="905" t="s">
        <v>217</v>
      </c>
      <c r="E260" s="833">
        <v>7.48</v>
      </c>
      <c r="F260" s="383" t="s">
        <v>219</v>
      </c>
      <c r="G260" s="96"/>
      <c r="Q260" s="746" t="s">
        <v>623</v>
      </c>
      <c r="R260" s="835">
        <f>B217</f>
        <v>0.55000000000000004</v>
      </c>
    </row>
    <row r="261" spans="3:18" ht="20.100000000000001" customHeight="1" x14ac:dyDescent="0.25">
      <c r="C261" s="950" t="s">
        <v>380</v>
      </c>
      <c r="D261" s="905" t="s">
        <v>217</v>
      </c>
      <c r="E261" s="830">
        <v>28316.85</v>
      </c>
      <c r="F261" s="383" t="s">
        <v>381</v>
      </c>
      <c r="G261" s="96"/>
      <c r="N261" s="459"/>
      <c r="Q261" s="746" t="s">
        <v>624</v>
      </c>
      <c r="R261" s="835">
        <f>B218</f>
        <v>0.65</v>
      </c>
    </row>
    <row r="262" spans="3:18" ht="20.100000000000001" customHeight="1" x14ac:dyDescent="0.25">
      <c r="C262" s="950" t="s">
        <v>378</v>
      </c>
      <c r="D262" s="905" t="s">
        <v>217</v>
      </c>
      <c r="E262" s="830">
        <v>1000000</v>
      </c>
      <c r="F262" s="383" t="s">
        <v>381</v>
      </c>
      <c r="G262" s="96"/>
      <c r="N262" s="459"/>
    </row>
    <row r="263" spans="3:18" ht="20.100000000000001" customHeight="1" x14ac:dyDescent="0.2">
      <c r="C263" s="832" t="s">
        <v>220</v>
      </c>
      <c r="D263" s="836" t="s">
        <v>217</v>
      </c>
      <c r="E263" s="824">
        <v>0.26417217685798894</v>
      </c>
      <c r="F263" s="837" t="s">
        <v>219</v>
      </c>
      <c r="G263" s="96"/>
      <c r="M263" s="1037" t="s">
        <v>594</v>
      </c>
      <c r="N263" s="746"/>
      <c r="O263" s="746"/>
      <c r="P263" s="746"/>
    </row>
    <row r="264" spans="3:18" ht="20.100000000000001" customHeight="1" x14ac:dyDescent="0.2">
      <c r="C264" s="950" t="s">
        <v>382</v>
      </c>
      <c r="D264" s="905" t="s">
        <v>217</v>
      </c>
      <c r="E264" s="838">
        <v>8.35</v>
      </c>
      <c r="F264" s="383" t="s">
        <v>383</v>
      </c>
      <c r="G264" s="96"/>
    </row>
    <row r="265" spans="3:18" ht="20.100000000000001" customHeight="1" x14ac:dyDescent="0.2">
      <c r="C265" s="950" t="s">
        <v>384</v>
      </c>
      <c r="D265" s="905" t="s">
        <v>217</v>
      </c>
      <c r="E265" s="839">
        <v>0.74570000000000003</v>
      </c>
      <c r="F265" s="383" t="s">
        <v>385</v>
      </c>
      <c r="G265" s="96"/>
      <c r="H265" s="96"/>
      <c r="I265" s="96"/>
    </row>
    <row r="266" spans="3:18" ht="20.100000000000001" customHeight="1" x14ac:dyDescent="0.2">
      <c r="C266" s="950" t="s">
        <v>386</v>
      </c>
      <c r="D266" s="905" t="s">
        <v>217</v>
      </c>
      <c r="E266" s="833">
        <v>3412</v>
      </c>
      <c r="F266" s="383" t="s">
        <v>387</v>
      </c>
      <c r="G266" s="96" t="s">
        <v>388</v>
      </c>
      <c r="H266" s="840">
        <v>1</v>
      </c>
      <c r="I266" s="96" t="s">
        <v>389</v>
      </c>
    </row>
    <row r="267" spans="3:18" ht="20.100000000000001" customHeight="1" x14ac:dyDescent="0.2">
      <c r="C267" s="950" t="s">
        <v>390</v>
      </c>
      <c r="D267" s="905" t="s">
        <v>217</v>
      </c>
      <c r="E267" s="830">
        <v>1000000</v>
      </c>
      <c r="F267" s="383" t="s">
        <v>387</v>
      </c>
      <c r="G267" s="96"/>
      <c r="H267" s="96"/>
      <c r="I267" s="96"/>
    </row>
    <row r="268" spans="3:18" ht="20.100000000000001" customHeight="1" x14ac:dyDescent="0.2">
      <c r="C268" s="950" t="s">
        <v>163</v>
      </c>
      <c r="D268" s="905" t="s">
        <v>217</v>
      </c>
      <c r="E268" s="833">
        <v>0.621</v>
      </c>
      <c r="F268" s="383" t="s">
        <v>391</v>
      </c>
      <c r="G268" s="96"/>
      <c r="H268" s="96"/>
      <c r="I268" s="96"/>
    </row>
    <row r="269" spans="3:18" ht="20.100000000000001" customHeight="1" x14ac:dyDescent="0.2">
      <c r="C269" s="950" t="s">
        <v>376</v>
      </c>
      <c r="D269" s="905" t="s">
        <v>217</v>
      </c>
      <c r="E269" s="841">
        <v>1</v>
      </c>
      <c r="F269" s="383" t="s">
        <v>551</v>
      </c>
      <c r="H269" s="96"/>
      <c r="I269" s="96"/>
    </row>
    <row r="270" spans="3:18" ht="20.100000000000001" customHeight="1" x14ac:dyDescent="0.2">
      <c r="C270" s="950" t="s">
        <v>376</v>
      </c>
      <c r="D270" s="905" t="s">
        <v>217</v>
      </c>
      <c r="E270" s="830">
        <v>1000000</v>
      </c>
      <c r="F270" s="383" t="s">
        <v>373</v>
      </c>
      <c r="H270" s="96"/>
      <c r="I270" s="96"/>
    </row>
    <row r="271" spans="3:18" ht="20.100000000000001" customHeight="1" x14ac:dyDescent="0.2">
      <c r="C271" s="286"/>
      <c r="D271" s="842"/>
      <c r="E271" s="833">
        <v>24</v>
      </c>
      <c r="F271" s="383" t="s">
        <v>392</v>
      </c>
      <c r="G271" s="96"/>
      <c r="H271" s="96"/>
      <c r="I271" s="96"/>
    </row>
    <row r="272" spans="3:18" ht="20.100000000000001" customHeight="1" x14ac:dyDescent="0.2">
      <c r="E272" s="833">
        <v>365</v>
      </c>
      <c r="F272" s="383" t="s">
        <v>393</v>
      </c>
      <c r="G272" s="96"/>
      <c r="H272" s="96"/>
      <c r="I272" s="96"/>
    </row>
    <row r="273" spans="1:9" ht="20.100000000000001" customHeight="1" x14ac:dyDescent="0.2">
      <c r="E273" s="833">
        <v>100</v>
      </c>
      <c r="F273" s="383" t="s">
        <v>478</v>
      </c>
      <c r="G273" s="96" t="s">
        <v>479</v>
      </c>
      <c r="H273" s="96"/>
      <c r="I273" s="96"/>
    </row>
    <row r="274" spans="1:9" ht="20.100000000000001" customHeight="1" x14ac:dyDescent="0.2">
      <c r="C274" s="950" t="s">
        <v>656</v>
      </c>
      <c r="D274" s="905" t="s">
        <v>217</v>
      </c>
      <c r="E274" s="833">
        <v>1000</v>
      </c>
      <c r="F274" s="1037" t="s">
        <v>657</v>
      </c>
    </row>
    <row r="275" spans="1:9" ht="20.100000000000001" customHeight="1" x14ac:dyDescent="0.2">
      <c r="C275" s="950" t="s">
        <v>380</v>
      </c>
      <c r="D275" s="905" t="s">
        <v>715</v>
      </c>
      <c r="E275" s="841">
        <f>+E260*E264</f>
        <v>62.457999999999998</v>
      </c>
      <c r="F275" s="383" t="s">
        <v>716</v>
      </c>
    </row>
    <row r="276" spans="1:9" ht="20.100000000000001" customHeight="1" x14ac:dyDescent="0.2">
      <c r="C276" s="950" t="s">
        <v>379</v>
      </c>
      <c r="D276" s="905" t="s">
        <v>715</v>
      </c>
      <c r="E276" s="827">
        <f>+E275*E257</f>
        <v>1686.366</v>
      </c>
      <c r="F276" s="383" t="s">
        <v>716</v>
      </c>
    </row>
    <row r="277" spans="1:9" ht="20.100000000000001" customHeight="1" x14ac:dyDescent="0.2">
      <c r="A277" s="130"/>
      <c r="B277" s="843"/>
      <c r="C277" s="950" t="s">
        <v>714</v>
      </c>
      <c r="D277" s="836" t="s">
        <v>217</v>
      </c>
      <c r="E277" s="824">
        <f>+E256/kg_lbs</f>
        <v>0.59410430839002271</v>
      </c>
      <c r="F277" s="1037" t="s">
        <v>656</v>
      </c>
    </row>
    <row r="278" spans="1:9" ht="20.100000000000001" customHeight="1" x14ac:dyDescent="0.2">
      <c r="A278" s="743" t="s">
        <v>221</v>
      </c>
      <c r="B278" s="751">
        <v>12</v>
      </c>
      <c r="C278" s="183"/>
      <c r="D278" s="183"/>
      <c r="E278" s="183"/>
      <c r="F278" s="183"/>
    </row>
    <row r="279" spans="1:9" ht="20.100000000000001" customHeight="1" x14ac:dyDescent="0.2">
      <c r="A279" s="743" t="s">
        <v>276</v>
      </c>
      <c r="B279" s="751">
        <v>16</v>
      </c>
      <c r="C279" s="183"/>
      <c r="D279" s="183"/>
      <c r="E279" s="844"/>
      <c r="F279" s="183"/>
    </row>
    <row r="280" spans="1:9" ht="20.100000000000001" customHeight="1" thickBot="1" x14ac:dyDescent="0.4">
      <c r="A280" s="383" t="s">
        <v>827</v>
      </c>
      <c r="B280" s="845">
        <f>+(B278+(2*B279))/B278</f>
        <v>3.6666666666666665</v>
      </c>
      <c r="C280" s="183"/>
      <c r="D280" s="183"/>
      <c r="E280" s="183"/>
      <c r="F280" s="183"/>
    </row>
    <row r="281" spans="1:9" ht="20.100000000000001" customHeight="1" x14ac:dyDescent="0.2">
      <c r="A281" s="743" t="s">
        <v>300</v>
      </c>
      <c r="B281" s="751">
        <v>1</v>
      </c>
      <c r="C281" s="183"/>
      <c r="D281" s="1404" t="s">
        <v>808</v>
      </c>
      <c r="E281" s="1405"/>
      <c r="F281" s="1406"/>
    </row>
    <row r="282" spans="1:9" ht="20.100000000000001" customHeight="1" x14ac:dyDescent="0.35">
      <c r="A282" s="383" t="s">
        <v>828</v>
      </c>
      <c r="B282" s="845">
        <f>(+B278+(4*B281))/B278</f>
        <v>1.3333333333333333</v>
      </c>
      <c r="C282" s="183"/>
      <c r="D282" s="1401"/>
      <c r="E282" s="1399" t="s">
        <v>805</v>
      </c>
      <c r="F282" s="1400"/>
    </row>
    <row r="283" spans="1:9" ht="20.100000000000001" customHeight="1" x14ac:dyDescent="0.2">
      <c r="A283" s="383" t="str">
        <f>CONCATENATE("CO2E of CH4 (",'WRRF Info &amp; Results'!D13,"-year GWP Time Horizon)")</f>
        <v>CO2E of CH4 (100-year GWP Time Horizon)</v>
      </c>
      <c r="B283" s="743">
        <f>IF('WRRF Info &amp; Results'!D13=E283,E285,IF('WRRF Info &amp; Results'!D13=F283,F285,"Select on Info &amp;240:241Results"))</f>
        <v>25</v>
      </c>
      <c r="C283" s="445"/>
      <c r="D283" s="1402"/>
      <c r="E283" s="1004">
        <v>20</v>
      </c>
      <c r="F283" s="1005">
        <v>100</v>
      </c>
    </row>
    <row r="284" spans="1:9" ht="20.100000000000001" customHeight="1" x14ac:dyDescent="0.2">
      <c r="A284" s="745" t="s">
        <v>299</v>
      </c>
      <c r="B284" s="751">
        <v>14</v>
      </c>
      <c r="C284" s="445"/>
      <c r="D284" s="1403"/>
      <c r="E284" s="1397" t="s">
        <v>807</v>
      </c>
      <c r="F284" s="1398"/>
    </row>
    <row r="285" spans="1:9" ht="20.100000000000001" customHeight="1" x14ac:dyDescent="0.35">
      <c r="A285" s="383" t="s">
        <v>829</v>
      </c>
      <c r="B285" s="846">
        <f>+(2*B284+B279)/(2*B284)</f>
        <v>1.5714285714285714</v>
      </c>
      <c r="D285" s="558" t="s">
        <v>806</v>
      </c>
      <c r="E285" s="1193">
        <v>72</v>
      </c>
      <c r="F285" s="1194">
        <v>25</v>
      </c>
    </row>
    <row r="286" spans="1:9" ht="20.100000000000001" customHeight="1" thickBot="1" x14ac:dyDescent="0.4">
      <c r="A286" s="383" t="str">
        <f>CONCATENATE("CO2E of N2O (",'WRRF Info &amp; Results'!D13,"-year GWP Time Horizon)")</f>
        <v>CO2E of N2O (100-year GWP Time Horizon)</v>
      </c>
      <c r="B286" s="743">
        <f>IF('WRRF Info &amp; Results'!D13=E283,E286,IF('WRRF Info &amp; Results'!D13=F283,F286,"Select on Info &amp;240:241Results"))</f>
        <v>298</v>
      </c>
      <c r="D286" s="1006" t="s">
        <v>156</v>
      </c>
      <c r="E286" s="1195">
        <v>289</v>
      </c>
      <c r="F286" s="1196">
        <v>298</v>
      </c>
    </row>
    <row r="287" spans="1:9" ht="20.100000000000001" customHeight="1" x14ac:dyDescent="0.2">
      <c r="A287" s="745" t="s">
        <v>301</v>
      </c>
      <c r="B287" s="751">
        <v>40</v>
      </c>
      <c r="C287" s="445"/>
      <c r="D287" s="183"/>
    </row>
    <row r="288" spans="1:9" ht="20.100000000000001" customHeight="1" x14ac:dyDescent="0.35">
      <c r="A288" s="746" t="s">
        <v>302</v>
      </c>
      <c r="B288" s="846">
        <f>+B278/(B287+B278+3*B279)</f>
        <v>0.12</v>
      </c>
      <c r="C288" s="752"/>
      <c r="D288" s="183"/>
      <c r="E288" s="183"/>
      <c r="F288" s="183"/>
    </row>
    <row r="289" spans="1:16" ht="20.100000000000001" customHeight="1" x14ac:dyDescent="0.2">
      <c r="A289" s="743" t="s">
        <v>263</v>
      </c>
      <c r="B289" s="759">
        <v>0.56000000000000005</v>
      </c>
      <c r="C289" s="445" t="s">
        <v>791</v>
      </c>
    </row>
    <row r="290" spans="1:16" ht="20.100000000000001" customHeight="1" x14ac:dyDescent="0.2"/>
    <row r="291" spans="1:16" ht="20.100000000000001" customHeight="1" x14ac:dyDescent="0.3">
      <c r="A291" s="762" t="s">
        <v>239</v>
      </c>
    </row>
    <row r="292" spans="1:16" ht="20.100000000000001" customHeight="1" x14ac:dyDescent="0.2">
      <c r="A292" s="798" t="s">
        <v>238</v>
      </c>
      <c r="B292" s="748"/>
      <c r="C292" s="749"/>
      <c r="D292" s="130"/>
      <c r="E292" s="130"/>
      <c r="F292" s="130"/>
      <c r="G292" s="130"/>
      <c r="H292" s="130"/>
    </row>
    <row r="293" spans="1:16" ht="20.100000000000001" customHeight="1" x14ac:dyDescent="0.35">
      <c r="A293" s="130"/>
      <c r="B293" s="847" t="s">
        <v>203</v>
      </c>
      <c r="C293" s="847" t="s">
        <v>204</v>
      </c>
      <c r="D293" s="847" t="s">
        <v>156</v>
      </c>
      <c r="E293" s="905" t="s">
        <v>699</v>
      </c>
      <c r="H293" s="1003"/>
    </row>
    <row r="294" spans="1:16" ht="20.100000000000001" customHeight="1" x14ac:dyDescent="0.2">
      <c r="A294" s="1158" t="s">
        <v>672</v>
      </c>
      <c r="B294" s="848">
        <v>498.32402000000008</v>
      </c>
      <c r="C294" s="849">
        <v>4.5400000000000003E-2</v>
      </c>
      <c r="D294" s="849">
        <v>6.3559999999999997E-3</v>
      </c>
      <c r="E294" s="850">
        <v>501.30271400000004</v>
      </c>
      <c r="F294" s="1373" t="s">
        <v>804</v>
      </c>
      <c r="H294" s="1003"/>
    </row>
    <row r="295" spans="1:16" ht="20.100000000000001" customHeight="1" x14ac:dyDescent="0.2">
      <c r="A295" s="1158" t="s">
        <v>673</v>
      </c>
      <c r="B295" s="848">
        <v>242.46914200000001</v>
      </c>
      <c r="C295" s="849">
        <v>1.2258E-2</v>
      </c>
      <c r="D295" s="849">
        <v>2.2699999999999999E-3</v>
      </c>
      <c r="E295" s="851">
        <v>243.39394000000001</v>
      </c>
      <c r="F295" s="1373"/>
      <c r="H295" s="1003"/>
    </row>
    <row r="296" spans="1:16" ht="20.100000000000001" customHeight="1" thickBot="1" x14ac:dyDescent="0.25">
      <c r="A296" s="1158" t="s">
        <v>674</v>
      </c>
      <c r="B296" s="848">
        <v>384.36366399999997</v>
      </c>
      <c r="C296" s="849">
        <v>2.4516E-2</v>
      </c>
      <c r="D296" s="849">
        <v>3.1779999999999998E-3</v>
      </c>
      <c r="E296" s="851">
        <v>385.97173200000003</v>
      </c>
      <c r="F296" s="1373"/>
      <c r="H296" s="1003"/>
    </row>
    <row r="297" spans="1:16" ht="20.100000000000001" customHeight="1" thickBot="1" x14ac:dyDescent="0.25">
      <c r="A297" s="1158" t="s">
        <v>675</v>
      </c>
      <c r="B297" s="848">
        <v>233.10857000000001</v>
      </c>
      <c r="C297" s="849">
        <v>1.4528000000000001E-2</v>
      </c>
      <c r="D297" s="849">
        <v>1.8160000000000001E-3</v>
      </c>
      <c r="E297" s="851">
        <v>234.02928199999997</v>
      </c>
      <c r="F297" s="1373"/>
      <c r="H297" s="1003"/>
      <c r="M297" s="852"/>
      <c r="N297" s="853" t="s">
        <v>612</v>
      </c>
      <c r="O297" s="853" t="s">
        <v>613</v>
      </c>
      <c r="P297" s="853" t="s">
        <v>614</v>
      </c>
    </row>
    <row r="298" spans="1:16" ht="20.100000000000001" customHeight="1" thickBot="1" x14ac:dyDescent="0.25">
      <c r="A298" s="1158" t="s">
        <v>676</v>
      </c>
      <c r="B298" s="848">
        <v>371.64440000000002</v>
      </c>
      <c r="C298" s="849">
        <v>2.3608000000000001E-2</v>
      </c>
      <c r="D298" s="849">
        <v>3.1779999999999998E-3</v>
      </c>
      <c r="E298" s="851">
        <v>373.20570600000002</v>
      </c>
      <c r="F298" s="1373"/>
      <c r="H298" s="1003"/>
      <c r="M298" s="854" t="s">
        <v>408</v>
      </c>
      <c r="N298" s="855">
        <v>635.79999999999995</v>
      </c>
      <c r="O298" s="855">
        <v>22</v>
      </c>
      <c r="P298" s="855">
        <v>3</v>
      </c>
    </row>
    <row r="299" spans="1:16" ht="20.100000000000001" customHeight="1" thickBot="1" x14ac:dyDescent="0.25">
      <c r="A299" s="1158" t="s">
        <v>677</v>
      </c>
      <c r="B299" s="848">
        <v>379.12586599999997</v>
      </c>
      <c r="C299" s="849">
        <v>2.2246000000000002E-2</v>
      </c>
      <c r="D299" s="849">
        <v>2.7240000000000003E-3</v>
      </c>
      <c r="E299" s="851">
        <v>380.55415000000005</v>
      </c>
      <c r="F299" s="1373"/>
      <c r="H299" s="1003"/>
      <c r="M299" s="854" t="s">
        <v>409</v>
      </c>
      <c r="N299" s="855">
        <v>294.7</v>
      </c>
      <c r="O299" s="855">
        <v>21</v>
      </c>
      <c r="P299" s="855">
        <v>3</v>
      </c>
    </row>
    <row r="300" spans="1:16" ht="20.100000000000001" customHeight="1" x14ac:dyDescent="0.2">
      <c r="A300" s="1158" t="s">
        <v>678</v>
      </c>
      <c r="B300" s="848">
        <v>519.02505800000006</v>
      </c>
      <c r="C300" s="849">
        <v>4.9939999999999998E-2</v>
      </c>
      <c r="D300" s="849">
        <v>7.7180000000000009E-3</v>
      </c>
      <c r="E300" s="851">
        <v>522.61029600000006</v>
      </c>
      <c r="F300" s="1373"/>
      <c r="H300" s="1003"/>
    </row>
    <row r="301" spans="1:16" ht="20.100000000000001" customHeight="1" x14ac:dyDescent="0.2">
      <c r="A301" s="1158" t="s">
        <v>679</v>
      </c>
      <c r="B301" s="848">
        <v>750.44020799999998</v>
      </c>
      <c r="C301" s="849">
        <v>8.0811999999999995E-2</v>
      </c>
      <c r="D301" s="849">
        <v>1.2258E-2</v>
      </c>
      <c r="E301" s="851">
        <v>756.12928199999999</v>
      </c>
      <c r="F301" s="1373"/>
      <c r="H301" s="1003"/>
    </row>
    <row r="302" spans="1:16" ht="20.100000000000001" customHeight="1" thickBot="1" x14ac:dyDescent="0.25">
      <c r="A302" s="1158" t="s">
        <v>680</v>
      </c>
      <c r="B302" s="848">
        <v>692.97379599999999</v>
      </c>
      <c r="C302" s="849">
        <v>6.3106000000000009E-2</v>
      </c>
      <c r="D302" s="849">
        <v>9.0799999999999995E-3</v>
      </c>
      <c r="E302" s="851">
        <v>697.26636599999995</v>
      </c>
      <c r="F302" s="1373"/>
      <c r="H302" s="1003"/>
    </row>
    <row r="303" spans="1:16" ht="20.100000000000001" customHeight="1" thickBot="1" x14ac:dyDescent="0.25">
      <c r="A303" s="1158" t="s">
        <v>681</v>
      </c>
      <c r="B303" s="848">
        <v>444.70934399999999</v>
      </c>
      <c r="C303" s="849">
        <v>4.7216000000000001E-2</v>
      </c>
      <c r="D303" s="849">
        <v>6.8099999999999992E-3</v>
      </c>
      <c r="E303" s="851">
        <v>447.93183600000003</v>
      </c>
      <c r="F303" s="1373"/>
      <c r="H303" s="1003"/>
      <c r="M303" s="856" t="s">
        <v>618</v>
      </c>
      <c r="N303" s="857">
        <v>496.5</v>
      </c>
      <c r="O303" s="857">
        <v>34</v>
      </c>
      <c r="P303" s="857">
        <v>4</v>
      </c>
    </row>
    <row r="304" spans="1:16" ht="20.100000000000001" customHeight="1" x14ac:dyDescent="0.2">
      <c r="A304" s="1158" t="s">
        <v>682</v>
      </c>
      <c r="B304" s="848">
        <v>239.82005200000003</v>
      </c>
      <c r="C304" s="849">
        <v>3.3595999999999994E-2</v>
      </c>
      <c r="D304" s="849">
        <v>4.5399999999999998E-3</v>
      </c>
      <c r="E304" s="851">
        <v>241.97246600000003</v>
      </c>
      <c r="F304" s="1373"/>
      <c r="H304" s="1003"/>
    </row>
    <row r="305" spans="1:8" ht="20.100000000000001" customHeight="1" x14ac:dyDescent="0.2">
      <c r="A305" s="1158" t="s">
        <v>683</v>
      </c>
      <c r="B305" s="848">
        <v>272.385018</v>
      </c>
      <c r="C305" s="849">
        <v>2.5423999999999999E-2</v>
      </c>
      <c r="D305" s="849">
        <v>3.6320000000000002E-3</v>
      </c>
      <c r="E305" s="851">
        <v>274.11884399999997</v>
      </c>
      <c r="F305" s="1373"/>
      <c r="H305" s="1003"/>
    </row>
    <row r="306" spans="1:8" ht="20.100000000000001" customHeight="1" x14ac:dyDescent="0.2">
      <c r="A306" s="1158" t="s">
        <v>684</v>
      </c>
      <c r="B306" s="848">
        <v>288.11384800000002</v>
      </c>
      <c r="C306" s="849">
        <v>9.9880000000000004E-3</v>
      </c>
      <c r="D306" s="849">
        <v>1.3620000000000001E-3</v>
      </c>
      <c r="E306" s="851">
        <v>288.72447799999998</v>
      </c>
      <c r="F306" s="1373"/>
      <c r="H306" s="1003"/>
    </row>
    <row r="307" spans="1:8" ht="20.100000000000001" customHeight="1" x14ac:dyDescent="0.2">
      <c r="A307" s="1158" t="s">
        <v>685</v>
      </c>
      <c r="B307" s="848">
        <v>546.58285799999999</v>
      </c>
      <c r="C307" s="849">
        <v>6.2652000000000013E-2</v>
      </c>
      <c r="D307" s="849">
        <v>8.1719999999999987E-3</v>
      </c>
      <c r="E307" s="851">
        <v>550.55127200000004</v>
      </c>
      <c r="F307" s="1373"/>
      <c r="H307" s="1003"/>
    </row>
    <row r="308" spans="1:8" ht="20.100000000000001" customHeight="1" x14ac:dyDescent="0.2">
      <c r="A308" s="1158" t="s">
        <v>409</v>
      </c>
      <c r="B308" s="848">
        <v>106.014448</v>
      </c>
      <c r="C308" s="849">
        <v>7.2640000000000005E-3</v>
      </c>
      <c r="D308" s="849">
        <v>9.0800000000000006E-4</v>
      </c>
      <c r="E308" s="851">
        <v>106.462546</v>
      </c>
      <c r="F308" s="1373"/>
      <c r="H308" s="1003"/>
    </row>
    <row r="309" spans="1:8" ht="20.100000000000001" customHeight="1" x14ac:dyDescent="0.2">
      <c r="A309" s="1158" t="s">
        <v>686</v>
      </c>
      <c r="B309" s="848">
        <v>727.39153599999997</v>
      </c>
      <c r="C309" s="849">
        <v>3.8590000000000006E-2</v>
      </c>
      <c r="D309" s="849">
        <v>6.3559999999999997E-3</v>
      </c>
      <c r="E309" s="851">
        <v>730.25718400000005</v>
      </c>
      <c r="F309" s="1373"/>
      <c r="H309" s="1003"/>
    </row>
    <row r="310" spans="1:8" ht="20.100000000000001" customHeight="1" x14ac:dyDescent="0.2">
      <c r="A310" s="1158" t="s">
        <v>687</v>
      </c>
      <c r="B310" s="848">
        <v>296.21593199999995</v>
      </c>
      <c r="C310" s="849">
        <v>2.043E-2</v>
      </c>
      <c r="D310" s="849">
        <v>2.7240000000000003E-3</v>
      </c>
      <c r="E310" s="851">
        <v>297.53979600000002</v>
      </c>
      <c r="F310" s="1373"/>
      <c r="H310" s="1003"/>
    </row>
    <row r="311" spans="1:8" ht="20.100000000000001" customHeight="1" x14ac:dyDescent="0.2">
      <c r="A311" s="1158" t="s">
        <v>688</v>
      </c>
      <c r="B311" s="848">
        <v>523.48833200000001</v>
      </c>
      <c r="C311" s="849">
        <v>4.5854000000000006E-2</v>
      </c>
      <c r="D311" s="849">
        <v>6.3559999999999997E-3</v>
      </c>
      <c r="E311" s="851">
        <v>526.55328599999996</v>
      </c>
      <c r="F311" s="1373"/>
      <c r="H311" s="1003"/>
    </row>
    <row r="312" spans="1:8" ht="20.100000000000001" customHeight="1" x14ac:dyDescent="0.2">
      <c r="A312" s="1158" t="s">
        <v>689</v>
      </c>
      <c r="B312" s="848">
        <v>447.17955799999999</v>
      </c>
      <c r="C312" s="849">
        <v>3.9043999999999995E-2</v>
      </c>
      <c r="D312" s="849">
        <v>5.4480000000000006E-3</v>
      </c>
      <c r="E312" s="851">
        <v>449.83137199999999</v>
      </c>
      <c r="F312" s="1373"/>
      <c r="H312" s="1003"/>
    </row>
    <row r="313" spans="1:8" ht="20.100000000000001" customHeight="1" x14ac:dyDescent="0.2">
      <c r="A313" s="1158" t="s">
        <v>690</v>
      </c>
      <c r="B313" s="848">
        <v>519.73965399999997</v>
      </c>
      <c r="C313" s="849">
        <v>4.5854000000000006E-2</v>
      </c>
      <c r="D313" s="849">
        <v>6.3559999999999997E-3</v>
      </c>
      <c r="E313" s="851">
        <v>522.83411799999999</v>
      </c>
      <c r="F313" s="1373"/>
      <c r="H313" s="1003"/>
    </row>
    <row r="314" spans="1:8" ht="20.100000000000001" customHeight="1" x14ac:dyDescent="0.2">
      <c r="A314" s="1158" t="s">
        <v>691</v>
      </c>
      <c r="B314" s="848">
        <v>433.13052799999997</v>
      </c>
      <c r="C314" s="849">
        <v>4.5400000000000003E-2</v>
      </c>
      <c r="D314" s="849">
        <v>6.3559999999999997E-3</v>
      </c>
      <c r="E314" s="851">
        <v>436.21636599999999</v>
      </c>
      <c r="F314" s="1373"/>
      <c r="H314" s="1003"/>
    </row>
    <row r="315" spans="1:8" ht="20.100000000000001" customHeight="1" x14ac:dyDescent="0.2">
      <c r="A315" s="1158" t="s">
        <v>692</v>
      </c>
      <c r="B315" s="848">
        <v>423.017224</v>
      </c>
      <c r="C315" s="849">
        <v>2.7239999999999997E-2</v>
      </c>
      <c r="D315" s="849">
        <v>4.0859999999999994E-3</v>
      </c>
      <c r="E315" s="851">
        <v>424.84911399999999</v>
      </c>
      <c r="F315" s="1373"/>
      <c r="H315" s="1003"/>
    </row>
    <row r="316" spans="1:8" ht="20.100000000000001" customHeight="1" x14ac:dyDescent="0.2">
      <c r="A316" s="1158" t="s">
        <v>693</v>
      </c>
      <c r="B316" s="848">
        <v>336.12298600000003</v>
      </c>
      <c r="C316" s="849">
        <v>1.4528000000000001E-2</v>
      </c>
      <c r="D316" s="849">
        <v>1.8160000000000001E-3</v>
      </c>
      <c r="E316" s="851">
        <v>337.06458199999997</v>
      </c>
      <c r="F316" s="1373"/>
      <c r="H316" s="1003"/>
    </row>
    <row r="317" spans="1:8" ht="20.100000000000001" customHeight="1" x14ac:dyDescent="0.2">
      <c r="A317" s="1158" t="s">
        <v>694</v>
      </c>
      <c r="B317" s="848">
        <v>672.237346</v>
      </c>
      <c r="C317" s="849">
        <v>7.0823999999999998E-2</v>
      </c>
      <c r="D317" s="849">
        <v>1.0442E-2</v>
      </c>
      <c r="E317" s="851">
        <v>677.07289999999989</v>
      </c>
      <c r="F317" s="1373"/>
      <c r="H317" s="1003"/>
    </row>
    <row r="318" spans="1:8" ht="20.100000000000001" customHeight="1" x14ac:dyDescent="0.2">
      <c r="A318" s="1158" t="s">
        <v>695</v>
      </c>
      <c r="B318" s="848">
        <v>390.52126600000003</v>
      </c>
      <c r="C318" s="849">
        <v>2.7239999999999997E-2</v>
      </c>
      <c r="D318" s="849">
        <v>4.0859999999999994E-3</v>
      </c>
      <c r="E318" s="851">
        <v>392.33908200000002</v>
      </c>
      <c r="F318" s="1373"/>
      <c r="H318" s="1003"/>
    </row>
    <row r="319" spans="1:8" ht="20.100000000000001" customHeight="1" x14ac:dyDescent="0.2">
      <c r="A319" s="1158" t="s">
        <v>696</v>
      </c>
      <c r="B319" s="848">
        <v>378.71862800000002</v>
      </c>
      <c r="C319" s="849">
        <v>3.4049999999999997E-2</v>
      </c>
      <c r="D319" s="849">
        <v>4.9940000000000002E-3</v>
      </c>
      <c r="E319" s="851">
        <v>381.01722999999998</v>
      </c>
      <c r="F319" s="1373"/>
      <c r="H319" s="1003"/>
    </row>
    <row r="320" spans="1:8" ht="20.100000000000001" customHeight="1" x14ac:dyDescent="0.2">
      <c r="A320" s="1159" t="s">
        <v>697</v>
      </c>
      <c r="B320" s="848">
        <v>282.89239399999997</v>
      </c>
      <c r="C320" s="849">
        <v>2.2700000000000001E-2</v>
      </c>
      <c r="D320" s="849">
        <v>3.1779999999999998E-3</v>
      </c>
      <c r="E320" s="851">
        <v>284.33248200000003</v>
      </c>
      <c r="F320" s="1373"/>
      <c r="H320" s="1003"/>
    </row>
    <row r="321" spans="1:8" ht="20.100000000000001" customHeight="1" x14ac:dyDescent="0.2">
      <c r="A321" s="903" t="s">
        <v>698</v>
      </c>
      <c r="B321" s="848">
        <v>371.50320599999998</v>
      </c>
      <c r="C321" s="849">
        <v>2.9510000000000002E-2</v>
      </c>
      <c r="D321" s="849">
        <v>4.0859999999999994E-3</v>
      </c>
      <c r="E321" s="851">
        <v>373.46993400000002</v>
      </c>
      <c r="F321" s="1373"/>
      <c r="H321" s="1003"/>
    </row>
    <row r="322" spans="1:8" ht="20.100000000000001" customHeight="1" x14ac:dyDescent="0.2">
      <c r="A322" s="383" t="s">
        <v>35</v>
      </c>
      <c r="B322" s="848">
        <v>920</v>
      </c>
      <c r="C322" s="849">
        <v>2.7619999999999999E-2</v>
      </c>
      <c r="D322" s="849">
        <v>1.7229999999999999E-2</v>
      </c>
      <c r="E322" s="850">
        <f>+B322+(C322*CO2E_of_CH4_ClimateReg_100yr)+(D322*CO2E_of_N2O_Climate_Reg_100yr)</f>
        <v>925.82504000000006</v>
      </c>
      <c r="F322" s="1373" t="s">
        <v>803</v>
      </c>
      <c r="H322" s="1003"/>
    </row>
    <row r="323" spans="1:8" ht="20.100000000000001" customHeight="1" x14ac:dyDescent="0.2">
      <c r="A323" s="383" t="s">
        <v>36</v>
      </c>
      <c r="B323" s="848">
        <v>20</v>
      </c>
      <c r="C323" s="849">
        <v>4.2860000000000001E-4</v>
      </c>
      <c r="D323" s="849">
        <v>4.839E-4</v>
      </c>
      <c r="E323" s="851">
        <f>+B323+(C323*CO2E_of_CH4_ClimateReg_100yr)+(D323*CO2E_of_N2O_Climate_Reg_100yr)</f>
        <v>20.1549172</v>
      </c>
      <c r="F323" s="1373"/>
      <c r="H323" s="1003"/>
    </row>
    <row r="324" spans="1:8" ht="20.100000000000001" customHeight="1" x14ac:dyDescent="0.2">
      <c r="A324" s="383" t="s">
        <v>37</v>
      </c>
      <c r="B324" s="848">
        <v>10</v>
      </c>
      <c r="C324" s="849">
        <v>4.7619999999999997E-4</v>
      </c>
      <c r="D324" s="849">
        <v>2.5809999999999999E-4</v>
      </c>
      <c r="E324" s="851">
        <f>+B324+(C324*CO2E_of_CH4_ClimateReg_100yr)+(D324*CO2E_of_N2O_Climate_Reg_100yr)</f>
        <v>10.0888188</v>
      </c>
      <c r="F324" s="1373"/>
      <c r="G324" s="904"/>
      <c r="H324" s="1003"/>
    </row>
    <row r="325" spans="1:8" ht="20.100000000000001" customHeight="1" x14ac:dyDescent="0.2">
      <c r="A325" s="383" t="s">
        <v>38</v>
      </c>
      <c r="B325" s="848">
        <v>150</v>
      </c>
      <c r="C325" s="849">
        <v>1.905E-3</v>
      </c>
      <c r="D325" s="849">
        <v>3.065E-3</v>
      </c>
      <c r="E325" s="851">
        <f>+B325+(C325*CO2E_of_CH4_ClimateReg_100yr)+(D325*CO2E_of_N2O_Climate_Reg_100yr)</f>
        <v>150.960995</v>
      </c>
      <c r="F325" s="1373"/>
      <c r="G325" s="904"/>
      <c r="H325" s="1003"/>
    </row>
    <row r="326" spans="1:8" ht="20.100000000000001" customHeight="1" x14ac:dyDescent="0.2">
      <c r="A326" s="383" t="s">
        <v>39</v>
      </c>
      <c r="B326" s="848">
        <v>10</v>
      </c>
      <c r="C326" s="849">
        <v>1.4289999999999999E-3</v>
      </c>
      <c r="D326" s="849">
        <v>1.6129999999999999E-4</v>
      </c>
      <c r="E326" s="851">
        <f>+B326+(C326*CO2E_of_CH4_ClimateReg_100yr)+(D326*CO2E_of_N2O_Climate_Reg_100yr)</f>
        <v>10.0837924</v>
      </c>
      <c r="F326" s="1373"/>
      <c r="G326" s="904"/>
      <c r="H326" s="1003"/>
    </row>
    <row r="327" spans="1:8" ht="20.100000000000001" customHeight="1" x14ac:dyDescent="0.2">
      <c r="A327" s="383" t="s">
        <v>767</v>
      </c>
      <c r="B327" s="746"/>
      <c r="C327" s="746"/>
      <c r="D327" s="746"/>
      <c r="E327" s="1179">
        <v>320</v>
      </c>
      <c r="F327" s="445" t="s">
        <v>830</v>
      </c>
      <c r="G327" s="904"/>
      <c r="H327" s="1003"/>
    </row>
    <row r="328" spans="1:8" ht="20.100000000000001" customHeight="1" x14ac:dyDescent="0.2">
      <c r="A328" s="383" t="s">
        <v>742</v>
      </c>
      <c r="B328" s="746"/>
      <c r="C328" s="746"/>
      <c r="D328" s="746"/>
      <c r="E328" s="1179">
        <v>189</v>
      </c>
    </row>
    <row r="329" spans="1:8" ht="20.100000000000001" customHeight="1" x14ac:dyDescent="0.2"/>
    <row r="330" spans="1:8" x14ac:dyDescent="0.2">
      <c r="B330" s="1392" t="s">
        <v>816</v>
      </c>
      <c r="C330" s="1393"/>
      <c r="D330" s="1011"/>
      <c r="E330" s="1011"/>
    </row>
    <row r="331" spans="1:8" x14ac:dyDescent="0.2">
      <c r="B331" s="1389" t="s">
        <v>160</v>
      </c>
      <c r="C331" s="1009" t="s">
        <v>404</v>
      </c>
      <c r="D331" s="1011"/>
      <c r="E331" s="1011"/>
    </row>
    <row r="332" spans="1:8" x14ac:dyDescent="0.2">
      <c r="B332" s="1391"/>
      <c r="C332" s="1009" t="s">
        <v>403</v>
      </c>
      <c r="D332" s="1011"/>
      <c r="E332" s="1011"/>
    </row>
    <row r="333" spans="1:8" x14ac:dyDescent="0.2">
      <c r="B333" s="1391"/>
      <c r="C333" s="1009" t="s">
        <v>463</v>
      </c>
      <c r="D333" s="1011"/>
      <c r="E333" s="1011"/>
    </row>
    <row r="334" spans="1:8" x14ac:dyDescent="0.2">
      <c r="B334" s="1390"/>
      <c r="C334" s="1009" t="s">
        <v>462</v>
      </c>
      <c r="D334" s="1011"/>
      <c r="E334" s="1011"/>
    </row>
    <row r="335" spans="1:8" x14ac:dyDescent="0.2">
      <c r="B335" s="1016" t="s">
        <v>817</v>
      </c>
      <c r="C335" s="1012">
        <v>30</v>
      </c>
      <c r="D335" s="445" t="s">
        <v>563</v>
      </c>
      <c r="E335" s="1011"/>
    </row>
    <row r="336" spans="1:8" x14ac:dyDescent="0.2">
      <c r="B336" s="1370" t="s">
        <v>564</v>
      </c>
      <c r="C336" s="1009" t="s">
        <v>139</v>
      </c>
      <c r="D336" s="1011"/>
      <c r="E336" s="1011"/>
    </row>
    <row r="337" spans="2:5" x14ac:dyDescent="0.2">
      <c r="B337" s="1371"/>
      <c r="C337" s="1009" t="s">
        <v>66</v>
      </c>
      <c r="D337" s="1011"/>
      <c r="E337" s="1011"/>
    </row>
    <row r="338" spans="2:5" x14ac:dyDescent="0.2">
      <c r="B338" s="1372"/>
      <c r="C338" s="1009" t="s">
        <v>67</v>
      </c>
      <c r="D338" s="1011"/>
      <c r="E338" s="1011"/>
    </row>
    <row r="339" spans="2:5" x14ac:dyDescent="0.2">
      <c r="B339" s="1389" t="s">
        <v>571</v>
      </c>
      <c r="C339" s="1009" t="s">
        <v>270</v>
      </c>
    </row>
    <row r="340" spans="2:5" x14ac:dyDescent="0.2">
      <c r="B340" s="1390"/>
      <c r="C340" s="1009" t="s">
        <v>304</v>
      </c>
      <c r="D340" s="183"/>
    </row>
    <row r="341" spans="2:5" x14ac:dyDescent="0.2">
      <c r="B341" s="1370" t="s">
        <v>572</v>
      </c>
      <c r="C341" s="1009" t="s">
        <v>444</v>
      </c>
      <c r="D341" s="130"/>
    </row>
    <row r="342" spans="2:5" x14ac:dyDescent="0.2">
      <c r="B342" s="1371"/>
      <c r="C342" s="1009" t="s">
        <v>222</v>
      </c>
    </row>
    <row r="343" spans="2:5" x14ac:dyDescent="0.2">
      <c r="B343" s="1371"/>
      <c r="C343" s="1009" t="s">
        <v>250</v>
      </c>
    </row>
    <row r="344" spans="2:5" x14ac:dyDescent="0.2">
      <c r="B344" s="1372"/>
      <c r="C344" s="1010" t="s">
        <v>548</v>
      </c>
    </row>
    <row r="345" spans="2:5" x14ac:dyDescent="0.2">
      <c r="B345" s="1370" t="s">
        <v>573</v>
      </c>
      <c r="C345" s="1010" t="s">
        <v>503</v>
      </c>
    </row>
    <row r="346" spans="2:5" x14ac:dyDescent="0.2">
      <c r="B346" s="1371"/>
      <c r="C346" s="1010" t="s">
        <v>504</v>
      </c>
    </row>
    <row r="347" spans="2:5" x14ac:dyDescent="0.2">
      <c r="B347" s="1371"/>
      <c r="C347" s="1010" t="s">
        <v>505</v>
      </c>
      <c r="D347" s="833">
        <v>0.5</v>
      </c>
      <c r="E347" s="445" t="s">
        <v>818</v>
      </c>
    </row>
    <row r="348" spans="2:5" x14ac:dyDescent="0.2">
      <c r="B348" s="1372"/>
      <c r="C348" s="1010" t="s">
        <v>547</v>
      </c>
    </row>
    <row r="349" spans="2:5" x14ac:dyDescent="0.2">
      <c r="B349" s="1370" t="s">
        <v>574</v>
      </c>
      <c r="C349" s="1010" t="s">
        <v>487</v>
      </c>
    </row>
    <row r="350" spans="2:5" x14ac:dyDescent="0.2">
      <c r="B350" s="1371"/>
      <c r="C350" s="1010" t="s">
        <v>90</v>
      </c>
    </row>
    <row r="351" spans="2:5" x14ac:dyDescent="0.2">
      <c r="B351" s="1372"/>
      <c r="C351" s="1010" t="s">
        <v>176</v>
      </c>
    </row>
    <row r="352" spans="2:5" x14ac:dyDescent="0.2">
      <c r="B352" s="1370" t="s">
        <v>575</v>
      </c>
      <c r="C352" s="1010" t="s">
        <v>133</v>
      </c>
    </row>
    <row r="353" spans="2:4" x14ac:dyDescent="0.2">
      <c r="B353" s="1371"/>
      <c r="C353" s="1010" t="s">
        <v>608</v>
      </c>
    </row>
    <row r="354" spans="2:4" x14ac:dyDescent="0.2">
      <c r="B354" s="1371"/>
      <c r="C354" s="1010" t="s">
        <v>609</v>
      </c>
    </row>
    <row r="355" spans="2:4" x14ac:dyDescent="0.2">
      <c r="B355" s="1372"/>
      <c r="C355" s="1010" t="s">
        <v>987</v>
      </c>
      <c r="D355" s="96"/>
    </row>
    <row r="356" spans="2:4" x14ac:dyDescent="0.2">
      <c r="B356" s="1370" t="s">
        <v>576</v>
      </c>
      <c r="C356" s="1010" t="s">
        <v>587</v>
      </c>
    </row>
    <row r="357" spans="2:4" x14ac:dyDescent="0.2">
      <c r="B357" s="1371"/>
      <c r="C357" s="1010" t="s">
        <v>130</v>
      </c>
    </row>
    <row r="358" spans="2:4" x14ac:dyDescent="0.2">
      <c r="B358" s="1371"/>
      <c r="C358" s="1010" t="s">
        <v>544</v>
      </c>
    </row>
    <row r="359" spans="2:4" x14ac:dyDescent="0.2">
      <c r="B359" s="1372"/>
      <c r="C359" s="1010" t="s">
        <v>986</v>
      </c>
    </row>
    <row r="360" spans="2:4" x14ac:dyDescent="0.2">
      <c r="B360" s="1370" t="s">
        <v>579</v>
      </c>
      <c r="C360" s="1009" t="s">
        <v>577</v>
      </c>
    </row>
    <row r="361" spans="2:4" x14ac:dyDescent="0.2">
      <c r="B361" s="1372"/>
      <c r="C361" s="1009" t="s">
        <v>578</v>
      </c>
    </row>
    <row r="362" spans="2:4" x14ac:dyDescent="0.2">
      <c r="B362" s="1370" t="s">
        <v>584</v>
      </c>
      <c r="C362" s="1009" t="s">
        <v>185</v>
      </c>
    </row>
    <row r="363" spans="2:4" x14ac:dyDescent="0.2">
      <c r="B363" s="1372"/>
      <c r="C363" s="1009" t="s">
        <v>328</v>
      </c>
    </row>
    <row r="364" spans="2:4" x14ac:dyDescent="0.2">
      <c r="B364" s="1370" t="s">
        <v>585</v>
      </c>
      <c r="C364" s="1009" t="s">
        <v>185</v>
      </c>
    </row>
    <row r="365" spans="2:4" x14ac:dyDescent="0.2">
      <c r="B365" s="1372"/>
      <c r="C365" s="1009" t="s">
        <v>328</v>
      </c>
    </row>
    <row r="366" spans="2:4" x14ac:dyDescent="0.2">
      <c r="B366" s="1370" t="s">
        <v>586</v>
      </c>
      <c r="C366" s="1009" t="s">
        <v>310</v>
      </c>
    </row>
    <row r="367" spans="2:4" x14ac:dyDescent="0.2">
      <c r="B367" s="1372"/>
      <c r="C367" s="1009" t="s">
        <v>311</v>
      </c>
    </row>
    <row r="368" spans="2:4" x14ac:dyDescent="0.2">
      <c r="B368" s="1370" t="s">
        <v>588</v>
      </c>
      <c r="C368" s="1009" t="s">
        <v>189</v>
      </c>
    </row>
    <row r="369" spans="2:3" x14ac:dyDescent="0.2">
      <c r="B369" s="1371"/>
      <c r="C369" s="1009" t="s">
        <v>92</v>
      </c>
    </row>
    <row r="370" spans="2:3" x14ac:dyDescent="0.2">
      <c r="B370" s="1372"/>
      <c r="C370" s="1009" t="s">
        <v>116</v>
      </c>
    </row>
    <row r="371" spans="2:3" x14ac:dyDescent="0.2">
      <c r="B371" s="1394" t="s">
        <v>589</v>
      </c>
      <c r="C371" s="1009" t="s">
        <v>736</v>
      </c>
    </row>
    <row r="372" spans="2:3" x14ac:dyDescent="0.2">
      <c r="B372" s="1394"/>
      <c r="C372" s="1009" t="s">
        <v>121</v>
      </c>
    </row>
    <row r="373" spans="2:3" x14ac:dyDescent="0.2">
      <c r="B373" s="1394"/>
      <c r="C373" s="1009" t="s">
        <v>122</v>
      </c>
    </row>
    <row r="374" spans="2:3" x14ac:dyDescent="0.2">
      <c r="B374" s="1394"/>
      <c r="C374" s="1009" t="s">
        <v>923</v>
      </c>
    </row>
  </sheetData>
  <sheetProtection algorithmName="SHA-512" hashValue="zadwr5TCd/+/z7voos7z1khYNrIBKQJkrSkRUMHbFSfeS+ChGBAytWApn2T2bmKtZ9rL1ugFP97OgQ4dgZgSaw==" saltValue="4MYwspYm0yGwuFqyd17kaA==" spinCount="100000" sheet="1" objects="1" scenarios="1"/>
  <mergeCells count="33">
    <mergeCell ref="B11:B12"/>
    <mergeCell ref="E284:F284"/>
    <mergeCell ref="E282:F282"/>
    <mergeCell ref="D282:D284"/>
    <mergeCell ref="D281:F281"/>
    <mergeCell ref="A185:B185"/>
    <mergeCell ref="C138:K138"/>
    <mergeCell ref="C245:F245"/>
    <mergeCell ref="C139:E143"/>
    <mergeCell ref="B371:B374"/>
    <mergeCell ref="B352:B355"/>
    <mergeCell ref="B366:B367"/>
    <mergeCell ref="B364:B365"/>
    <mergeCell ref="B362:B363"/>
    <mergeCell ref="B360:B361"/>
    <mergeCell ref="B356:B359"/>
    <mergeCell ref="B368:B370"/>
    <mergeCell ref="B349:B351"/>
    <mergeCell ref="B345:B348"/>
    <mergeCell ref="F322:F326"/>
    <mergeCell ref="F294:F321"/>
    <mergeCell ref="B3:E3"/>
    <mergeCell ref="B4:D4"/>
    <mergeCell ref="B6:D6"/>
    <mergeCell ref="B7:D7"/>
    <mergeCell ref="B5:D5"/>
    <mergeCell ref="B9:B10"/>
    <mergeCell ref="E39:E41"/>
    <mergeCell ref="B341:B344"/>
    <mergeCell ref="B339:B340"/>
    <mergeCell ref="B336:B338"/>
    <mergeCell ref="B331:B334"/>
    <mergeCell ref="B330:C330"/>
  </mergeCells>
  <phoneticPr fontId="44" type="noConversion"/>
  <hyperlinks>
    <hyperlink ref="C238" r:id="rId1" xr:uid="{00000000-0004-0000-1C00-000000000000}"/>
    <hyperlink ref="G9" r:id="rId2" display="https://www.geotab.com/truck-mpg-benchmark/" xr:uid="{00000000-0004-0000-1C00-000001000000}"/>
  </hyperlinks>
  <pageMargins left="0.7" right="0.7" top="0.75" bottom="0.75" header="0.3" footer="0.3"/>
  <pageSetup paperSize="17" scale="30" fitToHeight="3" orientation="landscape" r:id="rId3"/>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
  <sheetViews>
    <sheetView workbookViewId="0"/>
  </sheetViews>
  <sheetFormatPr defaultColWidth="9.140625" defaultRowHeight="14.25" x14ac:dyDescent="0.2"/>
  <cols>
    <col min="1" max="1" width="50" style="1008" customWidth="1"/>
    <col min="2" max="2" width="11.42578125" style="1008" customWidth="1"/>
    <col min="3" max="3" width="9.140625" style="1008"/>
    <col min="4" max="4" width="27.5703125" style="1008" customWidth="1"/>
    <col min="5" max="16384" width="9.140625" style="1008"/>
  </cols>
  <sheetData/>
  <sheetProtection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S7"/>
  <sheetViews>
    <sheetView workbookViewId="0">
      <selection activeCell="A26" sqref="A26"/>
    </sheetView>
  </sheetViews>
  <sheetFormatPr defaultColWidth="9.140625" defaultRowHeight="15" x14ac:dyDescent="0.25"/>
  <cols>
    <col min="1" max="1" width="9.140625" style="894"/>
    <col min="2" max="2" width="12.140625" style="894" customWidth="1"/>
    <col min="3" max="3" width="9.140625" style="894"/>
    <col min="4" max="4" width="11.85546875" style="894" bestFit="1" customWidth="1"/>
    <col min="5" max="5" width="11.5703125" style="894" bestFit="1" customWidth="1"/>
    <col min="6" max="7" width="9.140625" style="894"/>
    <col min="8" max="8" width="14" style="894" bestFit="1" customWidth="1"/>
    <col min="9" max="11" width="9.140625" style="894"/>
    <col min="12" max="12" width="12.5703125" style="894" customWidth="1"/>
    <col min="13" max="13" width="9.140625" style="894"/>
    <col min="14" max="14" width="11.85546875" style="894" bestFit="1" customWidth="1"/>
    <col min="15" max="15" width="11.5703125" style="894" bestFit="1" customWidth="1"/>
    <col min="16" max="16" width="9.42578125" style="894" bestFit="1" customWidth="1"/>
    <col min="17" max="17" width="9.140625" style="894"/>
    <col min="18" max="18" width="14" style="894" bestFit="1" customWidth="1"/>
    <col min="19" max="16384" width="9.140625" style="894"/>
  </cols>
  <sheetData>
    <row r="2" spans="2:19" ht="20.25" thickBot="1" x14ac:dyDescent="0.35">
      <c r="B2" s="893" t="s">
        <v>658</v>
      </c>
      <c r="C2" s="893"/>
      <c r="D2" s="893"/>
      <c r="E2" s="893"/>
      <c r="L2" s="893" t="s">
        <v>659</v>
      </c>
      <c r="M2" s="893"/>
      <c r="N2" s="893"/>
      <c r="O2" s="893"/>
      <c r="P2" s="893"/>
    </row>
    <row r="3" spans="2:19" ht="15.75" thickTop="1" x14ac:dyDescent="0.25">
      <c r="C3" s="894" t="str">
        <f>'WRRF Info &amp; Results'!B47</f>
        <v>Landfill</v>
      </c>
      <c r="D3" s="894" t="str">
        <f>'WRRF Info &amp; Results'!C47</f>
        <v>Co-digestion</v>
      </c>
      <c r="E3" s="894">
        <f>'WRRF Info &amp; Results'!D47</f>
        <v>0</v>
      </c>
      <c r="F3" s="894">
        <f>'WRRF Info &amp; Results'!E47</f>
        <v>0</v>
      </c>
      <c r="G3" s="894">
        <f>'WRRF Info &amp; Results'!F47</f>
        <v>0</v>
      </c>
      <c r="H3" s="894">
        <f>'WRRF Info &amp; Results'!G47</f>
        <v>0</v>
      </c>
      <c r="I3" s="894" t="str">
        <f>'WRRF Info &amp; Results'!H47</f>
        <v xml:space="preserve"> </v>
      </c>
      <c r="M3" s="894" t="str">
        <f>'WRRF Info &amp; Results'!B47</f>
        <v>Landfill</v>
      </c>
      <c r="N3" s="894" t="str">
        <f>'WRRF Info &amp; Results'!C47</f>
        <v>Co-digestion</v>
      </c>
      <c r="O3" s="894">
        <f>'WRRF Info &amp; Results'!D47</f>
        <v>0</v>
      </c>
      <c r="P3" s="894">
        <f>'WRRF Info &amp; Results'!E47</f>
        <v>0</v>
      </c>
      <c r="Q3" s="894">
        <f>'WRRF Info &amp; Results'!F47</f>
        <v>0</v>
      </c>
      <c r="R3" s="894">
        <f>'WRRF Info &amp; Results'!G47</f>
        <v>0</v>
      </c>
      <c r="S3" s="894" t="str">
        <f>'WRRF Info &amp; Results'!H47</f>
        <v xml:space="preserve"> </v>
      </c>
    </row>
    <row r="4" spans="2:19" x14ac:dyDescent="0.25">
      <c r="B4" s="894" t="str">
        <f>'WRRF Info &amp; Results'!A49</f>
        <v>CO₂</v>
      </c>
      <c r="C4" s="895">
        <f>'WRRF Info &amp; Results'!B49</f>
        <v>-1063.6354920637518</v>
      </c>
      <c r="D4" s="895">
        <f>'WRRF Info &amp; Results'!C49</f>
        <v>-1042.0391287311779</v>
      </c>
      <c r="E4" s="895">
        <f>'WRRF Info &amp; Results'!D49</f>
        <v>0</v>
      </c>
      <c r="F4" s="895">
        <f>'WRRF Info &amp; Results'!E49</f>
        <v>0</v>
      </c>
      <c r="G4" s="895">
        <f>'WRRF Info &amp; Results'!F49</f>
        <v>0</v>
      </c>
      <c r="H4" s="895">
        <f>'WRRF Info &amp; Results'!G49</f>
        <v>0</v>
      </c>
      <c r="I4" s="895">
        <f>'WRRF Info &amp; Results'!H49</f>
        <v>0</v>
      </c>
      <c r="L4" s="896" t="s">
        <v>660</v>
      </c>
      <c r="M4" s="897">
        <f>'WRRF Info &amp; Results'!B44</f>
        <v>2.7607925303954679</v>
      </c>
      <c r="N4" s="897">
        <f>'WRRF Info &amp; Results'!C44</f>
        <v>-0.35492909869931055</v>
      </c>
      <c r="O4" s="897" t="e">
        <f>'WRRF Info &amp; Results'!D44</f>
        <v>#DIV/0!</v>
      </c>
      <c r="P4" s="897" t="e">
        <f>'WRRF Info &amp; Results'!E44</f>
        <v>#DIV/0!</v>
      </c>
      <c r="Q4" s="897" t="e">
        <f>'WRRF Info &amp; Results'!F44</f>
        <v>#DIV/0!</v>
      </c>
      <c r="R4" s="897" t="e">
        <f>'WRRF Info &amp; Results'!G44</f>
        <v>#DIV/0!</v>
      </c>
      <c r="S4" s="897" t="e">
        <f>'WRRF Info &amp; Results'!H44</f>
        <v>#DIV/0!</v>
      </c>
    </row>
    <row r="5" spans="2:19" x14ac:dyDescent="0.25">
      <c r="B5" s="894" t="str">
        <f>'WRRF Info &amp; Results'!A50</f>
        <v>CH₄ (CO₂ eq)</v>
      </c>
      <c r="C5" s="895">
        <f>'WRRF Info &amp; Results'!B50</f>
        <v>7411.9475631671594</v>
      </c>
      <c r="D5" s="895">
        <f>'WRRF Info &amp; Results'!C50</f>
        <v>66.475807857688338</v>
      </c>
      <c r="E5" s="895">
        <f>'WRRF Info &amp; Results'!D50</f>
        <v>0</v>
      </c>
      <c r="F5" s="895">
        <f>'WRRF Info &amp; Results'!E50</f>
        <v>0</v>
      </c>
      <c r="G5" s="895">
        <f>'WRRF Info &amp; Results'!F50</f>
        <v>0</v>
      </c>
      <c r="H5" s="895">
        <f>'WRRF Info &amp; Results'!G50</f>
        <v>0</v>
      </c>
      <c r="I5" s="895">
        <f>'WRRF Info &amp; Results'!H50</f>
        <v>0</v>
      </c>
    </row>
    <row r="6" spans="2:19" x14ac:dyDescent="0.25">
      <c r="B6" s="894" t="str">
        <f>'WRRF Info &amp; Results'!A51</f>
        <v>N₂O (CO₂ eq)</v>
      </c>
      <c r="C6" s="895">
        <f>'WRRF Info &amp; Results'!B51</f>
        <v>431.22978728946327</v>
      </c>
      <c r="D6" s="895">
        <f>'WRRF Info &amp; Results'!C51</f>
        <v>103.98146352582856</v>
      </c>
      <c r="E6" s="895">
        <f>'WRRF Info &amp; Results'!D51</f>
        <v>0</v>
      </c>
      <c r="F6" s="895">
        <f>'WRRF Info &amp; Results'!E51</f>
        <v>0</v>
      </c>
      <c r="G6" s="895">
        <f>'WRRF Info &amp; Results'!F51</f>
        <v>0</v>
      </c>
      <c r="H6" s="895">
        <f>'WRRF Info &amp; Results'!G51</f>
        <v>0</v>
      </c>
      <c r="I6" s="895">
        <f>'WRRF Info &amp; Results'!H51</f>
        <v>0</v>
      </c>
    </row>
    <row r="7" spans="2:19" x14ac:dyDescent="0.25">
      <c r="B7" s="894" t="s">
        <v>661</v>
      </c>
      <c r="C7" s="898">
        <f>'WRRF Info &amp; Results'!B39</f>
        <v>6779.5418583928704</v>
      </c>
      <c r="D7" s="898">
        <f>'WRRF Info &amp; Results'!C39</f>
        <v>-871.58185734766096</v>
      </c>
      <c r="E7" s="898">
        <f>'WRRF Info &amp; Results'!D39</f>
        <v>0</v>
      </c>
      <c r="F7" s="898">
        <f>'WRRF Info &amp; Results'!E39</f>
        <v>0</v>
      </c>
      <c r="G7" s="898">
        <f>'WRRF Info &amp; Results'!F39</f>
        <v>0</v>
      </c>
      <c r="H7" s="898">
        <f>'WRRF Info &amp; Results'!G39</f>
        <v>0</v>
      </c>
      <c r="I7" s="898">
        <f>'WRRF Info &amp; Results'!H39</f>
        <v>0</v>
      </c>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U41"/>
  <sheetViews>
    <sheetView workbookViewId="0">
      <selection activeCell="L7" sqref="L7"/>
    </sheetView>
  </sheetViews>
  <sheetFormatPr defaultColWidth="9.140625" defaultRowHeight="14.25" x14ac:dyDescent="0.2"/>
  <cols>
    <col min="1" max="1" width="64.85546875" style="96" customWidth="1"/>
    <col min="2" max="2" width="15.85546875" style="842" customWidth="1"/>
    <col min="3" max="3" width="15" style="96" customWidth="1"/>
    <col min="4" max="4" width="15.85546875" style="96" customWidth="1"/>
    <col min="5" max="5" width="15" style="96" customWidth="1"/>
    <col min="6" max="6" width="15.85546875" style="96" customWidth="1"/>
    <col min="7" max="7" width="15" style="96" customWidth="1"/>
    <col min="8" max="8" width="15.85546875" style="96" customWidth="1"/>
    <col min="9" max="9" width="15" style="96" customWidth="1"/>
    <col min="10" max="10" width="15.85546875" style="96" customWidth="1"/>
    <col min="11" max="11" width="15" style="96" customWidth="1"/>
    <col min="12" max="12" width="15.85546875" style="96" customWidth="1"/>
    <col min="13" max="13" width="15" style="96" customWidth="1"/>
    <col min="14" max="14" width="15.85546875" style="96" customWidth="1"/>
    <col min="15" max="15" width="15" style="96" customWidth="1"/>
    <col min="16" max="16" width="15.85546875" style="96" customWidth="1"/>
    <col min="17" max="17" width="15" style="96" customWidth="1"/>
    <col min="18" max="18" width="15.85546875" style="96" customWidth="1"/>
    <col min="19" max="19" width="15" style="96" customWidth="1"/>
    <col min="20" max="20" width="15.85546875" style="96" customWidth="1"/>
    <col min="21" max="21" width="15" style="96" customWidth="1"/>
    <col min="22" max="16384" width="9.140625" style="96"/>
  </cols>
  <sheetData>
    <row r="1" spans="1:21" ht="24" thickBot="1" x14ac:dyDescent="0.4">
      <c r="B1" s="143"/>
      <c r="C1" s="931"/>
    </row>
    <row r="2" spans="1:21" ht="23.25" customHeight="1" x14ac:dyDescent="0.2">
      <c r="A2" s="1298" t="s">
        <v>762</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299"/>
      <c r="B3" s="1330" t="str">
        <f>'Scenarios Data'!$B$1</f>
        <v>Landfill</v>
      </c>
      <c r="C3" s="1331"/>
      <c r="D3" s="1328" t="str">
        <f>'Scenarios Data'!$B$33</f>
        <v>Co-digestion</v>
      </c>
      <c r="E3" s="1329"/>
      <c r="F3" s="1328">
        <f>'Scenarios Data'!$B$65</f>
        <v>0</v>
      </c>
      <c r="G3" s="1329"/>
      <c r="H3" s="1328">
        <f>'Scenarios Data'!$B$97</f>
        <v>0</v>
      </c>
      <c r="I3" s="1329"/>
      <c r="J3" s="1328">
        <f>'Scenarios Data'!$B$129</f>
        <v>0</v>
      </c>
      <c r="K3" s="1329"/>
      <c r="L3" s="1328">
        <f>'Scenarios Data'!$B$161</f>
        <v>0</v>
      </c>
      <c r="M3" s="1329"/>
      <c r="N3" s="1328" t="str">
        <f>'Scenarios Data'!$B$193</f>
        <v xml:space="preserve"> </v>
      </c>
      <c r="O3" s="1329"/>
      <c r="P3" s="1328">
        <f>'Scenarios Data'!$B$225</f>
        <v>0</v>
      </c>
      <c r="Q3" s="1329"/>
      <c r="R3" s="1328">
        <f>'Scenarios Data'!$B$257</f>
        <v>0</v>
      </c>
      <c r="S3" s="1329"/>
      <c r="T3" s="1328">
        <f>'Scenarios Data'!$B$289</f>
        <v>0</v>
      </c>
      <c r="U3" s="1329"/>
    </row>
    <row r="4" spans="1:2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ht="15.75" customHeight="1" thickBot="1" x14ac:dyDescent="0.3">
      <c r="A5" s="1340" t="s">
        <v>193</v>
      </c>
      <c r="B5" s="1327"/>
      <c r="C5" s="1327"/>
      <c r="D5" s="1327"/>
      <c r="E5" s="1327"/>
      <c r="F5" s="1327"/>
      <c r="G5" s="1327"/>
      <c r="H5" s="1327"/>
      <c r="I5" s="1327"/>
      <c r="J5" s="1327"/>
      <c r="K5" s="1327"/>
      <c r="L5" s="1327"/>
      <c r="M5" s="1327"/>
      <c r="N5" s="1327"/>
      <c r="O5" s="1327"/>
      <c r="P5" s="1327"/>
      <c r="Q5" s="1327"/>
      <c r="R5" s="1327"/>
      <c r="S5" s="1327"/>
      <c r="T5" s="1327"/>
      <c r="U5" s="1341"/>
    </row>
    <row r="6" spans="1:21" ht="15.75" customHeight="1" x14ac:dyDescent="0.2">
      <c r="A6" s="976" t="s">
        <v>764</v>
      </c>
      <c r="B6" s="42">
        <v>0</v>
      </c>
      <c r="C6" s="940"/>
      <c r="D6" s="42">
        <v>0</v>
      </c>
      <c r="E6" s="940"/>
      <c r="F6" s="42">
        <v>0</v>
      </c>
      <c r="G6" s="940"/>
      <c r="H6" s="42">
        <v>0</v>
      </c>
      <c r="I6" s="940"/>
      <c r="J6" s="42">
        <v>0</v>
      </c>
      <c r="K6" s="940"/>
      <c r="L6" s="42">
        <v>0</v>
      </c>
      <c r="M6" s="940"/>
      <c r="N6" s="42">
        <v>0</v>
      </c>
      <c r="O6" s="940"/>
      <c r="P6" s="42">
        <v>0</v>
      </c>
      <c r="Q6" s="940"/>
      <c r="R6" s="42">
        <v>0</v>
      </c>
      <c r="S6" s="940"/>
      <c r="T6" s="42">
        <v>0</v>
      </c>
      <c r="U6" s="940"/>
    </row>
    <row r="7" spans="1:21" ht="15.75" customHeight="1" x14ac:dyDescent="0.3">
      <c r="A7" s="168" t="s">
        <v>75</v>
      </c>
      <c r="B7" s="937">
        <f>+B6*GHG_emissions_factors_by_province/1000000</f>
        <v>0</v>
      </c>
      <c r="C7" s="930"/>
      <c r="D7" s="937">
        <f>+D6*GHG_emissions_factors_by_province/1000000</f>
        <v>0</v>
      </c>
      <c r="E7" s="930"/>
      <c r="F7" s="937">
        <f>+F6*GHG_emissions_factors_by_province/1000000</f>
        <v>0</v>
      </c>
      <c r="G7" s="930"/>
      <c r="H7" s="937">
        <f>+H6*GHG_emissions_factors_by_province/1000000</f>
        <v>0</v>
      </c>
      <c r="I7" s="930"/>
      <c r="J7" s="937">
        <f>+J6*GHG_emissions_factors_by_province/1000000</f>
        <v>0</v>
      </c>
      <c r="K7" s="936"/>
      <c r="L7" s="937">
        <f>+L6*GHG_emissions_factors_by_province/1000000</f>
        <v>0</v>
      </c>
      <c r="M7" s="930"/>
      <c r="N7" s="937">
        <f>+N6*GHG_emissions_factors_by_province/1000000</f>
        <v>0</v>
      </c>
      <c r="O7" s="930"/>
      <c r="P7" s="937">
        <f>+P6*GHG_emissions_factors_by_province/1000000</f>
        <v>0</v>
      </c>
      <c r="Q7" s="930"/>
      <c r="R7" s="937">
        <f>+R6*GHG_emissions_factors_by_province/1000000</f>
        <v>0</v>
      </c>
      <c r="S7" s="930"/>
      <c r="T7" s="937">
        <f>+T6*GHG_emissions_factors_by_province/1000000</f>
        <v>0</v>
      </c>
      <c r="U7" s="930"/>
    </row>
    <row r="8" spans="1:21" ht="15.75" customHeight="1" thickBot="1" x14ac:dyDescent="0.3">
      <c r="A8" s="966"/>
      <c r="B8" s="938"/>
      <c r="C8" s="154"/>
      <c r="D8" s="938"/>
      <c r="E8" s="154"/>
      <c r="F8" s="938"/>
      <c r="G8" s="154"/>
      <c r="H8" s="938"/>
      <c r="I8" s="154"/>
      <c r="J8" s="938"/>
      <c r="K8" s="939"/>
      <c r="L8" s="938"/>
      <c r="M8" s="154"/>
      <c r="N8" s="938"/>
      <c r="O8" s="154"/>
      <c r="P8" s="938"/>
      <c r="Q8" s="154"/>
      <c r="R8" s="938"/>
      <c r="S8" s="154"/>
      <c r="T8" s="938"/>
      <c r="U8" s="154"/>
    </row>
    <row r="9" spans="1:21" ht="15.75" customHeight="1" thickBot="1" x14ac:dyDescent="0.3">
      <c r="A9" s="1415" t="s">
        <v>721</v>
      </c>
      <c r="B9" s="1416"/>
      <c r="C9" s="1416"/>
      <c r="D9" s="1416"/>
      <c r="E9" s="1416"/>
      <c r="F9" s="1416"/>
      <c r="G9" s="1416"/>
      <c r="H9" s="1416"/>
      <c r="I9" s="1416"/>
      <c r="J9" s="1416"/>
      <c r="K9" s="1416"/>
      <c r="L9" s="1416"/>
      <c r="M9" s="1416"/>
      <c r="N9" s="1416"/>
      <c r="O9" s="1416"/>
      <c r="P9" s="1416"/>
      <c r="Q9" s="1416"/>
      <c r="R9" s="1416"/>
      <c r="S9" s="1416"/>
      <c r="T9" s="1416"/>
      <c r="U9" s="1417"/>
    </row>
    <row r="10" spans="1:21" ht="15.75" customHeight="1" x14ac:dyDescent="0.2">
      <c r="A10" s="451" t="s">
        <v>720</v>
      </c>
      <c r="B10" s="1153">
        <v>0</v>
      </c>
      <c r="C10" s="968"/>
      <c r="D10" s="1153">
        <v>0</v>
      </c>
      <c r="E10" s="968"/>
      <c r="F10" s="1153">
        <v>0</v>
      </c>
      <c r="G10" s="968"/>
      <c r="H10" s="1153">
        <v>0</v>
      </c>
      <c r="I10" s="968"/>
      <c r="J10" s="1153">
        <v>0</v>
      </c>
      <c r="K10" s="969"/>
      <c r="L10" s="1153">
        <v>0</v>
      </c>
      <c r="M10" s="968"/>
      <c r="N10" s="1153">
        <v>0</v>
      </c>
      <c r="O10" s="968"/>
      <c r="P10" s="1153">
        <v>0</v>
      </c>
      <c r="Q10" s="968"/>
      <c r="R10" s="1153">
        <v>0</v>
      </c>
      <c r="S10" s="968"/>
      <c r="T10" s="1153">
        <v>0</v>
      </c>
      <c r="U10" s="968"/>
    </row>
    <row r="11" spans="1:21" ht="15.75" customHeight="1" x14ac:dyDescent="0.3">
      <c r="A11" s="168" t="s">
        <v>18</v>
      </c>
      <c r="B11" s="943">
        <f>B10*CO2E_diesel__ClimateReg/1000000</f>
        <v>0</v>
      </c>
      <c r="C11" s="930"/>
      <c r="D11" s="943">
        <f>D10*CO2E_diesel__ClimateReg/1000000</f>
        <v>0</v>
      </c>
      <c r="E11" s="930"/>
      <c r="F11" s="943">
        <f>F10*CO2E_diesel__ClimateReg/1000000</f>
        <v>0</v>
      </c>
      <c r="G11" s="930"/>
      <c r="H11" s="943">
        <f>H10*CO2E_diesel__ClimateReg/1000000</f>
        <v>0</v>
      </c>
      <c r="I11" s="930"/>
      <c r="J11" s="943">
        <f>J10*CO2E_diesel__ClimateReg/1000000</f>
        <v>0</v>
      </c>
      <c r="K11" s="936"/>
      <c r="L11" s="943">
        <f>L10*CO2E_diesel__ClimateReg/1000000</f>
        <v>0</v>
      </c>
      <c r="M11" s="930"/>
      <c r="N11" s="943">
        <f>N10*CO2E_diesel__ClimateReg/1000000</f>
        <v>0</v>
      </c>
      <c r="O11" s="930"/>
      <c r="P11" s="943">
        <f>P10*CO2E_diesel__ClimateReg/1000000</f>
        <v>0</v>
      </c>
      <c r="Q11" s="930"/>
      <c r="R11" s="943">
        <f>R10*CO2E_diesel__ClimateReg/1000000</f>
        <v>0</v>
      </c>
      <c r="S11" s="930"/>
      <c r="T11" s="943">
        <f>T10*CO2E_diesel__ClimateReg/1000000</f>
        <v>0</v>
      </c>
      <c r="U11" s="930"/>
    </row>
    <row r="12" spans="1:21" ht="15.75" customHeight="1" thickBot="1" x14ac:dyDescent="0.3">
      <c r="A12" s="942"/>
      <c r="B12" s="938"/>
      <c r="C12" s="154"/>
      <c r="D12" s="938"/>
      <c r="E12" s="154"/>
      <c r="F12" s="938"/>
      <c r="G12" s="154"/>
      <c r="H12" s="938"/>
      <c r="I12" s="154"/>
      <c r="J12" s="938"/>
      <c r="K12" s="939"/>
      <c r="L12" s="938"/>
      <c r="M12" s="154"/>
      <c r="N12" s="938"/>
      <c r="O12" s="154"/>
      <c r="P12" s="938"/>
      <c r="Q12" s="154"/>
      <c r="R12" s="938"/>
      <c r="S12" s="154"/>
      <c r="T12" s="938"/>
      <c r="U12" s="154"/>
    </row>
    <row r="13" spans="1:21" ht="15.75" customHeight="1" thickBot="1" x14ac:dyDescent="0.3">
      <c r="A13" s="1300" t="s">
        <v>719</v>
      </c>
      <c r="B13" s="1327"/>
      <c r="C13" s="1327"/>
      <c r="D13" s="1327"/>
      <c r="E13" s="1327"/>
      <c r="F13" s="1327"/>
      <c r="G13" s="1327"/>
      <c r="H13" s="1327"/>
      <c r="I13" s="1327"/>
      <c r="J13" s="1327"/>
      <c r="K13" s="1327"/>
      <c r="L13" s="1301"/>
      <c r="M13" s="1301"/>
      <c r="N13" s="1301"/>
      <c r="O13" s="1301"/>
      <c r="P13" s="1301"/>
      <c r="Q13" s="1301"/>
      <c r="R13" s="1301"/>
      <c r="S13" s="1301"/>
      <c r="T13" s="1301"/>
      <c r="U13" s="1302"/>
    </row>
    <row r="14" spans="1:21" ht="15.75" customHeight="1" x14ac:dyDescent="0.2">
      <c r="A14" s="1152" t="s">
        <v>718</v>
      </c>
      <c r="B14" s="42">
        <v>0</v>
      </c>
      <c r="C14" s="940"/>
      <c r="D14" s="42">
        <v>0</v>
      </c>
      <c r="E14" s="940"/>
      <c r="F14" s="42">
        <v>0</v>
      </c>
      <c r="G14" s="940"/>
      <c r="H14" s="42">
        <v>0</v>
      </c>
      <c r="I14" s="940"/>
      <c r="J14" s="42">
        <v>0</v>
      </c>
      <c r="K14" s="941"/>
      <c r="L14" s="42">
        <v>0</v>
      </c>
      <c r="M14" s="932"/>
      <c r="N14" s="42">
        <v>0</v>
      </c>
      <c r="O14" s="932"/>
      <c r="P14" s="42">
        <v>0</v>
      </c>
      <c r="Q14" s="932"/>
      <c r="R14" s="42">
        <v>0</v>
      </c>
      <c r="S14" s="932"/>
      <c r="T14" s="42">
        <v>0</v>
      </c>
      <c r="U14" s="933"/>
    </row>
    <row r="15" spans="1:21" ht="15.75" customHeight="1" x14ac:dyDescent="0.3">
      <c r="A15" s="417" t="s">
        <v>717</v>
      </c>
      <c r="B15" s="1077">
        <f>+B14*propane_co2e</f>
        <v>0</v>
      </c>
      <c r="C15" s="967"/>
      <c r="D15" s="1077">
        <f>+D14*propane_co2e</f>
        <v>0</v>
      </c>
      <c r="E15" s="967"/>
      <c r="F15" s="1077">
        <f>+F14*propane_co2e</f>
        <v>0</v>
      </c>
      <c r="G15" s="967"/>
      <c r="H15" s="1077">
        <f>+H14*propane_co2e</f>
        <v>0</v>
      </c>
      <c r="I15" s="967"/>
      <c r="J15" s="1077">
        <f>+J14*propane_co2e</f>
        <v>0</v>
      </c>
      <c r="K15" s="935"/>
      <c r="L15" s="1077">
        <f>+L14*propane_co2e</f>
        <v>0</v>
      </c>
      <c r="M15" s="934"/>
      <c r="N15" s="1077">
        <f>+N14*propane_co2e</f>
        <v>0</v>
      </c>
      <c r="O15" s="934"/>
      <c r="P15" s="1077">
        <f>+P14*propane_co2e</f>
        <v>0</v>
      </c>
      <c r="Q15" s="934"/>
      <c r="R15" s="1077">
        <f>+R14*propane_co2e</f>
        <v>0</v>
      </c>
      <c r="S15" s="934"/>
      <c r="T15" s="1077">
        <f>+T14*propane_co2e</f>
        <v>0</v>
      </c>
      <c r="U15" s="935"/>
    </row>
    <row r="16" spans="1:21" ht="15.75" customHeight="1" thickBot="1" x14ac:dyDescent="0.3">
      <c r="A16" s="942"/>
      <c r="B16" s="938"/>
      <c r="C16" s="154"/>
      <c r="D16" s="938"/>
      <c r="E16" s="154"/>
      <c r="F16" s="938"/>
      <c r="G16" s="154"/>
      <c r="H16" s="938"/>
      <c r="I16" s="154"/>
      <c r="J16" s="938"/>
      <c r="K16" s="939"/>
      <c r="L16" s="938"/>
      <c r="M16" s="154"/>
      <c r="N16" s="938"/>
      <c r="O16" s="154"/>
      <c r="P16" s="938"/>
      <c r="Q16" s="154"/>
      <c r="R16" s="938"/>
      <c r="S16" s="154"/>
      <c r="T16" s="938"/>
      <c r="U16" s="154"/>
    </row>
    <row r="17" spans="1:21" ht="15.75" customHeight="1" thickBot="1" x14ac:dyDescent="0.3">
      <c r="A17" s="1412" t="s">
        <v>763</v>
      </c>
      <c r="B17" s="1413"/>
      <c r="C17" s="1413"/>
      <c r="D17" s="1413"/>
      <c r="E17" s="1413"/>
      <c r="F17" s="1413"/>
      <c r="G17" s="1413"/>
      <c r="H17" s="1413"/>
      <c r="I17" s="1413"/>
      <c r="J17" s="1413"/>
      <c r="K17" s="1413"/>
      <c r="L17" s="1413"/>
      <c r="M17" s="1413"/>
      <c r="N17" s="1413"/>
      <c r="O17" s="1413"/>
      <c r="P17" s="1413"/>
      <c r="Q17" s="1413"/>
      <c r="R17" s="1413"/>
      <c r="S17" s="1413"/>
      <c r="T17" s="1413"/>
      <c r="U17" s="1414"/>
    </row>
    <row r="18" spans="1:21" ht="15.75" customHeight="1" x14ac:dyDescent="0.25">
      <c r="A18" s="451" t="s">
        <v>83</v>
      </c>
      <c r="B18" s="14">
        <f>+C18</f>
        <v>0</v>
      </c>
      <c r="C18" s="436"/>
      <c r="D18" s="14">
        <f>+E18</f>
        <v>0</v>
      </c>
      <c r="E18" s="436"/>
      <c r="F18" s="14">
        <f>+G18</f>
        <v>0</v>
      </c>
      <c r="G18" s="436"/>
      <c r="H18" s="14">
        <f>+I18</f>
        <v>0</v>
      </c>
      <c r="I18" s="436"/>
      <c r="J18" s="14">
        <f>+K18</f>
        <v>0</v>
      </c>
      <c r="K18" s="436"/>
      <c r="L18" s="14">
        <f>+M18</f>
        <v>0</v>
      </c>
      <c r="M18" s="436"/>
      <c r="N18" s="14">
        <f>+O18</f>
        <v>0</v>
      </c>
      <c r="O18" s="436"/>
      <c r="P18" s="14">
        <f>+Q18</f>
        <v>0</v>
      </c>
      <c r="Q18" s="436"/>
      <c r="R18" s="14">
        <f>+S18</f>
        <v>0</v>
      </c>
      <c r="S18" s="436"/>
      <c r="T18" s="14">
        <f>+U18</f>
        <v>0</v>
      </c>
      <c r="U18" s="436"/>
    </row>
    <row r="19" spans="1:21" ht="15.75" customHeight="1" x14ac:dyDescent="0.3">
      <c r="A19" s="168" t="s">
        <v>77</v>
      </c>
      <c r="B19" s="275">
        <f>+B18*CO2E_naturalgas_combustion/1000000</f>
        <v>0</v>
      </c>
      <c r="C19" s="276"/>
      <c r="D19" s="275">
        <f>+D18*CO2E_naturalgas_combustion/1000000</f>
        <v>0</v>
      </c>
      <c r="E19" s="276"/>
      <c r="F19" s="275">
        <f>+F18*CO2E_naturalgas_combustion/1000000</f>
        <v>0</v>
      </c>
      <c r="G19" s="276"/>
      <c r="H19" s="275">
        <f>+H18*CO2E_naturalgas_combustion/1000000</f>
        <v>0</v>
      </c>
      <c r="I19" s="276"/>
      <c r="J19" s="275">
        <f>+J18*CO2E_naturalgas_combustion/1000000</f>
        <v>0</v>
      </c>
      <c r="K19" s="276"/>
      <c r="L19" s="275">
        <f>+L18*CO2E_naturalgas_combustion/1000000</f>
        <v>0</v>
      </c>
      <c r="M19" s="276"/>
      <c r="N19" s="275">
        <f>+N18*CO2E_naturalgas_combustion/1000000</f>
        <v>0</v>
      </c>
      <c r="O19" s="276"/>
      <c r="P19" s="275">
        <f>+P18*CO2E_naturalgas_combustion/1000000</f>
        <v>0</v>
      </c>
      <c r="Q19" s="276"/>
      <c r="R19" s="275">
        <f>+R18*CO2E_naturalgas_combustion/1000000</f>
        <v>0</v>
      </c>
      <c r="S19" s="276"/>
      <c r="T19" s="275">
        <f>+T18*CO2E_naturalgas_combustion/1000000</f>
        <v>0</v>
      </c>
      <c r="U19" s="276"/>
    </row>
    <row r="20" spans="1:21" ht="15.75" customHeight="1" thickBot="1" x14ac:dyDescent="0.25">
      <c r="A20" s="277"/>
      <c r="B20" s="278"/>
      <c r="C20" s="279"/>
      <c r="D20" s="278"/>
      <c r="E20" s="279"/>
      <c r="F20" s="278"/>
      <c r="G20" s="279"/>
      <c r="H20" s="278"/>
      <c r="I20" s="279"/>
      <c r="J20" s="278"/>
      <c r="K20" s="279"/>
      <c r="L20" s="278"/>
      <c r="M20" s="279"/>
      <c r="N20" s="278"/>
      <c r="O20" s="279"/>
      <c r="P20" s="278"/>
      <c r="Q20" s="279"/>
      <c r="R20" s="278"/>
      <c r="S20" s="279"/>
      <c r="T20" s="278"/>
      <c r="U20" s="279"/>
    </row>
    <row r="21" spans="1:21" ht="15.75" customHeight="1" thickBot="1" x14ac:dyDescent="0.25">
      <c r="A21" s="1418"/>
      <c r="B21" s="1419"/>
      <c r="C21" s="1419"/>
      <c r="D21" s="1419"/>
      <c r="E21" s="1419"/>
      <c r="F21" s="1419"/>
      <c r="G21" s="1419"/>
      <c r="H21" s="1419"/>
      <c r="I21" s="1419"/>
      <c r="J21" s="1419"/>
      <c r="K21" s="1419"/>
      <c r="L21" s="1420"/>
      <c r="M21" s="1420"/>
      <c r="N21" s="1420"/>
      <c r="O21" s="1420"/>
      <c r="P21" s="1420"/>
      <c r="Q21" s="1420"/>
      <c r="R21" s="1420"/>
      <c r="S21" s="1420"/>
      <c r="T21" s="1420"/>
      <c r="U21" s="1421"/>
    </row>
    <row r="22" spans="1:21" ht="18.75" customHeight="1" thickBot="1" x14ac:dyDescent="0.25">
      <c r="A22" s="156" t="s">
        <v>44</v>
      </c>
      <c r="B22" s="571">
        <f>+(B7+B11+B15+B19)*days_yr</f>
        <v>0</v>
      </c>
      <c r="C22" s="928"/>
      <c r="D22" s="571">
        <f>+(D7+D11+D15+D19)*days_yr</f>
        <v>0</v>
      </c>
      <c r="E22" s="929"/>
      <c r="F22" s="571">
        <f>+(F7+F11+F15+F19)*days_yr</f>
        <v>0</v>
      </c>
      <c r="G22" s="928"/>
      <c r="H22" s="571">
        <f>+(H7+H11+H15+H19)*days_yr</f>
        <v>0</v>
      </c>
      <c r="I22" s="928"/>
      <c r="J22" s="571">
        <f>+(J7+J11+J15+J19)*days_yr</f>
        <v>0</v>
      </c>
      <c r="K22" s="928"/>
      <c r="L22" s="571">
        <f>+(L7+L11+L15+L19)*days_yr</f>
        <v>0</v>
      </c>
      <c r="M22" s="928"/>
      <c r="N22" s="571">
        <f>+(N7+N11+N15+N19)*days_yr</f>
        <v>0</v>
      </c>
      <c r="O22" s="928"/>
      <c r="P22" s="571">
        <f>+(P7+P11+P15+P19)*days_yr</f>
        <v>0</v>
      </c>
      <c r="Q22" s="928"/>
      <c r="R22" s="571">
        <f>+(R7+R11+R15+R19)*days_yr</f>
        <v>0</v>
      </c>
      <c r="S22" s="928"/>
      <c r="T22" s="571">
        <f>+(T7+T11+T15+T19)*days_yr</f>
        <v>0</v>
      </c>
      <c r="U22" s="304"/>
    </row>
    <row r="23" spans="1:21" ht="15.75" customHeight="1" x14ac:dyDescent="0.25">
      <c r="A23" s="161" t="s">
        <v>228</v>
      </c>
      <c r="B23" s="137">
        <f>+(B7+B11+B15)*days_yr</f>
        <v>0</v>
      </c>
      <c r="D23" s="137">
        <f>+(D7+D11+D15)*days_yr</f>
        <v>0</v>
      </c>
      <c r="E23" s="927"/>
      <c r="F23" s="137">
        <f>+(F7+F11+F15)*days_yr</f>
        <v>0</v>
      </c>
      <c r="H23" s="137">
        <f>+(H7+H11+H15)*days_yr</f>
        <v>0</v>
      </c>
      <c r="J23" s="137">
        <f>+(J7+J11+J15)*days_yr</f>
        <v>0</v>
      </c>
      <c r="L23" s="137">
        <f>+(L7+L11+L15)*days_yr</f>
        <v>0</v>
      </c>
      <c r="N23" s="137">
        <f>+(N7+N11+N15)*days_yr</f>
        <v>0</v>
      </c>
      <c r="P23" s="137">
        <f>+(P7+P11+P15)*days_yr</f>
        <v>0</v>
      </c>
      <c r="R23" s="137">
        <f>+(R7+R11+R15)*days_yr</f>
        <v>0</v>
      </c>
      <c r="T23" s="137">
        <f>+(T7+T11+T15)*days_yr</f>
        <v>0</v>
      </c>
      <c r="U23" s="305"/>
    </row>
    <row r="24" spans="1:21" ht="15.75" customHeight="1" x14ac:dyDescent="0.25">
      <c r="A24" s="168" t="s">
        <v>229</v>
      </c>
      <c r="B24" s="138">
        <f>+B19*days_yr</f>
        <v>0</v>
      </c>
      <c r="D24" s="138">
        <f>+D19*days_yr</f>
        <v>0</v>
      </c>
      <c r="E24" s="927"/>
      <c r="F24" s="138">
        <f>+F19*days_yr</f>
        <v>0</v>
      </c>
      <c r="H24" s="138">
        <f>+H19*days_yr</f>
        <v>0</v>
      </c>
      <c r="J24" s="138">
        <f>+J19*days_yr</f>
        <v>0</v>
      </c>
      <c r="L24" s="138">
        <f>+L19*days_yr</f>
        <v>0</v>
      </c>
      <c r="N24" s="138">
        <f>+N19*days_yr</f>
        <v>0</v>
      </c>
      <c r="P24" s="138">
        <f>+P19*days_yr</f>
        <v>0</v>
      </c>
      <c r="R24" s="138">
        <f>+R19*days_yr</f>
        <v>0</v>
      </c>
      <c r="T24" s="138">
        <f>+T19*days_yr</f>
        <v>0</v>
      </c>
      <c r="U24" s="305"/>
    </row>
    <row r="25" spans="1:21" ht="15.75" customHeight="1" x14ac:dyDescent="0.25">
      <c r="A25" s="168" t="s">
        <v>231</v>
      </c>
      <c r="B25" s="138">
        <f>B23+B24</f>
        <v>0</v>
      </c>
      <c r="D25" s="138">
        <f>D23+D24</f>
        <v>0</v>
      </c>
      <c r="E25" s="927"/>
      <c r="F25" s="138">
        <f>F23+F24</f>
        <v>0</v>
      </c>
      <c r="H25" s="138">
        <f>H23+H24</f>
        <v>0</v>
      </c>
      <c r="J25" s="138">
        <f>J23+J24</f>
        <v>0</v>
      </c>
      <c r="L25" s="138">
        <f>L23+L24</f>
        <v>0</v>
      </c>
      <c r="N25" s="138">
        <f>N23+N24</f>
        <v>0</v>
      </c>
      <c r="P25" s="138">
        <f>P23+P24</f>
        <v>0</v>
      </c>
      <c r="R25" s="138">
        <f>R23+R24</f>
        <v>0</v>
      </c>
      <c r="T25" s="138">
        <f>T23+T24</f>
        <v>0</v>
      </c>
      <c r="U25" s="305"/>
    </row>
    <row r="26" spans="1:21" ht="15.75" customHeight="1" x14ac:dyDescent="0.25">
      <c r="A26" s="168" t="s">
        <v>230</v>
      </c>
      <c r="B26" s="138">
        <v>0</v>
      </c>
      <c r="D26" s="138">
        <v>0</v>
      </c>
      <c r="E26" s="927"/>
      <c r="F26" s="138">
        <v>0</v>
      </c>
      <c r="H26" s="138">
        <v>0</v>
      </c>
      <c r="J26" s="138">
        <v>0</v>
      </c>
      <c r="L26" s="138">
        <v>0</v>
      </c>
      <c r="N26" s="138">
        <v>0</v>
      </c>
      <c r="P26" s="138">
        <v>0</v>
      </c>
      <c r="R26" s="138">
        <v>0</v>
      </c>
      <c r="T26" s="138">
        <v>0</v>
      </c>
      <c r="U26" s="305"/>
    </row>
    <row r="27" spans="1:21" ht="15.75" customHeight="1" thickBot="1" x14ac:dyDescent="0.3">
      <c r="A27" s="169" t="s">
        <v>232</v>
      </c>
      <c r="B27" s="170" t="s">
        <v>102</v>
      </c>
      <c r="C27" s="430"/>
      <c r="D27" s="170" t="s">
        <v>102</v>
      </c>
      <c r="E27" s="926"/>
      <c r="F27" s="170" t="s">
        <v>102</v>
      </c>
      <c r="G27" s="430"/>
      <c r="H27" s="170" t="s">
        <v>102</v>
      </c>
      <c r="I27" s="430"/>
      <c r="J27" s="170" t="s">
        <v>102</v>
      </c>
      <c r="K27" s="430"/>
      <c r="L27" s="170" t="s">
        <v>102</v>
      </c>
      <c r="M27" s="430"/>
      <c r="N27" s="170" t="s">
        <v>102</v>
      </c>
      <c r="O27" s="430"/>
      <c r="P27" s="170" t="s">
        <v>102</v>
      </c>
      <c r="Q27" s="430"/>
      <c r="R27" s="170" t="s">
        <v>102</v>
      </c>
      <c r="S27" s="430"/>
      <c r="T27" s="170" t="s">
        <v>102</v>
      </c>
      <c r="U27" s="351"/>
    </row>
    <row r="28" spans="1:21" x14ac:dyDescent="0.2">
      <c r="D28" s="925"/>
      <c r="E28" s="925"/>
      <c r="F28" s="924"/>
    </row>
    <row r="29" spans="1:21" ht="18" x14ac:dyDescent="0.25">
      <c r="A29" s="176" t="s">
        <v>97</v>
      </c>
    </row>
    <row r="30" spans="1:21" ht="54.75" customHeight="1" x14ac:dyDescent="0.2">
      <c r="A30" s="1297" t="s">
        <v>765</v>
      </c>
      <c r="B30" s="1292"/>
      <c r="C30" s="1292"/>
      <c r="D30" s="1029"/>
      <c r="E30" s="1029"/>
      <c r="F30" s="1029"/>
    </row>
    <row r="31" spans="1:21" ht="15.75" customHeight="1" x14ac:dyDescent="0.2">
      <c r="A31" s="177"/>
      <c r="B31" s="1234" t="s">
        <v>110</v>
      </c>
      <c r="C31" s="1235"/>
      <c r="D31" s="1235"/>
      <c r="E31" s="1236"/>
      <c r="F31" s="1029"/>
    </row>
    <row r="32" spans="1:21" ht="15.75" customHeight="1" x14ac:dyDescent="0.2">
      <c r="B32" s="1231" t="s">
        <v>31</v>
      </c>
      <c r="C32" s="1232"/>
      <c r="D32" s="1233"/>
      <c r="E32" s="563">
        <v>0</v>
      </c>
      <c r="F32" s="1029"/>
      <c r="I32" s="460"/>
    </row>
    <row r="33" spans="2:9" ht="15.75" customHeight="1" x14ac:dyDescent="0.2">
      <c r="B33" s="1231" t="s">
        <v>32</v>
      </c>
      <c r="C33" s="1232"/>
      <c r="D33" s="1233"/>
      <c r="E33" s="564">
        <v>0</v>
      </c>
      <c r="F33" s="1029"/>
      <c r="I33" s="460"/>
    </row>
    <row r="34" spans="2:9" ht="15.75" customHeight="1" x14ac:dyDescent="0.2">
      <c r="B34" s="1231" t="s">
        <v>615</v>
      </c>
      <c r="C34" s="1232"/>
      <c r="D34" s="1233"/>
      <c r="E34" s="565">
        <v>0</v>
      </c>
      <c r="F34" s="1029"/>
    </row>
    <row r="35" spans="2:9" ht="15" x14ac:dyDescent="0.25">
      <c r="B35" s="1231" t="s">
        <v>70</v>
      </c>
      <c r="C35" s="1232"/>
      <c r="D35" s="1233"/>
      <c r="E35" s="923">
        <v>0</v>
      </c>
    </row>
    <row r="36" spans="2:9" x14ac:dyDescent="0.2">
      <c r="B36" s="1231" t="s">
        <v>550</v>
      </c>
      <c r="C36" s="1232"/>
      <c r="D36" s="1233"/>
      <c r="E36" s="922">
        <v>0</v>
      </c>
    </row>
    <row r="37" spans="2:9" x14ac:dyDescent="0.2">
      <c r="B37" s="1231" t="s">
        <v>610</v>
      </c>
      <c r="C37" s="1232"/>
      <c r="D37" s="1233"/>
      <c r="E37" s="921">
        <v>0</v>
      </c>
    </row>
    <row r="38" spans="2:9" x14ac:dyDescent="0.2">
      <c r="I38" s="460"/>
    </row>
    <row r="39" spans="2:9" x14ac:dyDescent="0.2">
      <c r="I39" s="460"/>
    </row>
    <row r="40" spans="2:9" x14ac:dyDescent="0.2">
      <c r="I40" s="460"/>
    </row>
    <row r="41" spans="2:9" x14ac:dyDescent="0.2">
      <c r="I41" s="460"/>
    </row>
  </sheetData>
  <sheetProtection algorithmName="SHA-512" hashValue="apv1UlJGCcrbDJ21YuGS4fGkUiTkO5kCPlch/g8xUnHPJOnlxRflysoN1gG5fLh1Y8o6aiY4z7+9oGozpv+8pA==" saltValue="+swS42x1g2GICo2ASmomuA==" spinCount="100000" sheet="1" objects="1" scenarios="1"/>
  <mergeCells count="34">
    <mergeCell ref="J2:K2"/>
    <mergeCell ref="R3:S3"/>
    <mergeCell ref="T3:U3"/>
    <mergeCell ref="A2:A3"/>
    <mergeCell ref="B2:C2"/>
    <mergeCell ref="D2:E2"/>
    <mergeCell ref="F2:G2"/>
    <mergeCell ref="H2:I2"/>
    <mergeCell ref="L2:M2"/>
    <mergeCell ref="N2:O2"/>
    <mergeCell ref="P2:Q2"/>
    <mergeCell ref="R2:S2"/>
    <mergeCell ref="T2:U2"/>
    <mergeCell ref="B31:E31"/>
    <mergeCell ref="B32:D32"/>
    <mergeCell ref="L3:M3"/>
    <mergeCell ref="N3:O3"/>
    <mergeCell ref="P3:Q3"/>
    <mergeCell ref="A17:U17"/>
    <mergeCell ref="A9:U9"/>
    <mergeCell ref="A13:U13"/>
    <mergeCell ref="A21:U21"/>
    <mergeCell ref="A30:C30"/>
    <mergeCell ref="A5:U5"/>
    <mergeCell ref="B3:C3"/>
    <mergeCell ref="D3:E3"/>
    <mergeCell ref="F3:G3"/>
    <mergeCell ref="H3:I3"/>
    <mergeCell ref="J3:K3"/>
    <mergeCell ref="B33:D33"/>
    <mergeCell ref="B34:D34"/>
    <mergeCell ref="B35:D35"/>
    <mergeCell ref="B36:D36"/>
    <mergeCell ref="B37:D37"/>
  </mergeCells>
  <pageMargins left="0.7" right="0.7" top="0.75" bottom="0.75" header="0.3" footer="0.3"/>
  <pageSetup scale="24" orientation="portrait" horizontalDpi="4294967292" verticalDpi="429496729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AP321"/>
  <sheetViews>
    <sheetView zoomScale="70" zoomScaleNormal="70" workbookViewId="0">
      <selection activeCell="D33" sqref="D33"/>
    </sheetView>
  </sheetViews>
  <sheetFormatPr defaultColWidth="9.140625" defaultRowHeight="15" x14ac:dyDescent="0.25"/>
  <cols>
    <col min="1" max="1" width="30.42578125" customWidth="1"/>
    <col min="2" max="10" width="16" customWidth="1"/>
    <col min="12" max="15" width="10.140625" customWidth="1"/>
    <col min="18" max="18" width="10.85546875" bestFit="1" customWidth="1"/>
    <col min="19" max="19" width="13" bestFit="1" customWidth="1"/>
    <col min="20" max="20" width="11" bestFit="1" customWidth="1"/>
    <col min="21" max="21" width="7.85546875" bestFit="1" customWidth="1"/>
    <col min="22" max="22" width="10.42578125" bestFit="1" customWidth="1"/>
    <col min="23" max="23" width="11.85546875" bestFit="1" customWidth="1"/>
    <col min="24" max="24" width="15" customWidth="1"/>
    <col min="25" max="25" width="14.42578125" customWidth="1"/>
    <col min="26" max="26" width="10.85546875" bestFit="1" customWidth="1"/>
    <col min="27" max="27" width="11.140625" bestFit="1" customWidth="1"/>
    <col min="28" max="28" width="8.42578125" customWidth="1"/>
    <col min="32" max="32" width="13.85546875" bestFit="1" customWidth="1"/>
    <col min="41" max="41" width="12.42578125" customWidth="1"/>
    <col min="42" max="42" width="13.85546875" bestFit="1" customWidth="1"/>
    <col min="43" max="43" width="12.85546875" customWidth="1"/>
    <col min="45" max="45" width="13.85546875" customWidth="1"/>
    <col min="50" max="50" width="12.42578125" customWidth="1"/>
    <col min="51" max="51" width="8.42578125" customWidth="1"/>
    <col min="56" max="56" width="12.140625" customWidth="1"/>
  </cols>
  <sheetData>
    <row r="1" spans="1:26" ht="15.75" thickBot="1" x14ac:dyDescent="0.3">
      <c r="A1" s="68" t="s">
        <v>450</v>
      </c>
      <c r="B1" s="863" t="s">
        <v>444</v>
      </c>
      <c r="C1" s="69" t="s">
        <v>541</v>
      </c>
      <c r="D1" s="864" t="s">
        <v>997</v>
      </c>
      <c r="E1" s="865"/>
      <c r="F1" s="865"/>
      <c r="G1" s="865"/>
      <c r="H1" s="865"/>
      <c r="I1" s="865"/>
      <c r="J1" s="866"/>
      <c r="K1" s="72"/>
      <c r="L1" s="72"/>
      <c r="M1" s="72"/>
      <c r="N1" s="72"/>
      <c r="O1" s="72"/>
      <c r="P1" s="72"/>
      <c r="Q1" s="72"/>
      <c r="R1" s="72"/>
      <c r="S1" s="72"/>
      <c r="T1" s="73"/>
    </row>
    <row r="2" spans="1:26" x14ac:dyDescent="0.25">
      <c r="A2" s="74" t="s">
        <v>464</v>
      </c>
      <c r="B2" s="1230"/>
      <c r="C2" s="1230"/>
      <c r="D2" s="1230"/>
      <c r="E2" s="1230"/>
      <c r="F2" s="1230"/>
      <c r="G2" s="1230"/>
      <c r="H2" s="1230"/>
      <c r="I2" s="1230"/>
      <c r="J2" s="1230"/>
      <c r="T2" s="75"/>
    </row>
    <row r="3" spans="1:26" x14ac:dyDescent="0.25">
      <c r="A3" s="74"/>
      <c r="B3" s="1230"/>
      <c r="C3" s="1230"/>
      <c r="D3" s="1230"/>
      <c r="E3" s="1230"/>
      <c r="F3" s="1230"/>
      <c r="G3" s="1230"/>
      <c r="H3" s="1230"/>
      <c r="I3" s="1230"/>
      <c r="J3" s="1230"/>
      <c r="T3" s="75"/>
    </row>
    <row r="4" spans="1:26" x14ac:dyDescent="0.25">
      <c r="A4" s="74"/>
      <c r="B4" s="1230"/>
      <c r="C4" s="1230"/>
      <c r="D4" s="1230"/>
      <c r="E4" s="1230"/>
      <c r="F4" s="1230"/>
      <c r="G4" s="1230"/>
      <c r="H4" s="1230"/>
      <c r="I4" s="1230"/>
      <c r="J4" s="1230"/>
      <c r="L4" s="76"/>
      <c r="T4" s="75"/>
    </row>
    <row r="5" spans="1:26" ht="15.75" thickBot="1" x14ac:dyDescent="0.3">
      <c r="A5" s="74"/>
      <c r="B5" s="1230"/>
      <c r="C5" s="1230"/>
      <c r="D5" s="1230"/>
      <c r="E5" s="1230"/>
      <c r="F5" s="1230"/>
      <c r="G5" s="1230"/>
      <c r="H5" s="1230"/>
      <c r="I5" s="1230"/>
      <c r="J5" s="1230"/>
      <c r="T5" s="75"/>
      <c r="Z5" s="77"/>
    </row>
    <row r="6" spans="1:26" ht="19.5" thickBot="1" x14ac:dyDescent="0.35">
      <c r="A6" s="74"/>
      <c r="B6" s="78"/>
      <c r="C6" s="1224" t="s">
        <v>617</v>
      </c>
      <c r="D6" s="1225"/>
      <c r="E6" s="1225"/>
      <c r="F6" s="1226"/>
      <c r="L6" s="1227" t="s">
        <v>531</v>
      </c>
      <c r="M6" s="1228"/>
      <c r="N6" s="1228"/>
      <c r="O6" s="1229"/>
      <c r="T6" s="75"/>
    </row>
    <row r="7" spans="1:26" ht="63.75" thickBot="1" x14ac:dyDescent="0.3">
      <c r="A7" s="45" t="s">
        <v>152</v>
      </c>
      <c r="B7" s="581" t="s">
        <v>101</v>
      </c>
      <c r="C7" s="577" t="s">
        <v>228</v>
      </c>
      <c r="D7" s="578" t="s">
        <v>229</v>
      </c>
      <c r="E7" s="579" t="s">
        <v>230</v>
      </c>
      <c r="F7" s="580" t="s">
        <v>99</v>
      </c>
      <c r="G7" s="582" t="s">
        <v>553</v>
      </c>
      <c r="H7" s="83" t="s">
        <v>554</v>
      </c>
      <c r="I7" s="83" t="s">
        <v>477</v>
      </c>
      <c r="J7" s="83" t="s">
        <v>904</v>
      </c>
      <c r="L7" s="1027" t="s">
        <v>536</v>
      </c>
      <c r="M7" s="84" t="s">
        <v>903</v>
      </c>
      <c r="N7" s="84" t="s">
        <v>902</v>
      </c>
      <c r="O7" s="85" t="s">
        <v>537</v>
      </c>
      <c r="T7" s="75"/>
    </row>
    <row r="8" spans="1:26" x14ac:dyDescent="0.25">
      <c r="A8" s="576" t="s">
        <v>324</v>
      </c>
      <c r="B8" s="3"/>
      <c r="C8" s="87" t="str">
        <f>IF($B8="x",Storage!B$25, "NA")</f>
        <v>NA</v>
      </c>
      <c r="D8" s="88" t="str">
        <f>IF($B8="x",Storage!B$26, "NA")</f>
        <v>NA</v>
      </c>
      <c r="E8" s="88" t="str">
        <f>IF($B8="x",Storage!B$28, "NA")</f>
        <v>NA</v>
      </c>
      <c r="F8" s="137" t="str">
        <f>IF($B8="x",Storage!B$24, "NA")</f>
        <v>NA</v>
      </c>
      <c r="G8" s="890" t="s">
        <v>307</v>
      </c>
      <c r="H8" s="890" t="s">
        <v>307</v>
      </c>
      <c r="I8" s="890" t="s">
        <v>307</v>
      </c>
      <c r="J8" s="91" t="s">
        <v>307</v>
      </c>
      <c r="L8" s="92" t="str">
        <f>IF($B8="x",Storage!B$18*days_yr, "NA")</f>
        <v>NA</v>
      </c>
      <c r="M8" s="93" t="str">
        <f>IF($B8="x",Storage!B$21*days_yr, "NA")</f>
        <v>NA</v>
      </c>
      <c r="N8" s="93" t="s">
        <v>102</v>
      </c>
      <c r="O8" s="94" t="str">
        <f>IF($B8="x",Storage!B$29, "NA")</f>
        <v>NA</v>
      </c>
      <c r="P8" s="95"/>
      <c r="Q8" s="96"/>
      <c r="T8" s="75"/>
    </row>
    <row r="9" spans="1:26" x14ac:dyDescent="0.25">
      <c r="A9" s="46" t="s">
        <v>159</v>
      </c>
      <c r="B9" s="3"/>
      <c r="C9" s="97" t="str">
        <f>IF($B9="x",'Conditioning Thickening'!B$19, "NA")</f>
        <v>NA</v>
      </c>
      <c r="D9" s="98" t="str">
        <f>IF($B9="x",'Conditioning Thickening'!B$20, "NA")</f>
        <v>NA</v>
      </c>
      <c r="E9" s="98" t="str">
        <f>IF($B9="x",'Conditioning Thickening'!B$22, "NA")</f>
        <v>NA</v>
      </c>
      <c r="F9" s="138" t="str">
        <f>IF($B9="x",'Conditioning Thickening'!B$18, "NA")</f>
        <v>NA</v>
      </c>
      <c r="G9" s="890" t="s">
        <v>307</v>
      </c>
      <c r="H9" s="890" t="s">
        <v>307</v>
      </c>
      <c r="I9" s="890" t="s">
        <v>307</v>
      </c>
      <c r="J9" s="91" t="s">
        <v>307</v>
      </c>
      <c r="L9" s="101" t="str">
        <f>IF($B9="x",SUM('Conditioning Thickening'!B$11,'Conditioning Thickening'!B$15)*days_yr, "NA")</f>
        <v>NA</v>
      </c>
      <c r="M9" s="102" t="s">
        <v>102</v>
      </c>
      <c r="N9" s="102" t="s">
        <v>102</v>
      </c>
      <c r="O9" s="103" t="str">
        <f>IF($B9="x",'Conditioning Thickening'!B$23, "NA")</f>
        <v>NA</v>
      </c>
      <c r="P9" s="104"/>
      <c r="Q9" s="96"/>
      <c r="T9" s="75"/>
    </row>
    <row r="10" spans="1:26" x14ac:dyDescent="0.25">
      <c r="A10" s="46" t="s">
        <v>195</v>
      </c>
      <c r="B10" s="3"/>
      <c r="C10" s="97" t="str">
        <f>IF($B10="x",'Aerobic Digestion'!B$26, "NA")</f>
        <v>NA</v>
      </c>
      <c r="D10" s="98" t="str">
        <f>IF($B10="x",'Aerobic Digestion'!B$27, "NA")</f>
        <v>NA</v>
      </c>
      <c r="E10" s="98" t="str">
        <f>IF($B10="x",'Aerobic Digestion'!B$29, "NA")</f>
        <v>NA</v>
      </c>
      <c r="F10" s="138" t="str">
        <f>IF($B10="x",'Aerobic Digestion'!B$25, "NA")</f>
        <v>NA</v>
      </c>
      <c r="G10" s="890" t="s">
        <v>307</v>
      </c>
      <c r="H10" s="890" t="s">
        <v>307</v>
      </c>
      <c r="I10" s="890" t="s">
        <v>307</v>
      </c>
      <c r="J10" s="91" t="s">
        <v>307</v>
      </c>
      <c r="L10" s="101" t="str">
        <f>IF($B10="x",SUM('Aerobic Digestion'!B$21:B$22)*days_yr, "NA")</f>
        <v>NA</v>
      </c>
      <c r="M10" s="102" t="s">
        <v>102</v>
      </c>
      <c r="N10" s="102" t="s">
        <v>102</v>
      </c>
      <c r="O10" s="103" t="str">
        <f>IF($B10="x",'Aerobic Digestion'!B$30, "NA")</f>
        <v>NA</v>
      </c>
      <c r="P10" s="104"/>
      <c r="Q10" s="96"/>
      <c r="T10" s="75"/>
      <c r="W10" s="1234" t="s">
        <v>110</v>
      </c>
      <c r="X10" s="1235"/>
      <c r="Y10" s="1235"/>
      <c r="Z10" s="1236"/>
    </row>
    <row r="11" spans="1:26" x14ac:dyDescent="0.25">
      <c r="A11" s="46" t="s">
        <v>197</v>
      </c>
      <c r="B11" s="3"/>
      <c r="C11" s="97" t="str">
        <f>IF($B11="x", 'Anaerobic Digestion'!B49, "NA")</f>
        <v>NA</v>
      </c>
      <c r="D11" s="98" t="str">
        <f>IF($B11="x", 'Anaerobic Digestion'!B50, "NA")</f>
        <v>NA</v>
      </c>
      <c r="E11" s="98" t="str">
        <f>IF($B11="x", 'Anaerobic Digestion'!B52, "NA")</f>
        <v>NA</v>
      </c>
      <c r="F11" s="138" t="str">
        <f>IF($B11="x", 'Anaerobic Digestion'!B48, "NA")</f>
        <v>NA</v>
      </c>
      <c r="G11" s="890" t="s">
        <v>307</v>
      </c>
      <c r="H11" s="890" t="s">
        <v>307</v>
      </c>
      <c r="I11" s="890" t="s">
        <v>307</v>
      </c>
      <c r="J11" s="91" t="s">
        <v>307</v>
      </c>
      <c r="L11" s="101" t="str">
        <f>IF($B11="x", SUM('Anaerobic Digestion'!B$42:B$43)*days_yr, "NA")</f>
        <v>NA</v>
      </c>
      <c r="M11" s="102" t="str">
        <f>IF($B11="x", 'Anaerobic Digestion'!B$44*days_yr, "NA")</f>
        <v>NA</v>
      </c>
      <c r="N11" s="102" t="s">
        <v>102</v>
      </c>
      <c r="O11" s="103" t="str">
        <f>IF($B11="x", 'Anaerobic Digestion'!B$53, "NA")</f>
        <v>NA</v>
      </c>
      <c r="P11" s="104"/>
      <c r="Q11" s="105"/>
      <c r="T11" s="75"/>
      <c r="W11" s="1231" t="s">
        <v>31</v>
      </c>
      <c r="X11" s="1232"/>
      <c r="Y11" s="1233"/>
      <c r="Z11" s="563">
        <v>0</v>
      </c>
    </row>
    <row r="12" spans="1:26" x14ac:dyDescent="0.25">
      <c r="A12" s="558" t="s">
        <v>516</v>
      </c>
      <c r="B12" s="3"/>
      <c r="C12" s="97" t="str">
        <f>IF($B12="x", 'Anaerobic Digestion (2)'!B49, "NA")</f>
        <v>NA</v>
      </c>
      <c r="D12" s="106" t="str">
        <f>IF($B12="x", 'Anaerobic Digestion (2)'!B50, "NA")</f>
        <v>NA</v>
      </c>
      <c r="E12" s="98" t="str">
        <f>IF($B12="x", 'Anaerobic Digestion (2)'!B52, "NA")</f>
        <v>NA</v>
      </c>
      <c r="F12" s="138" t="str">
        <f>IF($B12="x", 'Anaerobic Digestion (2)'!B48, "NA")</f>
        <v>NA</v>
      </c>
      <c r="G12" s="890" t="s">
        <v>307</v>
      </c>
      <c r="H12" s="890" t="s">
        <v>307</v>
      </c>
      <c r="I12" s="890" t="s">
        <v>307</v>
      </c>
      <c r="J12" s="91" t="s">
        <v>307</v>
      </c>
      <c r="L12" s="101" t="str">
        <f>IF($B12="x", SUM('Anaerobic Digestion (2)'!B$42:B$43)*days_yr, "NA")</f>
        <v>NA</v>
      </c>
      <c r="M12" s="102" t="str">
        <f>IF($B12="x", 'Anaerobic Digestion (2)'!B$44*days_yr, "NA")</f>
        <v>NA</v>
      </c>
      <c r="N12" s="102" t="s">
        <v>102</v>
      </c>
      <c r="O12" s="103" t="str">
        <f>IF($B12="x", 'Anaerobic Digestion (2)'!B$53, "NA")</f>
        <v>NA</v>
      </c>
      <c r="P12" s="104"/>
      <c r="Q12" s="105"/>
      <c r="T12" s="75"/>
      <c r="W12" s="1231" t="s">
        <v>32</v>
      </c>
      <c r="X12" s="1232"/>
      <c r="Y12" s="1233"/>
      <c r="Z12" s="564">
        <v>0</v>
      </c>
    </row>
    <row r="13" spans="1:26" ht="15" customHeight="1" x14ac:dyDescent="0.25">
      <c r="A13" s="46" t="s">
        <v>223</v>
      </c>
      <c r="B13" s="3"/>
      <c r="C13" s="97" t="str">
        <f>IF($B13="x", 'De-watering'!B$20, "NA")</f>
        <v>NA</v>
      </c>
      <c r="D13" s="98" t="str">
        <f>IF($B13="x", 'De-watering'!B$21, "NA")</f>
        <v>NA</v>
      </c>
      <c r="E13" s="98" t="str">
        <f>IF($B13="x", 'De-watering'!B$23, "NA")</f>
        <v>NA</v>
      </c>
      <c r="F13" s="138" t="str">
        <f>IF($B13="x", 'De-watering'!B$19, "NA")</f>
        <v>NA</v>
      </c>
      <c r="G13" s="890" t="s">
        <v>307</v>
      </c>
      <c r="H13" s="890" t="s">
        <v>307</v>
      </c>
      <c r="I13" s="890" t="s">
        <v>307</v>
      </c>
      <c r="J13" s="91" t="s">
        <v>307</v>
      </c>
      <c r="L13" s="101" t="str">
        <f>IF($B13="x", SUM('De-watering'!B$12,'De-watering'!B$16)*days_yr, "NA")</f>
        <v>NA</v>
      </c>
      <c r="M13" s="102" t="s">
        <v>102</v>
      </c>
      <c r="N13" s="102" t="s">
        <v>102</v>
      </c>
      <c r="O13" s="103" t="str">
        <f>IF($B13="x", 'De-watering'!B$24, "NA")</f>
        <v>NA</v>
      </c>
      <c r="P13" s="107"/>
      <c r="Q13" s="96"/>
      <c r="T13" s="75"/>
      <c r="W13" s="1231" t="s">
        <v>615</v>
      </c>
      <c r="X13" s="1232"/>
      <c r="Y13" s="1233"/>
      <c r="Z13" s="565">
        <v>0</v>
      </c>
    </row>
    <row r="14" spans="1:26" x14ac:dyDescent="0.25">
      <c r="A14" s="46" t="s">
        <v>133</v>
      </c>
      <c r="B14" s="3"/>
      <c r="C14" s="97" t="str">
        <f>IF($B14="x", 'Thermal Drying'!B$24, "NA")</f>
        <v>NA</v>
      </c>
      <c r="D14" s="98" t="str">
        <f>IF($B14="x", 'Thermal Drying'!B$25, "NA")</f>
        <v>NA</v>
      </c>
      <c r="E14" s="98" t="str">
        <f>IF($B14="x", 'Thermal Drying'!B$27, "NA")</f>
        <v>NA</v>
      </c>
      <c r="F14" s="138" t="str">
        <f>IF($B14="x", 'Thermal Drying'!B$23, "NA")</f>
        <v>NA</v>
      </c>
      <c r="G14" s="583" t="str">
        <f>IF($B14="x",H14*Mg_ton,"NA")</f>
        <v>NA</v>
      </c>
      <c r="H14" s="100" t="str">
        <f>IF($B14="x",'Thermal Drying'!B$6,"NA")</f>
        <v>NA</v>
      </c>
      <c r="I14" s="108" t="str">
        <f>IF($B14="x", 'Thermal Drying'!B$9, "NA")</f>
        <v>NA</v>
      </c>
      <c r="J14" s="91" t="str">
        <f>IF($B14="x", F14/(I14*days_yr),"NA")</f>
        <v>NA</v>
      </c>
      <c r="L14" s="101" t="str">
        <f>IF($B14="x",'Thermal Drying'!B$23, "NA")</f>
        <v>NA</v>
      </c>
      <c r="M14" s="102" t="s">
        <v>102</v>
      </c>
      <c r="N14" s="102" t="s">
        <v>102</v>
      </c>
      <c r="O14" s="103" t="str">
        <f>IF($B14="x", 'Thermal Drying'!B$28, "NA")</f>
        <v>NA</v>
      </c>
      <c r="P14" s="107"/>
      <c r="Q14" s="107"/>
      <c r="R14" s="107"/>
      <c r="S14" s="107"/>
      <c r="T14" s="75"/>
      <c r="W14" s="1231" t="s">
        <v>70</v>
      </c>
      <c r="X14" s="1232"/>
      <c r="Y14" s="1233"/>
      <c r="Z14" s="566">
        <v>0</v>
      </c>
    </row>
    <row r="15" spans="1:26" x14ac:dyDescent="0.25">
      <c r="A15" s="558" t="s">
        <v>645</v>
      </c>
      <c r="B15" s="3"/>
      <c r="C15" s="97" t="str">
        <f>IF($B15="x",BioDrying!B$23, "NA")</f>
        <v>NA</v>
      </c>
      <c r="D15" s="98" t="str">
        <f>IF($B15="x",BioDrying!B$24, "NA")</f>
        <v>NA</v>
      </c>
      <c r="E15" s="98" t="str">
        <f>IF($B15="x",BioDrying!B$26, "NA")</f>
        <v>NA</v>
      </c>
      <c r="F15" s="138" t="str">
        <f>IF($B15="x",BioDrying!B$22, "NA")</f>
        <v>NA</v>
      </c>
      <c r="G15" s="583" t="str">
        <f>IF($B15="x",H15*Mg_ton,"NA")</f>
        <v>NA</v>
      </c>
      <c r="H15" s="100" t="str">
        <f>IF($B15="x",BioDrying!B$6,"NA")</f>
        <v>NA</v>
      </c>
      <c r="I15" s="108" t="str">
        <f>IF($B15="x",BioDrying!B$9,"NA")</f>
        <v>NA</v>
      </c>
      <c r="J15" s="91" t="str">
        <f>IF($B15="x", F15/(I15*days_yr),"NA")</f>
        <v>NA</v>
      </c>
      <c r="L15" s="101" t="str">
        <f>IF($B15="x",BioDrying!B$22, "NA")</f>
        <v>NA</v>
      </c>
      <c r="M15" s="102" t="s">
        <v>102</v>
      </c>
      <c r="N15" s="102" t="s">
        <v>102</v>
      </c>
      <c r="O15" s="103" t="str">
        <f>IF($B15="x",BioDrying!B$27, "NA")</f>
        <v>NA</v>
      </c>
      <c r="P15" s="107"/>
      <c r="Q15" s="107"/>
      <c r="R15" s="107"/>
      <c r="S15" s="107"/>
      <c r="T15" s="75"/>
      <c r="W15" s="1231" t="s">
        <v>550</v>
      </c>
      <c r="X15" s="1232"/>
      <c r="Y15" s="1233"/>
      <c r="Z15" s="567">
        <v>0</v>
      </c>
    </row>
    <row r="16" spans="1:26" x14ac:dyDescent="0.25">
      <c r="A16" s="46" t="s">
        <v>269</v>
      </c>
      <c r="B16" s="3"/>
      <c r="C16" s="97" t="str">
        <f>IF($B16="x",'Alkaline Stabilization'!B$24, "NA")</f>
        <v>NA</v>
      </c>
      <c r="D16" s="98" t="str">
        <f>IF($B16="x",'Alkaline Stabilization'!B$25, "NA")</f>
        <v>NA</v>
      </c>
      <c r="E16" s="98" t="str">
        <f>IF($B16="x",'Alkaline Stabilization'!B$27, "NA")</f>
        <v>NA</v>
      </c>
      <c r="F16" s="138" t="str">
        <f>IF($B16="x",'Alkaline Stabilization'!B$23, "NA")</f>
        <v>NA</v>
      </c>
      <c r="G16" s="583" t="str">
        <f t="shared" ref="G16:G26" si="0">IF($B16="x",H16*Mg_ton,"NA")</f>
        <v>NA</v>
      </c>
      <c r="H16" s="100" t="str">
        <f>IF($B16="x",'Alkaline Stabilization'!B$6,"NA")</f>
        <v>NA</v>
      </c>
      <c r="I16" s="108" t="str">
        <f>IF($B16="x",'Alkaline Stabilization'!B$8, "NA")</f>
        <v>NA</v>
      </c>
      <c r="J16" s="91" t="str">
        <f t="shared" ref="J16:J28" si="1">IF($B16="x", F16/(I16*days_yr),"NA")</f>
        <v>NA</v>
      </c>
      <c r="L16" s="101" t="str">
        <f>IF($B16="x",SUM('Alkaline Stabilization'!B$12,'Alkaline Stabilization'!B$16,'Alkaline Stabilization'!B$20)*days_yr, "NA")</f>
        <v>NA</v>
      </c>
      <c r="M16" s="102" t="s">
        <v>102</v>
      </c>
      <c r="N16" s="102" t="s">
        <v>102</v>
      </c>
      <c r="O16" s="103" t="str">
        <f>IF($B16="x",'Alkaline Stabilization'!B$28, "NA")</f>
        <v>NA</v>
      </c>
      <c r="P16" s="107"/>
      <c r="Q16" s="107"/>
      <c r="R16" s="107"/>
      <c r="S16" s="107"/>
      <c r="T16" s="75"/>
      <c r="W16" s="1231" t="s">
        <v>610</v>
      </c>
      <c r="X16" s="1232"/>
      <c r="Y16" s="1233"/>
      <c r="Z16" s="227">
        <v>0</v>
      </c>
    </row>
    <row r="17" spans="1:20" x14ac:dyDescent="0.25">
      <c r="A17" s="46" t="s">
        <v>250</v>
      </c>
      <c r="B17" s="3"/>
      <c r="C17" s="97" t="str">
        <f>IF($B17="x", Composting!B$58, "NA")</f>
        <v>NA</v>
      </c>
      <c r="D17" s="98" t="str">
        <f>IF($B17="x", Composting!B$59, "NA")</f>
        <v>NA</v>
      </c>
      <c r="E17" s="98" t="str">
        <f>IF($B17="x", Composting!B$61, "NA")</f>
        <v>NA</v>
      </c>
      <c r="F17" s="138" t="str">
        <f>IF($B17="x", Composting!B$57, "NA")</f>
        <v>NA</v>
      </c>
      <c r="G17" s="583" t="str">
        <f>IF($B17="x",H17*Mg_ton,"NA")</f>
        <v>NA</v>
      </c>
      <c r="H17" s="100" t="str">
        <f>IF($B17="x",Composting!B$7,"NA")</f>
        <v>NA</v>
      </c>
      <c r="I17" s="108" t="str">
        <f>IF($B17="x", Composting!B$9, "NA")</f>
        <v>NA</v>
      </c>
      <c r="J17" s="91" t="str">
        <f t="shared" si="1"/>
        <v>NA</v>
      </c>
      <c r="L17" s="101" t="str">
        <f>IF($B17="x", SUM(Composting!B$34,Composting!B$38,Composting!B$50,Composting!B$53:B$54)*days_yr, "NA")</f>
        <v>NA</v>
      </c>
      <c r="M17" s="102" t="str">
        <f>IF($B17="x", Composting!B$42*days_yr, "NA")</f>
        <v>NA</v>
      </c>
      <c r="N17" s="102" t="str">
        <f>IF($B17="x", Composting!B$46*days_yr, "NA")</f>
        <v>NA</v>
      </c>
      <c r="O17" s="103" t="str">
        <f>IF($B17="x", Composting!B$62, "NA")</f>
        <v>NA</v>
      </c>
      <c r="P17" s="107"/>
      <c r="R17" s="107"/>
      <c r="S17" s="107"/>
      <c r="T17" s="75"/>
    </row>
    <row r="18" spans="1:20" x14ac:dyDescent="0.25">
      <c r="A18" s="558" t="s">
        <v>517</v>
      </c>
      <c r="B18" s="3"/>
      <c r="C18" s="97" t="str">
        <f>IF($B18="x", 'Composting (2)'!B$58, "NA")</f>
        <v>NA</v>
      </c>
      <c r="D18" s="98" t="str">
        <f>IF($B18="x", 'Composting (2)'!B$59, "NA")</f>
        <v>NA</v>
      </c>
      <c r="E18" s="98" t="str">
        <f>IF($B18="x", 'Composting (2)'!B$61, "NA")</f>
        <v>NA</v>
      </c>
      <c r="F18" s="138" t="str">
        <f>IF($B18="x", 'Composting (2)'!B$57, "NA")</f>
        <v>NA</v>
      </c>
      <c r="G18" s="583" t="str">
        <f t="shared" si="0"/>
        <v>NA</v>
      </c>
      <c r="H18" s="100" t="str">
        <f>IF($B18="x",'Composting (2)'!B$7,"NA")</f>
        <v>NA</v>
      </c>
      <c r="I18" s="108" t="str">
        <f>IF($B18="x", 'Composting (2)'!B$9, "NA")</f>
        <v>NA</v>
      </c>
      <c r="J18" s="91" t="str">
        <f t="shared" si="1"/>
        <v>NA</v>
      </c>
      <c r="L18" s="101" t="str">
        <f>IF($B18="x", SUM('Composting (2)'!B$34,'Composting (2)'!B$38,'Composting (2)'!B$49,'Composting (2)'!B$53:B$54)*days_yr, "NA")</f>
        <v>NA</v>
      </c>
      <c r="M18" s="102" t="str">
        <f>IF($B18="x", 'Composting (2)'!B$42*days_yr, "NA")</f>
        <v>NA</v>
      </c>
      <c r="N18" s="102" t="str">
        <f>IF($B18="x", 'Composting (2)'!B$46*days_yr, "NA")</f>
        <v>NA</v>
      </c>
      <c r="O18" s="103" t="str">
        <f>IF($B18="x", 'Composting (2)'!B$62, "NA")</f>
        <v>NA</v>
      </c>
      <c r="P18" s="107"/>
      <c r="Q18" s="107"/>
      <c r="R18" s="107"/>
      <c r="S18" s="107"/>
      <c r="T18" s="75"/>
    </row>
    <row r="19" spans="1:20" x14ac:dyDescent="0.25">
      <c r="A19" s="558" t="s">
        <v>532</v>
      </c>
      <c r="B19" s="3" t="s">
        <v>992</v>
      </c>
      <c r="C19" s="97">
        <f>IF($B19="x", 'Landfill Disposal Typical'!B$53, "NA")</f>
        <v>6891.3313765067796</v>
      </c>
      <c r="D19" s="98">
        <f>IF($B19="x", 'Landfill Disposal Typical'!B$54, "NA")</f>
        <v>-111.78951811390958</v>
      </c>
      <c r="E19" s="98">
        <f>IF($B19="x", 'Landfill Disposal Typical'!B$56, "NA")</f>
        <v>0</v>
      </c>
      <c r="F19" s="138">
        <f>IF($B19="x", 'Landfill Disposal Typical'!B$52, "NA")</f>
        <v>6779.5418583928704</v>
      </c>
      <c r="G19" s="583">
        <f t="shared" si="0"/>
        <v>102.97286799999999</v>
      </c>
      <c r="H19" s="100">
        <f>IF($B19="x",'Landfill Disposal Typical'!B$13,"NA")</f>
        <v>93.441803992740461</v>
      </c>
      <c r="I19" s="108">
        <f>IF($B19="x", 'Landfill Disposal Typical'!B$15, "NA")</f>
        <v>6.7278098874773127</v>
      </c>
      <c r="J19" s="91">
        <f t="shared" si="1"/>
        <v>2.7607925303954679</v>
      </c>
      <c r="L19" s="101">
        <f>IF($B19="x",('Landfill Disposal Typical'!B$44+'Landfill Disposal Typical'!B$48)*days_yr,"NA")</f>
        <v>-1063.6354920637518</v>
      </c>
      <c r="M19" s="102">
        <f>IF($B19="x",'Landfill Disposal Typical'!B$37*days_yr,"NA")</f>
        <v>7411.9475631671594</v>
      </c>
      <c r="N19" s="102">
        <f>IF($B19="x",'Landfill Disposal Typical'!B$41*days_yr,"NA")</f>
        <v>431.22978728946327</v>
      </c>
      <c r="O19" s="103">
        <f>IF($B19="x",'Landfill Disposal Typical'!B$57,"NA")</f>
        <v>600.56071736172225</v>
      </c>
      <c r="P19" s="107"/>
      <c r="Q19" s="107"/>
      <c r="R19" s="107"/>
      <c r="S19" s="107"/>
      <c r="T19" s="75"/>
    </row>
    <row r="20" spans="1:20" x14ac:dyDescent="0.25">
      <c r="A20" s="558" t="s">
        <v>533</v>
      </c>
      <c r="B20" s="3"/>
      <c r="C20" s="109" t="str">
        <f>IF($B20="x", 'Landfill Disposal Worst-case'!B$53, "NA")</f>
        <v>NA</v>
      </c>
      <c r="D20" s="110" t="str">
        <f>IF($B20="x", 'Landfill Disposal Worst-case'!B$54, "NA")</f>
        <v>NA</v>
      </c>
      <c r="E20" s="110" t="str">
        <f>IF($B20="x", 'Landfill Disposal Worst-case'!B$56, "NA")</f>
        <v>NA</v>
      </c>
      <c r="F20" s="139" t="str">
        <f>IF($B20="x", 'Landfill Disposal Worst-case'!B$52, "NA")</f>
        <v>NA</v>
      </c>
      <c r="G20" s="583" t="str">
        <f t="shared" si="0"/>
        <v>NA</v>
      </c>
      <c r="H20" s="100" t="str">
        <f>IF($B20="x",'Landfill Disposal Worst-case'!B$13,"NA")</f>
        <v>NA</v>
      </c>
      <c r="I20" s="108" t="str">
        <f>IF($B20="x", 'Landfill Disposal Worst-case'!B$15, "NA")</f>
        <v>NA</v>
      </c>
      <c r="J20" s="91" t="str">
        <f t="shared" si="1"/>
        <v>NA</v>
      </c>
      <c r="L20" s="101" t="str">
        <f>IF($B20="x",('Landfill Disposal Worst-case'!B$44+'Landfill Disposal Worst-case'!B$48)*days_yr,"NA")</f>
        <v>NA</v>
      </c>
      <c r="M20" s="102" t="str">
        <f>IF($B20="x",'Landfill Disposal Worst-case'!B$37*days_yr,"NA")</f>
        <v>NA</v>
      </c>
      <c r="N20" s="102" t="str">
        <f>IF($B20="x",'Landfill Disposal Worst-case'!B$41*days_yr,"NA")</f>
        <v>NA</v>
      </c>
      <c r="O20" s="103" t="str">
        <f>IF($B20="x",'Landfill Disposal Worst-case'!B$57,"NA")</f>
        <v>NA</v>
      </c>
      <c r="P20" s="107"/>
      <c r="Q20" s="107"/>
      <c r="R20" s="107"/>
      <c r="S20" s="107"/>
      <c r="T20" s="75"/>
    </row>
    <row r="21" spans="1:20" x14ac:dyDescent="0.25">
      <c r="A21" s="558" t="s">
        <v>534</v>
      </c>
      <c r="B21" s="3"/>
      <c r="C21" s="109" t="str">
        <f>IF($B21="x", 'Landfill Disposal Aggressive'!B$53, "NA")</f>
        <v>NA</v>
      </c>
      <c r="D21" s="110" t="str">
        <f>IF($B21="x", 'Landfill Disposal Aggressive'!B$54, "NA")</f>
        <v>NA</v>
      </c>
      <c r="E21" s="110" t="str">
        <f>IF($B21="x", 'Landfill Disposal Aggressive'!B$56, "NA")</f>
        <v>NA</v>
      </c>
      <c r="F21" s="139" t="str">
        <f>IF($B21="x", 'Landfill Disposal Aggressive'!B$52, "NA")</f>
        <v>NA</v>
      </c>
      <c r="G21" s="583" t="str">
        <f t="shared" si="0"/>
        <v>NA</v>
      </c>
      <c r="H21" s="100" t="str">
        <f>IF($B21="x",'Landfill Disposal Aggressive'!B$13,"NA")</f>
        <v>NA</v>
      </c>
      <c r="I21" s="108" t="str">
        <f>IF($B21="x", 'Landfill Disposal Aggressive'!B$15, "NA")</f>
        <v>NA</v>
      </c>
      <c r="J21" s="91" t="str">
        <f t="shared" si="1"/>
        <v>NA</v>
      </c>
      <c r="L21" s="101" t="str">
        <f>IF($B21="x",('Landfill Disposal Aggressive'!B$44+'Landfill Disposal Aggressive'!B$48)*days_yr,"NA")</f>
        <v>NA</v>
      </c>
      <c r="M21" s="102" t="str">
        <f>IF($B21="x",'Landfill Disposal Aggressive'!B$37*days_yr,"NA")</f>
        <v>NA</v>
      </c>
      <c r="N21" s="102" t="str">
        <f>IF($B21="x",'Landfill Disposal Aggressive'!B$41*days_yr,"NA")</f>
        <v>NA</v>
      </c>
      <c r="O21" s="103" t="str">
        <f>IF($B21="x",'Landfill Disposal Aggressive'!B$57,"NA")</f>
        <v>NA</v>
      </c>
      <c r="P21" s="107"/>
      <c r="Q21" s="107"/>
      <c r="R21" s="107"/>
      <c r="S21" s="107"/>
      <c r="T21" s="75"/>
    </row>
    <row r="22" spans="1:20" x14ac:dyDescent="0.25">
      <c r="A22" s="558" t="s">
        <v>535</v>
      </c>
      <c r="B22" s="3"/>
      <c r="C22" s="109" t="str">
        <f>IF($B22="x", 'Landfill Disposal CA Regulatory'!B$53, "NA")</f>
        <v>NA</v>
      </c>
      <c r="D22" s="110" t="str">
        <f>IF($B22="x", 'Landfill Disposal CA Regulatory'!B$54, "NA")</f>
        <v>NA</v>
      </c>
      <c r="E22" s="110" t="str">
        <f>IF($B22="x", 'Landfill Disposal CA Regulatory'!B$56, "NA")</f>
        <v>NA</v>
      </c>
      <c r="F22" s="139" t="str">
        <f>IF($B22="x", 'Landfill Disposal CA Regulatory'!B$52, "NA")</f>
        <v>NA</v>
      </c>
      <c r="G22" s="583" t="str">
        <f t="shared" si="0"/>
        <v>NA</v>
      </c>
      <c r="H22" s="100" t="str">
        <f>IF($B22="x",'Landfill Disposal CA Regulatory'!B$13,"NA")</f>
        <v>NA</v>
      </c>
      <c r="I22" s="108" t="str">
        <f>IF($B22="x", 'Landfill Disposal CA Regulatory'!B$15, "NA")</f>
        <v>NA</v>
      </c>
      <c r="J22" s="91" t="str">
        <f t="shared" si="1"/>
        <v>NA</v>
      </c>
      <c r="L22" s="101" t="str">
        <f>IF($B22="x",('Landfill Disposal CA Regulatory'!B$44+'Landfill Disposal CA Regulatory'!B$48)*days_yr,"NA")</f>
        <v>NA</v>
      </c>
      <c r="M22" s="102" t="str">
        <f>IF($B22="x",'Landfill Disposal CA Regulatory'!B$37*days_yr,"NA")</f>
        <v>NA</v>
      </c>
      <c r="N22" s="102" t="str">
        <f>IF($B22="x",'Landfill Disposal CA Regulatory'!B$41*days_yr,"NA")</f>
        <v>NA</v>
      </c>
      <c r="O22" s="103" t="str">
        <f>IF($B22="x",'Landfill Disposal CA Regulatory'!B$57,"NA")</f>
        <v>NA</v>
      </c>
      <c r="P22" s="107"/>
      <c r="Q22" s="107"/>
      <c r="R22" s="107"/>
      <c r="S22" s="107"/>
      <c r="T22" s="75"/>
    </row>
    <row r="23" spans="1:20" x14ac:dyDescent="0.25">
      <c r="A23" s="46" t="s">
        <v>222</v>
      </c>
      <c r="B23" s="3"/>
      <c r="C23" s="97" t="str">
        <f>IF($B23="x", Combustion!B$58, "NA")</f>
        <v>NA</v>
      </c>
      <c r="D23" s="98" t="str">
        <f>IF($B23="x", Combustion!B$59, "NA")</f>
        <v>NA</v>
      </c>
      <c r="E23" s="98" t="str">
        <f>IF($B23="x", Combustion!B$61, "NA")</f>
        <v>NA</v>
      </c>
      <c r="F23" s="138" t="str">
        <f>IF($B23="x", Combustion!B$57, "NA")</f>
        <v>NA</v>
      </c>
      <c r="G23" s="583" t="str">
        <f t="shared" si="0"/>
        <v>NA</v>
      </c>
      <c r="H23" s="100" t="str">
        <f>IF($B23="x",Combustion!B$7,"NA")</f>
        <v>NA</v>
      </c>
      <c r="I23" s="108" t="str">
        <f>IF($B23="x", Combustion!B$9, "NA")</f>
        <v>NA</v>
      </c>
      <c r="J23" s="91" t="str">
        <f>IF($B23="x", F23/(I23*days_yr),"NA")</f>
        <v>NA</v>
      </c>
      <c r="L23" s="101" t="str">
        <f>IF($B23="x", SUM(Combustion!B$30,Combustion!B$36,Combustion!B$48,Combustion!B$51)*days_yr, "NA")</f>
        <v>NA</v>
      </c>
      <c r="M23" s="102" t="str">
        <f>IF($B23="x", Combustion!B$39*days_yr, "NA")</f>
        <v>NA</v>
      </c>
      <c r="N23" s="102" t="str">
        <f>IF($B23="x", Combustion!B$45*days_yr, "NA")</f>
        <v>NA</v>
      </c>
      <c r="O23" s="103" t="str">
        <f>IF($B23="x", Combustion!B$62, "NA")</f>
        <v>NA</v>
      </c>
      <c r="Q23" s="107"/>
      <c r="R23" s="107"/>
      <c r="S23" s="107"/>
      <c r="T23" s="75"/>
    </row>
    <row r="24" spans="1:20" x14ac:dyDescent="0.25">
      <c r="A24" s="558" t="s">
        <v>545</v>
      </c>
      <c r="B24" s="3"/>
      <c r="C24" s="97" t="str">
        <f>IF($B24="x",Pyrolysis!B$40, "NA")</f>
        <v>NA</v>
      </c>
      <c r="D24" s="98" t="str">
        <f>IF($B24="x",Pyrolysis!B$41, "NA")</f>
        <v>NA</v>
      </c>
      <c r="E24" s="98" t="str">
        <f>IF($B24="x",Pyrolysis!B$43, "NA")</f>
        <v>NA</v>
      </c>
      <c r="F24" s="138" t="str">
        <f>IF($B24="x",Pyrolysis!B$39, "NA")</f>
        <v>NA</v>
      </c>
      <c r="G24" s="583" t="str">
        <f>IF($B24="x",H24*Mg_ton,"NA")</f>
        <v>NA</v>
      </c>
      <c r="H24" s="100" t="str">
        <f>IF($B24="x",Pyrolysis!B$7,"NA")</f>
        <v>NA</v>
      </c>
      <c r="I24" s="108" t="str">
        <f>IF($B24="x",Pyrolysis!B$9,"NA")</f>
        <v>NA</v>
      </c>
      <c r="J24" s="91" t="str">
        <f>IF($B24="x", F24/(I24*days_yr),"NA")</f>
        <v>NA</v>
      </c>
      <c r="L24" s="101" t="str">
        <f>IF($B24="x",SUM(Pyrolysis!B$21,Pyrolysis!B$27)*days_yr, "NA")</f>
        <v>NA</v>
      </c>
      <c r="M24" s="102" t="str">
        <f>IF($B24="x", Pyrolysis!B$30*days_yr, "NA")</f>
        <v>NA</v>
      </c>
      <c r="N24" s="102" t="str">
        <f>IF($B24="x", Pyrolysis!B$33*days_yr, "NA")</f>
        <v>NA</v>
      </c>
      <c r="O24" s="103" t="str">
        <f>IF($B24="x", Pyrolysis!B$44, "NA")</f>
        <v>NA</v>
      </c>
      <c r="Q24" s="107"/>
      <c r="R24" s="107"/>
      <c r="S24" s="107"/>
      <c r="T24" s="75"/>
    </row>
    <row r="25" spans="1:20" x14ac:dyDescent="0.25">
      <c r="A25" s="46" t="s">
        <v>182</v>
      </c>
      <c r="B25" s="3"/>
      <c r="C25" s="97" t="str">
        <f>IF($B25="x", 'Land Application'!B$53, "NA")</f>
        <v>NA</v>
      </c>
      <c r="D25" s="98" t="str">
        <f>IF($B25="x", 'Land Application'!B$54, "NA")</f>
        <v>NA</v>
      </c>
      <c r="E25" s="98" t="str">
        <f>IF($B25="x", 'Land Application'!B$56, "NA")</f>
        <v>NA</v>
      </c>
      <c r="F25" s="138" t="str">
        <f>IF($B25="x", 'Land Application'!B$52, "NA")</f>
        <v>NA</v>
      </c>
      <c r="G25" s="583" t="str">
        <f t="shared" si="0"/>
        <v>NA</v>
      </c>
      <c r="H25" s="100" t="str">
        <f>IF($B25="x",'Land Application'!B$7,"NA")</f>
        <v>NA</v>
      </c>
      <c r="I25" s="108" t="str">
        <f>IF($B25="x", 'Land Application'!B$9, "NA")</f>
        <v>NA</v>
      </c>
      <c r="J25" s="91" t="str">
        <f>IF($B25="x", F25/(I25*days_yr),"NA")</f>
        <v>NA</v>
      </c>
      <c r="L25" s="101" t="str">
        <f>IF($B25="x", SUM('Land Application'!B$28,'Land Application'!B$42,'Land Application'!B$45,'Land Application'!B$46,'Land Application'!B$49)*days_yr, "NA")</f>
        <v>NA</v>
      </c>
      <c r="M25" s="102" t="str">
        <f>IF($B25="x", 'Land Application'!B$32*days_yr, "NA")</f>
        <v>NA</v>
      </c>
      <c r="N25" s="102" t="str">
        <f>IF($B25="x", 'Land Application'!B$38*days_yr, "NA")</f>
        <v>NA</v>
      </c>
      <c r="O25" s="103" t="str">
        <f>IF($B25="x", 'Land Application'!B$57, "NA")</f>
        <v>NA</v>
      </c>
      <c r="T25" s="75"/>
    </row>
    <row r="26" spans="1:20" x14ac:dyDescent="0.25">
      <c r="A26" s="558" t="s">
        <v>518</v>
      </c>
      <c r="B26" s="3"/>
      <c r="C26" s="97" t="str">
        <f>IF($B26="x", 'Land Application (2)'!B$53, "NA")</f>
        <v>NA</v>
      </c>
      <c r="D26" s="98" t="str">
        <f>IF($B26="x", 'Land Application (2)'!B$54, "NA")</f>
        <v>NA</v>
      </c>
      <c r="E26" s="98" t="str">
        <f>IF($B26="x", 'Land Application (2)'!B$56, "NA")</f>
        <v>NA</v>
      </c>
      <c r="F26" s="138" t="str">
        <f>IF($B26="x", 'Land Application (2)'!B$52, "NA")</f>
        <v>NA</v>
      </c>
      <c r="G26" s="583" t="str">
        <f t="shared" si="0"/>
        <v>NA</v>
      </c>
      <c r="H26" s="100" t="str">
        <f>IF($B26="x",'Land Application (2)'!B$7,"NA")</f>
        <v>NA</v>
      </c>
      <c r="I26" s="108" t="str">
        <f>IF($B26="x", 'Land Application (2)'!B$9, "NA")</f>
        <v>NA</v>
      </c>
      <c r="J26" s="91" t="str">
        <f t="shared" si="1"/>
        <v>NA</v>
      </c>
      <c r="L26" s="101" t="str">
        <f>IF($B26="x", SUM('Land Application (2)'!B$28,'Land Application (2)'!B$42,'Land Application (2)'!B$45,'Land Application (2)'!B$46,'Land Application (2)'!B$49)*days_yr, "NA")</f>
        <v>NA</v>
      </c>
      <c r="M26" s="102" t="str">
        <f>IF($B26="x", 'Land Application (2)'!B$32*days_yr, "NA")</f>
        <v>NA</v>
      </c>
      <c r="N26" s="102" t="str">
        <f>IF($B26="x", 'Land Application (2)'!B$38*days_yr, "NA")</f>
        <v>NA</v>
      </c>
      <c r="O26" s="103" t="str">
        <f>IF($B26="x", 'Land Application (2)'!B$57, "NA")</f>
        <v>NA</v>
      </c>
      <c r="T26" s="75"/>
    </row>
    <row r="27" spans="1:20" x14ac:dyDescent="0.25">
      <c r="A27" s="970" t="s">
        <v>762</v>
      </c>
      <c r="B27" s="971"/>
      <c r="C27" s="975" t="str">
        <f>IF($B27="x",'Misc Emissions'!$B$23, "NA")</f>
        <v>NA</v>
      </c>
      <c r="D27" s="98" t="str">
        <f>IF($B27="x",'Misc Emissions'!$B$24, "NA")</f>
        <v>NA</v>
      </c>
      <c r="E27" s="98" t="str">
        <f>IF($B27="x",'Misc Emissions'!$B$26, "NA")</f>
        <v>NA</v>
      </c>
      <c r="F27" s="138" t="str">
        <f>IF($B27="x",'Misc Emissions'!$B$22, "NA")</f>
        <v>NA</v>
      </c>
      <c r="G27" s="977" t="s">
        <v>307</v>
      </c>
      <c r="H27" s="978" t="s">
        <v>307</v>
      </c>
      <c r="I27" s="979" t="s">
        <v>307</v>
      </c>
      <c r="J27" s="91" t="s">
        <v>307</v>
      </c>
      <c r="L27" s="972" t="str">
        <f>IF($B27="x",SUM('Misc Emissions'!$B$7,'Misc Emissions'!$B$11,'Misc Emissions'!$B$15,'Misc Emissions'!$B$19)*days_yr,"NA")</f>
        <v>NA</v>
      </c>
      <c r="M27" s="973" t="s">
        <v>102</v>
      </c>
      <c r="N27" s="973" t="s">
        <v>102</v>
      </c>
      <c r="O27" s="974" t="s">
        <v>307</v>
      </c>
      <c r="T27" s="75"/>
    </row>
    <row r="28" spans="1:20" ht="15.75" thickBot="1" x14ac:dyDescent="0.3">
      <c r="A28" s="47" t="s">
        <v>160</v>
      </c>
      <c r="B28" s="4"/>
      <c r="C28" s="112" t="str">
        <f>IF($B28="x",Transportation!$AD7, "NA")</f>
        <v>NA</v>
      </c>
      <c r="D28" s="113" t="str">
        <f>IF($B28="x",Transportation!$AD8, "NA")</f>
        <v>NA</v>
      </c>
      <c r="E28" s="113" t="str">
        <f>IF($B28="x",Transportation!$AD9, "NA")</f>
        <v>NA</v>
      </c>
      <c r="F28" s="140" t="str">
        <f>IF($B28="x",Transportation!$AD6, "NA")</f>
        <v>NA</v>
      </c>
      <c r="G28" s="584">
        <f>+'Amount and Destination'!O30/days_yr</f>
        <v>102.97286799999999</v>
      </c>
      <c r="H28" s="142">
        <f>+'Amount and Destination'!P30/days_yr</f>
        <v>93.441803992740461</v>
      </c>
      <c r="I28" s="142">
        <f>+'Amount and Destination'!AE30/days_yr</f>
        <v>6.7278098874773127</v>
      </c>
      <c r="J28" s="91" t="str">
        <f t="shared" si="1"/>
        <v>NA</v>
      </c>
      <c r="L28" s="115" t="str">
        <f>IF($B28="x",Transportation!$AD6, "NA")</f>
        <v>NA</v>
      </c>
      <c r="M28" s="116" t="s">
        <v>102</v>
      </c>
      <c r="N28" s="116" t="s">
        <v>102</v>
      </c>
      <c r="O28" s="117" t="str">
        <f>IF($B28="x",Transportation!$AD10, "NA")</f>
        <v>NA</v>
      </c>
      <c r="T28" s="75"/>
    </row>
    <row r="29" spans="1:20" ht="18.75" thickBot="1" x14ac:dyDescent="0.3">
      <c r="A29" s="118" t="s">
        <v>278</v>
      </c>
      <c r="B29" s="575"/>
      <c r="C29" s="119">
        <f>SUM(C8:C28)</f>
        <v>6891.3313765067796</v>
      </c>
      <c r="D29" s="120">
        <f>SUM(D8:D28)</f>
        <v>-111.78951811390958</v>
      </c>
      <c r="E29" s="121">
        <f>SUM(E8:E28)</f>
        <v>0</v>
      </c>
      <c r="F29" s="122">
        <f>SUM(F8:F28)</f>
        <v>6779.5418583928704</v>
      </c>
      <c r="G29" s="585"/>
      <c r="H29" s="123"/>
      <c r="I29" s="123"/>
      <c r="J29" s="124"/>
      <c r="L29" s="125">
        <f>SUM(L8:L28)</f>
        <v>-1063.6354920637518</v>
      </c>
      <c r="M29" s="125">
        <f>SUM(M8:M28)</f>
        <v>7411.9475631671594</v>
      </c>
      <c r="N29" s="125">
        <f>SUM(N8:N28)</f>
        <v>431.22978728946327</v>
      </c>
      <c r="O29" s="126">
        <f>SUM(O8:O28)</f>
        <v>600.56071736172225</v>
      </c>
      <c r="T29" s="75"/>
    </row>
    <row r="30" spans="1:20" x14ac:dyDescent="0.25">
      <c r="A30" s="127" t="s">
        <v>296</v>
      </c>
      <c r="T30" s="75"/>
    </row>
    <row r="31" spans="1:20" x14ac:dyDescent="0.25">
      <c r="A31" s="128" t="s">
        <v>277</v>
      </c>
      <c r="T31" s="75"/>
    </row>
    <row r="32" spans="1:20" ht="15.75" thickBot="1" x14ac:dyDescent="0.3">
      <c r="A32" s="132"/>
      <c r="B32" s="133"/>
      <c r="C32" s="133"/>
      <c r="D32" s="133"/>
      <c r="E32" s="133"/>
      <c r="F32" s="133"/>
      <c r="G32" s="133"/>
      <c r="H32" s="133"/>
      <c r="I32" s="133"/>
      <c r="J32" s="133"/>
      <c r="K32" s="133"/>
      <c r="L32" s="133"/>
      <c r="M32" s="133"/>
      <c r="N32" s="133"/>
      <c r="O32" s="133"/>
      <c r="P32" s="133"/>
      <c r="Q32" s="133"/>
      <c r="R32" s="133"/>
      <c r="S32" s="133"/>
      <c r="T32" s="134"/>
    </row>
    <row r="33" spans="1:42" ht="15.75" thickBot="1" x14ac:dyDescent="0.3">
      <c r="A33" s="129" t="s">
        <v>465</v>
      </c>
      <c r="B33" s="863" t="s">
        <v>994</v>
      </c>
      <c r="C33" s="69" t="s">
        <v>541</v>
      </c>
      <c r="D33" s="864" t="s">
        <v>998</v>
      </c>
      <c r="E33" s="865"/>
      <c r="F33" s="865"/>
      <c r="G33" s="865"/>
      <c r="H33" s="865"/>
      <c r="I33" s="865"/>
      <c r="J33" s="866"/>
      <c r="K33" s="72"/>
      <c r="L33" s="72"/>
      <c r="M33" s="72"/>
      <c r="N33" s="72"/>
      <c r="O33" s="72"/>
      <c r="P33" s="72"/>
      <c r="Q33" s="72"/>
      <c r="R33" s="72"/>
      <c r="S33" s="72"/>
      <c r="T33" s="73"/>
      <c r="AK33" s="96"/>
      <c r="AL33" s="96"/>
      <c r="AM33" s="130"/>
      <c r="AN33" s="130"/>
      <c r="AO33" s="130"/>
      <c r="AP33" s="130"/>
    </row>
    <row r="34" spans="1:42" x14ac:dyDescent="0.25">
      <c r="A34" s="74" t="s">
        <v>464</v>
      </c>
      <c r="B34" s="1230"/>
      <c r="C34" s="1230"/>
      <c r="D34" s="1230"/>
      <c r="E34" s="1230"/>
      <c r="F34" s="1230"/>
      <c r="G34" s="1230"/>
      <c r="H34" s="1230"/>
      <c r="I34" s="1230"/>
      <c r="J34" s="1230"/>
      <c r="T34" s="75"/>
    </row>
    <row r="35" spans="1:42" x14ac:dyDescent="0.25">
      <c r="A35" s="74"/>
      <c r="B35" s="1230"/>
      <c r="C35" s="1230"/>
      <c r="D35" s="1230"/>
      <c r="E35" s="1230"/>
      <c r="F35" s="1230"/>
      <c r="G35" s="1230"/>
      <c r="H35" s="1230"/>
      <c r="I35" s="1230"/>
      <c r="J35" s="1230"/>
      <c r="T35" s="75"/>
    </row>
    <row r="36" spans="1:42" x14ac:dyDescent="0.25">
      <c r="A36" s="74"/>
      <c r="B36" s="1230"/>
      <c r="C36" s="1230"/>
      <c r="D36" s="1230"/>
      <c r="E36" s="1230"/>
      <c r="F36" s="1230"/>
      <c r="G36" s="1230"/>
      <c r="H36" s="1230"/>
      <c r="I36" s="1230"/>
      <c r="J36" s="1230"/>
      <c r="T36" s="75"/>
    </row>
    <row r="37" spans="1:42" ht="15.75" thickBot="1" x14ac:dyDescent="0.3">
      <c r="A37" s="74"/>
      <c r="B37" s="1230"/>
      <c r="C37" s="1230"/>
      <c r="D37" s="1230"/>
      <c r="E37" s="1230"/>
      <c r="F37" s="1230"/>
      <c r="G37" s="1230"/>
      <c r="H37" s="1230"/>
      <c r="I37" s="1230"/>
      <c r="J37" s="1230"/>
      <c r="T37" s="75"/>
    </row>
    <row r="38" spans="1:42" ht="16.5" thickBot="1" x14ac:dyDescent="0.3">
      <c r="A38" s="74"/>
      <c r="C38" s="1221" t="s">
        <v>617</v>
      </c>
      <c r="D38" s="1222"/>
      <c r="E38" s="1222"/>
      <c r="F38" s="1223"/>
      <c r="L38" s="1227" t="s">
        <v>531</v>
      </c>
      <c r="M38" s="1228"/>
      <c r="N38" s="1228"/>
      <c r="O38" s="1229"/>
      <c r="T38" s="75"/>
    </row>
    <row r="39" spans="1:42" ht="63.75" thickBot="1" x14ac:dyDescent="0.3">
      <c r="A39" s="45" t="s">
        <v>152</v>
      </c>
      <c r="B39" s="79" t="s">
        <v>101</v>
      </c>
      <c r="C39" s="80" t="s">
        <v>228</v>
      </c>
      <c r="D39" s="81" t="s">
        <v>229</v>
      </c>
      <c r="E39" s="82" t="s">
        <v>230</v>
      </c>
      <c r="F39" s="48" t="s">
        <v>99</v>
      </c>
      <c r="G39" s="83" t="s">
        <v>553</v>
      </c>
      <c r="H39" s="83" t="s">
        <v>554</v>
      </c>
      <c r="I39" s="83" t="s">
        <v>477</v>
      </c>
      <c r="J39" s="83" t="s">
        <v>904</v>
      </c>
      <c r="L39" s="1027" t="s">
        <v>536</v>
      </c>
      <c r="M39" s="84" t="s">
        <v>903</v>
      </c>
      <c r="N39" s="84" t="s">
        <v>902</v>
      </c>
      <c r="O39" s="85" t="s">
        <v>537</v>
      </c>
      <c r="P39" s="95"/>
      <c r="T39" s="75"/>
    </row>
    <row r="40" spans="1:42" x14ac:dyDescent="0.25">
      <c r="A40" s="86" t="s">
        <v>324</v>
      </c>
      <c r="B40" s="3"/>
      <c r="C40" s="87" t="str">
        <f>IF($B40="x",Storage!D$25, "NA")</f>
        <v>NA</v>
      </c>
      <c r="D40" s="88" t="str">
        <f>IF($B40="x",Storage!D$26, "NA")</f>
        <v>NA</v>
      </c>
      <c r="E40" s="88" t="str">
        <f>IF($B40="x",Storage!D$28, "NA")</f>
        <v>NA</v>
      </c>
      <c r="F40" s="89" t="str">
        <f>IF($B40="x",Storage!D$24, "NA")</f>
        <v>NA</v>
      </c>
      <c r="G40" s="90" t="s">
        <v>307</v>
      </c>
      <c r="H40" s="90" t="s">
        <v>307</v>
      </c>
      <c r="I40" s="90" t="s">
        <v>307</v>
      </c>
      <c r="J40" s="91" t="s">
        <v>307</v>
      </c>
      <c r="L40" s="92" t="str">
        <f>IF($B40="x",Storage!D$18*days_yr, "NA")</f>
        <v>NA</v>
      </c>
      <c r="M40" s="93" t="str">
        <f>IF($B40="x",Storage!D$21*days_yr, "NA")</f>
        <v>NA</v>
      </c>
      <c r="N40" s="93" t="s">
        <v>102</v>
      </c>
      <c r="O40" s="94" t="str">
        <f>IF($B40="x",Storage!D$29, "NA")</f>
        <v>NA</v>
      </c>
      <c r="P40" s="104"/>
      <c r="Q40" s="96"/>
      <c r="T40" s="75"/>
    </row>
    <row r="41" spans="1:42" x14ac:dyDescent="0.25">
      <c r="A41" s="46" t="s">
        <v>159</v>
      </c>
      <c r="B41" s="3"/>
      <c r="C41" s="97" t="str">
        <f>IF($B41="x",'Conditioning Thickening'!D$19, "NA")</f>
        <v>NA</v>
      </c>
      <c r="D41" s="98" t="str">
        <f>IF($B41="x",'Conditioning Thickening'!D$20, "NA")</f>
        <v>NA</v>
      </c>
      <c r="E41" s="98" t="str">
        <f>IF($B41="x",'Conditioning Thickening'!D$22, "NA")</f>
        <v>NA</v>
      </c>
      <c r="F41" s="99" t="str">
        <f>IF($B41="x",'Conditioning Thickening'!D$18, "NA")</f>
        <v>NA</v>
      </c>
      <c r="G41" s="100" t="s">
        <v>307</v>
      </c>
      <c r="H41" s="100" t="s">
        <v>307</v>
      </c>
      <c r="I41" s="100" t="s">
        <v>307</v>
      </c>
      <c r="J41" s="91" t="s">
        <v>307</v>
      </c>
      <c r="L41" s="101" t="str">
        <f>IF($B41="x",SUM('Conditioning Thickening'!D$11,'Conditioning Thickening'!D$15)*days_yr, "NA")</f>
        <v>NA</v>
      </c>
      <c r="M41" s="102" t="s">
        <v>102</v>
      </c>
      <c r="N41" s="102" t="s">
        <v>102</v>
      </c>
      <c r="O41" s="103" t="str">
        <f>IF($B41="x",'Conditioning Thickening'!D$23, "NA")</f>
        <v>NA</v>
      </c>
      <c r="P41" s="104"/>
      <c r="Q41" s="96"/>
      <c r="T41" s="75"/>
    </row>
    <row r="42" spans="1:42" x14ac:dyDescent="0.25">
      <c r="A42" s="46" t="s">
        <v>195</v>
      </c>
      <c r="B42" s="3"/>
      <c r="C42" s="97" t="str">
        <f>IF($B42="x",'Aerobic Digestion'!D$26, "NA")</f>
        <v>NA</v>
      </c>
      <c r="D42" s="98" t="str">
        <f>IF($B42="x",'Aerobic Digestion'!D$27, "NA")</f>
        <v>NA</v>
      </c>
      <c r="E42" s="98" t="str">
        <f>IF($B42="x",'Aerobic Digestion'!D$29, "NA")</f>
        <v>NA</v>
      </c>
      <c r="F42" s="99" t="str">
        <f>IF($B42="x",'Aerobic Digestion'!D$25, "NA")</f>
        <v>NA</v>
      </c>
      <c r="G42" s="100" t="s">
        <v>307</v>
      </c>
      <c r="H42" s="100" t="s">
        <v>307</v>
      </c>
      <c r="I42" s="100" t="s">
        <v>307</v>
      </c>
      <c r="J42" s="91" t="s">
        <v>307</v>
      </c>
      <c r="L42" s="101" t="str">
        <f>IF($B42="x",SUM('Aerobic Digestion'!D$21:D$22)*days_yr, "NA")</f>
        <v>NA</v>
      </c>
      <c r="M42" s="102" t="s">
        <v>102</v>
      </c>
      <c r="N42" s="102" t="s">
        <v>102</v>
      </c>
      <c r="O42" s="103" t="str">
        <f>IF($B42="x",'Aerobic Digestion'!D$30, "NA")</f>
        <v>NA</v>
      </c>
      <c r="P42" s="104"/>
      <c r="Q42" s="96"/>
      <c r="T42" s="75"/>
    </row>
    <row r="43" spans="1:42" x14ac:dyDescent="0.25">
      <c r="A43" s="46" t="s">
        <v>197</v>
      </c>
      <c r="B43" s="3" t="s">
        <v>992</v>
      </c>
      <c r="C43" s="97">
        <f>IF($B43="x", 'Anaerobic Digestion'!D$49, "NA")</f>
        <v>57.615374457688333</v>
      </c>
      <c r="D43" s="98">
        <f>IF($B43="x", 'Anaerobic Digestion'!D$50, "NA")</f>
        <v>-930.51067335154073</v>
      </c>
      <c r="E43" s="106">
        <f>IF($B43="x", 'Anaerobic Digestion'!D$52, "NA")</f>
        <v>0</v>
      </c>
      <c r="F43" s="99">
        <f>IF($B43="x", 'Anaerobic Digestion'!D$48, "NA")</f>
        <v>-872.89529889385233</v>
      </c>
      <c r="G43" s="100" t="s">
        <v>307</v>
      </c>
      <c r="H43" s="100" t="s">
        <v>307</v>
      </c>
      <c r="I43" s="100" t="s">
        <v>307</v>
      </c>
      <c r="J43" s="91" t="s">
        <v>307</v>
      </c>
      <c r="L43" s="101">
        <f>IF($B43="x", SUM('Anaerobic Digestion'!D$42:D$43)*days_yr, "NA")</f>
        <v>-930.51067335154073</v>
      </c>
      <c r="M43" s="102">
        <f>IF($B43="x", 'Anaerobic Digestion'!D$44*days_yr, "NA")</f>
        <v>57.615374457688333</v>
      </c>
      <c r="N43" s="102" t="s">
        <v>102</v>
      </c>
      <c r="O43" s="103">
        <f>IF($B43="x", 'Anaerobic Digestion'!D$53, "NA")</f>
        <v>1549.1144963533825</v>
      </c>
      <c r="P43" s="104"/>
      <c r="Q43" s="105"/>
      <c r="T43" s="75"/>
    </row>
    <row r="44" spans="1:42" x14ac:dyDescent="0.25">
      <c r="A44" s="558" t="s">
        <v>516</v>
      </c>
      <c r="B44" s="3"/>
      <c r="C44" s="97" t="str">
        <f>IF($B44="x", 'Anaerobic Digestion (2)'!D$49, "NA")</f>
        <v>NA</v>
      </c>
      <c r="D44" s="98" t="str">
        <f>IF($B44="x", 'Anaerobic Digestion (2)'!D$50, "NA")</f>
        <v>NA</v>
      </c>
      <c r="E44" s="106" t="str">
        <f>IF($B44="x", 'Anaerobic Digestion (2)'!D$52, "NA")</f>
        <v>NA</v>
      </c>
      <c r="F44" s="99" t="str">
        <f>IF($B44="x", 'Anaerobic Digestion (2)'!D$48, "NA")</f>
        <v>NA</v>
      </c>
      <c r="G44" s="100" t="s">
        <v>307</v>
      </c>
      <c r="H44" s="100" t="s">
        <v>307</v>
      </c>
      <c r="I44" s="100" t="s">
        <v>307</v>
      </c>
      <c r="J44" s="91" t="s">
        <v>307</v>
      </c>
      <c r="L44" s="101" t="str">
        <f>IF($B44="x", SUM('Anaerobic Digestion (2)'!D$42:D$43)*days_yr, "NA")</f>
        <v>NA</v>
      </c>
      <c r="M44" s="102" t="str">
        <f>IF($B44="x", 'Anaerobic Digestion (2)'!D$44*days_yr, "NA")</f>
        <v>NA</v>
      </c>
      <c r="N44" s="102" t="s">
        <v>102</v>
      </c>
      <c r="O44" s="103" t="str">
        <f>IF($B44="x", 'Anaerobic Digestion (2)'!D$53, "NA")</f>
        <v>NA</v>
      </c>
      <c r="Q44" s="105"/>
      <c r="T44" s="75"/>
    </row>
    <row r="45" spans="1:42" x14ac:dyDescent="0.25">
      <c r="A45" s="46" t="s">
        <v>223</v>
      </c>
      <c r="B45" s="3"/>
      <c r="C45" s="97" t="str">
        <f>IF($B45="x", 'De-watering'!D$20, "NA")</f>
        <v>NA</v>
      </c>
      <c r="D45" s="98" t="str">
        <f>IF($B45="x", 'De-watering'!D$21, "NA")</f>
        <v>NA</v>
      </c>
      <c r="E45" s="98" t="str">
        <f>IF($B45="x", 'De-watering'!D$23, "NA")</f>
        <v>NA</v>
      </c>
      <c r="F45" s="99" t="str">
        <f>IF($B45="x", 'De-watering'!D$19, "NA")</f>
        <v>NA</v>
      </c>
      <c r="G45" s="100" t="s">
        <v>307</v>
      </c>
      <c r="H45" s="100" t="s">
        <v>307</v>
      </c>
      <c r="I45" s="100" t="s">
        <v>307</v>
      </c>
      <c r="J45" s="91" t="s">
        <v>307</v>
      </c>
      <c r="L45" s="101" t="str">
        <f>IF($B45="x",SUM('De-watering'!D$12,'De-watering'!D$16)*days_yr, "NA")</f>
        <v>NA</v>
      </c>
      <c r="M45" s="102" t="s">
        <v>102</v>
      </c>
      <c r="N45" s="102" t="s">
        <v>102</v>
      </c>
      <c r="O45" s="103" t="str">
        <f>IF($B45="x", 'De-watering'!D$24, "NA")</f>
        <v>NA</v>
      </c>
      <c r="T45" s="75"/>
    </row>
    <row r="46" spans="1:42" x14ac:dyDescent="0.25">
      <c r="A46" s="46" t="s">
        <v>133</v>
      </c>
      <c r="B46" s="3"/>
      <c r="C46" s="97" t="str">
        <f>IF($B46="x", 'Thermal Drying'!D$24, "NA")</f>
        <v>NA</v>
      </c>
      <c r="D46" s="98" t="str">
        <f>IF($B46="x", 'Thermal Drying'!D$25, "NA")</f>
        <v>NA</v>
      </c>
      <c r="E46" s="98" t="str">
        <f>IF($B46="x", 'Thermal Drying'!D$27, "NA")</f>
        <v>NA</v>
      </c>
      <c r="F46" s="99" t="str">
        <f>IF($B46="x", 'Thermal Drying'!D$23, "NA")</f>
        <v>NA</v>
      </c>
      <c r="G46" s="100" t="str">
        <f t="shared" ref="G46:G58" si="2">IF($B46="x",H46*Mg_ton,"NA")</f>
        <v>NA</v>
      </c>
      <c r="H46" s="100" t="str">
        <f>IF($B46="x",'Thermal Drying'!D$6,"NA")</f>
        <v>NA</v>
      </c>
      <c r="I46" s="108" t="str">
        <f>IF($B46="x", 'Thermal Drying'!D$9, "NA")</f>
        <v>NA</v>
      </c>
      <c r="J46" s="91" t="str">
        <f t="shared" ref="J46:J60" si="3">IF($B46="x", F46/(I46*days_yr),"NA")</f>
        <v>NA</v>
      </c>
      <c r="L46" s="101" t="str">
        <f>IF($B46="x",'Thermal Drying'!D23, "NA")</f>
        <v>NA</v>
      </c>
      <c r="M46" s="102" t="s">
        <v>102</v>
      </c>
      <c r="N46" s="102" t="s">
        <v>102</v>
      </c>
      <c r="O46" s="103" t="str">
        <f>IF($B46="x", 'Thermal Drying'!D$28, "NA")</f>
        <v>NA</v>
      </c>
      <c r="T46" s="75"/>
    </row>
    <row r="47" spans="1:42" x14ac:dyDescent="0.25">
      <c r="A47" s="558" t="s">
        <v>645</v>
      </c>
      <c r="B47" s="3"/>
      <c r="C47" s="97" t="str">
        <f>IF($B47="x",BioDrying!D$23, "NA")</f>
        <v>NA</v>
      </c>
      <c r="D47" s="98" t="str">
        <f>IF($B47="x",BioDrying!D$24, "NA")</f>
        <v>NA</v>
      </c>
      <c r="E47" s="98" t="str">
        <f>IF($B47="x",BioDrying!D$26, "NA")</f>
        <v>NA</v>
      </c>
      <c r="F47" s="138" t="str">
        <f>IF($B47="x",BioDrying!D$22, "NA")</f>
        <v>NA</v>
      </c>
      <c r="G47" s="583" t="str">
        <f>IF($B47="x",H47*Mg_ton,"NA")</f>
        <v>NA</v>
      </c>
      <c r="H47" s="100" t="str">
        <f>IF($B47="x",BioDrying!D$6,"NA")</f>
        <v>NA</v>
      </c>
      <c r="I47" s="108" t="str">
        <f>IF($B47="x",BioDrying!D$9,"NA")</f>
        <v>NA</v>
      </c>
      <c r="J47" s="91" t="str">
        <f>IF($B47="x", F47/(I47*days_yr),"NA")</f>
        <v>NA</v>
      </c>
      <c r="L47" s="101" t="str">
        <f>IF($B47="x",BioDrying!D$22, "NA")</f>
        <v>NA</v>
      </c>
      <c r="M47" s="102" t="s">
        <v>102</v>
      </c>
      <c r="N47" s="102" t="s">
        <v>102</v>
      </c>
      <c r="O47" s="103" t="str">
        <f>IF($B47="x",BioDrying!D$27, "NA")</f>
        <v>NA</v>
      </c>
      <c r="T47" s="75"/>
    </row>
    <row r="48" spans="1:42" x14ac:dyDescent="0.25">
      <c r="A48" s="46" t="s">
        <v>269</v>
      </c>
      <c r="B48" s="3"/>
      <c r="C48" s="97" t="str">
        <f>IF($B48="x",'Alkaline Stabilization'!D$24, "NA")</f>
        <v>NA</v>
      </c>
      <c r="D48" s="98" t="str">
        <f>IF($B48="x",'Alkaline Stabilization'!D$25, "NA")</f>
        <v>NA</v>
      </c>
      <c r="E48" s="98" t="str">
        <f>IF($B48="x",'Alkaline Stabilization'!D$27, "NA")</f>
        <v>NA</v>
      </c>
      <c r="F48" s="99" t="str">
        <f>IF($B48="x",'Alkaline Stabilization'!D$23, "NA")</f>
        <v>NA</v>
      </c>
      <c r="G48" s="100" t="str">
        <f t="shared" si="2"/>
        <v>NA</v>
      </c>
      <c r="H48" s="100" t="str">
        <f>IF($B48="x",'Alkaline Stabilization'!D$6,"NA")</f>
        <v>NA</v>
      </c>
      <c r="I48" s="108" t="str">
        <f>IF($B48="x",'Alkaline Stabilization'!D$8, "NA")</f>
        <v>NA</v>
      </c>
      <c r="J48" s="91" t="str">
        <f t="shared" si="3"/>
        <v>NA</v>
      </c>
      <c r="L48" s="101" t="str">
        <f>IF($B48="x",SUM('Alkaline Stabilization'!D$12,'Alkaline Stabilization'!D$16,'Alkaline Stabilization'!D$20)*days_yr, "NA")</f>
        <v>NA</v>
      </c>
      <c r="M48" s="102" t="s">
        <v>102</v>
      </c>
      <c r="N48" s="102" t="s">
        <v>102</v>
      </c>
      <c r="O48" s="103" t="str">
        <f>IF($B48="x",'Alkaline Stabilization'!D$28, "NA")</f>
        <v>NA</v>
      </c>
      <c r="T48" s="75"/>
    </row>
    <row r="49" spans="1:20" x14ac:dyDescent="0.25">
      <c r="A49" s="46" t="s">
        <v>250</v>
      </c>
      <c r="B49" s="3"/>
      <c r="C49" s="97" t="str">
        <f>IF($B49="x", Composting!D$58, "NA")</f>
        <v>NA</v>
      </c>
      <c r="D49" s="98" t="str">
        <f>IF($B49="x", Composting!D$59, "NA")</f>
        <v>NA</v>
      </c>
      <c r="E49" s="98" t="str">
        <f>IF($B49="x", Composting!D$61, "NA")</f>
        <v>NA</v>
      </c>
      <c r="F49" s="99" t="str">
        <f>IF($B49="x", Composting!D$57, "NA")</f>
        <v>NA</v>
      </c>
      <c r="G49" s="100" t="str">
        <f t="shared" si="2"/>
        <v>NA</v>
      </c>
      <c r="H49" s="100" t="str">
        <f>IF($B49="x",Composting!D$7,"NA")</f>
        <v>NA</v>
      </c>
      <c r="I49" s="108" t="str">
        <f>IF($B49="x", Composting!D$9, "NA")</f>
        <v>NA</v>
      </c>
      <c r="J49" s="91" t="str">
        <f t="shared" si="3"/>
        <v>NA</v>
      </c>
      <c r="L49" s="101" t="str">
        <f>IF($B49="x", SUM(Composting!D$34,Composting!D$38,Composting!D$50,Composting!D$53:D$54)*days_yr, "NA")</f>
        <v>NA</v>
      </c>
      <c r="M49" s="102" t="str">
        <f>IF($B49="x", Composting!D$42*days_yr, "NA")</f>
        <v>NA</v>
      </c>
      <c r="N49" s="102" t="str">
        <f>IF($B49="x", Composting!D$46*days_yr, "NA")</f>
        <v>NA</v>
      </c>
      <c r="O49" s="103" t="str">
        <f>IF($B49="x", Composting!D$62, "NA")</f>
        <v>NA</v>
      </c>
      <c r="T49" s="75"/>
    </row>
    <row r="50" spans="1:20" x14ac:dyDescent="0.25">
      <c r="A50" s="558" t="s">
        <v>517</v>
      </c>
      <c r="B50" s="3"/>
      <c r="C50" s="97" t="str">
        <f>IF($B50="x", 'Composting (2)'!D$58, "NA")</f>
        <v>NA</v>
      </c>
      <c r="D50" s="98" t="str">
        <f>IF($B50="x", 'Composting (2)'!D$59, "NA")</f>
        <v>NA</v>
      </c>
      <c r="E50" s="98" t="str">
        <f>IF($B50="x", 'Composting (2)'!D$61, "NA")</f>
        <v>NA</v>
      </c>
      <c r="F50" s="99" t="str">
        <f>IF($B50="x", 'Composting (2)'!D$57, "NA")</f>
        <v>NA</v>
      </c>
      <c r="G50" s="100" t="str">
        <f t="shared" si="2"/>
        <v>NA</v>
      </c>
      <c r="H50" s="100" t="str">
        <f>IF($B50="x",'Composting (2)'!D$7,"NA")</f>
        <v>NA</v>
      </c>
      <c r="I50" s="108" t="str">
        <f>IF($B50="x", 'Composting (2)'!D$9, "NA")</f>
        <v>NA</v>
      </c>
      <c r="J50" s="91" t="str">
        <f t="shared" si="3"/>
        <v>NA</v>
      </c>
      <c r="L50" s="101" t="str">
        <f>IF($B50="x", SUM('Composting (2)'!D$34,'Composting (2)'!D$38,'Composting (2)'!D$49,'Composting (2)'!D$53:D$54)*days_yr, "NA")</f>
        <v>NA</v>
      </c>
      <c r="M50" s="102" t="str">
        <f>IF($B50="x", 'Composting (2)'!D$42*days_yr, "NA")</f>
        <v>NA</v>
      </c>
      <c r="N50" s="102" t="str">
        <f>IF($B50="x", 'Composting (2)'!D$46*days_yr, "NA")</f>
        <v>NA</v>
      </c>
      <c r="O50" s="103" t="str">
        <f>IF($B50="x", 'Composting (2)'!D$62, "NA")</f>
        <v>NA</v>
      </c>
      <c r="T50" s="75"/>
    </row>
    <row r="51" spans="1:20" x14ac:dyDescent="0.25">
      <c r="A51" s="558" t="s">
        <v>532</v>
      </c>
      <c r="B51" s="3"/>
      <c r="C51" s="97" t="str">
        <f>IF($B51="x", 'Landfill Disposal Typical'!D$53, "NA")</f>
        <v>NA</v>
      </c>
      <c r="D51" s="98" t="str">
        <f>IF($B51="x", 'Landfill Disposal Typical'!D$54, "NA")</f>
        <v>NA</v>
      </c>
      <c r="E51" s="98" t="str">
        <f>IF($B51="x", 'Landfill Disposal Typical'!D$56, "NA")</f>
        <v>NA</v>
      </c>
      <c r="F51" s="99" t="str">
        <f>IF($B51="x", 'Landfill Disposal Typical'!D$52, "NA")</f>
        <v>NA</v>
      </c>
      <c r="G51" s="100" t="str">
        <f t="shared" si="2"/>
        <v>NA</v>
      </c>
      <c r="H51" s="100" t="str">
        <f>IF($B51="x",'Landfill Disposal Typical'!D$13,"NA")</f>
        <v>NA</v>
      </c>
      <c r="I51" s="108" t="str">
        <f>IF($B51="x", 'Landfill Disposal Typical'!D$15, "NA")</f>
        <v>NA</v>
      </c>
      <c r="J51" s="91" t="str">
        <f t="shared" si="3"/>
        <v>NA</v>
      </c>
      <c r="L51" s="101" t="str">
        <f>IF($B51="x",('Landfill Disposal Typical'!D$44+'Landfill Disposal Typical'!D$48)*days_yr,"NA")</f>
        <v>NA</v>
      </c>
      <c r="M51" s="102" t="str">
        <f>IF($B51="x",'Landfill Disposal Typical'!D$37*days_yr,"NA")</f>
        <v>NA</v>
      </c>
      <c r="N51" s="102" t="str">
        <f>IF($B51="x",'Landfill Disposal Typical'!D$41*days_yr,"NA")</f>
        <v>NA</v>
      </c>
      <c r="O51" s="103" t="str">
        <f>IF($B51="x",'Landfill Disposal Typical'!D$57,"NA")</f>
        <v>NA</v>
      </c>
      <c r="T51" s="75"/>
    </row>
    <row r="52" spans="1:20" x14ac:dyDescent="0.25">
      <c r="A52" s="558" t="s">
        <v>533</v>
      </c>
      <c r="B52" s="3"/>
      <c r="C52" s="109" t="str">
        <f>IF($B52="x", 'Landfill Disposal Worst-case'!D$53, "NA")</f>
        <v>NA</v>
      </c>
      <c r="D52" s="110" t="str">
        <f>IF($B52="x", 'Landfill Disposal Worst-case'!D$54, "NA")</f>
        <v>NA</v>
      </c>
      <c r="E52" s="110" t="str">
        <f>IF($B52="x", 'Landfill Disposal Worst-case'!D$56, "NA")</f>
        <v>NA</v>
      </c>
      <c r="F52" s="111" t="str">
        <f>IF($B52="x", 'Landfill Disposal Worst-case'!D$52, "NA")</f>
        <v>NA</v>
      </c>
      <c r="G52" s="100" t="str">
        <f t="shared" si="2"/>
        <v>NA</v>
      </c>
      <c r="H52" s="100" t="str">
        <f>IF($B52="x",'Landfill Disposal Worst-case'!D$13,"NA")</f>
        <v>NA</v>
      </c>
      <c r="I52" s="108" t="str">
        <f>IF($B52="x", 'Landfill Disposal Worst-case'!D$15, "NA")</f>
        <v>NA</v>
      </c>
      <c r="J52" s="91" t="str">
        <f t="shared" si="3"/>
        <v>NA</v>
      </c>
      <c r="L52" s="101" t="str">
        <f>IF($B52="x",('Landfill Disposal Worst-case'!D$44+'Landfill Disposal Worst-case'!D$48)*days_yr,"NA")</f>
        <v>NA</v>
      </c>
      <c r="M52" s="102" t="str">
        <f>IF($B52="x",'Landfill Disposal Worst-case'!D$37*days_yr,"NA")</f>
        <v>NA</v>
      </c>
      <c r="N52" s="102" t="str">
        <f>IF($B52="x",'Landfill Disposal Worst-case'!D$41*days_yr,"NA")</f>
        <v>NA</v>
      </c>
      <c r="O52" s="103" t="str">
        <f>IF($B52="x",'Landfill Disposal Worst-case'!D$57,"NA")</f>
        <v>NA</v>
      </c>
      <c r="T52" s="75"/>
    </row>
    <row r="53" spans="1:20" x14ac:dyDescent="0.25">
      <c r="A53" s="558" t="s">
        <v>534</v>
      </c>
      <c r="B53" s="3"/>
      <c r="C53" s="109" t="str">
        <f>IF($B53="x", 'Landfill Disposal Aggressive'!D$53, "NA")</f>
        <v>NA</v>
      </c>
      <c r="D53" s="110" t="str">
        <f>IF($B53="x", 'Landfill Disposal Aggressive'!D$54, "NA")</f>
        <v>NA</v>
      </c>
      <c r="E53" s="110" t="str">
        <f>IF($B53="x", 'Landfill Disposal Aggressive'!D$56, "NA")</f>
        <v>NA</v>
      </c>
      <c r="F53" s="111" t="str">
        <f>IF($B53="x", 'Landfill Disposal Aggressive'!D$52, "NA")</f>
        <v>NA</v>
      </c>
      <c r="G53" s="100" t="str">
        <f t="shared" si="2"/>
        <v>NA</v>
      </c>
      <c r="H53" s="100" t="str">
        <f>IF($B53="x",'Landfill Disposal Aggressive'!D$13,"NA")</f>
        <v>NA</v>
      </c>
      <c r="I53" s="108" t="str">
        <f>IF($B53="x", 'Landfill Disposal Aggressive'!D$15, "NA")</f>
        <v>NA</v>
      </c>
      <c r="J53" s="91" t="str">
        <f t="shared" si="3"/>
        <v>NA</v>
      </c>
      <c r="L53" s="101" t="str">
        <f>IF($B53="x",('Landfill Disposal Aggressive'!D$44+'Landfill Disposal Aggressive'!D$48)*days_yr,"NA")</f>
        <v>NA</v>
      </c>
      <c r="M53" s="102" t="str">
        <f>IF($B53="x",'Landfill Disposal Aggressive'!D$37*days_yr,"NA")</f>
        <v>NA</v>
      </c>
      <c r="N53" s="102" t="str">
        <f>IF($B53="x",'Landfill Disposal Aggressive'!D$41*days_yr,"NA")</f>
        <v>NA</v>
      </c>
      <c r="O53" s="103" t="str">
        <f>IF($B53="x",'Landfill Disposal Aggressive'!D$57,"NA")</f>
        <v>NA</v>
      </c>
      <c r="T53" s="75"/>
    </row>
    <row r="54" spans="1:20" x14ac:dyDescent="0.25">
      <c r="A54" s="558" t="s">
        <v>535</v>
      </c>
      <c r="B54" s="3"/>
      <c r="C54" s="109" t="str">
        <f>IF($B54="x", 'Landfill Disposal CA Regulatory'!D$53, "NA")</f>
        <v>NA</v>
      </c>
      <c r="D54" s="110" t="str">
        <f>IF($B54="x", 'Landfill Disposal CA Regulatory'!D$54, "NA")</f>
        <v>NA</v>
      </c>
      <c r="E54" s="110" t="str">
        <f>IF($B54="x", 'Landfill Disposal CA Regulatory'!D$56, "NA")</f>
        <v>NA</v>
      </c>
      <c r="F54" s="111" t="str">
        <f>IF($B54="x", 'Landfill Disposal CA Regulatory'!D$52, "NA")</f>
        <v>NA</v>
      </c>
      <c r="G54" s="100" t="str">
        <f t="shared" si="2"/>
        <v>NA</v>
      </c>
      <c r="H54" s="100" t="str">
        <f>IF($B54="x",'Landfill Disposal CA Regulatory'!D$13,"NA")</f>
        <v>NA</v>
      </c>
      <c r="I54" s="108" t="str">
        <f>IF($B54="x", 'Landfill Disposal CA Regulatory'!D$15, "NA")</f>
        <v>NA</v>
      </c>
      <c r="J54" s="91" t="str">
        <f t="shared" si="3"/>
        <v>NA</v>
      </c>
      <c r="L54" s="101" t="str">
        <f>IF($B54="x",('Landfill Disposal CA Regulatory'!D$44+'Landfill Disposal CA Regulatory'!D$48)*days_yr,"NA")</f>
        <v>NA</v>
      </c>
      <c r="M54" s="102" t="str">
        <f>IF($B54="x",'Landfill Disposal CA Regulatory'!D$37*days_yr,"NA")</f>
        <v>NA</v>
      </c>
      <c r="N54" s="102" t="str">
        <f>IF($B54="x",'Landfill Disposal CA Regulatory'!D$41*days_yr,"NA")</f>
        <v>NA</v>
      </c>
      <c r="O54" s="103" t="str">
        <f>IF($B54="x",'Landfill Disposal CA Regulatory'!D$57,"NA")</f>
        <v>NA</v>
      </c>
      <c r="T54" s="75"/>
    </row>
    <row r="55" spans="1:20" x14ac:dyDescent="0.25">
      <c r="A55" s="46" t="s">
        <v>222</v>
      </c>
      <c r="B55" s="3"/>
      <c r="C55" s="97" t="str">
        <f>IF($B55="x", Combustion!D$58, "NA")</f>
        <v>NA</v>
      </c>
      <c r="D55" s="98" t="str">
        <f>IF($B55="x", Combustion!D$59, "NA")</f>
        <v>NA</v>
      </c>
      <c r="E55" s="98" t="str">
        <f>IF($B55="x", Combustion!D$61, "NA")</f>
        <v>NA</v>
      </c>
      <c r="F55" s="99" t="str">
        <f>IF($B55="x", Combustion!D$57, "NA")</f>
        <v>NA</v>
      </c>
      <c r="G55" s="100" t="str">
        <f t="shared" si="2"/>
        <v>NA</v>
      </c>
      <c r="H55" s="100" t="str">
        <f>IF($B55="x",Combustion!D$7,"NA")</f>
        <v>NA</v>
      </c>
      <c r="I55" s="108" t="str">
        <f>IF($B55="x", Combustion!D$9, "NA")</f>
        <v>NA</v>
      </c>
      <c r="J55" s="91" t="str">
        <f t="shared" si="3"/>
        <v>NA</v>
      </c>
      <c r="L55" s="101" t="str">
        <f>IF($B55="x", SUM(Combustion!D$30,Combustion!D$36,Combustion!D$48,Combustion!D$51)*days_yr, "NA")</f>
        <v>NA</v>
      </c>
      <c r="M55" s="102" t="str">
        <f>IF($B55="x", Combustion!D$39*days_yr, "NA")</f>
        <v>NA</v>
      </c>
      <c r="N55" s="102" t="str">
        <f>IF($B55="x", Combustion!D$45*days_yr, "NA")</f>
        <v>NA</v>
      </c>
      <c r="O55" s="103" t="str">
        <f>IF($B55="x", Combustion!D$62, "NA")</f>
        <v>NA</v>
      </c>
      <c r="T55" s="75"/>
    </row>
    <row r="56" spans="1:20" x14ac:dyDescent="0.25">
      <c r="A56" s="558" t="s">
        <v>545</v>
      </c>
      <c r="B56" s="3"/>
      <c r="C56" s="97" t="str">
        <f>IF($B56="x",Pyrolysis!D$40, "NA")</f>
        <v>NA</v>
      </c>
      <c r="D56" s="98" t="str">
        <f>IF($B56="x",Pyrolysis!D$41, "NA")</f>
        <v>NA</v>
      </c>
      <c r="E56" s="98" t="str">
        <f>IF($B56="x",Pyrolysis!D$43, "NA")</f>
        <v>NA</v>
      </c>
      <c r="F56" s="138" t="str">
        <f>IF($B56="x",Pyrolysis!D$39, "NA")</f>
        <v>NA</v>
      </c>
      <c r="G56" s="583" t="str">
        <f>IF($B56="x",H56*Mg_ton,"NA")</f>
        <v>NA</v>
      </c>
      <c r="H56" s="100" t="str">
        <f>IF($B56="x",Pyrolysis!D$7,"NA")</f>
        <v>NA</v>
      </c>
      <c r="I56" s="108" t="str">
        <f>IF($B56="x",Pyrolysis!D$9,"NA")</f>
        <v>NA</v>
      </c>
      <c r="J56" s="91" t="str">
        <f>IF($B56="x", F56/(I56*days_yr),"NA")</f>
        <v>NA</v>
      </c>
      <c r="L56" s="101" t="str">
        <f>IF($B56="x",SUM(Pyrolysis!D$21,Pyrolysis!D$27)*days_yr, "NA")</f>
        <v>NA</v>
      </c>
      <c r="M56" s="102" t="str">
        <f>IF($B56="x", Pyrolysis!D$30*days_yr, "NA")</f>
        <v>NA</v>
      </c>
      <c r="N56" s="102" t="str">
        <f>IF($B56="x", Pyrolysis!D$33*days_yr, "NA")</f>
        <v>NA</v>
      </c>
      <c r="O56" s="103" t="str">
        <f>IF($B56="x", Pyrolysis!D$44, "NA")</f>
        <v>NA</v>
      </c>
      <c r="T56" s="75"/>
    </row>
    <row r="57" spans="1:20" x14ac:dyDescent="0.25">
      <c r="A57" s="46" t="s">
        <v>182</v>
      </c>
      <c r="B57" s="3" t="s">
        <v>992</v>
      </c>
      <c r="C57" s="97">
        <f>IF($B57="x", 'Land Application'!D$53, "NA")</f>
        <v>74.492729546191327</v>
      </c>
      <c r="D57" s="98">
        <f>IF($B57="x", 'Land Application'!D$54, "NA")</f>
        <v>0</v>
      </c>
      <c r="E57" s="98">
        <f>IF($B57="x", 'Land Application'!D$56, "NA")</f>
        <v>-73.179288</v>
      </c>
      <c r="F57" s="99">
        <f>IF($B57="x", 'Land Application'!D$52, "NA")</f>
        <v>1.3134415461913362</v>
      </c>
      <c r="G57" s="100">
        <f t="shared" si="2"/>
        <v>12.8934</v>
      </c>
      <c r="H57" s="100">
        <f>IF($B57="x",'Land Application'!D$7,"NA")</f>
        <v>11.7</v>
      </c>
      <c r="I57" s="108">
        <f>IF($B57="x", 'Land Application'!D$9, "NA")</f>
        <v>0.84239999999999993</v>
      </c>
      <c r="J57" s="91">
        <f t="shared" si="3"/>
        <v>4.2716880218011694E-3</v>
      </c>
      <c r="L57" s="101">
        <f>IF($B57="x", SUM('Land Application'!D$28,'Land Application'!D$42,'Land Application'!D$45,'Land Application'!D$46,'Land Application'!D$49)*days_yr, "NA")</f>
        <v>-111.52845537963725</v>
      </c>
      <c r="M57" s="102">
        <f>IF($B57="x", 'Land Application'!D$32*days_yr, "NA")</f>
        <v>8.8604333999999998</v>
      </c>
      <c r="N57" s="102">
        <f>IF($B57="x", 'Land Application'!D$38*days_yr, "NA")</f>
        <v>103.98146352582856</v>
      </c>
      <c r="O57" s="103" t="str">
        <f>IF($B57="x", 'Land Application'!D$57, "NA")</f>
        <v>-</v>
      </c>
      <c r="T57" s="75"/>
    </row>
    <row r="58" spans="1:20" x14ac:dyDescent="0.25">
      <c r="A58" s="558" t="s">
        <v>518</v>
      </c>
      <c r="B58" s="3"/>
      <c r="C58" s="97" t="str">
        <f>IF($B58="x", 'Land Application (2)'!D$53, "NA")</f>
        <v>NA</v>
      </c>
      <c r="D58" s="98" t="str">
        <f>IF($B58="x", 'Land Application (2)'!D$54, "NA")</f>
        <v>NA</v>
      </c>
      <c r="E58" s="98" t="str">
        <f>IF($B58="x", 'Land Application (2)'!D$56, "NA")</f>
        <v>NA</v>
      </c>
      <c r="F58" s="99" t="str">
        <f>IF($B58="x", 'Land Application (2)'!D$52, "NA")</f>
        <v>NA</v>
      </c>
      <c r="G58" s="100" t="str">
        <f t="shared" si="2"/>
        <v>NA</v>
      </c>
      <c r="H58" s="100" t="str">
        <f>IF($B58="x",'Land Application (2)'!D$7,"NA")</f>
        <v>NA</v>
      </c>
      <c r="I58" s="108" t="str">
        <f>IF($B58="x", 'Land Application (2)'!D$9, "NA")</f>
        <v>NA</v>
      </c>
      <c r="J58" s="91" t="str">
        <f t="shared" si="3"/>
        <v>NA</v>
      </c>
      <c r="L58" s="101" t="str">
        <f>IF($B58="x", SUM('Land Application (2)'!D$28,'Land Application (2)'!D$42,'Land Application (2)'!D$45,'Land Application (2)'!D$46,'Land Application (2)'!D$49)*days_yr, "NA")</f>
        <v>NA</v>
      </c>
      <c r="M58" s="102" t="str">
        <f>IF($B58="x", 'Land Application (2)'!D$32*days_yr, "NA")</f>
        <v>NA</v>
      </c>
      <c r="N58" s="102" t="str">
        <f>IF($B58="x", 'Land Application (2)'!D$38*days_yr, "NA")</f>
        <v>NA</v>
      </c>
      <c r="O58" s="103" t="str">
        <f>IF($B58="x", 'Land Application (2)'!D$57, "NA")</f>
        <v>NA</v>
      </c>
      <c r="T58" s="75"/>
    </row>
    <row r="59" spans="1:20" x14ac:dyDescent="0.25">
      <c r="A59" s="970" t="s">
        <v>762</v>
      </c>
      <c r="B59" s="971"/>
      <c r="C59" s="975" t="str">
        <f>IF($B59="x",'Misc Emissions'!$D$23, "NA")</f>
        <v>NA</v>
      </c>
      <c r="D59" s="98" t="str">
        <f>IF($B59="x",'Misc Emissions'!$D$24, "NA")</f>
        <v>NA</v>
      </c>
      <c r="E59" s="98" t="str">
        <f>IF($B59="x",'Misc Emissions'!$D$26, "NA")</f>
        <v>NA</v>
      </c>
      <c r="F59" s="138" t="str">
        <f>IF($B59="x",'Misc Emissions'!$D$22, "NA")</f>
        <v>NA</v>
      </c>
      <c r="G59" s="977" t="s">
        <v>307</v>
      </c>
      <c r="H59" s="978" t="s">
        <v>307</v>
      </c>
      <c r="I59" s="979" t="s">
        <v>307</v>
      </c>
      <c r="J59" s="91" t="s">
        <v>307</v>
      </c>
      <c r="L59" s="972" t="str">
        <f>IF($B59="x",SUM('Misc Emissions'!$D$7,'Misc Emissions'!$D$11,'Misc Emissions'!$D$15,'Misc Emissions'!$D$19)*days_yr,"NA")</f>
        <v>NA</v>
      </c>
      <c r="M59" s="973" t="s">
        <v>102</v>
      </c>
      <c r="N59" s="973" t="s">
        <v>102</v>
      </c>
      <c r="O59" s="974" t="s">
        <v>307</v>
      </c>
      <c r="T59" s="75"/>
    </row>
    <row r="60" spans="1:20" ht="15.75" thickBot="1" x14ac:dyDescent="0.3">
      <c r="A60" s="47" t="s">
        <v>160</v>
      </c>
      <c r="B60" s="4"/>
      <c r="C60" s="112" t="str">
        <f>IF($B60="x",Transportation!$AD17, "NA")</f>
        <v>NA</v>
      </c>
      <c r="D60" s="113" t="str">
        <f>IF($B60="x",Transportation!$AD18, "NA")</f>
        <v>NA</v>
      </c>
      <c r="E60" s="113" t="str">
        <f>IF($B60="x",Transportation!$AD19, "NA")</f>
        <v>NA</v>
      </c>
      <c r="F60" s="114" t="str">
        <f>IF($B60="x",Transportation!$AD16, "NA")</f>
        <v>NA</v>
      </c>
      <c r="G60" s="862">
        <f>+'Amount and Destination'!O59/days_yr</f>
        <v>102.97286799999999</v>
      </c>
      <c r="H60" s="142">
        <f>+'Amount and Destination'!P59/days_yr</f>
        <v>93.441803992740461</v>
      </c>
      <c r="I60" s="142">
        <f>+'Amount and Destination'!AE59/days_yr</f>
        <v>6.7278098874773127</v>
      </c>
      <c r="J60" s="91" t="str">
        <f t="shared" si="3"/>
        <v>NA</v>
      </c>
      <c r="L60" s="115" t="str">
        <f>IF($B60="x",Transportation!$AD17, "NA")</f>
        <v>NA</v>
      </c>
      <c r="M60" s="131" t="s">
        <v>102</v>
      </c>
      <c r="N60" s="116" t="s">
        <v>102</v>
      </c>
      <c r="O60" s="117" t="str">
        <f>IF($B60="x",Transportation!$AD20, "NA")</f>
        <v>NA</v>
      </c>
      <c r="T60" s="75"/>
    </row>
    <row r="61" spans="1:20" ht="18.75" thickBot="1" x14ac:dyDescent="0.3">
      <c r="A61" s="118" t="s">
        <v>278</v>
      </c>
      <c r="C61" s="119">
        <f>SUM(C40:C60)</f>
        <v>132.10810400387965</v>
      </c>
      <c r="D61" s="120">
        <f>SUM(D40:D60)</f>
        <v>-930.51067335154073</v>
      </c>
      <c r="E61" s="121">
        <f>SUM(E40:E60)</f>
        <v>-73.179288</v>
      </c>
      <c r="F61" s="122">
        <f>SUM(F40:F60)</f>
        <v>-871.58185734766096</v>
      </c>
      <c r="G61" s="123"/>
      <c r="H61" s="123"/>
      <c r="I61" s="123"/>
      <c r="J61" s="124"/>
      <c r="L61" s="125">
        <f>SUM(L40:L60)</f>
        <v>-1042.0391287311779</v>
      </c>
      <c r="M61" s="125">
        <f>SUM(M40:M60)</f>
        <v>66.475807857688338</v>
      </c>
      <c r="N61" s="125">
        <f>SUM(N40:N60)</f>
        <v>103.98146352582856</v>
      </c>
      <c r="O61" s="126">
        <f>SUM(O40:O60)</f>
        <v>1549.1144963533825</v>
      </c>
      <c r="T61" s="75"/>
    </row>
    <row r="62" spans="1:20" x14ac:dyDescent="0.25">
      <c r="A62" s="127" t="s">
        <v>296</v>
      </c>
      <c r="T62" s="75"/>
    </row>
    <row r="63" spans="1:20" x14ac:dyDescent="0.25">
      <c r="A63" s="128" t="s">
        <v>277</v>
      </c>
      <c r="T63" s="75"/>
    </row>
    <row r="64" spans="1:20" ht="15.75" thickBot="1" x14ac:dyDescent="0.3">
      <c r="A64" s="132"/>
      <c r="B64" s="133"/>
      <c r="C64" s="133"/>
      <c r="D64" s="133"/>
      <c r="E64" s="133"/>
      <c r="F64" s="133"/>
      <c r="G64" s="133"/>
      <c r="H64" s="133"/>
      <c r="I64" s="133"/>
      <c r="J64" s="133"/>
      <c r="K64" s="133"/>
      <c r="L64" s="133"/>
      <c r="M64" s="133"/>
      <c r="N64" s="133"/>
      <c r="O64" s="133"/>
      <c r="P64" s="133"/>
      <c r="Q64" s="133"/>
      <c r="R64" s="133"/>
      <c r="S64" s="133"/>
      <c r="T64" s="134"/>
    </row>
    <row r="65" spans="1:37" ht="15.75" thickBot="1" x14ac:dyDescent="0.3">
      <c r="A65" s="129" t="s">
        <v>466</v>
      </c>
      <c r="B65" s="2"/>
      <c r="C65" s="69" t="s">
        <v>541</v>
      </c>
      <c r="D65" s="43"/>
      <c r="E65" s="70"/>
      <c r="F65" s="70"/>
      <c r="G65" s="70"/>
      <c r="H65" s="70"/>
      <c r="I65" s="70"/>
      <c r="J65" s="71"/>
      <c r="K65" s="72"/>
      <c r="L65" s="72"/>
      <c r="M65" s="72"/>
      <c r="N65" s="72"/>
      <c r="O65" s="72"/>
      <c r="Q65" s="72"/>
      <c r="R65" s="72"/>
      <c r="S65" s="72"/>
      <c r="T65" s="73"/>
    </row>
    <row r="66" spans="1:37" x14ac:dyDescent="0.25">
      <c r="A66" s="74" t="s">
        <v>464</v>
      </c>
      <c r="B66" s="1230"/>
      <c r="C66" s="1230"/>
      <c r="D66" s="1230"/>
      <c r="E66" s="1230"/>
      <c r="F66" s="1230"/>
      <c r="G66" s="1230"/>
      <c r="H66" s="1230"/>
      <c r="I66" s="1230"/>
      <c r="J66" s="1230"/>
      <c r="T66" s="75"/>
    </row>
    <row r="67" spans="1:37" x14ac:dyDescent="0.25">
      <c r="A67" s="74"/>
      <c r="B67" s="1230"/>
      <c r="C67" s="1230"/>
      <c r="D67" s="1230"/>
      <c r="E67" s="1230"/>
      <c r="F67" s="1230"/>
      <c r="G67" s="1230"/>
      <c r="H67" s="1230"/>
      <c r="I67" s="1230"/>
      <c r="J67" s="1230"/>
      <c r="T67" s="75"/>
    </row>
    <row r="68" spans="1:37" x14ac:dyDescent="0.25">
      <c r="A68" s="74"/>
      <c r="B68" s="1230"/>
      <c r="C68" s="1230"/>
      <c r="D68" s="1230"/>
      <c r="E68" s="1230"/>
      <c r="F68" s="1230"/>
      <c r="G68" s="1230"/>
      <c r="H68" s="1230"/>
      <c r="I68" s="1230"/>
      <c r="J68" s="1230"/>
      <c r="T68" s="75"/>
    </row>
    <row r="69" spans="1:37" ht="15.75" thickBot="1" x14ac:dyDescent="0.3">
      <c r="A69" s="74"/>
      <c r="B69" s="1230"/>
      <c r="C69" s="1230"/>
      <c r="D69" s="1230"/>
      <c r="E69" s="1230"/>
      <c r="F69" s="1230"/>
      <c r="G69" s="1230"/>
      <c r="H69" s="1230"/>
      <c r="I69" s="1230"/>
      <c r="J69" s="1230"/>
      <c r="T69" s="75"/>
    </row>
    <row r="70" spans="1:37" ht="16.5" thickBot="1" x14ac:dyDescent="0.3">
      <c r="A70" s="74"/>
      <c r="C70" s="1221" t="s">
        <v>617</v>
      </c>
      <c r="D70" s="1222"/>
      <c r="E70" s="1222"/>
      <c r="F70" s="1223"/>
      <c r="L70" s="1227" t="s">
        <v>531</v>
      </c>
      <c r="M70" s="1228"/>
      <c r="N70" s="1228"/>
      <c r="O70" s="1229"/>
      <c r="T70" s="75"/>
    </row>
    <row r="71" spans="1:37" ht="63.75" thickBot="1" x14ac:dyDescent="0.3">
      <c r="A71" s="45" t="s">
        <v>152</v>
      </c>
      <c r="B71" s="79" t="s">
        <v>101</v>
      </c>
      <c r="C71" s="80" t="s">
        <v>228</v>
      </c>
      <c r="D71" s="81" t="s">
        <v>229</v>
      </c>
      <c r="E71" s="82" t="s">
        <v>230</v>
      </c>
      <c r="F71" s="48" t="s">
        <v>99</v>
      </c>
      <c r="G71" s="83" t="s">
        <v>553</v>
      </c>
      <c r="H71" s="83" t="s">
        <v>554</v>
      </c>
      <c r="I71" s="83" t="s">
        <v>477</v>
      </c>
      <c r="J71" s="83" t="s">
        <v>904</v>
      </c>
      <c r="L71" s="1027" t="s">
        <v>536</v>
      </c>
      <c r="M71" s="84" t="s">
        <v>903</v>
      </c>
      <c r="N71" s="84" t="s">
        <v>902</v>
      </c>
      <c r="O71" s="85" t="s">
        <v>537</v>
      </c>
      <c r="P71" s="95"/>
      <c r="T71" s="75"/>
    </row>
    <row r="72" spans="1:37" x14ac:dyDescent="0.25">
      <c r="A72" s="86" t="s">
        <v>324</v>
      </c>
      <c r="B72" s="3"/>
      <c r="C72" s="87" t="str">
        <f>IF($B72="x",Storage!F$25, "NA")</f>
        <v>NA</v>
      </c>
      <c r="D72" s="88" t="str">
        <f>IF($B72="x",Storage!F$26, "NA")</f>
        <v>NA</v>
      </c>
      <c r="E72" s="88" t="str">
        <f>IF($B72="x",Storage!F$28, "NA")</f>
        <v>NA</v>
      </c>
      <c r="F72" s="89" t="str">
        <f>IF($B72="x",Storage!F$24, "NA")</f>
        <v>NA</v>
      </c>
      <c r="G72" s="90" t="s">
        <v>307</v>
      </c>
      <c r="H72" s="90" t="s">
        <v>307</v>
      </c>
      <c r="I72" s="90" t="s">
        <v>307</v>
      </c>
      <c r="J72" s="91" t="s">
        <v>307</v>
      </c>
      <c r="L72" s="92" t="str">
        <f>IF($B72="x",Storage!F$18*days_yr, "NA")</f>
        <v>NA</v>
      </c>
      <c r="M72" s="93" t="str">
        <f>IF($B72="x",Storage!F$21*days_yr, "NA")</f>
        <v>NA</v>
      </c>
      <c r="N72" s="93" t="s">
        <v>102</v>
      </c>
      <c r="O72" s="94" t="str">
        <f>IF($B72="x",Storage!F$29, "NA")</f>
        <v>NA</v>
      </c>
      <c r="P72" s="104"/>
      <c r="Q72" s="96"/>
      <c r="T72" s="75"/>
      <c r="AK72" s="130"/>
    </row>
    <row r="73" spans="1:37" x14ac:dyDescent="0.25">
      <c r="A73" s="46" t="s">
        <v>159</v>
      </c>
      <c r="B73" s="3"/>
      <c r="C73" s="97" t="str">
        <f>IF($B73="x",'Conditioning Thickening'!F$19, "NA")</f>
        <v>NA</v>
      </c>
      <c r="D73" s="98" t="str">
        <f>IF($B73="x",'Conditioning Thickening'!F$20, "NA")</f>
        <v>NA</v>
      </c>
      <c r="E73" s="98" t="str">
        <f>IF($B73="x",'Conditioning Thickening'!F$22, "NA")</f>
        <v>NA</v>
      </c>
      <c r="F73" s="99" t="str">
        <f>IF($B73="x",'Conditioning Thickening'!F$18, "NA")</f>
        <v>NA</v>
      </c>
      <c r="G73" s="100" t="s">
        <v>307</v>
      </c>
      <c r="H73" s="100" t="s">
        <v>307</v>
      </c>
      <c r="I73" s="100" t="s">
        <v>307</v>
      </c>
      <c r="J73" s="91" t="s">
        <v>307</v>
      </c>
      <c r="L73" s="101" t="str">
        <f>IF($B73="x",SUM('Conditioning Thickening'!F$11,'Conditioning Thickening'!F$15)*days_yr, "NA")</f>
        <v>NA</v>
      </c>
      <c r="M73" s="102" t="s">
        <v>102</v>
      </c>
      <c r="N73" s="102" t="s">
        <v>102</v>
      </c>
      <c r="O73" s="103" t="str">
        <f>IF($B73="x",'Conditioning Thickening'!F$23, "NA")</f>
        <v>NA</v>
      </c>
      <c r="P73" s="104"/>
      <c r="Q73" s="96"/>
      <c r="T73" s="75"/>
    </row>
    <row r="74" spans="1:37" x14ac:dyDescent="0.25">
      <c r="A74" s="46" t="s">
        <v>195</v>
      </c>
      <c r="B74" s="3"/>
      <c r="C74" s="97" t="str">
        <f>IF($B74="x",'Aerobic Digestion'!F$26, "NA")</f>
        <v>NA</v>
      </c>
      <c r="D74" s="98" t="str">
        <f>IF($B74="x",'Aerobic Digestion'!F$27, "NA")</f>
        <v>NA</v>
      </c>
      <c r="E74" s="98" t="str">
        <f>IF($B74="x",'Aerobic Digestion'!F$29, "NA")</f>
        <v>NA</v>
      </c>
      <c r="F74" s="99" t="str">
        <f>IF($B74="x",'Aerobic Digestion'!F$25, "NA")</f>
        <v>NA</v>
      </c>
      <c r="G74" s="100" t="s">
        <v>307</v>
      </c>
      <c r="H74" s="100" t="s">
        <v>307</v>
      </c>
      <c r="I74" s="100" t="s">
        <v>307</v>
      </c>
      <c r="J74" s="91" t="s">
        <v>307</v>
      </c>
      <c r="L74" s="101" t="str">
        <f>IF($B74="x",SUM('Aerobic Digestion'!F$21:F$22)*days_yr, "NA")</f>
        <v>NA</v>
      </c>
      <c r="M74" s="102" t="s">
        <v>102</v>
      </c>
      <c r="N74" s="102" t="s">
        <v>102</v>
      </c>
      <c r="O74" s="103" t="str">
        <f>IF($B74="x",'Aerobic Digestion'!F$30, "NA")</f>
        <v>NA</v>
      </c>
      <c r="P74" s="104"/>
      <c r="Q74" s="96"/>
      <c r="T74" s="75"/>
    </row>
    <row r="75" spans="1:37" x14ac:dyDescent="0.25">
      <c r="A75" s="46" t="s">
        <v>197</v>
      </c>
      <c r="B75" s="3"/>
      <c r="C75" s="97" t="str">
        <f>IF($B75="x", 'Anaerobic Digestion'!F$49, "NA")</f>
        <v>NA</v>
      </c>
      <c r="D75" s="98" t="str">
        <f>IF($B75="x", 'Anaerobic Digestion'!F$50, "NA")</f>
        <v>NA</v>
      </c>
      <c r="E75" s="106" t="str">
        <f>IF($B75="x", 'Anaerobic Digestion'!F$52, "NA")</f>
        <v>NA</v>
      </c>
      <c r="F75" s="99" t="str">
        <f>IF($B75="x", 'Anaerobic Digestion'!F$48, "NA")</f>
        <v>NA</v>
      </c>
      <c r="G75" s="100" t="s">
        <v>307</v>
      </c>
      <c r="H75" s="100" t="s">
        <v>307</v>
      </c>
      <c r="I75" s="100" t="s">
        <v>307</v>
      </c>
      <c r="J75" s="91" t="s">
        <v>307</v>
      </c>
      <c r="L75" s="101" t="str">
        <f>IF($B75="x", SUM('Anaerobic Digestion'!F$42:F$43)*days_yr, "NA")</f>
        <v>NA</v>
      </c>
      <c r="M75" s="102" t="str">
        <f>IF($B75="x", 'Anaerobic Digestion'!F$44*days_yr, "NA")</f>
        <v>NA</v>
      </c>
      <c r="N75" s="102" t="s">
        <v>102</v>
      </c>
      <c r="O75" s="103" t="str">
        <f>IF($B75="x", 'Anaerobic Digestion'!F$53, "NA")</f>
        <v>NA</v>
      </c>
      <c r="P75" s="104"/>
      <c r="Q75" s="105"/>
      <c r="T75" s="75"/>
    </row>
    <row r="76" spans="1:37" x14ac:dyDescent="0.25">
      <c r="A76" s="558" t="s">
        <v>516</v>
      </c>
      <c r="B76" s="3"/>
      <c r="C76" s="97" t="str">
        <f>IF($B76="x", 'Anaerobic Digestion (2)'!F$49, "NA")</f>
        <v>NA</v>
      </c>
      <c r="D76" s="98" t="str">
        <f>IF($B76="x", 'Anaerobic Digestion (2)'!F$50, "NA")</f>
        <v>NA</v>
      </c>
      <c r="E76" s="106" t="str">
        <f>IF($B76="x", 'Anaerobic Digestion (2)'!F$52, "NA")</f>
        <v>NA</v>
      </c>
      <c r="F76" s="99" t="str">
        <f>IF($B76="x", 'Anaerobic Digestion (2)'!F$48, "NA")</f>
        <v>NA</v>
      </c>
      <c r="G76" s="100" t="s">
        <v>307</v>
      </c>
      <c r="H76" s="100" t="s">
        <v>307</v>
      </c>
      <c r="I76" s="100" t="s">
        <v>307</v>
      </c>
      <c r="J76" s="91" t="s">
        <v>307</v>
      </c>
      <c r="L76" s="101" t="str">
        <f>IF($B76="x", SUM('Anaerobic Digestion (2)'!F$42:F$43)*days_yr, "NA")</f>
        <v>NA</v>
      </c>
      <c r="M76" s="102" t="str">
        <f>IF($B76="x", 'Anaerobic Digestion (2)'!F$44*days_yr, "NA")</f>
        <v>NA</v>
      </c>
      <c r="N76" s="102" t="s">
        <v>102</v>
      </c>
      <c r="O76" s="103" t="str">
        <f>IF($B76="x", 'Anaerobic Digestion (2)'!F$53, "NA")</f>
        <v>NA</v>
      </c>
      <c r="Q76" s="105"/>
      <c r="T76" s="75"/>
    </row>
    <row r="77" spans="1:37" x14ac:dyDescent="0.25">
      <c r="A77" s="46" t="s">
        <v>223</v>
      </c>
      <c r="B77" s="3"/>
      <c r="C77" s="97" t="str">
        <f>IF($B77="x", 'De-watering'!F$20, "NA")</f>
        <v>NA</v>
      </c>
      <c r="D77" s="98" t="str">
        <f>IF($B77="x", 'De-watering'!F$21, "NA")</f>
        <v>NA</v>
      </c>
      <c r="E77" s="98" t="str">
        <f>IF($B77="x", 'De-watering'!F$23, "NA")</f>
        <v>NA</v>
      </c>
      <c r="F77" s="99" t="str">
        <f>IF($B77="x", 'De-watering'!F$19, "NA")</f>
        <v>NA</v>
      </c>
      <c r="G77" s="100" t="s">
        <v>307</v>
      </c>
      <c r="H77" s="100" t="s">
        <v>307</v>
      </c>
      <c r="I77" s="100" t="s">
        <v>307</v>
      </c>
      <c r="J77" s="91" t="s">
        <v>307</v>
      </c>
      <c r="L77" s="101" t="str">
        <f>IF($B77="x", SUM('De-watering'!F$12,'De-watering'!F$16)*days_yr, "NA")</f>
        <v>NA</v>
      </c>
      <c r="M77" s="102" t="s">
        <v>102</v>
      </c>
      <c r="N77" s="102" t="s">
        <v>102</v>
      </c>
      <c r="O77" s="103" t="str">
        <f>IF($B77="x", 'De-watering'!F$24, "NA")</f>
        <v>NA</v>
      </c>
      <c r="T77" s="75"/>
    </row>
    <row r="78" spans="1:37" x14ac:dyDescent="0.25">
      <c r="A78" s="46" t="s">
        <v>133</v>
      </c>
      <c r="B78" s="3"/>
      <c r="C78" s="97" t="str">
        <f>IF($B78="x", 'Thermal Drying'!F$24, "NA")</f>
        <v>NA</v>
      </c>
      <c r="D78" s="98" t="str">
        <f>IF($B78="x", 'Thermal Drying'!F$25, "NA")</f>
        <v>NA</v>
      </c>
      <c r="E78" s="98" t="str">
        <f>IF($B78="x", 'Thermal Drying'!F$27, "NA")</f>
        <v>NA</v>
      </c>
      <c r="F78" s="99" t="str">
        <f>IF($B78="x", 'Thermal Drying'!F$23, "NA")</f>
        <v>NA</v>
      </c>
      <c r="G78" s="100" t="str">
        <f t="shared" ref="G78:G90" si="4">IF($B78="x",H78*Mg_ton,"NA")</f>
        <v>NA</v>
      </c>
      <c r="H78" s="100" t="str">
        <f>IF($B78="x",'Thermal Drying'!F$6,"NA")</f>
        <v>NA</v>
      </c>
      <c r="I78" s="108" t="str">
        <f>IF($B78="x", 'Thermal Drying'!F$9, "NA")</f>
        <v>NA</v>
      </c>
      <c r="J78" s="91" t="str">
        <f t="shared" ref="J78:J92" si="5">IF($B78="x", F78/(I78*days_yr),"NA")</f>
        <v>NA</v>
      </c>
      <c r="L78" s="101" t="str">
        <f>IF($B78="x",'Thermal Drying'!F$23, "NA")</f>
        <v>NA</v>
      </c>
      <c r="M78" s="102" t="s">
        <v>102</v>
      </c>
      <c r="N78" s="102" t="s">
        <v>102</v>
      </c>
      <c r="O78" s="103" t="str">
        <f>IF($B78="x", 'Thermal Drying'!F$28, "NA")</f>
        <v>NA</v>
      </c>
      <c r="T78" s="75"/>
    </row>
    <row r="79" spans="1:37" x14ac:dyDescent="0.25">
      <c r="A79" s="558" t="s">
        <v>645</v>
      </c>
      <c r="B79" s="3"/>
      <c r="C79" s="97" t="str">
        <f>IF($B79="x",BioDrying!F$23, "NA")</f>
        <v>NA</v>
      </c>
      <c r="D79" s="98" t="str">
        <f>IF($B79="x",BioDrying!F$24, "NA")</f>
        <v>NA</v>
      </c>
      <c r="E79" s="98" t="str">
        <f>IF($B79="x",BioDrying!F$26, "NA")</f>
        <v>NA</v>
      </c>
      <c r="F79" s="138" t="str">
        <f>IF($B79="x",BioDrying!F$22, "NA")</f>
        <v>NA</v>
      </c>
      <c r="G79" s="583" t="str">
        <f>IF($B79="x",H79*Mg_ton,"NA")</f>
        <v>NA</v>
      </c>
      <c r="H79" s="100" t="str">
        <f>IF($B79="x",BioDrying!F$6,"NA")</f>
        <v>NA</v>
      </c>
      <c r="I79" s="108" t="str">
        <f>IF($B79="x",BioDrying!F$9,"NA")</f>
        <v>NA</v>
      </c>
      <c r="J79" s="91" t="str">
        <f>IF($B79="x", F79/(I79*days_yr),"NA")</f>
        <v>NA</v>
      </c>
      <c r="L79" s="101" t="str">
        <f>IF($B79="x",BioDrying!F$22, "NA")</f>
        <v>NA</v>
      </c>
      <c r="M79" s="102" t="s">
        <v>102</v>
      </c>
      <c r="N79" s="102" t="s">
        <v>102</v>
      </c>
      <c r="O79" s="103" t="str">
        <f>IF($B79="x",BioDrying!F$27, "NA")</f>
        <v>NA</v>
      </c>
      <c r="T79" s="75"/>
    </row>
    <row r="80" spans="1:37" x14ac:dyDescent="0.25">
      <c r="A80" s="46" t="s">
        <v>269</v>
      </c>
      <c r="B80" s="3"/>
      <c r="C80" s="97" t="str">
        <f>IF($B80="x",'Alkaline Stabilization'!F$24, "NA")</f>
        <v>NA</v>
      </c>
      <c r="D80" s="98" t="str">
        <f>IF($B80="x",'Alkaline Stabilization'!F$25, "NA")</f>
        <v>NA</v>
      </c>
      <c r="E80" s="98" t="str">
        <f>IF($B80="x",'Alkaline Stabilization'!F$27, "NA")</f>
        <v>NA</v>
      </c>
      <c r="F80" s="99" t="str">
        <f>IF($B80="x",'Alkaline Stabilization'!F$23, "NA")</f>
        <v>NA</v>
      </c>
      <c r="G80" s="100" t="str">
        <f t="shared" si="4"/>
        <v>NA</v>
      </c>
      <c r="H80" s="100" t="str">
        <f>IF($B80="x",'Alkaline Stabilization'!F$6,"NA")</f>
        <v>NA</v>
      </c>
      <c r="I80" s="108" t="str">
        <f>IF($B80="x",'Alkaline Stabilization'!F$8, "NA")</f>
        <v>NA</v>
      </c>
      <c r="J80" s="91" t="str">
        <f t="shared" si="5"/>
        <v>NA</v>
      </c>
      <c r="L80" s="101" t="str">
        <f>IF($B80="x",SUM('Alkaline Stabilization'!F$12,'Alkaline Stabilization'!F$16,'Alkaline Stabilization'!F$20)*days_yr, "NA")</f>
        <v>NA</v>
      </c>
      <c r="M80" s="102" t="s">
        <v>102</v>
      </c>
      <c r="N80" s="102" t="s">
        <v>102</v>
      </c>
      <c r="O80" s="103" t="str">
        <f>IF($B80="x",'Alkaline Stabilization'!F$28, "NA")</f>
        <v>NA</v>
      </c>
      <c r="T80" s="75"/>
    </row>
    <row r="81" spans="1:20" x14ac:dyDescent="0.25">
      <c r="A81" s="46" t="s">
        <v>250</v>
      </c>
      <c r="B81" s="3"/>
      <c r="C81" s="97" t="str">
        <f>IF($B81="x", Composting!F$58, "NA")</f>
        <v>NA</v>
      </c>
      <c r="D81" s="98" t="str">
        <f>IF($B81="x", Composting!F$59, "NA")</f>
        <v>NA</v>
      </c>
      <c r="E81" s="98" t="str">
        <f>IF($B81="x", Composting!F$61, "NA")</f>
        <v>NA</v>
      </c>
      <c r="F81" s="99" t="str">
        <f>IF($B81="x", Composting!F$57, "NA")</f>
        <v>NA</v>
      </c>
      <c r="G81" s="100" t="str">
        <f t="shared" si="4"/>
        <v>NA</v>
      </c>
      <c r="H81" s="100" t="str">
        <f>IF($B81="x",Composting!F$7,"NA")</f>
        <v>NA</v>
      </c>
      <c r="I81" s="108" t="str">
        <f>IF($B81="x", Composting!F$9, "NA")</f>
        <v>NA</v>
      </c>
      <c r="J81" s="91" t="str">
        <f t="shared" si="5"/>
        <v>NA</v>
      </c>
      <c r="L81" s="101" t="str">
        <f>IF($B81="x", SUM(Composting!F$34,Composting!F$38,Composting!F$50,Composting!F$53:F$54)*days_yr, "NA")</f>
        <v>NA</v>
      </c>
      <c r="M81" s="102" t="str">
        <f>IF($B81="x", Composting!F$42*days_yr, "NA")</f>
        <v>NA</v>
      </c>
      <c r="N81" s="102" t="str">
        <f>IF($B81="x", Composting!F$46*days_yr, "NA")</f>
        <v>NA</v>
      </c>
      <c r="O81" s="103" t="str">
        <f>IF($B81="x", Composting!F$62, "NA")</f>
        <v>NA</v>
      </c>
      <c r="T81" s="75"/>
    </row>
    <row r="82" spans="1:20" x14ac:dyDescent="0.25">
      <c r="A82" s="558" t="s">
        <v>517</v>
      </c>
      <c r="B82" s="3"/>
      <c r="C82" s="97" t="str">
        <f>IF($B82="x", 'Composting (2)'!F$58, "NA")</f>
        <v>NA</v>
      </c>
      <c r="D82" s="98" t="str">
        <f>IF($B82="x", 'Composting (2)'!F$59, "NA")</f>
        <v>NA</v>
      </c>
      <c r="E82" s="98" t="str">
        <f>IF($B82="x", 'Composting (2)'!F$61, "NA")</f>
        <v>NA</v>
      </c>
      <c r="F82" s="99" t="str">
        <f>IF($B82="x", 'Composting (2)'!F$57, "NA")</f>
        <v>NA</v>
      </c>
      <c r="G82" s="100" t="str">
        <f t="shared" si="4"/>
        <v>NA</v>
      </c>
      <c r="H82" s="100" t="str">
        <f>IF($B82="x",'Composting (2)'!F$7,"NA")</f>
        <v>NA</v>
      </c>
      <c r="I82" s="108" t="str">
        <f>IF($B82="x", 'Composting (2)'!F$9, "NA")</f>
        <v>NA</v>
      </c>
      <c r="J82" s="91" t="str">
        <f t="shared" si="5"/>
        <v>NA</v>
      </c>
      <c r="L82" s="101" t="str">
        <f>IF($B82="x", SUM('Composting (2)'!F$34,'Composting (2)'!F$38,'Composting (2)'!F$49,'Composting (2)'!F$53:F$54)*days_yr, "NA")</f>
        <v>NA</v>
      </c>
      <c r="M82" s="102" t="str">
        <f>IF($B82="x", 'Composting (2)'!F$42*days_yr, "NA")</f>
        <v>NA</v>
      </c>
      <c r="N82" s="102" t="str">
        <f>IF($B82="x", 'Composting (2)'!F$46*days_yr, "NA")</f>
        <v>NA</v>
      </c>
      <c r="O82" s="103" t="str">
        <f>IF($B82="x", 'Composting (2)'!F$62, "NA")</f>
        <v>NA</v>
      </c>
      <c r="T82" s="75"/>
    </row>
    <row r="83" spans="1:20" x14ac:dyDescent="0.25">
      <c r="A83" s="558" t="s">
        <v>532</v>
      </c>
      <c r="B83" s="3"/>
      <c r="C83" s="97" t="str">
        <f>IF($B83="x", 'Landfill Disposal Typical'!F$53, "NA")</f>
        <v>NA</v>
      </c>
      <c r="D83" s="98" t="str">
        <f>IF($B83="x", 'Landfill Disposal Typical'!F$54, "NA")</f>
        <v>NA</v>
      </c>
      <c r="E83" s="98" t="str">
        <f>IF($B83="x", 'Landfill Disposal Typical'!F$56, "NA")</f>
        <v>NA</v>
      </c>
      <c r="F83" s="99" t="str">
        <f>IF($B83="x", 'Landfill Disposal Typical'!F$52, "NA")</f>
        <v>NA</v>
      </c>
      <c r="G83" s="100" t="str">
        <f t="shared" si="4"/>
        <v>NA</v>
      </c>
      <c r="H83" s="100" t="str">
        <f>IF($B83="x",'Landfill Disposal Typical'!F$13,"NA")</f>
        <v>NA</v>
      </c>
      <c r="I83" s="108" t="str">
        <f>IF($B83="x", 'Landfill Disposal Typical'!F$15, "NA")</f>
        <v>NA</v>
      </c>
      <c r="J83" s="91" t="str">
        <f t="shared" si="5"/>
        <v>NA</v>
      </c>
      <c r="L83" s="101" t="str">
        <f>IF($B83="x",('Landfill Disposal Typical'!F$44+'Landfill Disposal Typical'!F$48)*days_yr,"NA")</f>
        <v>NA</v>
      </c>
      <c r="M83" s="102" t="str">
        <f>IF($B83="x",'Landfill Disposal Typical'!F$37*days_yr,"NA")</f>
        <v>NA</v>
      </c>
      <c r="N83" s="102" t="str">
        <f>IF($B83="x",'Landfill Disposal Typical'!F$41*days_yr,"NA")</f>
        <v>NA</v>
      </c>
      <c r="O83" s="103" t="str">
        <f>IF($B83="x",'Landfill Disposal Typical'!F$57,"NA")</f>
        <v>NA</v>
      </c>
      <c r="T83" s="75"/>
    </row>
    <row r="84" spans="1:20" x14ac:dyDescent="0.25">
      <c r="A84" s="558" t="s">
        <v>533</v>
      </c>
      <c r="B84" s="3"/>
      <c r="C84" s="109" t="str">
        <f>IF($B84="x", 'Landfill Disposal Worst-case'!F$53, "NA")</f>
        <v>NA</v>
      </c>
      <c r="D84" s="110" t="str">
        <f>IF($B84="x", 'Landfill Disposal Worst-case'!F$54, "NA")</f>
        <v>NA</v>
      </c>
      <c r="E84" s="110" t="str">
        <f>IF($B84="x", 'Landfill Disposal Worst-case'!F$56, "NA")</f>
        <v>NA</v>
      </c>
      <c r="F84" s="111" t="str">
        <f>IF($B84="x", 'Landfill Disposal Worst-case'!F$52, "NA")</f>
        <v>NA</v>
      </c>
      <c r="G84" s="100" t="str">
        <f t="shared" si="4"/>
        <v>NA</v>
      </c>
      <c r="H84" s="100" t="str">
        <f>IF($B84="x",'Landfill Disposal Worst-case'!F$13,"NA")</f>
        <v>NA</v>
      </c>
      <c r="I84" s="108" t="str">
        <f>IF($B84="x", 'Landfill Disposal Worst-case'!F$15, "NA")</f>
        <v>NA</v>
      </c>
      <c r="J84" s="91" t="str">
        <f t="shared" si="5"/>
        <v>NA</v>
      </c>
      <c r="L84" s="101" t="str">
        <f>IF($B84="x",('Landfill Disposal Worst-case'!F$44+'Landfill Disposal Worst-case'!F$48)*days_yr,"NA")</f>
        <v>NA</v>
      </c>
      <c r="M84" s="102" t="str">
        <f>IF($B84="x",'Landfill Disposal Worst-case'!F$37*days_yr,"NA")</f>
        <v>NA</v>
      </c>
      <c r="N84" s="102" t="str">
        <f>IF($B84="x",'Landfill Disposal Worst-case'!F$41*days_yr,"NA")</f>
        <v>NA</v>
      </c>
      <c r="O84" s="103" t="str">
        <f>IF($B84="x",'Landfill Disposal Worst-case'!F$57,"NA")</f>
        <v>NA</v>
      </c>
      <c r="T84" s="75"/>
    </row>
    <row r="85" spans="1:20" x14ac:dyDescent="0.25">
      <c r="A85" s="558" t="s">
        <v>534</v>
      </c>
      <c r="B85" s="3"/>
      <c r="C85" s="109" t="str">
        <f>IF($B85="x", 'Landfill Disposal Aggressive'!F$53, "NA")</f>
        <v>NA</v>
      </c>
      <c r="D85" s="110" t="str">
        <f>IF($B85="x", 'Landfill Disposal Aggressive'!F$54, "NA")</f>
        <v>NA</v>
      </c>
      <c r="E85" s="110" t="str">
        <f>IF($B85="x", 'Landfill Disposal Aggressive'!F$56, "NA")</f>
        <v>NA</v>
      </c>
      <c r="F85" s="111" t="str">
        <f>IF($B85="x", 'Landfill Disposal Aggressive'!F$52, "NA")</f>
        <v>NA</v>
      </c>
      <c r="G85" s="100" t="str">
        <f t="shared" si="4"/>
        <v>NA</v>
      </c>
      <c r="H85" s="100" t="str">
        <f>IF($B85="x",'Landfill Disposal Aggressive'!F$13,"NA")</f>
        <v>NA</v>
      </c>
      <c r="I85" s="108" t="str">
        <f>IF($B85="x", 'Landfill Disposal Aggressive'!F$15, "NA")</f>
        <v>NA</v>
      </c>
      <c r="J85" s="91" t="str">
        <f t="shared" si="5"/>
        <v>NA</v>
      </c>
      <c r="L85" s="101" t="str">
        <f>IF($B85="x",('Landfill Disposal Aggressive'!F$44+'Landfill Disposal Aggressive'!F$48)*days_yr,"NA")</f>
        <v>NA</v>
      </c>
      <c r="M85" s="102" t="str">
        <f>IF($B85="x",'Landfill Disposal Aggressive'!F$37*days_yr,"NA")</f>
        <v>NA</v>
      </c>
      <c r="N85" s="102" t="str">
        <f>IF($B85="x",'Landfill Disposal Aggressive'!F$41*days_yr,"NA")</f>
        <v>NA</v>
      </c>
      <c r="O85" s="103" t="str">
        <f>IF($B85="x",'Landfill Disposal Aggressive'!F$57,"NA")</f>
        <v>NA</v>
      </c>
      <c r="T85" s="75"/>
    </row>
    <row r="86" spans="1:20" x14ac:dyDescent="0.25">
      <c r="A86" s="558" t="s">
        <v>535</v>
      </c>
      <c r="B86" s="3"/>
      <c r="C86" s="109" t="str">
        <f>IF($B86="x", 'Landfill Disposal CA Regulatory'!F$53, "NA")</f>
        <v>NA</v>
      </c>
      <c r="D86" s="110" t="str">
        <f>IF($B86="x", 'Landfill Disposal CA Regulatory'!F$54, "NA")</f>
        <v>NA</v>
      </c>
      <c r="E86" s="110" t="str">
        <f>IF($B86="x", 'Landfill Disposal CA Regulatory'!F$56, "NA")</f>
        <v>NA</v>
      </c>
      <c r="F86" s="111" t="str">
        <f>IF($B86="x", 'Landfill Disposal CA Regulatory'!F$52, "NA")</f>
        <v>NA</v>
      </c>
      <c r="G86" s="100" t="str">
        <f t="shared" si="4"/>
        <v>NA</v>
      </c>
      <c r="H86" s="100" t="str">
        <f>IF($B86="x",'Landfill Disposal CA Regulatory'!F$13,"NA")</f>
        <v>NA</v>
      </c>
      <c r="I86" s="108" t="str">
        <f>IF($B86="x", 'Landfill Disposal CA Regulatory'!F$15, "NA")</f>
        <v>NA</v>
      </c>
      <c r="J86" s="91" t="str">
        <f t="shared" si="5"/>
        <v>NA</v>
      </c>
      <c r="L86" s="101" t="str">
        <f>IF($B86="x",('Landfill Disposal CA Regulatory'!F$44+'Landfill Disposal CA Regulatory'!F$48)*days_yr,"NA")</f>
        <v>NA</v>
      </c>
      <c r="M86" s="102" t="str">
        <f>IF($B86="x",'Landfill Disposal CA Regulatory'!F$37*days_yr,"NA")</f>
        <v>NA</v>
      </c>
      <c r="N86" s="102" t="str">
        <f>IF($B86="x",'Landfill Disposal CA Regulatory'!F$41*days_yr,"NA")</f>
        <v>NA</v>
      </c>
      <c r="O86" s="103" t="str">
        <f>IF($B86="x",'Landfill Disposal CA Regulatory'!F$57,"NA")</f>
        <v>NA</v>
      </c>
      <c r="T86" s="75"/>
    </row>
    <row r="87" spans="1:20" x14ac:dyDescent="0.25">
      <c r="A87" s="46" t="s">
        <v>222</v>
      </c>
      <c r="B87" s="3"/>
      <c r="C87" s="97" t="str">
        <f>IF($B87="x", Combustion!F$58, "NA")</f>
        <v>NA</v>
      </c>
      <c r="D87" s="98" t="str">
        <f>IF($B87="x", Combustion!F$59, "NA")</f>
        <v>NA</v>
      </c>
      <c r="E87" s="98" t="str">
        <f>IF($B87="x", Combustion!F$61, "NA")</f>
        <v>NA</v>
      </c>
      <c r="F87" s="99" t="str">
        <f>IF($B87="x", Combustion!F$57, "NA")</f>
        <v>NA</v>
      </c>
      <c r="G87" s="100" t="str">
        <f t="shared" si="4"/>
        <v>NA</v>
      </c>
      <c r="H87" s="100" t="str">
        <f>IF($B87="x",Combustion!F$7,"NA")</f>
        <v>NA</v>
      </c>
      <c r="I87" s="108" t="str">
        <f>IF($B87="x", Combustion!F$9, "NA")</f>
        <v>NA</v>
      </c>
      <c r="J87" s="91" t="str">
        <f t="shared" si="5"/>
        <v>NA</v>
      </c>
      <c r="L87" s="101" t="str">
        <f>IF($B87="x", SUM(Combustion!F$30,Combustion!F$36,Combustion!F$48,Combustion!F$51)*days_yr, "NA")</f>
        <v>NA</v>
      </c>
      <c r="M87" s="102" t="str">
        <f>IF($B87="x", Combustion!F$39*days_yr, "NA")</f>
        <v>NA</v>
      </c>
      <c r="N87" s="102" t="str">
        <f>IF($B87="x", Combustion!F$45*days_yr, "NA")</f>
        <v>NA</v>
      </c>
      <c r="O87" s="103" t="str">
        <f>IF($B87="x", Combustion!F$62, "NA")</f>
        <v>NA</v>
      </c>
      <c r="T87" s="75"/>
    </row>
    <row r="88" spans="1:20" x14ac:dyDescent="0.25">
      <c r="A88" s="558" t="s">
        <v>545</v>
      </c>
      <c r="B88" s="3"/>
      <c r="C88" s="97" t="str">
        <f>IF($B88="x",Pyrolysis!F$40, "NA")</f>
        <v>NA</v>
      </c>
      <c r="D88" s="98" t="str">
        <f>IF($B88="x",Pyrolysis!F$41, "NA")</f>
        <v>NA</v>
      </c>
      <c r="E88" s="98" t="str">
        <f>IF($B88="x",Pyrolysis!F$43, "NA")</f>
        <v>NA</v>
      </c>
      <c r="F88" s="138" t="str">
        <f>IF($B88="x",Pyrolysis!F$39, "NA")</f>
        <v>NA</v>
      </c>
      <c r="G88" s="583" t="str">
        <f>IF($B88="x",H88*Mg_ton,"NA")</f>
        <v>NA</v>
      </c>
      <c r="H88" s="100" t="str">
        <f>IF($B88="x",Pyrolysis!F$7,"NA")</f>
        <v>NA</v>
      </c>
      <c r="I88" s="108" t="str">
        <f>IF($B88="x",Pyrolysis!F$9,"NA")</f>
        <v>NA</v>
      </c>
      <c r="J88" s="91" t="str">
        <f>IF($B88="x", F88/(I88*days_yr),"NA")</f>
        <v>NA</v>
      </c>
      <c r="L88" s="101" t="str">
        <f>IF($B88="x",SUM(Pyrolysis!F$21,Pyrolysis!F$27)*days_yr, "NA")</f>
        <v>NA</v>
      </c>
      <c r="M88" s="102" t="str">
        <f>IF($B88="x", Pyrolysis!F$30*days_yr, "NA")</f>
        <v>NA</v>
      </c>
      <c r="N88" s="102" t="str">
        <f>IF($B88="x", Pyrolysis!F$33*days_yr, "NA")</f>
        <v>NA</v>
      </c>
      <c r="O88" s="103" t="str">
        <f>IF($B88="x", Pyrolysis!F$44, "NA")</f>
        <v>NA</v>
      </c>
      <c r="T88" s="75"/>
    </row>
    <row r="89" spans="1:20" x14ac:dyDescent="0.25">
      <c r="A89" s="46" t="s">
        <v>182</v>
      </c>
      <c r="B89" s="3"/>
      <c r="C89" s="97" t="str">
        <f>IF($B89="x", 'Land Application'!F$53, "NA")</f>
        <v>NA</v>
      </c>
      <c r="D89" s="98" t="str">
        <f>IF($B89="x", 'Land Application'!F$54, "NA")</f>
        <v>NA</v>
      </c>
      <c r="E89" s="98" t="str">
        <f>IF($B89="x", 'Land Application'!F$56, "NA")</f>
        <v>NA</v>
      </c>
      <c r="F89" s="99" t="str">
        <f>IF($B89="x", 'Land Application'!F$52, "NA")</f>
        <v>NA</v>
      </c>
      <c r="G89" s="100" t="str">
        <f t="shared" si="4"/>
        <v>NA</v>
      </c>
      <c r="H89" s="100" t="str">
        <f>IF($B89="x",'Land Application'!F$7,"NA")</f>
        <v>NA</v>
      </c>
      <c r="I89" s="108" t="str">
        <f>IF($B89="x", 'Land Application'!F$9, "NA")</f>
        <v>NA</v>
      </c>
      <c r="J89" s="91" t="str">
        <f t="shared" si="5"/>
        <v>NA</v>
      </c>
      <c r="L89" s="101" t="str">
        <f>IF($B89="x", SUM('Land Application'!F$28,'Land Application'!F$42,'Land Application'!F$45,'Land Application'!F$46,'Land Application'!F$49)*days_yr, "NA")</f>
        <v>NA</v>
      </c>
      <c r="M89" s="102" t="str">
        <f>IF($B89="x", 'Land Application'!F$32*days_yr, "NA")</f>
        <v>NA</v>
      </c>
      <c r="N89" s="102" t="str">
        <f>IF($B89="x", 'Land Application'!F$38*days_yr, "NA")</f>
        <v>NA</v>
      </c>
      <c r="O89" s="103" t="str">
        <f>IF($B89="x", 'Land Application'!F$57, "NA")</f>
        <v>NA</v>
      </c>
      <c r="T89" s="75"/>
    </row>
    <row r="90" spans="1:20" x14ac:dyDescent="0.25">
      <c r="A90" s="558" t="s">
        <v>518</v>
      </c>
      <c r="B90" s="3"/>
      <c r="C90" s="97" t="str">
        <f>IF($B90="x", 'Land Application (2)'!F$53, "NA")</f>
        <v>NA</v>
      </c>
      <c r="D90" s="98" t="str">
        <f>IF($B90="x", 'Land Application (2)'!F$54, "NA")</f>
        <v>NA</v>
      </c>
      <c r="E90" s="98" t="str">
        <f>IF($B90="x", 'Land Application (2)'!F$56, "NA")</f>
        <v>NA</v>
      </c>
      <c r="F90" s="99" t="str">
        <f>IF($B90="x", 'Land Application (2)'!F$52, "NA")</f>
        <v>NA</v>
      </c>
      <c r="G90" s="100" t="str">
        <f t="shared" si="4"/>
        <v>NA</v>
      </c>
      <c r="H90" s="100" t="str">
        <f>IF($B90="x",'Land Application (2)'!F$7,"NA")</f>
        <v>NA</v>
      </c>
      <c r="I90" s="108" t="str">
        <f>IF($B90="x", 'Land Application (2)'!F$9, "NA")</f>
        <v>NA</v>
      </c>
      <c r="J90" s="91" t="str">
        <f t="shared" si="5"/>
        <v>NA</v>
      </c>
      <c r="L90" s="101" t="str">
        <f>IF($B90="x", SUM('Land Application (2)'!F$28,'Land Application (2)'!F$42,'Land Application (2)'!F$45,'Land Application (2)'!F$46,'Land Application (2)'!F$49)*days_yr, "NA")</f>
        <v>NA</v>
      </c>
      <c r="M90" s="102" t="str">
        <f>IF($B90="x", 'Land Application (2)'!F$32*days_yr, "NA")</f>
        <v>NA</v>
      </c>
      <c r="N90" s="102" t="str">
        <f>IF($B90="x", 'Land Application (2)'!F$38*days_yr, "NA")</f>
        <v>NA</v>
      </c>
      <c r="O90" s="103" t="str">
        <f>IF($B90="x", 'Land Application (2)'!F$57, "NA")</f>
        <v>NA</v>
      </c>
      <c r="T90" s="75"/>
    </row>
    <row r="91" spans="1:20" x14ac:dyDescent="0.25">
      <c r="A91" s="970" t="s">
        <v>762</v>
      </c>
      <c r="B91" s="971"/>
      <c r="C91" s="975" t="str">
        <f>IF($B91="x",'Misc Emissions'!$F$23, "NA")</f>
        <v>NA</v>
      </c>
      <c r="D91" s="98" t="str">
        <f>IF($B91="x",'Misc Emissions'!$F$24, "NA")</f>
        <v>NA</v>
      </c>
      <c r="E91" s="98" t="str">
        <f>IF($B91="x",'Misc Emissions'!$F$26, "NA")</f>
        <v>NA</v>
      </c>
      <c r="F91" s="138" t="str">
        <f>IF($B91="x",'Misc Emissions'!$F$22, "NA")</f>
        <v>NA</v>
      </c>
      <c r="G91" s="977" t="s">
        <v>307</v>
      </c>
      <c r="H91" s="978" t="s">
        <v>307</v>
      </c>
      <c r="I91" s="979" t="s">
        <v>307</v>
      </c>
      <c r="J91" s="91" t="s">
        <v>307</v>
      </c>
      <c r="L91" s="972" t="str">
        <f>IF($B91="x",SUM('Misc Emissions'!$F$7,'Misc Emissions'!$F$11,'Misc Emissions'!$F$15,'Misc Emissions'!$F$19)*days_yr,"NA")</f>
        <v>NA</v>
      </c>
      <c r="M91" s="973" t="s">
        <v>102</v>
      </c>
      <c r="N91" s="973" t="s">
        <v>102</v>
      </c>
      <c r="O91" s="974" t="s">
        <v>307</v>
      </c>
      <c r="T91" s="75"/>
    </row>
    <row r="92" spans="1:20" ht="15.75" thickBot="1" x14ac:dyDescent="0.3">
      <c r="A92" s="47" t="s">
        <v>160</v>
      </c>
      <c r="B92" s="4"/>
      <c r="C92" s="112" t="str">
        <f>IF($B92="x",Transportation!$AD27, "NA")</f>
        <v>NA</v>
      </c>
      <c r="D92" s="113" t="str">
        <f>IF($B92="x",Transportation!$AD28, "NA")</f>
        <v>NA</v>
      </c>
      <c r="E92" s="113" t="str">
        <f>IF($B92="x",Transportation!$AD29, "NA")</f>
        <v>NA</v>
      </c>
      <c r="F92" s="114" t="str">
        <f>IF($B92="x",Transportation!$AD26, "NA")</f>
        <v>NA</v>
      </c>
      <c r="G92" s="142">
        <f>+'Amount and Destination'!O88/days_yr</f>
        <v>0</v>
      </c>
      <c r="H92" s="142">
        <f>+'Amount and Destination'!P88/days_yr</f>
        <v>0</v>
      </c>
      <c r="I92" s="142">
        <f>+'Amount and Destination'!AE88/days_yr</f>
        <v>0</v>
      </c>
      <c r="J92" s="91" t="str">
        <f t="shared" si="5"/>
        <v>NA</v>
      </c>
      <c r="L92" s="115" t="str">
        <f>IF($B92="x",Transportation!$AD27, "NA")</f>
        <v>NA</v>
      </c>
      <c r="M92" s="116" t="s">
        <v>102</v>
      </c>
      <c r="N92" s="116" t="s">
        <v>102</v>
      </c>
      <c r="O92" s="117" t="str">
        <f>IF($B92="x",Transportation!$AD30, "NA")</f>
        <v>NA</v>
      </c>
      <c r="T92" s="75"/>
    </row>
    <row r="93" spans="1:20" ht="18.75" thickBot="1" x14ac:dyDescent="0.3">
      <c r="A93" s="118" t="s">
        <v>278</v>
      </c>
      <c r="C93" s="119">
        <f>SUM(C72:C92)</f>
        <v>0</v>
      </c>
      <c r="D93" s="120">
        <f>SUM(D72:D92)</f>
        <v>0</v>
      </c>
      <c r="E93" s="121">
        <f>SUM(E72:E92)</f>
        <v>0</v>
      </c>
      <c r="F93" s="122">
        <f>SUM(F72:F92)</f>
        <v>0</v>
      </c>
      <c r="G93" s="123"/>
      <c r="H93" s="123"/>
      <c r="I93" s="123"/>
      <c r="J93" s="124"/>
      <c r="L93" s="125">
        <f>SUM(L72:L92)</f>
        <v>0</v>
      </c>
      <c r="M93" s="125">
        <f>SUM(M72:M92)</f>
        <v>0</v>
      </c>
      <c r="N93" s="125">
        <f>SUM(N72:N92)</f>
        <v>0</v>
      </c>
      <c r="O93" s="126">
        <f>SUM(O72:O92)</f>
        <v>0</v>
      </c>
      <c r="T93" s="75"/>
    </row>
    <row r="94" spans="1:20" x14ac:dyDescent="0.25">
      <c r="A94" s="127" t="s">
        <v>296</v>
      </c>
      <c r="T94" s="75"/>
    </row>
    <row r="95" spans="1:20" x14ac:dyDescent="0.25">
      <c r="A95" s="128" t="s">
        <v>277</v>
      </c>
      <c r="T95" s="75"/>
    </row>
    <row r="96" spans="1:20" ht="15.75" thickBot="1" x14ac:dyDescent="0.3">
      <c r="A96" s="132"/>
      <c r="B96" s="133"/>
      <c r="C96" s="133"/>
      <c r="D96" s="133"/>
      <c r="E96" s="133"/>
      <c r="F96" s="133"/>
      <c r="G96" s="133"/>
      <c r="H96" s="133"/>
      <c r="I96" s="133"/>
      <c r="J96" s="133"/>
      <c r="K96" s="133"/>
      <c r="L96" s="133"/>
      <c r="M96" s="133"/>
      <c r="N96" s="133"/>
      <c r="O96" s="133"/>
      <c r="P96" s="133"/>
      <c r="Q96" s="133"/>
      <c r="R96" s="133"/>
      <c r="S96" s="133"/>
      <c r="T96" s="134"/>
    </row>
    <row r="97" spans="1:20" ht="15.75" thickBot="1" x14ac:dyDescent="0.3">
      <c r="A97" s="129" t="s">
        <v>467</v>
      </c>
      <c r="B97" s="863"/>
      <c r="C97" s="69" t="s">
        <v>541</v>
      </c>
      <c r="D97" s="864"/>
      <c r="E97" s="865"/>
      <c r="F97" s="865"/>
      <c r="G97" s="865"/>
      <c r="H97" s="865"/>
      <c r="I97" s="865"/>
      <c r="J97" s="866"/>
      <c r="K97" s="72"/>
      <c r="L97" s="72"/>
      <c r="M97" s="72"/>
      <c r="N97" s="72"/>
      <c r="O97" s="72"/>
      <c r="P97" s="72"/>
      <c r="Q97" s="72"/>
      <c r="R97" s="72"/>
      <c r="S97" s="72"/>
      <c r="T97" s="73"/>
    </row>
    <row r="98" spans="1:20" x14ac:dyDescent="0.25">
      <c r="A98" s="74" t="s">
        <v>464</v>
      </c>
      <c r="B98" s="1230"/>
      <c r="C98" s="1230"/>
      <c r="D98" s="1230"/>
      <c r="E98" s="1230"/>
      <c r="F98" s="1230"/>
      <c r="G98" s="1230"/>
      <c r="H98" s="1230"/>
      <c r="I98" s="1230"/>
      <c r="J98" s="1230"/>
      <c r="T98" s="75"/>
    </row>
    <row r="99" spans="1:20" x14ac:dyDescent="0.25">
      <c r="A99" s="74"/>
      <c r="B99" s="1230"/>
      <c r="C99" s="1230"/>
      <c r="D99" s="1230"/>
      <c r="E99" s="1230"/>
      <c r="F99" s="1230"/>
      <c r="G99" s="1230"/>
      <c r="H99" s="1230"/>
      <c r="I99" s="1230"/>
      <c r="J99" s="1230"/>
      <c r="T99" s="75"/>
    </row>
    <row r="100" spans="1:20" x14ac:dyDescent="0.25">
      <c r="A100" s="74"/>
      <c r="B100" s="1230"/>
      <c r="C100" s="1230"/>
      <c r="D100" s="1230"/>
      <c r="E100" s="1230"/>
      <c r="F100" s="1230"/>
      <c r="G100" s="1230"/>
      <c r="H100" s="1230"/>
      <c r="I100" s="1230"/>
      <c r="J100" s="1230"/>
      <c r="T100" s="75"/>
    </row>
    <row r="101" spans="1:20" ht="15.75" thickBot="1" x14ac:dyDescent="0.3">
      <c r="A101" s="74"/>
      <c r="B101" s="1230"/>
      <c r="C101" s="1230"/>
      <c r="D101" s="1230"/>
      <c r="E101" s="1230"/>
      <c r="F101" s="1230"/>
      <c r="G101" s="1230"/>
      <c r="H101" s="1230"/>
      <c r="I101" s="1230"/>
      <c r="J101" s="1230"/>
      <c r="T101" s="75"/>
    </row>
    <row r="102" spans="1:20" ht="16.5" thickBot="1" x14ac:dyDescent="0.3">
      <c r="A102" s="74"/>
      <c r="C102" s="1221" t="s">
        <v>617</v>
      </c>
      <c r="D102" s="1222"/>
      <c r="E102" s="1222"/>
      <c r="F102" s="1223"/>
      <c r="L102" s="1227" t="s">
        <v>531</v>
      </c>
      <c r="M102" s="1228"/>
      <c r="N102" s="1228"/>
      <c r="O102" s="1229"/>
      <c r="T102" s="75"/>
    </row>
    <row r="103" spans="1:20" ht="63.75" thickBot="1" x14ac:dyDescent="0.3">
      <c r="A103" s="45" t="s">
        <v>152</v>
      </c>
      <c r="B103" s="79" t="s">
        <v>101</v>
      </c>
      <c r="C103" s="80" t="s">
        <v>228</v>
      </c>
      <c r="D103" s="81" t="s">
        <v>229</v>
      </c>
      <c r="E103" s="82" t="s">
        <v>230</v>
      </c>
      <c r="F103" s="48" t="s">
        <v>99</v>
      </c>
      <c r="G103" s="83" t="s">
        <v>553</v>
      </c>
      <c r="H103" s="83" t="s">
        <v>554</v>
      </c>
      <c r="I103" s="83" t="s">
        <v>477</v>
      </c>
      <c r="J103" s="83" t="s">
        <v>904</v>
      </c>
      <c r="L103" s="1027" t="s">
        <v>536</v>
      </c>
      <c r="M103" s="84" t="s">
        <v>903</v>
      </c>
      <c r="N103" s="84" t="s">
        <v>902</v>
      </c>
      <c r="O103" s="85" t="s">
        <v>537</v>
      </c>
      <c r="P103" s="95"/>
      <c r="T103" s="75"/>
    </row>
    <row r="104" spans="1:20" x14ac:dyDescent="0.25">
      <c r="A104" s="86" t="s">
        <v>324</v>
      </c>
      <c r="B104" s="3"/>
      <c r="C104" s="87" t="str">
        <f>IF($B104="x",Storage!H$25, "NA")</f>
        <v>NA</v>
      </c>
      <c r="D104" s="88" t="str">
        <f>IF($B104="x",Storage!H$26, "NA")</f>
        <v>NA</v>
      </c>
      <c r="E104" s="88" t="str">
        <f>IF($B104="x",Storage!H$28, "NA")</f>
        <v>NA</v>
      </c>
      <c r="F104" s="89" t="str">
        <f>IF($B104="x",Storage!H$24, "NA")</f>
        <v>NA</v>
      </c>
      <c r="G104" s="90" t="s">
        <v>307</v>
      </c>
      <c r="H104" s="90" t="s">
        <v>307</v>
      </c>
      <c r="I104" s="90" t="s">
        <v>307</v>
      </c>
      <c r="J104" s="91" t="s">
        <v>307</v>
      </c>
      <c r="L104" s="92" t="str">
        <f>IF($B104="x",Storage!H$18*days_yr, "NA")</f>
        <v>NA</v>
      </c>
      <c r="M104" s="93" t="str">
        <f>IF($B104="x",Storage!H$21*days_yr, "NA")</f>
        <v>NA</v>
      </c>
      <c r="N104" s="93" t="s">
        <v>102</v>
      </c>
      <c r="O104" s="94" t="str">
        <f>IF($B104="x",Storage!H$29, "NA")</f>
        <v>NA</v>
      </c>
      <c r="P104" s="104"/>
      <c r="Q104" s="96"/>
      <c r="T104" s="75"/>
    </row>
    <row r="105" spans="1:20" x14ac:dyDescent="0.25">
      <c r="A105" s="46" t="s">
        <v>159</v>
      </c>
      <c r="B105" s="3"/>
      <c r="C105" s="97" t="str">
        <f>IF($B105="x",'Conditioning Thickening'!H$19, "NA")</f>
        <v>NA</v>
      </c>
      <c r="D105" s="98" t="str">
        <f>IF($B105="x",'Conditioning Thickening'!H$20, "NA")</f>
        <v>NA</v>
      </c>
      <c r="E105" s="98" t="str">
        <f>IF($B105="x",'Conditioning Thickening'!H$22, "NA")</f>
        <v>NA</v>
      </c>
      <c r="F105" s="99" t="str">
        <f>IF($B105="x",'Conditioning Thickening'!H$18, "NA")</f>
        <v>NA</v>
      </c>
      <c r="G105" s="100" t="s">
        <v>307</v>
      </c>
      <c r="H105" s="100" t="s">
        <v>307</v>
      </c>
      <c r="I105" s="100" t="s">
        <v>307</v>
      </c>
      <c r="J105" s="91" t="s">
        <v>307</v>
      </c>
      <c r="L105" s="101" t="str">
        <f>IF($B105="x",SUM('Conditioning Thickening'!H$11,'Conditioning Thickening'!H$15)*days_yr, "NA")</f>
        <v>NA</v>
      </c>
      <c r="M105" s="102" t="s">
        <v>102</v>
      </c>
      <c r="N105" s="102" t="s">
        <v>102</v>
      </c>
      <c r="O105" s="103" t="str">
        <f>IF($B105="x",'Conditioning Thickening'!H$23, "NA")</f>
        <v>NA</v>
      </c>
      <c r="P105" s="104"/>
      <c r="Q105" s="96"/>
      <c r="T105" s="75"/>
    </row>
    <row r="106" spans="1:20" x14ac:dyDescent="0.25">
      <c r="A106" s="46" t="s">
        <v>195</v>
      </c>
      <c r="B106" s="3"/>
      <c r="C106" s="97" t="str">
        <f>IF($B106="x",'Aerobic Digestion'!H$26, "NA")</f>
        <v>NA</v>
      </c>
      <c r="D106" s="98" t="str">
        <f>IF($B106="x",'Aerobic Digestion'!H$27, "NA")</f>
        <v>NA</v>
      </c>
      <c r="E106" s="98" t="str">
        <f>IF($B106="x",'Aerobic Digestion'!H$29, "NA")</f>
        <v>NA</v>
      </c>
      <c r="F106" s="99" t="str">
        <f>IF($B106="x",'Aerobic Digestion'!H$25, "NA")</f>
        <v>NA</v>
      </c>
      <c r="G106" s="100" t="s">
        <v>307</v>
      </c>
      <c r="H106" s="100" t="s">
        <v>307</v>
      </c>
      <c r="I106" s="100" t="s">
        <v>307</v>
      </c>
      <c r="J106" s="91" t="s">
        <v>307</v>
      </c>
      <c r="L106" s="101" t="str">
        <f>IF($B106="x",SUM('Aerobic Digestion'!H$21:H$22)*days_yr, "NA")</f>
        <v>NA</v>
      </c>
      <c r="M106" s="102" t="s">
        <v>102</v>
      </c>
      <c r="N106" s="102" t="s">
        <v>102</v>
      </c>
      <c r="O106" s="103" t="str">
        <f>IF($B106="x",'Aerobic Digestion'!H$30, "NA")</f>
        <v>NA</v>
      </c>
      <c r="P106" s="104"/>
      <c r="Q106" s="96"/>
      <c r="T106" s="75"/>
    </row>
    <row r="107" spans="1:20" x14ac:dyDescent="0.25">
      <c r="A107" s="46" t="s">
        <v>197</v>
      </c>
      <c r="B107" s="3"/>
      <c r="C107" s="97" t="str">
        <f>IF($B107="x", 'Anaerobic Digestion'!H$49, "NA")</f>
        <v>NA</v>
      </c>
      <c r="D107" s="98" t="str">
        <f>IF($B107="x", 'Anaerobic Digestion'!H$50, "NA")</f>
        <v>NA</v>
      </c>
      <c r="E107" s="106" t="str">
        <f>IF($B107="x", 'Anaerobic Digestion'!H$52, "NA")</f>
        <v>NA</v>
      </c>
      <c r="F107" s="99" t="str">
        <f>IF($B107="x", 'Anaerobic Digestion'!H$48, "NA")</f>
        <v>NA</v>
      </c>
      <c r="G107" s="100" t="s">
        <v>307</v>
      </c>
      <c r="H107" s="100" t="s">
        <v>307</v>
      </c>
      <c r="I107" s="100" t="s">
        <v>307</v>
      </c>
      <c r="J107" s="91" t="s">
        <v>307</v>
      </c>
      <c r="L107" s="101" t="str">
        <f>IF($B107="x", SUM('Anaerobic Digestion'!H$42:H$43)*days_yr, "NA")</f>
        <v>NA</v>
      </c>
      <c r="M107" s="102" t="str">
        <f>IF($B107="x", 'Anaerobic Digestion'!H$44*days_yr, "NA")</f>
        <v>NA</v>
      </c>
      <c r="N107" s="102" t="s">
        <v>102</v>
      </c>
      <c r="O107" s="103" t="str">
        <f>IF($B107="x", 'Anaerobic Digestion'!H$53, "NA")</f>
        <v>NA</v>
      </c>
      <c r="P107" s="104"/>
      <c r="Q107" s="105"/>
      <c r="T107" s="75"/>
    </row>
    <row r="108" spans="1:20" x14ac:dyDescent="0.25">
      <c r="A108" s="558" t="s">
        <v>516</v>
      </c>
      <c r="B108" s="3"/>
      <c r="C108" s="97" t="str">
        <f>IF($B108="x", 'Anaerobic Digestion (2)'!H$49, "NA")</f>
        <v>NA</v>
      </c>
      <c r="D108" s="98" t="str">
        <f>IF($B108="x", 'Anaerobic Digestion (2)'!H$50, "NA")</f>
        <v>NA</v>
      </c>
      <c r="E108" s="106" t="str">
        <f>IF($B108="x", 'Anaerobic Digestion (2)'!H$52, "NA")</f>
        <v>NA</v>
      </c>
      <c r="F108" s="99" t="str">
        <f>IF($B108="x", 'Anaerobic Digestion (2)'!H$48, "NA")</f>
        <v>NA</v>
      </c>
      <c r="G108" s="100" t="s">
        <v>307</v>
      </c>
      <c r="H108" s="100" t="s">
        <v>307</v>
      </c>
      <c r="I108" s="100" t="s">
        <v>307</v>
      </c>
      <c r="J108" s="91" t="s">
        <v>307</v>
      </c>
      <c r="L108" s="101" t="str">
        <f>IF($B108="x", SUM('Anaerobic Digestion (2)'!H$42:H$43)*days_yr, "NA")</f>
        <v>NA</v>
      </c>
      <c r="M108" s="102" t="str">
        <f>IF($B108="x", 'Anaerobic Digestion (2)'!H$44*days_yr, "NA")</f>
        <v>NA</v>
      </c>
      <c r="N108" s="102" t="s">
        <v>102</v>
      </c>
      <c r="O108" s="103" t="str">
        <f>IF($B108="x", 'Anaerobic Digestion (2)'!H$53, "NA")</f>
        <v>NA</v>
      </c>
      <c r="Q108" s="105"/>
      <c r="T108" s="75"/>
    </row>
    <row r="109" spans="1:20" x14ac:dyDescent="0.25">
      <c r="A109" s="46" t="s">
        <v>223</v>
      </c>
      <c r="B109" s="3"/>
      <c r="C109" s="97" t="str">
        <f>IF($B109="x", 'De-watering'!H$20, "NA")</f>
        <v>NA</v>
      </c>
      <c r="D109" s="98" t="str">
        <f>IF($B109="x", 'De-watering'!H$21, "NA")</f>
        <v>NA</v>
      </c>
      <c r="E109" s="98" t="str">
        <f>IF($B109="x", 'De-watering'!H$23, "NA")</f>
        <v>NA</v>
      </c>
      <c r="F109" s="99" t="str">
        <f>IF($B109="x", 'De-watering'!H$19, "NA")</f>
        <v>NA</v>
      </c>
      <c r="G109" s="100" t="s">
        <v>307</v>
      </c>
      <c r="H109" s="100" t="s">
        <v>307</v>
      </c>
      <c r="I109" s="100" t="s">
        <v>307</v>
      </c>
      <c r="J109" s="91" t="s">
        <v>307</v>
      </c>
      <c r="L109" s="101" t="str">
        <f>IF($B109="x", SUM('De-watering'!H$12,'De-watering'!H$16)*days_yr, "NA")</f>
        <v>NA</v>
      </c>
      <c r="M109" s="102" t="s">
        <v>102</v>
      </c>
      <c r="N109" s="102" t="s">
        <v>102</v>
      </c>
      <c r="O109" s="103" t="str">
        <f>IF($B109="x", 'De-watering'!H$24, "NA")</f>
        <v>NA</v>
      </c>
      <c r="T109" s="75"/>
    </row>
    <row r="110" spans="1:20" x14ac:dyDescent="0.25">
      <c r="A110" s="46" t="s">
        <v>133</v>
      </c>
      <c r="B110" s="3"/>
      <c r="C110" s="97" t="str">
        <f>IF($B110="x", 'Thermal Drying'!H$24, "NA")</f>
        <v>NA</v>
      </c>
      <c r="D110" s="98" t="str">
        <f>IF($B110="x", 'Thermal Drying'!H$25, "NA")</f>
        <v>NA</v>
      </c>
      <c r="E110" s="98" t="str">
        <f>IF($B110="x", 'Thermal Drying'!H$27, "NA")</f>
        <v>NA</v>
      </c>
      <c r="F110" s="99" t="str">
        <f>IF($B110="x", 'Thermal Drying'!H$23, "NA")</f>
        <v>NA</v>
      </c>
      <c r="G110" s="100" t="str">
        <f t="shared" ref="G110:G122" si="6">IF($B110="x",H110*Mg_ton,"NA")</f>
        <v>NA</v>
      </c>
      <c r="H110" s="100" t="str">
        <f>IF($B110="x",'Thermal Drying'!H$6,"NA")</f>
        <v>NA</v>
      </c>
      <c r="I110" s="108" t="str">
        <f>IF($B110="x", 'Thermal Drying'!H$9, "NA")</f>
        <v>NA</v>
      </c>
      <c r="J110" s="91" t="str">
        <f t="shared" ref="J110:J124" si="7">IF($B110="x", F110/(I110*days_yr),"NA")</f>
        <v>NA</v>
      </c>
      <c r="L110" s="101" t="str">
        <f>IF($B110="x",'Thermal Drying'!H$23, "NA")</f>
        <v>NA</v>
      </c>
      <c r="M110" s="102" t="s">
        <v>102</v>
      </c>
      <c r="N110" s="102" t="s">
        <v>102</v>
      </c>
      <c r="O110" s="103" t="str">
        <f>IF($B110="x", 'Thermal Drying'!H$28, "NA")</f>
        <v>NA</v>
      </c>
      <c r="T110" s="75"/>
    </row>
    <row r="111" spans="1:20" x14ac:dyDescent="0.25">
      <c r="A111" s="558" t="s">
        <v>645</v>
      </c>
      <c r="B111" s="3"/>
      <c r="C111" s="97" t="str">
        <f>IF($B111="x",BioDrying!H$23, "NA")</f>
        <v>NA</v>
      </c>
      <c r="D111" s="98" t="str">
        <f>IF($B111="x",BioDrying!H$24, "NA")</f>
        <v>NA</v>
      </c>
      <c r="E111" s="98" t="str">
        <f>IF($B111="x",BioDrying!H$26, "NA")</f>
        <v>NA</v>
      </c>
      <c r="F111" s="138" t="str">
        <f>IF($B111="x",BioDrying!H$22, "NA")</f>
        <v>NA</v>
      </c>
      <c r="G111" s="583" t="str">
        <f>IF($B111="x",H111*Mg_ton,"NA")</f>
        <v>NA</v>
      </c>
      <c r="H111" s="100" t="str">
        <f>IF($B111="x",BioDrying!H$6,"NA")</f>
        <v>NA</v>
      </c>
      <c r="I111" s="108" t="str">
        <f>IF($B111="x",BioDrying!H$9,"NA")</f>
        <v>NA</v>
      </c>
      <c r="J111" s="91" t="str">
        <f>IF($B111="x", F111/(I111*days_yr),"NA")</f>
        <v>NA</v>
      </c>
      <c r="L111" s="101" t="str">
        <f>IF($B111="x",BioDrying!H$22, "NA")</f>
        <v>NA</v>
      </c>
      <c r="M111" s="102" t="s">
        <v>102</v>
      </c>
      <c r="N111" s="102" t="s">
        <v>102</v>
      </c>
      <c r="O111" s="103" t="str">
        <f>IF($B111="x",BioDrying!H$27, "NA")</f>
        <v>NA</v>
      </c>
      <c r="T111" s="75"/>
    </row>
    <row r="112" spans="1:20" x14ac:dyDescent="0.25">
      <c r="A112" s="46" t="s">
        <v>269</v>
      </c>
      <c r="B112" s="3"/>
      <c r="C112" s="97" t="str">
        <f>IF($B112="x",'Alkaline Stabilization'!H$24, "NA")</f>
        <v>NA</v>
      </c>
      <c r="D112" s="98" t="str">
        <f>IF($B112="x",'Alkaline Stabilization'!H$25, "NA")</f>
        <v>NA</v>
      </c>
      <c r="E112" s="98" t="str">
        <f>IF($B112="x",'Alkaline Stabilization'!H$27, "NA")</f>
        <v>NA</v>
      </c>
      <c r="F112" s="99" t="str">
        <f>IF($B112="x",'Alkaline Stabilization'!H$23, "NA")</f>
        <v>NA</v>
      </c>
      <c r="G112" s="100" t="str">
        <f t="shared" si="6"/>
        <v>NA</v>
      </c>
      <c r="H112" s="100" t="str">
        <f>IF($B112="x",'Alkaline Stabilization'!H$6,"NA")</f>
        <v>NA</v>
      </c>
      <c r="I112" s="108" t="str">
        <f>IF($B112="x",'Alkaline Stabilization'!H$8, "NA")</f>
        <v>NA</v>
      </c>
      <c r="J112" s="91" t="str">
        <f t="shared" si="7"/>
        <v>NA</v>
      </c>
      <c r="L112" s="101" t="str">
        <f>IF($B112="x",SUM('Alkaline Stabilization'!H$12,'Alkaline Stabilization'!H$16,'Alkaline Stabilization'!H$20)*days_yr, "NA")</f>
        <v>NA</v>
      </c>
      <c r="M112" s="102" t="s">
        <v>102</v>
      </c>
      <c r="N112" s="102" t="s">
        <v>102</v>
      </c>
      <c r="O112" s="103" t="str">
        <f>IF($B112="x",'Alkaline Stabilization'!H$28, "NA")</f>
        <v>NA</v>
      </c>
      <c r="T112" s="75"/>
    </row>
    <row r="113" spans="1:26" x14ac:dyDescent="0.25">
      <c r="A113" s="46" t="s">
        <v>250</v>
      </c>
      <c r="B113" s="3"/>
      <c r="C113" s="97" t="str">
        <f>IF($B113="x", Composting!H$58, "NA")</f>
        <v>NA</v>
      </c>
      <c r="D113" s="98" t="str">
        <f>IF($B113="x", Composting!H$59, "NA")</f>
        <v>NA</v>
      </c>
      <c r="E113" s="98" t="str">
        <f>IF($B113="x", Composting!H$61, "NA")</f>
        <v>NA</v>
      </c>
      <c r="F113" s="99" t="str">
        <f>IF($B113="x", Composting!H$57, "NA")</f>
        <v>NA</v>
      </c>
      <c r="G113" s="100" t="str">
        <f t="shared" si="6"/>
        <v>NA</v>
      </c>
      <c r="H113" s="100" t="str">
        <f>IF($B113="x",Composting!H$7,"NA")</f>
        <v>NA</v>
      </c>
      <c r="I113" s="108" t="str">
        <f>IF($B113="x", Composting!H$9, "NA")</f>
        <v>NA</v>
      </c>
      <c r="J113" s="91" t="str">
        <f t="shared" si="7"/>
        <v>NA</v>
      </c>
      <c r="L113" s="101" t="str">
        <f>IF($B113="x", SUM(Composting!H$34,Composting!H$38,Composting!H$50,Composting!H$53:H$54)*days_yr, "NA")</f>
        <v>NA</v>
      </c>
      <c r="M113" s="102" t="str">
        <f>IF($B113="x", Composting!H$42*days_yr, "NA")</f>
        <v>NA</v>
      </c>
      <c r="N113" s="102" t="str">
        <f>IF($B113="x", Composting!H$46*days_yr, "NA")</f>
        <v>NA</v>
      </c>
      <c r="O113" s="103" t="str">
        <f>IF($B113="x", Composting!H$62, "NA")</f>
        <v>NA</v>
      </c>
      <c r="T113" s="75"/>
    </row>
    <row r="114" spans="1:26" x14ac:dyDescent="0.25">
      <c r="A114" s="558" t="s">
        <v>517</v>
      </c>
      <c r="B114" s="3"/>
      <c r="C114" s="97" t="str">
        <f>IF($B114="x", 'Composting (2)'!H$58, "NA")</f>
        <v>NA</v>
      </c>
      <c r="D114" s="98" t="str">
        <f>IF($B114="x", 'Composting (2)'!H$59, "NA")</f>
        <v>NA</v>
      </c>
      <c r="E114" s="98" t="str">
        <f>IF($B114="x", 'Composting (2)'!H$61, "NA")</f>
        <v>NA</v>
      </c>
      <c r="F114" s="99" t="str">
        <f>IF($B114="x", 'Composting (2)'!H$57, "NA")</f>
        <v>NA</v>
      </c>
      <c r="G114" s="100" t="str">
        <f t="shared" si="6"/>
        <v>NA</v>
      </c>
      <c r="H114" s="100" t="str">
        <f>IF($B114="x",'Composting (2)'!H$7,"NA")</f>
        <v>NA</v>
      </c>
      <c r="I114" s="108" t="str">
        <f>IF($B114="x", 'Composting (2)'!H$9, "NA")</f>
        <v>NA</v>
      </c>
      <c r="J114" s="91" t="str">
        <f t="shared" si="7"/>
        <v>NA</v>
      </c>
      <c r="L114" s="101" t="str">
        <f>IF($B114="x", SUM('Composting (2)'!H$34,'Composting (2)'!H$38,'Composting (2)'!H$49,'Composting (2)'!H$53:H$54)*days_yr, "NA")</f>
        <v>NA</v>
      </c>
      <c r="M114" s="102" t="str">
        <f>IF($B114="x", 'Composting (2)'!H$42*days_yr, "NA")</f>
        <v>NA</v>
      </c>
      <c r="N114" s="102" t="str">
        <f>IF($B114="x", 'Composting (2)'!H$46*days_yr, "NA")</f>
        <v>NA</v>
      </c>
      <c r="O114" s="103" t="str">
        <f>IF($B114="x", 'Composting (2)'!H$62, "NA")</f>
        <v>NA</v>
      </c>
      <c r="T114" s="75"/>
    </row>
    <row r="115" spans="1:26" x14ac:dyDescent="0.25">
      <c r="A115" s="558" t="s">
        <v>532</v>
      </c>
      <c r="B115" s="3"/>
      <c r="C115" s="97" t="str">
        <f>IF($B115="x", 'Landfill Disposal Typical'!H$53, "NA")</f>
        <v>NA</v>
      </c>
      <c r="D115" s="98" t="str">
        <f>IF($B115="x", 'Landfill Disposal Typical'!H$54, "NA")</f>
        <v>NA</v>
      </c>
      <c r="E115" s="98" t="str">
        <f>IF($B115="x", 'Landfill Disposal Typical'!H$56, "NA")</f>
        <v>NA</v>
      </c>
      <c r="F115" s="99" t="str">
        <f>IF($B115="x", 'Landfill Disposal Typical'!H$52, "NA")</f>
        <v>NA</v>
      </c>
      <c r="G115" s="100" t="str">
        <f t="shared" si="6"/>
        <v>NA</v>
      </c>
      <c r="H115" s="100" t="str">
        <f>IF($B115="x",'Landfill Disposal Typical'!H$13,"NA")</f>
        <v>NA</v>
      </c>
      <c r="I115" s="108" t="str">
        <f>IF($B115="x", 'Landfill Disposal Typical'!H$15, "NA")</f>
        <v>NA</v>
      </c>
      <c r="J115" s="91" t="str">
        <f t="shared" si="7"/>
        <v>NA</v>
      </c>
      <c r="L115" s="101" t="str">
        <f>IF($B115="x",('Landfill Disposal Typical'!H$44+'Landfill Disposal Typical'!H$48)*days_yr,"NA")</f>
        <v>NA</v>
      </c>
      <c r="M115" s="102" t="str">
        <f>IF($B115="x",'Landfill Disposal Typical'!H$37*days_yr,"NA")</f>
        <v>NA</v>
      </c>
      <c r="N115" s="102" t="str">
        <f>IF($B115="x",'Landfill Disposal Typical'!H$41*days_yr,"NA")</f>
        <v>NA</v>
      </c>
      <c r="O115" s="103" t="str">
        <f>IF($B115="x",'Landfill Disposal Typical'!H$57,"NA")</f>
        <v>NA</v>
      </c>
      <c r="T115" s="75"/>
    </row>
    <row r="116" spans="1:26" x14ac:dyDescent="0.25">
      <c r="A116" s="558" t="s">
        <v>533</v>
      </c>
      <c r="B116" s="3"/>
      <c r="C116" s="109" t="str">
        <f>IF($B116="x", 'Landfill Disposal Worst-case'!H$53, "NA")</f>
        <v>NA</v>
      </c>
      <c r="D116" s="110" t="str">
        <f>IF($B116="x", 'Landfill Disposal Worst-case'!H$54, "NA")</f>
        <v>NA</v>
      </c>
      <c r="E116" s="110" t="str">
        <f>IF($B116="x", 'Landfill Disposal Worst-case'!H$56, "NA")</f>
        <v>NA</v>
      </c>
      <c r="F116" s="111" t="str">
        <f>IF($B116="x", 'Landfill Disposal Worst-case'!H$52, "NA")</f>
        <v>NA</v>
      </c>
      <c r="G116" s="100" t="str">
        <f t="shared" si="6"/>
        <v>NA</v>
      </c>
      <c r="H116" s="100" t="str">
        <f>IF($B116="x",'Landfill Disposal Worst-case'!H$13,"NA")</f>
        <v>NA</v>
      </c>
      <c r="I116" s="108" t="str">
        <f>IF($B116="x", 'Landfill Disposal Worst-case'!H$15, "NA")</f>
        <v>NA</v>
      </c>
      <c r="J116" s="91" t="str">
        <f t="shared" si="7"/>
        <v>NA</v>
      </c>
      <c r="L116" s="101" t="str">
        <f>IF($B116="x",('Landfill Disposal Worst-case'!H$44+'Landfill Disposal Worst-case'!H$48)*days_yr,"NA")</f>
        <v>NA</v>
      </c>
      <c r="M116" s="102" t="str">
        <f>IF($B116="x",'Landfill Disposal Worst-case'!H$37*days_yr,"NA")</f>
        <v>NA</v>
      </c>
      <c r="N116" s="102" t="str">
        <f>IF($B116="x",'Landfill Disposal Worst-case'!H$41*days_yr,"NA")</f>
        <v>NA</v>
      </c>
      <c r="O116" s="103" t="str">
        <f>IF($B116="x",'Landfill Disposal Worst-case'!H$57,"NA")</f>
        <v>NA</v>
      </c>
      <c r="T116" s="75"/>
    </row>
    <row r="117" spans="1:26" x14ac:dyDescent="0.25">
      <c r="A117" s="558" t="s">
        <v>534</v>
      </c>
      <c r="B117" s="3"/>
      <c r="C117" s="109" t="str">
        <f>IF($B117="x", 'Landfill Disposal Aggressive'!H$53, "NA")</f>
        <v>NA</v>
      </c>
      <c r="D117" s="110" t="str">
        <f>IF($B117="x", 'Landfill Disposal Aggressive'!H$54, "NA")</f>
        <v>NA</v>
      </c>
      <c r="E117" s="110" t="str">
        <f>IF($B117="x", 'Landfill Disposal Aggressive'!H$56, "NA")</f>
        <v>NA</v>
      </c>
      <c r="F117" s="111" t="str">
        <f>IF($B117="x", 'Landfill Disposal Aggressive'!H$52, "NA")</f>
        <v>NA</v>
      </c>
      <c r="G117" s="100" t="str">
        <f t="shared" si="6"/>
        <v>NA</v>
      </c>
      <c r="H117" s="100" t="str">
        <f>IF($B117="x",'Landfill Disposal Aggressive'!H$13,"NA")</f>
        <v>NA</v>
      </c>
      <c r="I117" s="108" t="str">
        <f>IF($B117="x", 'Landfill Disposal Aggressive'!H$15, "NA")</f>
        <v>NA</v>
      </c>
      <c r="J117" s="91" t="str">
        <f t="shared" si="7"/>
        <v>NA</v>
      </c>
      <c r="L117" s="101" t="str">
        <f>IF($B117="x",('Landfill Disposal Aggressive'!H$44+'Landfill Disposal Aggressive'!H$48)*days_yr,"NA")</f>
        <v>NA</v>
      </c>
      <c r="M117" s="102" t="str">
        <f>IF($B117="x",'Landfill Disposal Aggressive'!H$37*days_yr,"NA")</f>
        <v>NA</v>
      </c>
      <c r="N117" s="102" t="str">
        <f>IF($B117="x",'Landfill Disposal Aggressive'!H$41*days_yr,"NA")</f>
        <v>NA</v>
      </c>
      <c r="O117" s="103" t="str">
        <f>IF($B117="x",'Landfill Disposal Aggressive'!H$57,"NA")</f>
        <v>NA</v>
      </c>
      <c r="T117" s="75"/>
    </row>
    <row r="118" spans="1:26" x14ac:dyDescent="0.25">
      <c r="A118" s="558" t="s">
        <v>535</v>
      </c>
      <c r="B118" s="3"/>
      <c r="C118" s="109" t="str">
        <f>IF($B118="x", 'Landfill Disposal CA Regulatory'!H$53, "NA")</f>
        <v>NA</v>
      </c>
      <c r="D118" s="110" t="str">
        <f>IF($B118="x", 'Landfill Disposal CA Regulatory'!H$54, "NA")</f>
        <v>NA</v>
      </c>
      <c r="E118" s="110" t="str">
        <f>IF($B118="x", 'Landfill Disposal CA Regulatory'!H$56, "NA")</f>
        <v>NA</v>
      </c>
      <c r="F118" s="111" t="str">
        <f>IF($B118="x", 'Landfill Disposal CA Regulatory'!H$52, "NA")</f>
        <v>NA</v>
      </c>
      <c r="G118" s="100" t="str">
        <f t="shared" si="6"/>
        <v>NA</v>
      </c>
      <c r="H118" s="100" t="str">
        <f>IF($B118="x",'Landfill Disposal CA Regulatory'!H$13,"NA")</f>
        <v>NA</v>
      </c>
      <c r="I118" s="108" t="str">
        <f>IF($B118="x", 'Landfill Disposal CA Regulatory'!H$15, "NA")</f>
        <v>NA</v>
      </c>
      <c r="J118" s="91" t="str">
        <f t="shared" si="7"/>
        <v>NA</v>
      </c>
      <c r="L118" s="101" t="str">
        <f>IF($B118="x",('Landfill Disposal CA Regulatory'!H$44+'Landfill Disposal CA Regulatory'!H$48)*days_yr,"NA")</f>
        <v>NA</v>
      </c>
      <c r="M118" s="102" t="str">
        <f>IF($B118="x",'Landfill Disposal CA Regulatory'!H$37*days_yr,"NA")</f>
        <v>NA</v>
      </c>
      <c r="N118" s="102" t="str">
        <f>IF($B118="x",'Landfill Disposal CA Regulatory'!H$41*days_yr,"NA")</f>
        <v>NA</v>
      </c>
      <c r="O118" s="103" t="str">
        <f>IF($B118="x",'Landfill Disposal CA Regulatory'!H$57,"NA")</f>
        <v>NA</v>
      </c>
      <c r="T118" s="75"/>
    </row>
    <row r="119" spans="1:26" x14ac:dyDescent="0.25">
      <c r="A119" s="46" t="s">
        <v>222</v>
      </c>
      <c r="B119" s="3"/>
      <c r="C119" s="97" t="str">
        <f>IF($B119="x", Combustion!H$58, "NA")</f>
        <v>NA</v>
      </c>
      <c r="D119" s="98" t="str">
        <f>IF($B119="x", Combustion!H$59, "NA")</f>
        <v>NA</v>
      </c>
      <c r="E119" s="1144" t="str">
        <f>IF($B119="x", Combustion!H$61, "NA")</f>
        <v>NA</v>
      </c>
      <c r="F119" s="99" t="str">
        <f>IF($B119="x", Combustion!H$57, "NA")</f>
        <v>NA</v>
      </c>
      <c r="G119" s="100" t="str">
        <f t="shared" si="6"/>
        <v>NA</v>
      </c>
      <c r="H119" s="100" t="str">
        <f>IF($B119="x",Combustion!H$7,"NA")</f>
        <v>NA</v>
      </c>
      <c r="I119" s="108" t="str">
        <f>IF($B119="x", Combustion!H$9, "NA")</f>
        <v>NA</v>
      </c>
      <c r="J119" s="91" t="str">
        <f t="shared" si="7"/>
        <v>NA</v>
      </c>
      <c r="L119" s="101" t="str">
        <f>IF($B119="x", SUM(Combustion!H$30,Combustion!H$36,Combustion!H$48,Combustion!H$51)*days_yr, "NA")</f>
        <v>NA</v>
      </c>
      <c r="M119" s="102" t="str">
        <f>IF($B119="x", Combustion!H$39*days_yr, "NA")</f>
        <v>NA</v>
      </c>
      <c r="N119" s="102" t="str">
        <f>IF($B119="x", Combustion!H$45*days_yr, "NA")</f>
        <v>NA</v>
      </c>
      <c r="O119" s="103" t="str">
        <f>IF($B119="x", Combustion!H$62, "NA")</f>
        <v>NA</v>
      </c>
      <c r="T119" s="75"/>
    </row>
    <row r="120" spans="1:26" x14ac:dyDescent="0.25">
      <c r="A120" s="558" t="s">
        <v>545</v>
      </c>
      <c r="B120" s="3"/>
      <c r="C120" s="97" t="str">
        <f>IF($B120="x",Pyrolysis!H$40, "NA")</f>
        <v>NA</v>
      </c>
      <c r="D120" s="98" t="str">
        <f>IF($B120="x",Pyrolysis!H$41, "NA")</f>
        <v>NA</v>
      </c>
      <c r="E120" s="98" t="str">
        <f>IF($B120="x",Pyrolysis!H$43, "NA")</f>
        <v>NA</v>
      </c>
      <c r="F120" s="138" t="str">
        <f>IF($B120="x",Pyrolysis!H$39, "NA")</f>
        <v>NA</v>
      </c>
      <c r="G120" s="583" t="str">
        <f>IF($B120="x",H120*Mg_ton,"NA")</f>
        <v>NA</v>
      </c>
      <c r="H120" s="100" t="str">
        <f>IF($B120="x",Pyrolysis!H$7,"NA")</f>
        <v>NA</v>
      </c>
      <c r="I120" s="108" t="str">
        <f>IF($B120="x",Pyrolysis!H$9,"NA")</f>
        <v>NA</v>
      </c>
      <c r="J120" s="91" t="str">
        <f>IF($B120="x", F120/(I120*days_yr),"NA")</f>
        <v>NA</v>
      </c>
      <c r="L120" s="101" t="str">
        <f>IF($B120="x",SUM(Pyrolysis!H$21,Pyrolysis!H$27)*days_yr, "NA")</f>
        <v>NA</v>
      </c>
      <c r="M120" s="102" t="str">
        <f>IF($B120="x", Pyrolysis!H$30*days_yr, "NA")</f>
        <v>NA</v>
      </c>
      <c r="N120" s="102" t="str">
        <f>IF($B120="x", Pyrolysis!H$33*days_yr, "NA")</f>
        <v>NA</v>
      </c>
      <c r="O120" s="103" t="str">
        <f>IF($B120="x", Pyrolysis!H$44, "NA")</f>
        <v>NA</v>
      </c>
      <c r="T120" s="75"/>
    </row>
    <row r="121" spans="1:26" x14ac:dyDescent="0.25">
      <c r="A121" s="46" t="s">
        <v>182</v>
      </c>
      <c r="B121" s="3"/>
      <c r="C121" s="97" t="str">
        <f>IF($B121="x", 'Land Application'!H$53, "NA")</f>
        <v>NA</v>
      </c>
      <c r="D121" s="98" t="str">
        <f>IF($B121="x", 'Land Application'!H$54, "NA")</f>
        <v>NA</v>
      </c>
      <c r="E121" s="98" t="str">
        <f>IF($B121="x", 'Land Application'!H$56, "NA")</f>
        <v>NA</v>
      </c>
      <c r="F121" s="99" t="str">
        <f>IF($B121="x", 'Land Application'!H$52, "NA")</f>
        <v>NA</v>
      </c>
      <c r="G121" s="100" t="str">
        <f t="shared" si="6"/>
        <v>NA</v>
      </c>
      <c r="H121" s="100" t="str">
        <f>IF($B121="x",'Land Application'!H$7,"NA")</f>
        <v>NA</v>
      </c>
      <c r="I121" s="108" t="str">
        <f>IF($B121="x", 'Land Application'!H$9, "NA")</f>
        <v>NA</v>
      </c>
      <c r="J121" s="91" t="str">
        <f t="shared" si="7"/>
        <v>NA</v>
      </c>
      <c r="L121" s="101" t="str">
        <f>IF($B121="x", SUM('Land Application'!H$28,'Land Application'!H$42,'Land Application'!H$45,'Land Application'!H$46,'Land Application'!H$49)*days_yr, "NA")</f>
        <v>NA</v>
      </c>
      <c r="M121" s="102" t="str">
        <f>IF($B121="x", 'Land Application'!H$32*days_yr, "NA")</f>
        <v>NA</v>
      </c>
      <c r="N121" s="102" t="str">
        <f>IF($B121="x", 'Land Application'!H$38*days_yr, "NA")</f>
        <v>NA</v>
      </c>
      <c r="O121" s="103" t="str">
        <f>IF($B121="x", 'Land Application'!H$57, "NA")</f>
        <v>NA</v>
      </c>
      <c r="T121" s="75"/>
    </row>
    <row r="122" spans="1:26" x14ac:dyDescent="0.25">
      <c r="A122" s="558" t="s">
        <v>518</v>
      </c>
      <c r="B122" s="3"/>
      <c r="C122" s="97" t="str">
        <f>IF($B122="x", 'Land Application (2)'!H$53, "NA")</f>
        <v>NA</v>
      </c>
      <c r="D122" s="98" t="str">
        <f>IF($B122="x", 'Land Application (2)'!H$54, "NA")</f>
        <v>NA</v>
      </c>
      <c r="E122" s="98" t="str">
        <f>IF($B122="x", 'Land Application (2)'!H$56, "NA")</f>
        <v>NA</v>
      </c>
      <c r="F122" s="99" t="str">
        <f>IF($B122="x", 'Land Application (2)'!H$52, "NA")</f>
        <v>NA</v>
      </c>
      <c r="G122" s="100" t="str">
        <f t="shared" si="6"/>
        <v>NA</v>
      </c>
      <c r="H122" s="100" t="str">
        <f>IF($B122="x",'Land Application (2)'!H$7,"NA")</f>
        <v>NA</v>
      </c>
      <c r="I122" s="108" t="str">
        <f>IF($B122="x", 'Land Application (2)'!H$9, "NA")</f>
        <v>NA</v>
      </c>
      <c r="J122" s="91" t="str">
        <f t="shared" si="7"/>
        <v>NA</v>
      </c>
      <c r="L122" s="101" t="str">
        <f>IF($B122="x", SUM('Land Application (2)'!H$28,'Land Application (2)'!H$42,'Land Application (2)'!H$45,'Land Application (2)'!H$46,'Land Application (2)'!H$49)*days_yr, "NA")</f>
        <v>NA</v>
      </c>
      <c r="M122" s="102" t="str">
        <f>IF($B122="x", 'Land Application (2)'!H$32*days_yr, "NA")</f>
        <v>NA</v>
      </c>
      <c r="N122" s="102" t="str">
        <f>IF($B122="x", 'Land Application (2)'!H$38*days_yr, "NA")</f>
        <v>NA</v>
      </c>
      <c r="O122" s="103" t="str">
        <f>IF($B122="x", 'Land Application (2)'!H$57, "NA")</f>
        <v>NA</v>
      </c>
      <c r="T122" s="75"/>
    </row>
    <row r="123" spans="1:26" x14ac:dyDescent="0.25">
      <c r="A123" s="970" t="s">
        <v>762</v>
      </c>
      <c r="B123" s="971"/>
      <c r="C123" s="975" t="str">
        <f>IF($B123="x",'Misc Emissions'!$H$23, "NA")</f>
        <v>NA</v>
      </c>
      <c r="D123" s="98" t="str">
        <f>IF($B123="x",'Misc Emissions'!$H$24, "NA")</f>
        <v>NA</v>
      </c>
      <c r="E123" s="98" t="str">
        <f>IF($B123="x",'Misc Emissions'!$H$26, "NA")</f>
        <v>NA</v>
      </c>
      <c r="F123" s="138" t="str">
        <f>IF($B123="x",'Misc Emissions'!$H$22, "NA")</f>
        <v>NA</v>
      </c>
      <c r="G123" s="977" t="s">
        <v>307</v>
      </c>
      <c r="H123" s="978" t="s">
        <v>307</v>
      </c>
      <c r="I123" s="979" t="s">
        <v>307</v>
      </c>
      <c r="J123" s="91" t="s">
        <v>307</v>
      </c>
      <c r="L123" s="972" t="str">
        <f>IF($B123="x",SUM('Misc Emissions'!$H$7,'Misc Emissions'!$H$11,'Misc Emissions'!$H$15,'Misc Emissions'!$H$19)*days_yr,"NA")</f>
        <v>NA</v>
      </c>
      <c r="M123" s="973" t="s">
        <v>102</v>
      </c>
      <c r="N123" s="973" t="s">
        <v>102</v>
      </c>
      <c r="O123" s="974" t="s">
        <v>307</v>
      </c>
      <c r="T123" s="75"/>
    </row>
    <row r="124" spans="1:26" ht="15.75" thickBot="1" x14ac:dyDescent="0.3">
      <c r="A124" s="47" t="s">
        <v>160</v>
      </c>
      <c r="B124" s="4"/>
      <c r="C124" s="112" t="str">
        <f>IF($B124="x",Transportation!$AD37, "NA")</f>
        <v>NA</v>
      </c>
      <c r="D124" s="113" t="str">
        <f>IF($B124="x",Transportation!$AD38, "NA")</f>
        <v>NA</v>
      </c>
      <c r="E124" s="113" t="str">
        <f>IF($B124="x",Transportation!$AD39, "NA")</f>
        <v>NA</v>
      </c>
      <c r="F124" s="114" t="str">
        <f>IF($B124="x",Transportation!$AD36, "NA")</f>
        <v>NA</v>
      </c>
      <c r="G124" s="142">
        <f>+'Amount and Destination'!O117/days_yr</f>
        <v>0</v>
      </c>
      <c r="H124" s="142">
        <f>+'Amount and Destination'!P117/days_yr</f>
        <v>0</v>
      </c>
      <c r="I124" s="142">
        <f>+'Amount and Destination'!AE117/days_yr</f>
        <v>0</v>
      </c>
      <c r="J124" s="91" t="str">
        <f t="shared" si="7"/>
        <v>NA</v>
      </c>
      <c r="L124" s="115" t="str">
        <f>IF($B124="x",Transportation!$AD37, "NA")</f>
        <v>NA</v>
      </c>
      <c r="M124" s="116" t="s">
        <v>102</v>
      </c>
      <c r="N124" s="116" t="s">
        <v>102</v>
      </c>
      <c r="O124" s="117" t="str">
        <f>IF($B124="x",Transportation!$AD40, "NA")</f>
        <v>NA</v>
      </c>
      <c r="T124" s="75"/>
      <c r="Y124" s="135"/>
      <c r="Z124" s="136"/>
    </row>
    <row r="125" spans="1:26" ht="18.75" thickBot="1" x14ac:dyDescent="0.3">
      <c r="A125" s="118" t="s">
        <v>278</v>
      </c>
      <c r="C125" s="119">
        <f>SUM(C104:C124)</f>
        <v>0</v>
      </c>
      <c r="D125" s="120">
        <f>SUM(D104:D124)</f>
        <v>0</v>
      </c>
      <c r="E125" s="121">
        <f>SUM(E104:E124)</f>
        <v>0</v>
      </c>
      <c r="F125" s="122">
        <f>SUM(F104:F124)</f>
        <v>0</v>
      </c>
      <c r="G125" s="123"/>
      <c r="H125" s="123"/>
      <c r="I125" s="123"/>
      <c r="J125" s="124"/>
      <c r="L125" s="125">
        <f>SUM(L104:L124)</f>
        <v>0</v>
      </c>
      <c r="M125" s="125">
        <f>SUM(M104:M124)</f>
        <v>0</v>
      </c>
      <c r="N125" s="125">
        <f>SUM(N104:N124)</f>
        <v>0</v>
      </c>
      <c r="O125" s="126">
        <f>SUM(O104:O124)</f>
        <v>0</v>
      </c>
      <c r="T125" s="75"/>
      <c r="Y125" s="135"/>
      <c r="Z125" s="136"/>
    </row>
    <row r="126" spans="1:26" x14ac:dyDescent="0.25">
      <c r="A126" s="127" t="s">
        <v>296</v>
      </c>
      <c r="T126" s="75"/>
    </row>
    <row r="127" spans="1:26" x14ac:dyDescent="0.25">
      <c r="A127" s="128" t="s">
        <v>277</v>
      </c>
      <c r="T127" s="75"/>
    </row>
    <row r="128" spans="1:26" ht="15.75" thickBot="1" x14ac:dyDescent="0.3">
      <c r="A128" s="132"/>
      <c r="B128" s="133"/>
      <c r="C128" s="133"/>
      <c r="D128" s="133"/>
      <c r="E128" s="133"/>
      <c r="F128" s="133"/>
      <c r="G128" s="133"/>
      <c r="H128" s="133"/>
      <c r="I128" s="133"/>
      <c r="J128" s="133"/>
      <c r="K128" s="133"/>
      <c r="L128" s="133"/>
      <c r="M128" s="133"/>
      <c r="N128" s="133"/>
      <c r="O128" s="133"/>
      <c r="P128" s="133"/>
      <c r="Q128" s="133"/>
      <c r="R128" s="133"/>
      <c r="S128" s="133"/>
      <c r="T128" s="134"/>
    </row>
    <row r="129" spans="1:32" ht="15.75" thickBot="1" x14ac:dyDescent="0.3">
      <c r="A129" s="867" t="s">
        <v>468</v>
      </c>
      <c r="B129" s="2"/>
      <c r="C129" s="868" t="s">
        <v>541</v>
      </c>
      <c r="D129" s="864"/>
      <c r="E129" s="870"/>
      <c r="F129" s="870"/>
      <c r="G129" s="870"/>
      <c r="H129" s="870"/>
      <c r="I129" s="870"/>
      <c r="J129" s="871"/>
      <c r="T129" s="75"/>
    </row>
    <row r="130" spans="1:32" x14ac:dyDescent="0.25">
      <c r="A130" s="74" t="s">
        <v>464</v>
      </c>
      <c r="B130" s="1230"/>
      <c r="C130" s="1230"/>
      <c r="D130" s="1230"/>
      <c r="E130" s="1230"/>
      <c r="F130" s="1230"/>
      <c r="G130" s="1230"/>
      <c r="H130" s="1230"/>
      <c r="I130" s="1230"/>
      <c r="J130" s="1230"/>
      <c r="T130" s="75"/>
    </row>
    <row r="131" spans="1:32" x14ac:dyDescent="0.25">
      <c r="A131" s="74"/>
      <c r="B131" s="1230"/>
      <c r="C131" s="1230"/>
      <c r="D131" s="1230"/>
      <c r="E131" s="1230"/>
      <c r="F131" s="1230"/>
      <c r="G131" s="1230"/>
      <c r="H131" s="1230"/>
      <c r="I131" s="1230"/>
      <c r="J131" s="1230"/>
      <c r="T131" s="75"/>
    </row>
    <row r="132" spans="1:32" x14ac:dyDescent="0.25">
      <c r="A132" s="74"/>
      <c r="B132" s="1230"/>
      <c r="C132" s="1230"/>
      <c r="D132" s="1230"/>
      <c r="E132" s="1230"/>
      <c r="F132" s="1230"/>
      <c r="G132" s="1230"/>
      <c r="H132" s="1230"/>
      <c r="I132" s="1230"/>
      <c r="J132" s="1230"/>
      <c r="T132" s="75"/>
    </row>
    <row r="133" spans="1:32" ht="15.75" thickBot="1" x14ac:dyDescent="0.3">
      <c r="A133" s="74"/>
      <c r="B133" s="1230"/>
      <c r="C133" s="1230"/>
      <c r="D133" s="1230"/>
      <c r="E133" s="1230"/>
      <c r="F133" s="1230"/>
      <c r="G133" s="1230"/>
      <c r="H133" s="1230"/>
      <c r="I133" s="1230"/>
      <c r="J133" s="1230"/>
      <c r="T133" s="75"/>
    </row>
    <row r="134" spans="1:32" ht="16.5" thickBot="1" x14ac:dyDescent="0.3">
      <c r="A134" s="74"/>
      <c r="C134" s="1221" t="s">
        <v>617</v>
      </c>
      <c r="D134" s="1222"/>
      <c r="E134" s="1222"/>
      <c r="F134" s="1223"/>
      <c r="L134" s="1227" t="s">
        <v>531</v>
      </c>
      <c r="M134" s="1228"/>
      <c r="N134" s="1228"/>
      <c r="O134" s="1229"/>
      <c r="T134" s="75"/>
    </row>
    <row r="135" spans="1:32" ht="63.75" thickBot="1" x14ac:dyDescent="0.3">
      <c r="A135" s="45" t="s">
        <v>152</v>
      </c>
      <c r="B135" s="79" t="s">
        <v>101</v>
      </c>
      <c r="C135" s="80" t="s">
        <v>228</v>
      </c>
      <c r="D135" s="81" t="s">
        <v>229</v>
      </c>
      <c r="E135" s="82" t="s">
        <v>230</v>
      </c>
      <c r="F135" s="48" t="s">
        <v>99</v>
      </c>
      <c r="G135" s="83" t="s">
        <v>553</v>
      </c>
      <c r="H135" s="83" t="s">
        <v>554</v>
      </c>
      <c r="I135" s="83" t="s">
        <v>477</v>
      </c>
      <c r="J135" s="83" t="s">
        <v>904</v>
      </c>
      <c r="L135" s="1027" t="s">
        <v>536</v>
      </c>
      <c r="M135" s="84" t="s">
        <v>903</v>
      </c>
      <c r="N135" s="84" t="s">
        <v>902</v>
      </c>
      <c r="O135" s="85" t="s">
        <v>537</v>
      </c>
      <c r="P135" s="95"/>
      <c r="T135" s="75"/>
    </row>
    <row r="136" spans="1:32" x14ac:dyDescent="0.25">
      <c r="A136" s="86" t="s">
        <v>324</v>
      </c>
      <c r="B136" s="3"/>
      <c r="C136" s="87" t="str">
        <f>IF($B136="x",Storage!J$25, "NA")</f>
        <v>NA</v>
      </c>
      <c r="D136" s="88" t="str">
        <f>IF($B136="x",Storage!J$26, "NA")</f>
        <v>NA</v>
      </c>
      <c r="E136" s="88" t="str">
        <f>IF($B136="x",Storage!J$28, "NA")</f>
        <v>NA</v>
      </c>
      <c r="F136" s="89" t="str">
        <f>IF($B136="x",Storage!J$24, "NA")</f>
        <v>NA</v>
      </c>
      <c r="G136" s="90" t="s">
        <v>307</v>
      </c>
      <c r="H136" s="90" t="s">
        <v>307</v>
      </c>
      <c r="I136" s="90" t="s">
        <v>307</v>
      </c>
      <c r="J136" s="91" t="s">
        <v>307</v>
      </c>
      <c r="L136" s="92" t="str">
        <f>IF($B136="x",Storage!J$18*days_yr, "NA")</f>
        <v>NA</v>
      </c>
      <c r="M136" s="93" t="str">
        <f>IF($B136="x",Storage!J$21*days_yr, "NA")</f>
        <v>NA</v>
      </c>
      <c r="N136" s="93" t="s">
        <v>102</v>
      </c>
      <c r="O136" s="94" t="str">
        <f>IF($B136="x",Storage!J$29, "NA")</f>
        <v>NA</v>
      </c>
      <c r="P136" s="104"/>
      <c r="Q136" s="96"/>
      <c r="T136" s="75"/>
    </row>
    <row r="137" spans="1:32" x14ac:dyDescent="0.25">
      <c r="A137" s="46" t="s">
        <v>159</v>
      </c>
      <c r="B137" s="3"/>
      <c r="C137" s="97" t="str">
        <f>IF($B137="x",'Conditioning Thickening'!J$19, "NA")</f>
        <v>NA</v>
      </c>
      <c r="D137" s="98" t="str">
        <f>IF($B137="x",'Conditioning Thickening'!J$20, "NA")</f>
        <v>NA</v>
      </c>
      <c r="E137" s="98" t="str">
        <f>IF($B137="x",'Conditioning Thickening'!J$22, "NA")</f>
        <v>NA</v>
      </c>
      <c r="F137" s="99" t="str">
        <f>IF($B137="x",'Conditioning Thickening'!J$18, "NA")</f>
        <v>NA</v>
      </c>
      <c r="G137" s="100" t="s">
        <v>307</v>
      </c>
      <c r="H137" s="100" t="s">
        <v>307</v>
      </c>
      <c r="I137" s="100" t="s">
        <v>307</v>
      </c>
      <c r="J137" s="91" t="s">
        <v>307</v>
      </c>
      <c r="L137" s="101" t="str">
        <f>IF($B137="x",SUM('Conditioning Thickening'!J$11,'Conditioning Thickening'!J$15)*days_yr, "NA")</f>
        <v>NA</v>
      </c>
      <c r="M137" s="102" t="s">
        <v>102</v>
      </c>
      <c r="N137" s="102" t="s">
        <v>102</v>
      </c>
      <c r="O137" s="103" t="str">
        <f>IF($B137="x",'Conditioning Thickening'!J$23, "NA")</f>
        <v>NA</v>
      </c>
      <c r="P137" s="104"/>
      <c r="T137" s="75"/>
    </row>
    <row r="138" spans="1:32" x14ac:dyDescent="0.25">
      <c r="A138" s="46" t="s">
        <v>195</v>
      </c>
      <c r="B138" s="3"/>
      <c r="C138" s="97" t="str">
        <f>IF($B138="x",'Aerobic Digestion'!J$26, "NA")</f>
        <v>NA</v>
      </c>
      <c r="D138" s="98" t="str">
        <f>IF($B138="x",'Aerobic Digestion'!J$27, "NA")</f>
        <v>NA</v>
      </c>
      <c r="E138" s="98" t="str">
        <f>IF($B138="x",'Aerobic Digestion'!J$29, "NA")</f>
        <v>NA</v>
      </c>
      <c r="F138" s="99" t="str">
        <f>IF($B138="x",'Aerobic Digestion'!J$25, "NA")</f>
        <v>NA</v>
      </c>
      <c r="G138" s="100" t="s">
        <v>307</v>
      </c>
      <c r="H138" s="100" t="s">
        <v>307</v>
      </c>
      <c r="I138" s="100" t="s">
        <v>307</v>
      </c>
      <c r="J138" s="91" t="s">
        <v>307</v>
      </c>
      <c r="L138" s="101" t="str">
        <f>IF($B138="x",SUM('Aerobic Digestion'!J$21:J$22)*days_yr, "NA")</f>
        <v>NA</v>
      </c>
      <c r="M138" s="102" t="s">
        <v>102</v>
      </c>
      <c r="N138" s="102" t="s">
        <v>102</v>
      </c>
      <c r="O138" s="103" t="str">
        <f>IF($B138="x",'Aerobic Digestion'!J$30, "NA")</f>
        <v>NA</v>
      </c>
      <c r="P138" s="104"/>
      <c r="T138" s="75"/>
    </row>
    <row r="139" spans="1:32" x14ac:dyDescent="0.25">
      <c r="A139" s="46" t="s">
        <v>197</v>
      </c>
      <c r="B139" s="3"/>
      <c r="C139" s="97" t="str">
        <f>IF($B139="x", 'Anaerobic Digestion'!J$49, "NA")</f>
        <v>NA</v>
      </c>
      <c r="D139" s="98" t="str">
        <f>IF($B139="x", 'Anaerobic Digestion'!J$50, "NA")</f>
        <v>NA</v>
      </c>
      <c r="E139" s="106" t="str">
        <f>IF($B139="x", 'Anaerobic Digestion'!J$52, "NA")</f>
        <v>NA</v>
      </c>
      <c r="F139" s="99" t="str">
        <f>IF($B139="x", 'Anaerobic Digestion'!J$48, "NA")</f>
        <v>NA</v>
      </c>
      <c r="G139" s="100" t="s">
        <v>307</v>
      </c>
      <c r="H139" s="100" t="s">
        <v>307</v>
      </c>
      <c r="I139" s="100" t="s">
        <v>307</v>
      </c>
      <c r="J139" s="91" t="s">
        <v>307</v>
      </c>
      <c r="L139" s="101" t="str">
        <f>IF($B139="x", SUM('Anaerobic Digestion'!J$42:J$43)*days_yr, "NA")</f>
        <v>NA</v>
      </c>
      <c r="M139" s="102" t="str">
        <f>IF($B139="x", 'Anaerobic Digestion'!J$44*days_yr, "NA")</f>
        <v>NA</v>
      </c>
      <c r="N139" s="102" t="s">
        <v>102</v>
      </c>
      <c r="O139" s="103" t="str">
        <f>IF($B139="x", 'Anaerobic Digestion'!J$53, "NA")</f>
        <v>NA</v>
      </c>
      <c r="P139" s="104"/>
      <c r="T139" s="75"/>
    </row>
    <row r="140" spans="1:32" x14ac:dyDescent="0.25">
      <c r="A140" s="558" t="s">
        <v>516</v>
      </c>
      <c r="B140" s="3"/>
      <c r="C140" s="97" t="str">
        <f>IF($B140="x", 'Anaerobic Digestion (2)'!J$49, "NA")</f>
        <v>NA</v>
      </c>
      <c r="D140" s="98" t="str">
        <f>IF($B140="x", 'Anaerobic Digestion (2)'!J$50, "NA")</f>
        <v>NA</v>
      </c>
      <c r="E140" s="106" t="str">
        <f>IF($B140="x", 'Anaerobic Digestion (2)'!J$52, "NA")</f>
        <v>NA</v>
      </c>
      <c r="F140" s="99" t="str">
        <f>IF($B140="x", 'Anaerobic Digestion (2)'!J$48, "NA")</f>
        <v>NA</v>
      </c>
      <c r="G140" s="100" t="s">
        <v>307</v>
      </c>
      <c r="H140" s="100" t="s">
        <v>307</v>
      </c>
      <c r="I140" s="100" t="s">
        <v>307</v>
      </c>
      <c r="J140" s="91" t="s">
        <v>307</v>
      </c>
      <c r="L140" s="101" t="str">
        <f>IF($B140="x", SUM('Anaerobic Digestion (2)'!J$42:J$43)*days_yr, "NA")</f>
        <v>NA</v>
      </c>
      <c r="M140" s="102" t="str">
        <f>IF($B140="x", 'Anaerobic Digestion (2)'!J$44*days_yr, "NA")</f>
        <v>NA</v>
      </c>
      <c r="N140" s="102" t="s">
        <v>102</v>
      </c>
      <c r="O140" s="103" t="str">
        <f>IF($B140="x", 'Anaerobic Digestion (2)'!J$53, "NA")</f>
        <v>NA</v>
      </c>
      <c r="Q140" s="105"/>
      <c r="T140" s="75"/>
    </row>
    <row r="141" spans="1:32" x14ac:dyDescent="0.25">
      <c r="A141" s="46" t="s">
        <v>223</v>
      </c>
      <c r="B141" s="3"/>
      <c r="C141" s="97" t="str">
        <f>IF($B141="x", 'De-watering'!J$20, "NA")</f>
        <v>NA</v>
      </c>
      <c r="D141" s="98" t="str">
        <f>IF($B141="x", 'De-watering'!J$21, "NA")</f>
        <v>NA</v>
      </c>
      <c r="E141" s="98" t="str">
        <f>IF($B141="x", 'De-watering'!J$23, "NA")</f>
        <v>NA</v>
      </c>
      <c r="F141" s="99" t="str">
        <f>IF($B141="x", 'De-watering'!J$19, "NA")</f>
        <v>NA</v>
      </c>
      <c r="G141" s="100" t="s">
        <v>307</v>
      </c>
      <c r="H141" s="100" t="s">
        <v>307</v>
      </c>
      <c r="I141" s="100" t="s">
        <v>307</v>
      </c>
      <c r="J141" s="91" t="s">
        <v>307</v>
      </c>
      <c r="L141" s="101" t="str">
        <f>IF($B141="x", SUM('De-watering'!J$12,'De-watering'!J$16)*days_yr, "NA")</f>
        <v>NA</v>
      </c>
      <c r="M141" s="102" t="s">
        <v>102</v>
      </c>
      <c r="N141" s="102" t="s">
        <v>102</v>
      </c>
      <c r="O141" s="103" t="str">
        <f>IF($B141="x", 'De-watering'!J$24, "NA")</f>
        <v>NA</v>
      </c>
      <c r="T141" s="75"/>
    </row>
    <row r="142" spans="1:32" x14ac:dyDescent="0.25">
      <c r="A142" s="46" t="s">
        <v>133</v>
      </c>
      <c r="B142" s="3"/>
      <c r="C142" s="97" t="str">
        <f>IF($B142="x", 'Thermal Drying'!J$24, "NA")</f>
        <v>NA</v>
      </c>
      <c r="D142" s="98" t="str">
        <f>IF($B142="x", 'Thermal Drying'!J$25, "NA")</f>
        <v>NA</v>
      </c>
      <c r="E142" s="98" t="str">
        <f>IF($B142="x", 'Thermal Drying'!J$27, "NA")</f>
        <v>NA</v>
      </c>
      <c r="F142" s="99" t="str">
        <f>IF($B142="x", 'Thermal Drying'!J$23, "NA")</f>
        <v>NA</v>
      </c>
      <c r="G142" s="100" t="str">
        <f t="shared" ref="G142:G154" si="8">IF($B142="x",H142*Mg_ton,"NA")</f>
        <v>NA</v>
      </c>
      <c r="H142" s="100" t="str">
        <f>IF($B142="x",'Thermal Drying'!J$6,"NA")</f>
        <v>NA</v>
      </c>
      <c r="I142" s="108" t="str">
        <f>IF($B142="x", 'Thermal Drying'!J$9, "NA")</f>
        <v>NA</v>
      </c>
      <c r="J142" s="91" t="str">
        <f t="shared" ref="J142:J156" si="9">IF($B142="x", F142/(I142*days_yr),"NA")</f>
        <v>NA</v>
      </c>
      <c r="L142" s="101" t="str">
        <f>IF($B142="x",'Thermal Drying'!J23, "NA")</f>
        <v>NA</v>
      </c>
      <c r="M142" s="102" t="s">
        <v>102</v>
      </c>
      <c r="N142" s="102" t="s">
        <v>102</v>
      </c>
      <c r="O142" s="103" t="str">
        <f>IF($B142="x", 'Thermal Drying'!J$28, "NA")</f>
        <v>NA</v>
      </c>
      <c r="T142" s="75"/>
    </row>
    <row r="143" spans="1:32" x14ac:dyDescent="0.25">
      <c r="A143" s="558" t="s">
        <v>645</v>
      </c>
      <c r="B143" s="3"/>
      <c r="C143" s="97" t="str">
        <f>IF($B143="x",BioDrying!J$23, "NA")</f>
        <v>NA</v>
      </c>
      <c r="D143" s="98" t="str">
        <f>IF($B143="x",BioDrying!J$24, "NA")</f>
        <v>NA</v>
      </c>
      <c r="E143" s="98" t="str">
        <f>IF($B143="x",BioDrying!J$26, "NA")</f>
        <v>NA</v>
      </c>
      <c r="F143" s="138" t="str">
        <f>IF($B143="x",BioDrying!J$22, "NA")</f>
        <v>NA</v>
      </c>
      <c r="G143" s="583" t="str">
        <f>IF($B143="x",H143*Mg_ton,"NA")</f>
        <v>NA</v>
      </c>
      <c r="H143" s="100" t="str">
        <f>IF($B143="x",BioDrying!J$6,"NA")</f>
        <v>NA</v>
      </c>
      <c r="I143" s="108" t="str">
        <f>IF($B143="x",BioDrying!J$9,"NA")</f>
        <v>NA</v>
      </c>
      <c r="J143" s="91" t="str">
        <f>IF($B143="x", F143/(I143*days_yr),"NA")</f>
        <v>NA</v>
      </c>
      <c r="L143" s="101" t="str">
        <f>IF($B143="x",BioDrying!J$22, "NA")</f>
        <v>NA</v>
      </c>
      <c r="M143" s="102" t="s">
        <v>102</v>
      </c>
      <c r="N143" s="102" t="s">
        <v>102</v>
      </c>
      <c r="O143" s="103" t="str">
        <f>IF($B143="x",BioDrying!J$27, "NA")</f>
        <v>NA</v>
      </c>
      <c r="T143" s="75"/>
    </row>
    <row r="144" spans="1:32" x14ac:dyDescent="0.25">
      <c r="A144" s="46" t="s">
        <v>269</v>
      </c>
      <c r="B144" s="3"/>
      <c r="C144" s="97" t="str">
        <f>IF($B144="x",'Alkaline Stabilization'!J$24, "NA")</f>
        <v>NA</v>
      </c>
      <c r="D144" s="98" t="str">
        <f>IF($B144="x",'Alkaline Stabilization'!J$25, "NA")</f>
        <v>NA</v>
      </c>
      <c r="E144" s="98" t="str">
        <f>IF($B144="x",'Alkaline Stabilization'!J$27, "NA")</f>
        <v>NA</v>
      </c>
      <c r="F144" s="99" t="str">
        <f>IF($B144="x",'Alkaline Stabilization'!J$23, "NA")</f>
        <v>NA</v>
      </c>
      <c r="G144" s="100" t="str">
        <f t="shared" si="8"/>
        <v>NA</v>
      </c>
      <c r="H144" s="100" t="str">
        <f>IF($B144="x",'Alkaline Stabilization'!J$6,"NA")</f>
        <v>NA</v>
      </c>
      <c r="I144" s="108" t="str">
        <f>IF($B144="x",'Alkaline Stabilization'!J$8, "NA")</f>
        <v>NA</v>
      </c>
      <c r="J144" s="91" t="str">
        <f t="shared" si="9"/>
        <v>NA</v>
      </c>
      <c r="L144" s="101" t="str">
        <f>IF($B144="x",SUM('Alkaline Stabilization'!J$12,'Alkaline Stabilization'!J$16,'Alkaline Stabilization'!J$20)*days_yr, "NA")</f>
        <v>NA</v>
      </c>
      <c r="M144" s="102" t="s">
        <v>102</v>
      </c>
      <c r="N144" s="102" t="s">
        <v>102</v>
      </c>
      <c r="O144" s="103" t="str">
        <f>IF($B144="x",'Alkaline Stabilization'!J$28, "NA")</f>
        <v>NA</v>
      </c>
      <c r="T144" s="75"/>
      <c r="AF144" s="107"/>
    </row>
    <row r="145" spans="1:20" x14ac:dyDescent="0.25">
      <c r="A145" s="46" t="s">
        <v>250</v>
      </c>
      <c r="B145" s="3"/>
      <c r="C145" s="97" t="str">
        <f>IF($B145="x", Composting!J$58, "NA")</f>
        <v>NA</v>
      </c>
      <c r="D145" s="98" t="str">
        <f>IF($B145="x", Composting!J$59, "NA")</f>
        <v>NA</v>
      </c>
      <c r="E145" s="98" t="str">
        <f>IF($B145="x", Composting!J$61, "NA")</f>
        <v>NA</v>
      </c>
      <c r="F145" s="99" t="str">
        <f>IF($B145="x", Composting!J$57, "NA")</f>
        <v>NA</v>
      </c>
      <c r="G145" s="100" t="str">
        <f t="shared" si="8"/>
        <v>NA</v>
      </c>
      <c r="H145" s="100" t="str">
        <f>IF($B145="x",Composting!J$7,"NA")</f>
        <v>NA</v>
      </c>
      <c r="I145" s="108" t="str">
        <f>IF($B145="x", Composting!J$9, "NA")</f>
        <v>NA</v>
      </c>
      <c r="J145" s="91" t="str">
        <f t="shared" si="9"/>
        <v>NA</v>
      </c>
      <c r="L145" s="101" t="str">
        <f>IF($B145="x", SUM(Composting!J$34,Composting!J$38,Composting!J$50,Composting!J$53:J$54)*days_yr, "NA")</f>
        <v>NA</v>
      </c>
      <c r="M145" s="102" t="str">
        <f>IF($B145="x", Composting!J$42*days_yr, "NA")</f>
        <v>NA</v>
      </c>
      <c r="N145" s="102" t="str">
        <f>IF($B145="x", Composting!J$46*days_yr, "NA")</f>
        <v>NA</v>
      </c>
      <c r="O145" s="103" t="str">
        <f>IF($B145="x", Composting!J$62, "NA")</f>
        <v>NA</v>
      </c>
      <c r="T145" s="75"/>
    </row>
    <row r="146" spans="1:20" x14ac:dyDescent="0.25">
      <c r="A146" s="558" t="s">
        <v>517</v>
      </c>
      <c r="B146" s="3"/>
      <c r="C146" s="97" t="str">
        <f>IF($B146="x", 'Composting (2)'!J$58, "NA")</f>
        <v>NA</v>
      </c>
      <c r="D146" s="98" t="str">
        <f>IF($B146="x", 'Composting (2)'!J$59, "NA")</f>
        <v>NA</v>
      </c>
      <c r="E146" s="98" t="str">
        <f>IF($B146="x", 'Composting (2)'!J$61, "NA")</f>
        <v>NA</v>
      </c>
      <c r="F146" s="99" t="str">
        <f>IF($B146="x", 'Composting (2)'!J$57, "NA")</f>
        <v>NA</v>
      </c>
      <c r="G146" s="100" t="str">
        <f t="shared" si="8"/>
        <v>NA</v>
      </c>
      <c r="H146" s="100" t="str">
        <f>IF($B146="x",'Composting (2)'!J$7,"NA")</f>
        <v>NA</v>
      </c>
      <c r="I146" s="108" t="str">
        <f>IF($B146="x", 'Composting (2)'!J$9, "NA")</f>
        <v>NA</v>
      </c>
      <c r="J146" s="91" t="str">
        <f t="shared" si="9"/>
        <v>NA</v>
      </c>
      <c r="L146" s="101" t="str">
        <f>IF($B146="x", SUM('Composting (2)'!J$34,'Composting (2)'!J$38,'Composting (2)'!J$49,'Composting (2)'!J$53:J$54)*days_yr, "NA")</f>
        <v>NA</v>
      </c>
      <c r="M146" s="102" t="str">
        <f>IF($B146="x", 'Composting (2)'!J$42*days_yr, "NA")</f>
        <v>NA</v>
      </c>
      <c r="N146" s="102" t="str">
        <f>IF($B146="x", 'Composting (2)'!J$46*days_yr, "NA")</f>
        <v>NA</v>
      </c>
      <c r="O146" s="103" t="str">
        <f>IF($B146="x", 'Composting (2)'!J$62, "NA")</f>
        <v>NA</v>
      </c>
      <c r="T146" s="75"/>
    </row>
    <row r="147" spans="1:20" x14ac:dyDescent="0.25">
      <c r="A147" s="558" t="s">
        <v>532</v>
      </c>
      <c r="B147" s="3"/>
      <c r="C147" s="97" t="str">
        <f>IF($B147="x", 'Landfill Disposal Typical'!J$53, "NA")</f>
        <v>NA</v>
      </c>
      <c r="D147" s="98" t="str">
        <f>IF($B147="x", 'Landfill Disposal Typical'!J$54, "NA")</f>
        <v>NA</v>
      </c>
      <c r="E147" s="98" t="str">
        <f>IF($B147="x", 'Landfill Disposal Typical'!J$56, "NA")</f>
        <v>NA</v>
      </c>
      <c r="F147" s="99" t="str">
        <f>IF($B147="x", 'Landfill Disposal Typical'!J$52, "NA")</f>
        <v>NA</v>
      </c>
      <c r="G147" s="100" t="str">
        <f t="shared" si="8"/>
        <v>NA</v>
      </c>
      <c r="H147" s="100" t="str">
        <f>IF($B147="x",'Landfill Disposal Typical'!J$13,"NA")</f>
        <v>NA</v>
      </c>
      <c r="I147" s="108" t="str">
        <f>IF($B147="x", 'Landfill Disposal Typical'!J$15, "NA")</f>
        <v>NA</v>
      </c>
      <c r="J147" s="91" t="str">
        <f t="shared" si="9"/>
        <v>NA</v>
      </c>
      <c r="L147" s="101" t="str">
        <f>IF($B147="x",('Landfill Disposal Typical'!J$44+'Landfill Disposal Typical'!J$48)*days_yr,"NA")</f>
        <v>NA</v>
      </c>
      <c r="M147" s="102" t="str">
        <f>IF($B147="x",'Landfill Disposal Typical'!J$37*days_yr,"NA")</f>
        <v>NA</v>
      </c>
      <c r="N147" s="102" t="str">
        <f>IF($B147="x",'Landfill Disposal Typical'!J$41*days_yr,"NA")</f>
        <v>NA</v>
      </c>
      <c r="O147" s="103" t="str">
        <f>IF($B147="x",'Landfill Disposal Typical'!J$57,"NA")</f>
        <v>NA</v>
      </c>
      <c r="T147" s="75"/>
    </row>
    <row r="148" spans="1:20" x14ac:dyDescent="0.25">
      <c r="A148" s="558" t="s">
        <v>533</v>
      </c>
      <c r="B148" s="3"/>
      <c r="C148" s="109" t="str">
        <f>IF($B148="x", 'Landfill Disposal Worst-case'!J$53, "NA")</f>
        <v>NA</v>
      </c>
      <c r="D148" s="110" t="str">
        <f>IF($B148="x", 'Landfill Disposal Worst-case'!J$54, "NA")</f>
        <v>NA</v>
      </c>
      <c r="E148" s="110" t="str">
        <f>IF($B148="x", 'Landfill Disposal Worst-case'!J$56, "NA")</f>
        <v>NA</v>
      </c>
      <c r="F148" s="111" t="str">
        <f>IF($B148="x", 'Landfill Disposal Worst-case'!J$52, "NA")</f>
        <v>NA</v>
      </c>
      <c r="G148" s="100" t="str">
        <f t="shared" si="8"/>
        <v>NA</v>
      </c>
      <c r="H148" s="100" t="str">
        <f>IF($B148="x",'Landfill Disposal Worst-case'!J$13,"NA")</f>
        <v>NA</v>
      </c>
      <c r="I148" s="108" t="str">
        <f>IF($B148="x", 'Landfill Disposal Worst-case'!J$15, "NA")</f>
        <v>NA</v>
      </c>
      <c r="J148" s="91" t="str">
        <f t="shared" si="9"/>
        <v>NA</v>
      </c>
      <c r="L148" s="101" t="str">
        <f>IF($B148="x",('Landfill Disposal Worst-case'!J$44+'Landfill Disposal Worst-case'!J$48)*days_yr,"NA")</f>
        <v>NA</v>
      </c>
      <c r="M148" s="102" t="str">
        <f>IF($B148="x",'Landfill Disposal Worst-case'!J$37*days_yr,"NA")</f>
        <v>NA</v>
      </c>
      <c r="N148" s="102" t="str">
        <f>IF($B148="x",'Landfill Disposal Worst-case'!J$41*days_yr,"NA")</f>
        <v>NA</v>
      </c>
      <c r="O148" s="103" t="str">
        <f>IF($B148="x",'Landfill Disposal Worst-case'!J$57,"NA")</f>
        <v>NA</v>
      </c>
      <c r="T148" s="75"/>
    </row>
    <row r="149" spans="1:20" x14ac:dyDescent="0.25">
      <c r="A149" s="558" t="s">
        <v>534</v>
      </c>
      <c r="B149" s="3"/>
      <c r="C149" s="109" t="str">
        <f>IF($B149="x", 'Landfill Disposal Aggressive'!J$53, "NA")</f>
        <v>NA</v>
      </c>
      <c r="D149" s="110" t="str">
        <f>IF($B149="x", 'Landfill Disposal Aggressive'!J$54, "NA")</f>
        <v>NA</v>
      </c>
      <c r="E149" s="110" t="str">
        <f>IF($B149="x", 'Landfill Disposal Aggressive'!J$56, "NA")</f>
        <v>NA</v>
      </c>
      <c r="F149" s="111" t="str">
        <f>IF($B149="x", 'Landfill Disposal Aggressive'!J$52, "NA")</f>
        <v>NA</v>
      </c>
      <c r="G149" s="100" t="str">
        <f t="shared" si="8"/>
        <v>NA</v>
      </c>
      <c r="H149" s="100" t="str">
        <f>IF($B149="x",'Landfill Disposal Aggressive'!J$13,"NA")</f>
        <v>NA</v>
      </c>
      <c r="I149" s="108" t="str">
        <f>IF($B149="x", 'Landfill Disposal Aggressive'!J$15, "NA")</f>
        <v>NA</v>
      </c>
      <c r="J149" s="91" t="str">
        <f t="shared" si="9"/>
        <v>NA</v>
      </c>
      <c r="L149" s="101" t="str">
        <f>IF($B149="x",('Landfill Disposal Aggressive'!J$44+'Landfill Disposal Aggressive'!J$48)*days_yr,"NA")</f>
        <v>NA</v>
      </c>
      <c r="M149" s="102" t="str">
        <f>IF($B149="x",'Landfill Disposal Aggressive'!J$37*days_yr,"NA")</f>
        <v>NA</v>
      </c>
      <c r="N149" s="102" t="str">
        <f>IF($B149="x",'Landfill Disposal Aggressive'!J$41*days_yr,"NA")</f>
        <v>NA</v>
      </c>
      <c r="O149" s="103" t="str">
        <f>IF($B149="x",'Landfill Disposal Aggressive'!J$57,"NA")</f>
        <v>NA</v>
      </c>
      <c r="T149" s="75"/>
    </row>
    <row r="150" spans="1:20" x14ac:dyDescent="0.25">
      <c r="A150" s="558" t="s">
        <v>535</v>
      </c>
      <c r="B150" s="3"/>
      <c r="C150" s="109" t="str">
        <f>IF($B150="x", 'Landfill Disposal CA Regulatory'!J$53, "NA")</f>
        <v>NA</v>
      </c>
      <c r="D150" s="110" t="str">
        <f>IF($B150="x", 'Landfill Disposal CA Regulatory'!J$54, "NA")</f>
        <v>NA</v>
      </c>
      <c r="E150" s="110" t="str">
        <f>IF($B150="x", 'Landfill Disposal CA Regulatory'!J$56, "NA")</f>
        <v>NA</v>
      </c>
      <c r="F150" s="111" t="str">
        <f>IF($B150="x", 'Landfill Disposal CA Regulatory'!J$52, "NA")</f>
        <v>NA</v>
      </c>
      <c r="G150" s="100" t="str">
        <f t="shared" si="8"/>
        <v>NA</v>
      </c>
      <c r="H150" s="100" t="str">
        <f>IF($B150="x",'Landfill Disposal CA Regulatory'!J$13,"NA")</f>
        <v>NA</v>
      </c>
      <c r="I150" s="108" t="str">
        <f>IF($B150="x", 'Landfill Disposal CA Regulatory'!J$15, "NA")</f>
        <v>NA</v>
      </c>
      <c r="J150" s="91" t="str">
        <f t="shared" si="9"/>
        <v>NA</v>
      </c>
      <c r="L150" s="101" t="str">
        <f>IF($B150="x",('Landfill Disposal CA Regulatory'!J$44+'Landfill Disposal CA Regulatory'!J$48)*days_yr,"NA")</f>
        <v>NA</v>
      </c>
      <c r="M150" s="102" t="str">
        <f>IF($B150="x",'Landfill Disposal CA Regulatory'!J$37*days_yr,"NA")</f>
        <v>NA</v>
      </c>
      <c r="N150" s="102" t="str">
        <f>IF($B150="x",'Landfill Disposal CA Regulatory'!J$41*days_yr,"NA")</f>
        <v>NA</v>
      </c>
      <c r="O150" s="103" t="str">
        <f>IF($B150="x",'Landfill Disposal CA Regulatory'!J$57,"NA")</f>
        <v>NA</v>
      </c>
      <c r="T150" s="75"/>
    </row>
    <row r="151" spans="1:20" x14ac:dyDescent="0.25">
      <c r="A151" s="46" t="s">
        <v>222</v>
      </c>
      <c r="B151" s="3"/>
      <c r="C151" s="97" t="str">
        <f>IF($B151="x", Combustion!J$58, "NA")</f>
        <v>NA</v>
      </c>
      <c r="D151" s="98" t="str">
        <f>IF($B151="x", Combustion!J$59, "NA")</f>
        <v>NA</v>
      </c>
      <c r="E151" s="98" t="str">
        <f>IF($B151="x", Combustion!J$61, "NA")</f>
        <v>NA</v>
      </c>
      <c r="F151" s="99" t="str">
        <f>IF($B151="x", Combustion!J$57, "NA")</f>
        <v>NA</v>
      </c>
      <c r="G151" s="100" t="str">
        <f t="shared" si="8"/>
        <v>NA</v>
      </c>
      <c r="H151" s="100" t="str">
        <f>IF($B151="x",Combustion!J$7,"NA")</f>
        <v>NA</v>
      </c>
      <c r="I151" s="108" t="str">
        <f>IF($B151="x", Combustion!J$9, "NA")</f>
        <v>NA</v>
      </c>
      <c r="J151" s="91" t="str">
        <f t="shared" si="9"/>
        <v>NA</v>
      </c>
      <c r="L151" s="101" t="str">
        <f>IF($B151="x", SUM(Combustion!J$30,Combustion!J$36,Combustion!J$48,Combustion!J$51)*days_yr, "NA")</f>
        <v>NA</v>
      </c>
      <c r="M151" s="102" t="str">
        <f>IF($B151="x", Combustion!J$39*days_yr, "NA")</f>
        <v>NA</v>
      </c>
      <c r="N151" s="102" t="str">
        <f>IF($B151="x", Combustion!J$45*days_yr, "NA")</f>
        <v>NA</v>
      </c>
      <c r="O151" s="103" t="str">
        <f>IF($B151="x", Combustion!J$62, "NA")</f>
        <v>NA</v>
      </c>
      <c r="T151" s="75"/>
    </row>
    <row r="152" spans="1:20" x14ac:dyDescent="0.25">
      <c r="A152" s="558" t="s">
        <v>545</v>
      </c>
      <c r="B152" s="3"/>
      <c r="C152" s="97" t="str">
        <f>IF($B152="x",Pyrolysis!J$40, "NA")</f>
        <v>NA</v>
      </c>
      <c r="D152" s="98" t="str">
        <f>IF($B152="x",Pyrolysis!J$41, "NA")</f>
        <v>NA</v>
      </c>
      <c r="E152" s="98" t="str">
        <f>IF($B152="x",Pyrolysis!J$43, "NA")</f>
        <v>NA</v>
      </c>
      <c r="F152" s="138" t="str">
        <f>IF($B152="x",Pyrolysis!J$39, "NA")</f>
        <v>NA</v>
      </c>
      <c r="G152" s="583" t="str">
        <f>IF($B152="x",H152*Mg_ton,"NA")</f>
        <v>NA</v>
      </c>
      <c r="H152" s="100" t="str">
        <f>IF($B152="x",Pyrolysis!J$7,"NA")</f>
        <v>NA</v>
      </c>
      <c r="I152" s="108" t="str">
        <f>IF($B152="x",Pyrolysis!J$9,"NA")</f>
        <v>NA</v>
      </c>
      <c r="J152" s="91" t="str">
        <f>IF($B152="x", F152/(I152*days_yr),"NA")</f>
        <v>NA</v>
      </c>
      <c r="L152" s="101" t="str">
        <f>IF($B152="x",SUM(Pyrolysis!J$21,Pyrolysis!J$27)*days_yr, "NA")</f>
        <v>NA</v>
      </c>
      <c r="M152" s="102" t="str">
        <f>IF($B152="x", Pyrolysis!J$30*days_yr, "NA")</f>
        <v>NA</v>
      </c>
      <c r="N152" s="102" t="str">
        <f>IF($B152="x", Pyrolysis!J$33*days_yr, "NA")</f>
        <v>NA</v>
      </c>
      <c r="O152" s="103" t="str">
        <f>IF($B152="x", Pyrolysis!J$44, "NA")</f>
        <v>NA</v>
      </c>
      <c r="T152" s="75"/>
    </row>
    <row r="153" spans="1:20" x14ac:dyDescent="0.25">
      <c r="A153" s="46" t="s">
        <v>182</v>
      </c>
      <c r="B153" s="3"/>
      <c r="C153" s="97" t="str">
        <f>IF($B153="x", 'Land Application'!J$53, "NA")</f>
        <v>NA</v>
      </c>
      <c r="D153" s="98" t="str">
        <f>IF($B153="x", 'Land Application'!J$54, "NA")</f>
        <v>NA</v>
      </c>
      <c r="E153" s="98" t="str">
        <f>IF($B153="x", 'Land Application'!J$56, "NA")</f>
        <v>NA</v>
      </c>
      <c r="F153" s="99" t="str">
        <f>IF($B153="x", 'Land Application'!J$52, "NA")</f>
        <v>NA</v>
      </c>
      <c r="G153" s="100" t="str">
        <f t="shared" si="8"/>
        <v>NA</v>
      </c>
      <c r="H153" s="100" t="str">
        <f>IF($B153="x",'Land Application'!J$7,"NA")</f>
        <v>NA</v>
      </c>
      <c r="I153" s="108" t="str">
        <f>IF($B153="x", 'Land Application'!J$9, "NA")</f>
        <v>NA</v>
      </c>
      <c r="J153" s="91" t="str">
        <f t="shared" si="9"/>
        <v>NA</v>
      </c>
      <c r="L153" s="101" t="str">
        <f>IF($B153="x", SUM('Land Application'!J$28,'Land Application'!J$42,'Land Application'!J$45,'Land Application'!J$46,'Land Application'!J$49)*days_yr, "NA")</f>
        <v>NA</v>
      </c>
      <c r="M153" s="102" t="str">
        <f>IF($B153="x", 'Land Application'!J$32*days_yr, "NA")</f>
        <v>NA</v>
      </c>
      <c r="N153" s="102" t="str">
        <f>IF($B153="x", 'Land Application'!J$38*days_yr, "NA")</f>
        <v>NA</v>
      </c>
      <c r="O153" s="103" t="str">
        <f>IF($B153="x", 'Land Application'!J$57, "NA")</f>
        <v>NA</v>
      </c>
      <c r="T153" s="75"/>
    </row>
    <row r="154" spans="1:20" x14ac:dyDescent="0.25">
      <c r="A154" s="558" t="s">
        <v>518</v>
      </c>
      <c r="B154" s="3"/>
      <c r="C154" s="97" t="str">
        <f>IF($B154="x", 'Land Application (2)'!J$53, "NA")</f>
        <v>NA</v>
      </c>
      <c r="D154" s="98" t="str">
        <f>IF($B154="x", 'Land Application (2)'!J$54, "NA")</f>
        <v>NA</v>
      </c>
      <c r="E154" s="98" t="str">
        <f>IF($B154="x", 'Land Application (2)'!J$56, "NA")</f>
        <v>NA</v>
      </c>
      <c r="F154" s="99" t="str">
        <f>IF($B154="x", 'Land Application (2)'!J$52, "NA")</f>
        <v>NA</v>
      </c>
      <c r="G154" s="100" t="str">
        <f t="shared" si="8"/>
        <v>NA</v>
      </c>
      <c r="H154" s="100" t="str">
        <f>IF($B154="x",'Land Application (2)'!J$7,"NA")</f>
        <v>NA</v>
      </c>
      <c r="I154" s="108" t="str">
        <f>IF($B154="x", 'Land Application (2)'!J$9, "NA")</f>
        <v>NA</v>
      </c>
      <c r="J154" s="91" t="str">
        <f t="shared" si="9"/>
        <v>NA</v>
      </c>
      <c r="L154" s="101" t="str">
        <f>IF($B154="x", SUM('Land Application (2)'!J$28,'Land Application (2)'!J$42,'Land Application (2)'!J$45,'Land Application (2)'!J$46,'Land Application (2)'!J$49)*days_yr, "NA")</f>
        <v>NA</v>
      </c>
      <c r="M154" s="102" t="str">
        <f>IF($B154="x", 'Land Application (2)'!J$32*days_yr, "NA")</f>
        <v>NA</v>
      </c>
      <c r="N154" s="102" t="str">
        <f>IF($B154="x", 'Land Application (2)'!J$38*days_yr, "NA")</f>
        <v>NA</v>
      </c>
      <c r="O154" s="103" t="str">
        <f>IF($B154="x", 'Land Application (2)'!J$57, "NA")</f>
        <v>NA</v>
      </c>
      <c r="T154" s="75"/>
    </row>
    <row r="155" spans="1:20" x14ac:dyDescent="0.25">
      <c r="A155" s="970" t="s">
        <v>762</v>
      </c>
      <c r="B155" s="971"/>
      <c r="C155" s="975" t="str">
        <f>IF($B155="x",'Misc Emissions'!$J$23, "NA")</f>
        <v>NA</v>
      </c>
      <c r="D155" s="98" t="str">
        <f>IF($B155="x",'Misc Emissions'!$J$24, "NA")</f>
        <v>NA</v>
      </c>
      <c r="E155" s="98" t="str">
        <f>IF($B155="x",'Misc Emissions'!$J$26, "NA")</f>
        <v>NA</v>
      </c>
      <c r="F155" s="138" t="str">
        <f>IF($B155="x",'Misc Emissions'!$J$22, "NA")</f>
        <v>NA</v>
      </c>
      <c r="G155" s="977" t="s">
        <v>307</v>
      </c>
      <c r="H155" s="978" t="s">
        <v>307</v>
      </c>
      <c r="I155" s="979" t="s">
        <v>307</v>
      </c>
      <c r="J155" s="91" t="s">
        <v>307</v>
      </c>
      <c r="L155" s="972" t="str">
        <f>IF($B155="x",SUM('Misc Emissions'!$J$7,'Misc Emissions'!$J$11,'Misc Emissions'!$J$15,'Misc Emissions'!$J$19)*days_yr,"NA")</f>
        <v>NA</v>
      </c>
      <c r="M155" s="973" t="s">
        <v>102</v>
      </c>
      <c r="N155" s="973" t="s">
        <v>102</v>
      </c>
      <c r="O155" s="974" t="s">
        <v>307</v>
      </c>
      <c r="T155" s="75"/>
    </row>
    <row r="156" spans="1:20" ht="15.75" thickBot="1" x14ac:dyDescent="0.3">
      <c r="A156" s="47" t="s">
        <v>160</v>
      </c>
      <c r="B156" s="4"/>
      <c r="C156" s="112" t="str">
        <f>IF($B156="x",Transportation!$AD47, "NA")</f>
        <v>NA</v>
      </c>
      <c r="D156" s="113" t="str">
        <f>IF($B156="x",Transportation!$AD48, "NA")</f>
        <v>NA</v>
      </c>
      <c r="E156" s="113" t="str">
        <f>IF($B156="x",Transportation!$AD49, "NA")</f>
        <v>NA</v>
      </c>
      <c r="F156" s="114" t="str">
        <f>IF($B156="x",Transportation!$AD46, "NA")</f>
        <v>NA</v>
      </c>
      <c r="G156" s="142">
        <f>+'Amount and Destination'!O146/days_yr</f>
        <v>0</v>
      </c>
      <c r="H156" s="142">
        <f>+'Amount and Destination'!P146/days_yr</f>
        <v>0</v>
      </c>
      <c r="I156" s="142">
        <f>+'Amount and Destination'!AE146/days_yr</f>
        <v>0</v>
      </c>
      <c r="J156" s="91" t="str">
        <f t="shared" si="9"/>
        <v>NA</v>
      </c>
      <c r="L156" s="115" t="str">
        <f>IF($B156="x",Transportation!$AD47, "NA")</f>
        <v>NA</v>
      </c>
      <c r="M156" s="116" t="s">
        <v>102</v>
      </c>
      <c r="N156" s="116" t="s">
        <v>102</v>
      </c>
      <c r="O156" s="117" t="str">
        <f>IF($B156="x",Transportation!$AD50, "NA")</f>
        <v>NA</v>
      </c>
      <c r="T156" s="75"/>
    </row>
    <row r="157" spans="1:20" ht="18.75" thickBot="1" x14ac:dyDescent="0.3">
      <c r="A157" s="118" t="s">
        <v>278</v>
      </c>
      <c r="C157" s="119">
        <f>SUM(C136:C156)</f>
        <v>0</v>
      </c>
      <c r="D157" s="120">
        <f>SUM(D136:D156)</f>
        <v>0</v>
      </c>
      <c r="E157" s="121">
        <f>SUM(E136:E156)</f>
        <v>0</v>
      </c>
      <c r="F157" s="122">
        <f>SUM(F136:F156)</f>
        <v>0</v>
      </c>
      <c r="G157" s="123"/>
      <c r="H157" s="123"/>
      <c r="I157" s="123"/>
      <c r="J157" s="124"/>
      <c r="L157" s="125">
        <f>SUM(L136:L156)</f>
        <v>0</v>
      </c>
      <c r="M157" s="125">
        <f>SUM(M136:M156)</f>
        <v>0</v>
      </c>
      <c r="N157" s="125">
        <f>SUM(N136:N156)</f>
        <v>0</v>
      </c>
      <c r="O157" s="126">
        <f>SUM(O136:O156)</f>
        <v>0</v>
      </c>
      <c r="T157" s="75"/>
    </row>
    <row r="158" spans="1:20" x14ac:dyDescent="0.25">
      <c r="A158" s="127" t="s">
        <v>296</v>
      </c>
      <c r="T158" s="75"/>
    </row>
    <row r="159" spans="1:20" x14ac:dyDescent="0.25">
      <c r="A159" s="128" t="s">
        <v>277</v>
      </c>
      <c r="T159" s="75"/>
    </row>
    <row r="160" spans="1:20" ht="15.75" thickBot="1" x14ac:dyDescent="0.3">
      <c r="A160" s="128"/>
      <c r="T160" s="75"/>
    </row>
    <row r="161" spans="1:20" ht="15.75" thickBot="1" x14ac:dyDescent="0.3">
      <c r="A161" s="129" t="s">
        <v>472</v>
      </c>
      <c r="B161" s="863"/>
      <c r="C161" s="69" t="s">
        <v>541</v>
      </c>
      <c r="D161" s="864"/>
      <c r="E161" s="865"/>
      <c r="F161" s="865"/>
      <c r="G161" s="865"/>
      <c r="H161" s="865"/>
      <c r="I161" s="865"/>
      <c r="J161" s="866"/>
      <c r="K161" s="72"/>
      <c r="L161" s="72"/>
      <c r="M161" s="72"/>
      <c r="N161" s="72"/>
      <c r="O161" s="72"/>
      <c r="P161" s="72"/>
      <c r="Q161" s="72"/>
      <c r="R161" s="72"/>
      <c r="S161" s="72"/>
      <c r="T161" s="73"/>
    </row>
    <row r="162" spans="1:20" x14ac:dyDescent="0.25">
      <c r="A162" s="74" t="s">
        <v>464</v>
      </c>
      <c r="B162" s="1230"/>
      <c r="C162" s="1230"/>
      <c r="D162" s="1230"/>
      <c r="E162" s="1230"/>
      <c r="F162" s="1230"/>
      <c r="G162" s="1230"/>
      <c r="H162" s="1230"/>
      <c r="I162" s="1230"/>
      <c r="J162" s="1230"/>
      <c r="T162" s="75"/>
    </row>
    <row r="163" spans="1:20" x14ac:dyDescent="0.25">
      <c r="A163" s="74"/>
      <c r="B163" s="1230"/>
      <c r="C163" s="1230"/>
      <c r="D163" s="1230"/>
      <c r="E163" s="1230"/>
      <c r="F163" s="1230"/>
      <c r="G163" s="1230"/>
      <c r="H163" s="1230"/>
      <c r="I163" s="1230"/>
      <c r="J163" s="1230"/>
      <c r="T163" s="75"/>
    </row>
    <row r="164" spans="1:20" x14ac:dyDescent="0.25">
      <c r="A164" s="74"/>
      <c r="B164" s="1230"/>
      <c r="C164" s="1230"/>
      <c r="D164" s="1230"/>
      <c r="E164" s="1230"/>
      <c r="F164" s="1230"/>
      <c r="G164" s="1230"/>
      <c r="H164" s="1230"/>
      <c r="I164" s="1230"/>
      <c r="J164" s="1230"/>
      <c r="T164" s="75"/>
    </row>
    <row r="165" spans="1:20" ht="15.75" thickBot="1" x14ac:dyDescent="0.3">
      <c r="A165" s="74"/>
      <c r="B165" s="1230"/>
      <c r="C165" s="1230"/>
      <c r="D165" s="1230"/>
      <c r="E165" s="1230"/>
      <c r="F165" s="1230"/>
      <c r="G165" s="1230"/>
      <c r="H165" s="1230"/>
      <c r="I165" s="1230"/>
      <c r="J165" s="1230"/>
      <c r="T165" s="75"/>
    </row>
    <row r="166" spans="1:20" ht="16.5" thickBot="1" x14ac:dyDescent="0.3">
      <c r="A166" s="74"/>
      <c r="C166" s="1221" t="s">
        <v>617</v>
      </c>
      <c r="D166" s="1222"/>
      <c r="E166" s="1222"/>
      <c r="F166" s="1223"/>
      <c r="L166" s="1227" t="s">
        <v>531</v>
      </c>
      <c r="M166" s="1228"/>
      <c r="N166" s="1228"/>
      <c r="O166" s="1229"/>
      <c r="T166" s="75"/>
    </row>
    <row r="167" spans="1:20" ht="63.75" thickBot="1" x14ac:dyDescent="0.3">
      <c r="A167" s="45" t="s">
        <v>152</v>
      </c>
      <c r="B167" s="79" t="s">
        <v>101</v>
      </c>
      <c r="C167" s="80" t="s">
        <v>228</v>
      </c>
      <c r="D167" s="81" t="s">
        <v>229</v>
      </c>
      <c r="E167" s="82" t="s">
        <v>230</v>
      </c>
      <c r="F167" s="48" t="s">
        <v>99</v>
      </c>
      <c r="G167" s="83" t="s">
        <v>553</v>
      </c>
      <c r="H167" s="83" t="s">
        <v>554</v>
      </c>
      <c r="I167" s="83" t="s">
        <v>477</v>
      </c>
      <c r="J167" s="83" t="s">
        <v>904</v>
      </c>
      <c r="L167" s="1027" t="s">
        <v>536</v>
      </c>
      <c r="M167" s="84" t="s">
        <v>903</v>
      </c>
      <c r="N167" s="84" t="s">
        <v>902</v>
      </c>
      <c r="O167" s="85" t="s">
        <v>537</v>
      </c>
      <c r="P167" s="95"/>
      <c r="T167" s="75"/>
    </row>
    <row r="168" spans="1:20" x14ac:dyDescent="0.25">
      <c r="A168" s="86" t="s">
        <v>324</v>
      </c>
      <c r="B168" s="3"/>
      <c r="C168" s="87" t="str">
        <f>IF($B168="x",Storage!L$25, "NA")</f>
        <v>NA</v>
      </c>
      <c r="D168" s="88" t="str">
        <f>IF($B168="x",Storage!L$26, "NA")</f>
        <v>NA</v>
      </c>
      <c r="E168" s="88" t="str">
        <f>IF($B168="x",Storage!L$28, "NA")</f>
        <v>NA</v>
      </c>
      <c r="F168" s="89" t="str">
        <f>IF($B168="x",Storage!L$24, "NA")</f>
        <v>NA</v>
      </c>
      <c r="G168" s="90" t="s">
        <v>307</v>
      </c>
      <c r="H168" s="90" t="s">
        <v>307</v>
      </c>
      <c r="I168" s="90" t="s">
        <v>307</v>
      </c>
      <c r="J168" s="91" t="s">
        <v>307</v>
      </c>
      <c r="L168" s="92" t="str">
        <f>IF($B168="x",Storage!L$18*days_yr, "NA")</f>
        <v>NA</v>
      </c>
      <c r="M168" s="93" t="str">
        <f>IF($B168="x",Storage!L$21*days_yr, "NA")</f>
        <v>NA</v>
      </c>
      <c r="N168" s="93" t="s">
        <v>102</v>
      </c>
      <c r="O168" s="94" t="str">
        <f>IF($B168="x",Storage!L$29, "NA")</f>
        <v>NA</v>
      </c>
      <c r="P168" s="104"/>
      <c r="Q168" s="96"/>
      <c r="T168" s="75"/>
    </row>
    <row r="169" spans="1:20" x14ac:dyDescent="0.25">
      <c r="A169" s="46" t="s">
        <v>159</v>
      </c>
      <c r="B169" s="3"/>
      <c r="C169" s="97" t="str">
        <f>IF($B169="x",'Conditioning Thickening'!L$19, "NA")</f>
        <v>NA</v>
      </c>
      <c r="D169" s="98" t="str">
        <f>IF($B169="x",'Conditioning Thickening'!L$20, "NA")</f>
        <v>NA</v>
      </c>
      <c r="E169" s="98" t="str">
        <f>IF($B169="x",'Conditioning Thickening'!L$22, "NA")</f>
        <v>NA</v>
      </c>
      <c r="F169" s="99" t="str">
        <f>IF($B169="x",'Conditioning Thickening'!L$18, "NA")</f>
        <v>NA</v>
      </c>
      <c r="G169" s="100" t="s">
        <v>307</v>
      </c>
      <c r="H169" s="100" t="s">
        <v>307</v>
      </c>
      <c r="I169" s="100" t="s">
        <v>307</v>
      </c>
      <c r="J169" s="91" t="s">
        <v>307</v>
      </c>
      <c r="L169" s="101" t="str">
        <f>IF($B169="x",SUM('Conditioning Thickening'!L$11,'Conditioning Thickening'!L$15)*days_yr, "NA")</f>
        <v>NA</v>
      </c>
      <c r="M169" s="102" t="s">
        <v>102</v>
      </c>
      <c r="N169" s="102" t="s">
        <v>102</v>
      </c>
      <c r="O169" s="103" t="str">
        <f>IF($B169="x",'Conditioning Thickening'!L$23, "NA")</f>
        <v>NA</v>
      </c>
      <c r="P169" s="104"/>
      <c r="Q169" s="96"/>
      <c r="T169" s="75"/>
    </row>
    <row r="170" spans="1:20" x14ac:dyDescent="0.25">
      <c r="A170" s="46" t="s">
        <v>195</v>
      </c>
      <c r="B170" s="3"/>
      <c r="C170" s="97" t="str">
        <f>IF($B170="x",'Aerobic Digestion'!L$26, "NA")</f>
        <v>NA</v>
      </c>
      <c r="D170" s="98" t="str">
        <f>IF($B170="x",'Aerobic Digestion'!L$27, "NA")</f>
        <v>NA</v>
      </c>
      <c r="E170" s="98" t="str">
        <f>IF($B170="x",'Aerobic Digestion'!L$29, "NA")</f>
        <v>NA</v>
      </c>
      <c r="F170" s="99" t="str">
        <f>IF($B170="x",'Aerobic Digestion'!L$25, "NA")</f>
        <v>NA</v>
      </c>
      <c r="G170" s="100" t="s">
        <v>307</v>
      </c>
      <c r="H170" s="100" t="s">
        <v>307</v>
      </c>
      <c r="I170" s="100" t="s">
        <v>307</v>
      </c>
      <c r="J170" s="91" t="s">
        <v>307</v>
      </c>
      <c r="L170" s="101" t="str">
        <f>IF($B170="x",SUM('Aerobic Digestion'!L$21:L$22)*days_yr, "NA")</f>
        <v>NA</v>
      </c>
      <c r="M170" s="102" t="s">
        <v>102</v>
      </c>
      <c r="N170" s="102" t="s">
        <v>102</v>
      </c>
      <c r="O170" s="103" t="str">
        <f>IF($B170="x",'Aerobic Digestion'!L$30, "NA")</f>
        <v>NA</v>
      </c>
      <c r="P170" s="104"/>
      <c r="Q170" s="96"/>
      <c r="T170" s="75"/>
    </row>
    <row r="171" spans="1:20" x14ac:dyDescent="0.25">
      <c r="A171" s="46" t="s">
        <v>197</v>
      </c>
      <c r="B171" s="3"/>
      <c r="C171" s="97" t="str">
        <f>IF($B171="x", 'Anaerobic Digestion'!L$49, "NA")</f>
        <v>NA</v>
      </c>
      <c r="D171" s="98" t="str">
        <f>IF($B171="x", 'Anaerobic Digestion'!L$50, "NA")</f>
        <v>NA</v>
      </c>
      <c r="E171" s="106" t="str">
        <f>IF($B171="x", 'Anaerobic Digestion'!L$52, "NA")</f>
        <v>NA</v>
      </c>
      <c r="F171" s="99" t="str">
        <f>IF($B171="x", 'Anaerobic Digestion'!L$48, "NA")</f>
        <v>NA</v>
      </c>
      <c r="G171" s="100" t="s">
        <v>307</v>
      </c>
      <c r="H171" s="100" t="s">
        <v>307</v>
      </c>
      <c r="I171" s="100" t="s">
        <v>307</v>
      </c>
      <c r="J171" s="91" t="s">
        <v>307</v>
      </c>
      <c r="L171" s="101" t="str">
        <f>IF($B171="x", SUM('Anaerobic Digestion'!L$42:L$43)*days_yr, "NA")</f>
        <v>NA</v>
      </c>
      <c r="M171" s="102" t="str">
        <f>IF($B171="x", 'Anaerobic Digestion'!L$44*days_yr, "NA")</f>
        <v>NA</v>
      </c>
      <c r="N171" s="102" t="s">
        <v>102</v>
      </c>
      <c r="O171" s="103" t="str">
        <f>IF($B171="x", 'Anaerobic Digestion'!L$53, "NA")</f>
        <v>NA</v>
      </c>
      <c r="P171" s="104"/>
      <c r="Q171" s="105"/>
      <c r="T171" s="75"/>
    </row>
    <row r="172" spans="1:20" x14ac:dyDescent="0.25">
      <c r="A172" s="558" t="s">
        <v>516</v>
      </c>
      <c r="B172" s="3"/>
      <c r="C172" s="97" t="str">
        <f>IF($B172="x", 'Anaerobic Digestion (2)'!L$49, "NA")</f>
        <v>NA</v>
      </c>
      <c r="D172" s="98" t="str">
        <f>IF($B172="x", 'Anaerobic Digestion (2)'!L$50, "NA")</f>
        <v>NA</v>
      </c>
      <c r="E172" s="106" t="str">
        <f>IF($B172="x", 'Anaerobic Digestion (2)'!L$52, "NA")</f>
        <v>NA</v>
      </c>
      <c r="F172" s="99" t="str">
        <f>IF($B172="x", 'Anaerobic Digestion (2)'!L$48, "NA")</f>
        <v>NA</v>
      </c>
      <c r="G172" s="100" t="s">
        <v>307</v>
      </c>
      <c r="H172" s="100" t="s">
        <v>307</v>
      </c>
      <c r="I172" s="100" t="s">
        <v>307</v>
      </c>
      <c r="J172" s="91" t="s">
        <v>307</v>
      </c>
      <c r="L172" s="101" t="str">
        <f>IF($B172="x", SUM('Anaerobic Digestion (2)'!L$42:L$43)*days_yr, "NA")</f>
        <v>NA</v>
      </c>
      <c r="M172" s="102" t="str">
        <f>IF($B172="x", 'Anaerobic Digestion (2)'!L$44*days_yr, "NA")</f>
        <v>NA</v>
      </c>
      <c r="N172" s="102" t="s">
        <v>102</v>
      </c>
      <c r="O172" s="103" t="str">
        <f>IF($B172="x", 'Anaerobic Digestion (2)'!L$53, "NA")</f>
        <v>NA</v>
      </c>
      <c r="Q172" s="105"/>
      <c r="T172" s="75"/>
    </row>
    <row r="173" spans="1:20" x14ac:dyDescent="0.25">
      <c r="A173" s="46" t="s">
        <v>223</v>
      </c>
      <c r="B173" s="3"/>
      <c r="C173" s="97" t="str">
        <f>IF($B173="x", 'De-watering'!L$20, "NA")</f>
        <v>NA</v>
      </c>
      <c r="D173" s="98" t="str">
        <f>IF($B173="x", 'De-watering'!L$21, "NA")</f>
        <v>NA</v>
      </c>
      <c r="E173" s="98" t="str">
        <f>IF($B173="x", 'De-watering'!L$23, "NA")</f>
        <v>NA</v>
      </c>
      <c r="F173" s="99" t="str">
        <f>IF($B173="x", 'De-watering'!L$19, "NA")</f>
        <v>NA</v>
      </c>
      <c r="G173" s="100" t="s">
        <v>307</v>
      </c>
      <c r="H173" s="100" t="s">
        <v>307</v>
      </c>
      <c r="I173" s="100" t="s">
        <v>307</v>
      </c>
      <c r="J173" s="91" t="s">
        <v>307</v>
      </c>
      <c r="L173" s="101" t="str">
        <f>IF($B173="x", SUM('De-watering'!L$12,'De-watering'!L$16)*days_yr, "NA")</f>
        <v>NA</v>
      </c>
      <c r="M173" s="102" t="s">
        <v>102</v>
      </c>
      <c r="N173" s="102" t="s">
        <v>102</v>
      </c>
      <c r="O173" s="103" t="str">
        <f>IF($B173="x", 'De-watering'!L$24, "NA")</f>
        <v>NA</v>
      </c>
      <c r="T173" s="75"/>
    </row>
    <row r="174" spans="1:20" x14ac:dyDescent="0.25">
      <c r="A174" s="46" t="s">
        <v>133</v>
      </c>
      <c r="B174" s="3"/>
      <c r="C174" s="97" t="str">
        <f>IF($B174="x", 'Thermal Drying'!L$24, "NA")</f>
        <v>NA</v>
      </c>
      <c r="D174" s="98" t="str">
        <f>IF($B174="x", 'Thermal Drying'!L$25, "NA")</f>
        <v>NA</v>
      </c>
      <c r="E174" s="98" t="str">
        <f>IF($B174="x", 'Thermal Drying'!L$27, "NA")</f>
        <v>NA</v>
      </c>
      <c r="F174" s="99" t="str">
        <f>IF($B174="x", 'Thermal Drying'!L$23, "NA")</f>
        <v>NA</v>
      </c>
      <c r="G174" s="100" t="str">
        <f t="shared" ref="G174:G186" si="10">IF($B174="x",H174*Mg_ton,"NA")</f>
        <v>NA</v>
      </c>
      <c r="H174" s="100" t="str">
        <f>IF($B174="x",'Thermal Drying'!L$6,"NA")</f>
        <v>NA</v>
      </c>
      <c r="I174" s="108" t="str">
        <f>IF($B174="x", 'Thermal Drying'!L$9, "NA")</f>
        <v>NA</v>
      </c>
      <c r="J174" s="91" t="str">
        <f t="shared" ref="J174:J188" si="11">IF($B174="x", F174/(I174*days_yr),"NA")</f>
        <v>NA</v>
      </c>
      <c r="L174" s="101" t="str">
        <f>IF($B174="x",'Thermal Drying'!L23, "NA")</f>
        <v>NA</v>
      </c>
      <c r="M174" s="102" t="s">
        <v>102</v>
      </c>
      <c r="N174" s="102" t="s">
        <v>102</v>
      </c>
      <c r="O174" s="103" t="str">
        <f>IF($B174="x", 'Thermal Drying'!L$28, "NA")</f>
        <v>NA</v>
      </c>
      <c r="T174" s="75"/>
    </row>
    <row r="175" spans="1:20" x14ac:dyDescent="0.25">
      <c r="A175" s="558" t="s">
        <v>645</v>
      </c>
      <c r="B175" s="3"/>
      <c r="C175" s="97" t="str">
        <f>IF($B175="x",BioDrying!L$23, "NA")</f>
        <v>NA</v>
      </c>
      <c r="D175" s="98" t="str">
        <f>IF($B175="x",BioDrying!L$24, "NA")</f>
        <v>NA</v>
      </c>
      <c r="E175" s="98" t="str">
        <f>IF($B175="x",BioDrying!L$26, "NA")</f>
        <v>NA</v>
      </c>
      <c r="F175" s="138" t="str">
        <f>IF($B175="x",BioDrying!L$22, "NA")</f>
        <v>NA</v>
      </c>
      <c r="G175" s="583" t="str">
        <f>IF($B175="x",H175*Mg_ton,"NA")</f>
        <v>NA</v>
      </c>
      <c r="H175" s="100" t="str">
        <f>IF($B175="x",BioDrying!L$6,"NA")</f>
        <v>NA</v>
      </c>
      <c r="I175" s="108" t="str">
        <f>IF($B175="x",BioDrying!L$9,"NA")</f>
        <v>NA</v>
      </c>
      <c r="J175" s="91" t="str">
        <f>IF($B175="x", F175/(I175*days_yr),"NA")</f>
        <v>NA</v>
      </c>
      <c r="L175" s="101" t="str">
        <f>IF($B175="x",BioDrying!L$22, "NA")</f>
        <v>NA</v>
      </c>
      <c r="M175" s="102" t="s">
        <v>102</v>
      </c>
      <c r="N175" s="102" t="s">
        <v>102</v>
      </c>
      <c r="O175" s="103" t="str">
        <f>IF($B175="x",BioDrying!L$27, "NA")</f>
        <v>NA</v>
      </c>
      <c r="T175" s="75"/>
    </row>
    <row r="176" spans="1:20" x14ac:dyDescent="0.25">
      <c r="A176" s="46" t="s">
        <v>269</v>
      </c>
      <c r="B176" s="3"/>
      <c r="C176" s="97" t="str">
        <f>IF($B176="x",'Alkaline Stabilization'!L$24, "NA")</f>
        <v>NA</v>
      </c>
      <c r="D176" s="98" t="str">
        <f>IF($B176="x",'Alkaline Stabilization'!L$25, "NA")</f>
        <v>NA</v>
      </c>
      <c r="E176" s="98" t="str">
        <f>IF($B176="x",'Alkaline Stabilization'!L$27, "NA")</f>
        <v>NA</v>
      </c>
      <c r="F176" s="99" t="str">
        <f>IF($B176="x",'Alkaline Stabilization'!L$23, "NA")</f>
        <v>NA</v>
      </c>
      <c r="G176" s="100" t="str">
        <f t="shared" si="10"/>
        <v>NA</v>
      </c>
      <c r="H176" s="100" t="str">
        <f>IF($B176="x",'Alkaline Stabilization'!L$6,"NA")</f>
        <v>NA</v>
      </c>
      <c r="I176" s="108" t="str">
        <f>IF($B176="x",'Alkaline Stabilization'!L$8, "NA")</f>
        <v>NA</v>
      </c>
      <c r="J176" s="91" t="str">
        <f t="shared" si="11"/>
        <v>NA</v>
      </c>
      <c r="L176" s="101" t="str">
        <f>IF($B176="x",SUM('Alkaline Stabilization'!L$12,'Alkaline Stabilization'!L$16,'Alkaline Stabilization'!L$20)*days_yr, "NA")</f>
        <v>NA</v>
      </c>
      <c r="M176" s="102" t="s">
        <v>102</v>
      </c>
      <c r="N176" s="102" t="s">
        <v>102</v>
      </c>
      <c r="O176" s="103" t="str">
        <f>IF($B176="x",'Alkaline Stabilization'!L$28, "NA")</f>
        <v>NA</v>
      </c>
      <c r="T176" s="75"/>
    </row>
    <row r="177" spans="1:20" x14ac:dyDescent="0.25">
      <c r="A177" s="46" t="s">
        <v>250</v>
      </c>
      <c r="B177" s="3"/>
      <c r="C177" s="97" t="str">
        <f>IF($B177="x", Composting!L$58, "NA")</f>
        <v>NA</v>
      </c>
      <c r="D177" s="98" t="str">
        <f>IF($B177="x", Composting!L$59, "NA")</f>
        <v>NA</v>
      </c>
      <c r="E177" s="98" t="str">
        <f>IF($B177="x", Composting!L$61, "NA")</f>
        <v>NA</v>
      </c>
      <c r="F177" s="99" t="str">
        <f>IF($B177="x", Composting!L$57, "NA")</f>
        <v>NA</v>
      </c>
      <c r="G177" s="100" t="str">
        <f t="shared" si="10"/>
        <v>NA</v>
      </c>
      <c r="H177" s="100" t="str">
        <f>IF($B177="x",Composting!L$7,"NA")</f>
        <v>NA</v>
      </c>
      <c r="I177" s="108" t="str">
        <f>IF($B177="x", Composting!L$9, "NA")</f>
        <v>NA</v>
      </c>
      <c r="J177" s="91" t="str">
        <f t="shared" si="11"/>
        <v>NA</v>
      </c>
      <c r="L177" s="101" t="str">
        <f>IF($B177="x", SUM(Composting!L$34,Composting!L$38,Composting!L$50,Composting!L$53:L$54)*days_yr, "NA")</f>
        <v>NA</v>
      </c>
      <c r="M177" s="102" t="str">
        <f>IF($B177="x", Composting!L$42*days_yr, "NA")</f>
        <v>NA</v>
      </c>
      <c r="N177" s="102" t="str">
        <f>IF($B177="x", Composting!L$46*days_yr, "NA")</f>
        <v>NA</v>
      </c>
      <c r="O177" s="103" t="str">
        <f>IF($B177="x", Composting!L$62, "NA")</f>
        <v>NA</v>
      </c>
      <c r="T177" s="75"/>
    </row>
    <row r="178" spans="1:20" x14ac:dyDescent="0.25">
      <c r="A178" s="558" t="s">
        <v>517</v>
      </c>
      <c r="B178" s="3"/>
      <c r="C178" s="97" t="str">
        <f>IF($B178="x", 'Composting (2)'!L$58, "NA")</f>
        <v>NA</v>
      </c>
      <c r="D178" s="98" t="str">
        <f>IF($B178="x", 'Composting (2)'!L$59, "NA")</f>
        <v>NA</v>
      </c>
      <c r="E178" s="98" t="str">
        <f>IF($B178="x", 'Composting (2)'!L$61, "NA")</f>
        <v>NA</v>
      </c>
      <c r="F178" s="99" t="str">
        <f>IF($B178="x", 'Composting (2)'!L$57, "NA")</f>
        <v>NA</v>
      </c>
      <c r="G178" s="100" t="str">
        <f t="shared" si="10"/>
        <v>NA</v>
      </c>
      <c r="H178" s="100" t="str">
        <f>IF($B178="x",'Composting (2)'!L$7,"NA")</f>
        <v>NA</v>
      </c>
      <c r="I178" s="108" t="str">
        <f>IF($B178="x", 'Composting (2)'!L$9, "NA")</f>
        <v>NA</v>
      </c>
      <c r="J178" s="91" t="str">
        <f t="shared" si="11"/>
        <v>NA</v>
      </c>
      <c r="L178" s="101" t="str">
        <f>IF($B178="x", SUM('Composting (2)'!L$34,'Composting (2)'!L$38,'Composting (2)'!L$49,'Composting (2)'!L$53:L$54)*days_yr, "NA")</f>
        <v>NA</v>
      </c>
      <c r="M178" s="102" t="str">
        <f>IF($B178="x", 'Composting (2)'!L$42*days_yr, "NA")</f>
        <v>NA</v>
      </c>
      <c r="N178" s="102" t="str">
        <f>IF($B178="x", 'Composting (2)'!L$46*days_yr, "NA")</f>
        <v>NA</v>
      </c>
      <c r="O178" s="103" t="str">
        <f>IF($B178="x", 'Composting (2)'!L$62, "NA")</f>
        <v>NA</v>
      </c>
      <c r="T178" s="75"/>
    </row>
    <row r="179" spans="1:20" x14ac:dyDescent="0.25">
      <c r="A179" s="558" t="s">
        <v>532</v>
      </c>
      <c r="B179" s="3"/>
      <c r="C179" s="97" t="str">
        <f>IF($B179="x", 'Landfill Disposal Typical'!L$53, "NA")</f>
        <v>NA</v>
      </c>
      <c r="D179" s="98" t="str">
        <f>IF($B179="x", 'Landfill Disposal Typical'!L$54, "NA")</f>
        <v>NA</v>
      </c>
      <c r="E179" s="98" t="str">
        <f>IF($B179="x", 'Landfill Disposal Typical'!L$56, "NA")</f>
        <v>NA</v>
      </c>
      <c r="F179" s="99" t="str">
        <f>IF($B179="x", 'Landfill Disposal Typical'!L$52, "NA")</f>
        <v>NA</v>
      </c>
      <c r="G179" s="100" t="str">
        <f t="shared" si="10"/>
        <v>NA</v>
      </c>
      <c r="H179" s="100" t="str">
        <f>IF($B179="x",'Landfill Disposal Typical'!L$13,"NA")</f>
        <v>NA</v>
      </c>
      <c r="I179" s="108" t="str">
        <f>IF($B179="x", 'Landfill Disposal Typical'!L$15, "NA")</f>
        <v>NA</v>
      </c>
      <c r="J179" s="91" t="str">
        <f t="shared" si="11"/>
        <v>NA</v>
      </c>
      <c r="L179" s="101" t="str">
        <f>IF($B179="x",('Landfill Disposal Typical'!L$44+'Landfill Disposal Typical'!L$48)*days_yr,"NA")</f>
        <v>NA</v>
      </c>
      <c r="M179" s="102" t="str">
        <f>IF($B179="x",'Landfill Disposal Typical'!L$37*days_yr,"NA")</f>
        <v>NA</v>
      </c>
      <c r="N179" s="102" t="str">
        <f>IF($B179="x",'Landfill Disposal Typical'!L$41*days_yr,"NA")</f>
        <v>NA</v>
      </c>
      <c r="O179" s="103" t="str">
        <f>IF($B179="x",'Landfill Disposal Typical'!L$57,"NA")</f>
        <v>NA</v>
      </c>
      <c r="T179" s="75"/>
    </row>
    <row r="180" spans="1:20" x14ac:dyDescent="0.25">
      <c r="A180" s="558" t="s">
        <v>533</v>
      </c>
      <c r="B180" s="3"/>
      <c r="C180" s="109" t="str">
        <f>IF($B180="x", 'Landfill Disposal Worst-case'!L$53, "NA")</f>
        <v>NA</v>
      </c>
      <c r="D180" s="110" t="str">
        <f>IF($B180="x", 'Landfill Disposal Worst-case'!L$54, "NA")</f>
        <v>NA</v>
      </c>
      <c r="E180" s="110" t="str">
        <f>IF($B180="x", 'Landfill Disposal Worst-case'!L$56, "NA")</f>
        <v>NA</v>
      </c>
      <c r="F180" s="111" t="str">
        <f>IF($B180="x", 'Landfill Disposal Worst-case'!L$52, "NA")</f>
        <v>NA</v>
      </c>
      <c r="G180" s="100" t="str">
        <f t="shared" si="10"/>
        <v>NA</v>
      </c>
      <c r="H180" s="100" t="str">
        <f>IF($B180="x",'Landfill Disposal Worst-case'!L$13,"NA")</f>
        <v>NA</v>
      </c>
      <c r="I180" s="108" t="str">
        <f>IF($B180="x", 'Landfill Disposal Worst-case'!L$15, "NA")</f>
        <v>NA</v>
      </c>
      <c r="J180" s="91" t="str">
        <f t="shared" si="11"/>
        <v>NA</v>
      </c>
      <c r="L180" s="101" t="str">
        <f>IF($B180="x",('Landfill Disposal Worst-case'!L$44+'Landfill Disposal Worst-case'!L$48)*days_yr,"NA")</f>
        <v>NA</v>
      </c>
      <c r="M180" s="102" t="str">
        <f>IF($B180="x",'Landfill Disposal Worst-case'!L$37*days_yr,"NA")</f>
        <v>NA</v>
      </c>
      <c r="N180" s="102" t="str">
        <f>IF($B180="x",'Landfill Disposal Worst-case'!L$41*days_yr,"NA")</f>
        <v>NA</v>
      </c>
      <c r="O180" s="103" t="str">
        <f>IF($B180="x",'Landfill Disposal Worst-case'!L$57,"NA")</f>
        <v>NA</v>
      </c>
      <c r="T180" s="75"/>
    </row>
    <row r="181" spans="1:20" x14ac:dyDescent="0.25">
      <c r="A181" s="558" t="s">
        <v>534</v>
      </c>
      <c r="B181" s="3"/>
      <c r="C181" s="109" t="str">
        <f>IF($B181="x", 'Landfill Disposal Aggressive'!L$53, "NA")</f>
        <v>NA</v>
      </c>
      <c r="D181" s="110" t="str">
        <f>IF($B181="x", 'Landfill Disposal Aggressive'!L$54, "NA")</f>
        <v>NA</v>
      </c>
      <c r="E181" s="110" t="str">
        <f>IF($B181="x", 'Landfill Disposal Aggressive'!L$56, "NA")</f>
        <v>NA</v>
      </c>
      <c r="F181" s="111" t="str">
        <f>IF($B181="x", 'Landfill Disposal Aggressive'!L$52, "NA")</f>
        <v>NA</v>
      </c>
      <c r="G181" s="100" t="str">
        <f t="shared" si="10"/>
        <v>NA</v>
      </c>
      <c r="H181" s="100" t="str">
        <f>IF($B181="x",'Landfill Disposal Aggressive'!L$13,"NA")</f>
        <v>NA</v>
      </c>
      <c r="I181" s="108" t="str">
        <f>IF($B181="x", 'Landfill Disposal Aggressive'!L$15, "NA")</f>
        <v>NA</v>
      </c>
      <c r="J181" s="91" t="str">
        <f t="shared" si="11"/>
        <v>NA</v>
      </c>
      <c r="L181" s="101" t="str">
        <f>IF($B181="x",('Landfill Disposal Aggressive'!L$44+'Landfill Disposal Aggressive'!L$48)*days_yr,"NA")</f>
        <v>NA</v>
      </c>
      <c r="M181" s="102" t="str">
        <f>IF($B181="x",'Landfill Disposal Aggressive'!L$37*days_yr,"NA")</f>
        <v>NA</v>
      </c>
      <c r="N181" s="102" t="str">
        <f>IF($B181="x",'Landfill Disposal Aggressive'!L$41*days_yr,"NA")</f>
        <v>NA</v>
      </c>
      <c r="O181" s="103" t="str">
        <f>IF($B181="x",'Landfill Disposal Aggressive'!L$57,"NA")</f>
        <v>NA</v>
      </c>
      <c r="T181" s="75"/>
    </row>
    <row r="182" spans="1:20" x14ac:dyDescent="0.25">
      <c r="A182" s="558" t="s">
        <v>535</v>
      </c>
      <c r="B182" s="3"/>
      <c r="C182" s="109" t="str">
        <f>IF($B182="x", 'Landfill Disposal CA Regulatory'!L$53, "NA")</f>
        <v>NA</v>
      </c>
      <c r="D182" s="110" t="str">
        <f>IF($B182="x", 'Landfill Disposal CA Regulatory'!L$54, "NA")</f>
        <v>NA</v>
      </c>
      <c r="E182" s="110" t="str">
        <f>IF($B182="x", 'Landfill Disposal CA Regulatory'!L$56, "NA")</f>
        <v>NA</v>
      </c>
      <c r="F182" s="111" t="str">
        <f>IF($B182="x", 'Landfill Disposal CA Regulatory'!L$52, "NA")</f>
        <v>NA</v>
      </c>
      <c r="G182" s="100" t="str">
        <f t="shared" si="10"/>
        <v>NA</v>
      </c>
      <c r="H182" s="100" t="str">
        <f>IF($B182="x",'Landfill Disposal CA Regulatory'!L$13,"NA")</f>
        <v>NA</v>
      </c>
      <c r="I182" s="108" t="str">
        <f>IF($B182="x", 'Landfill Disposal CA Regulatory'!L$15, "NA")</f>
        <v>NA</v>
      </c>
      <c r="J182" s="91" t="str">
        <f t="shared" si="11"/>
        <v>NA</v>
      </c>
      <c r="L182" s="101" t="str">
        <f>IF($B182="x",('Landfill Disposal CA Regulatory'!L$44+'Landfill Disposal CA Regulatory'!L$48)*days_yr,"NA")</f>
        <v>NA</v>
      </c>
      <c r="M182" s="102" t="str">
        <f>IF($B182="x",'Landfill Disposal CA Regulatory'!L$37*days_yr,"NA")</f>
        <v>NA</v>
      </c>
      <c r="N182" s="102" t="str">
        <f>IF($B182="x",'Landfill Disposal CA Regulatory'!L$41*days_yr,"NA")</f>
        <v>NA</v>
      </c>
      <c r="O182" s="103" t="str">
        <f>IF($B182="x",'Landfill Disposal CA Regulatory'!L$57,"NA")</f>
        <v>NA</v>
      </c>
      <c r="T182" s="75"/>
    </row>
    <row r="183" spans="1:20" x14ac:dyDescent="0.25">
      <c r="A183" s="46" t="s">
        <v>222</v>
      </c>
      <c r="B183" s="3"/>
      <c r="C183" s="97" t="str">
        <f>IF($B183="x", Combustion!L$58, "NA")</f>
        <v>NA</v>
      </c>
      <c r="D183" s="98" t="str">
        <f>IF($B183="x", Combustion!L$59, "NA")</f>
        <v>NA</v>
      </c>
      <c r="E183" s="98" t="str">
        <f>IF($B183="x", Combustion!L$61, "NA")</f>
        <v>NA</v>
      </c>
      <c r="F183" s="99" t="str">
        <f>IF($B183="x", Combustion!L$57, "NA")</f>
        <v>NA</v>
      </c>
      <c r="G183" s="100" t="str">
        <f t="shared" si="10"/>
        <v>NA</v>
      </c>
      <c r="H183" s="100" t="str">
        <f>IF($B183="x",Combustion!L$7,"NA")</f>
        <v>NA</v>
      </c>
      <c r="I183" s="108" t="str">
        <f>IF($B183="x", Combustion!L$9, "NA")</f>
        <v>NA</v>
      </c>
      <c r="J183" s="91" t="str">
        <f t="shared" si="11"/>
        <v>NA</v>
      </c>
      <c r="L183" s="101" t="str">
        <f>IF($B183="x", SUM(Combustion!L$30,Combustion!L$36,Combustion!L$48,Combustion!L$51)*days_yr, "NA")</f>
        <v>NA</v>
      </c>
      <c r="M183" s="102" t="str">
        <f>IF($B183="x", Combustion!L$39*days_yr, "NA")</f>
        <v>NA</v>
      </c>
      <c r="N183" s="102" t="str">
        <f>IF($B183="x", Combustion!L$45*days_yr, "NA")</f>
        <v>NA</v>
      </c>
      <c r="O183" s="103" t="str">
        <f>IF($B183="x", Combustion!L$62, "NA")</f>
        <v>NA</v>
      </c>
      <c r="T183" s="75"/>
    </row>
    <row r="184" spans="1:20" x14ac:dyDescent="0.25">
      <c r="A184" s="558" t="s">
        <v>545</v>
      </c>
      <c r="B184" s="3"/>
      <c r="C184" s="97" t="str">
        <f>IF($B184="x",Pyrolysis!L$40, "NA")</f>
        <v>NA</v>
      </c>
      <c r="D184" s="98" t="str">
        <f>IF($B184="x",Pyrolysis!L$41, "NA")</f>
        <v>NA</v>
      </c>
      <c r="E184" s="98" t="str">
        <f>IF($B184="x",Pyrolysis!L$43, "NA")</f>
        <v>NA</v>
      </c>
      <c r="F184" s="138" t="str">
        <f>IF($B184="x",Pyrolysis!L$39, "NA")</f>
        <v>NA</v>
      </c>
      <c r="G184" s="583" t="str">
        <f>IF($B184="x",H184*Mg_ton,"NA")</f>
        <v>NA</v>
      </c>
      <c r="H184" s="100" t="str">
        <f>IF($B184="x",Pyrolysis!L$7,"NA")</f>
        <v>NA</v>
      </c>
      <c r="I184" s="108" t="str">
        <f>IF($B184="x",Pyrolysis!L$9,"NA")</f>
        <v>NA</v>
      </c>
      <c r="J184" s="91" t="str">
        <f>IF($B184="x", F184/(I184*days_yr),"NA")</f>
        <v>NA</v>
      </c>
      <c r="L184" s="101" t="str">
        <f>IF($B184="x",SUM(Pyrolysis!L$21,Pyrolysis!L$27)*days_yr, "NA")</f>
        <v>NA</v>
      </c>
      <c r="M184" s="102" t="str">
        <f>IF($B184="x", Pyrolysis!L$30*days_yr, "NA")</f>
        <v>NA</v>
      </c>
      <c r="N184" s="102" t="str">
        <f>IF($B184="x", Pyrolysis!L$33*days_yr, "NA")</f>
        <v>NA</v>
      </c>
      <c r="O184" s="103" t="str">
        <f>IF($B184="x", Pyrolysis!L$44, "NA")</f>
        <v>NA</v>
      </c>
      <c r="T184" s="75"/>
    </row>
    <row r="185" spans="1:20" x14ac:dyDescent="0.25">
      <c r="A185" s="46" t="s">
        <v>182</v>
      </c>
      <c r="B185" s="3"/>
      <c r="C185" s="97" t="str">
        <f>IF($B185="x", 'Land Application'!L$53, "NA")</f>
        <v>NA</v>
      </c>
      <c r="D185" s="98" t="str">
        <f>IF($B185="x", 'Land Application'!L$54, "NA")</f>
        <v>NA</v>
      </c>
      <c r="E185" s="98" t="str">
        <f>IF($B185="x", 'Land Application'!L$56, "NA")</f>
        <v>NA</v>
      </c>
      <c r="F185" s="99" t="str">
        <f>IF($B185="x", 'Land Application'!L$52, "NA")</f>
        <v>NA</v>
      </c>
      <c r="G185" s="100" t="str">
        <f t="shared" si="10"/>
        <v>NA</v>
      </c>
      <c r="H185" s="100" t="str">
        <f>IF($B185="x",'Land Application'!L$7,"NA")</f>
        <v>NA</v>
      </c>
      <c r="I185" s="108" t="str">
        <f>IF($B185="x", 'Land Application'!L$9, "NA")</f>
        <v>NA</v>
      </c>
      <c r="J185" s="91" t="str">
        <f t="shared" si="11"/>
        <v>NA</v>
      </c>
      <c r="L185" s="101" t="str">
        <f>IF($B185="x", SUM('Land Application'!L$28,'Land Application'!L$42,'Land Application'!L$45,'Land Application'!L$46,'Land Application'!L$49)*days_yr, "NA")</f>
        <v>NA</v>
      </c>
      <c r="M185" s="102" t="str">
        <f>IF($B185="x", 'Land Application'!L$32*days_yr, "NA")</f>
        <v>NA</v>
      </c>
      <c r="N185" s="102" t="str">
        <f>IF($B185="x", 'Land Application'!L$38*days_yr, "NA")</f>
        <v>NA</v>
      </c>
      <c r="O185" s="103" t="str">
        <f>IF($B185="x", 'Land Application'!L$57, "NA")</f>
        <v>NA</v>
      </c>
      <c r="T185" s="75"/>
    </row>
    <row r="186" spans="1:20" x14ac:dyDescent="0.25">
      <c r="A186" s="558" t="s">
        <v>518</v>
      </c>
      <c r="B186" s="3"/>
      <c r="C186" s="97" t="str">
        <f>IF($B186="x", 'Land Application (2)'!L$53, "NA")</f>
        <v>NA</v>
      </c>
      <c r="D186" s="98" t="str">
        <f>IF($B186="x", 'Land Application (2)'!L$54, "NA")</f>
        <v>NA</v>
      </c>
      <c r="E186" s="98" t="str">
        <f>IF($B186="x", 'Land Application (2)'!L$56, "NA")</f>
        <v>NA</v>
      </c>
      <c r="F186" s="99" t="str">
        <f>IF($B186="x", 'Land Application (2)'!L$52, "NA")</f>
        <v>NA</v>
      </c>
      <c r="G186" s="100" t="str">
        <f t="shared" si="10"/>
        <v>NA</v>
      </c>
      <c r="H186" s="100" t="str">
        <f>IF($B186="x",'Land Application (2)'!L$7,"NA")</f>
        <v>NA</v>
      </c>
      <c r="I186" s="108" t="str">
        <f>IF($B186="x", 'Land Application (2)'!L$9, "NA")</f>
        <v>NA</v>
      </c>
      <c r="J186" s="91" t="str">
        <f t="shared" si="11"/>
        <v>NA</v>
      </c>
      <c r="L186" s="101" t="str">
        <f>IF($B186="x", SUM('Land Application (2)'!L$28,'Land Application (2)'!L$42,'Land Application (2)'!L$45,'Land Application (2)'!L$46,'Land Application (2)'!L$49)*days_yr, "NA")</f>
        <v>NA</v>
      </c>
      <c r="M186" s="102" t="str">
        <f>IF($B186="x", 'Land Application (2)'!L$32*days_yr, "NA")</f>
        <v>NA</v>
      </c>
      <c r="N186" s="102" t="str">
        <f>IF($B186="x", 'Land Application (2)'!L$38*days_yr, "NA")</f>
        <v>NA</v>
      </c>
      <c r="O186" s="103" t="str">
        <f>IF($B186="x", 'Land Application (2)'!L$57, "NA")</f>
        <v>NA</v>
      </c>
      <c r="T186" s="75"/>
    </row>
    <row r="187" spans="1:20" x14ac:dyDescent="0.25">
      <c r="A187" s="970" t="s">
        <v>762</v>
      </c>
      <c r="B187" s="971"/>
      <c r="C187" s="975" t="str">
        <f>IF($B187="x",'Misc Emissions'!$L$23, "NA")</f>
        <v>NA</v>
      </c>
      <c r="D187" s="98" t="str">
        <f>IF($B187="x",'Misc Emissions'!$L$24, "NA")</f>
        <v>NA</v>
      </c>
      <c r="E187" s="98" t="str">
        <f>IF($B187="x",'Misc Emissions'!$L$26, "NA")</f>
        <v>NA</v>
      </c>
      <c r="F187" s="138" t="str">
        <f>IF($B187="x",'Misc Emissions'!$L$22, "NA")</f>
        <v>NA</v>
      </c>
      <c r="G187" s="977" t="s">
        <v>307</v>
      </c>
      <c r="H187" s="978" t="s">
        <v>307</v>
      </c>
      <c r="I187" s="979" t="s">
        <v>307</v>
      </c>
      <c r="J187" s="91" t="s">
        <v>307</v>
      </c>
      <c r="L187" s="972" t="str">
        <f>IF($B187="x",SUM('Misc Emissions'!$J$7,'Misc Emissions'!$J$11,'Misc Emissions'!$J$15,'Misc Emissions'!$J$19)*days_yr,"NA")</f>
        <v>NA</v>
      </c>
      <c r="M187" s="973" t="s">
        <v>102</v>
      </c>
      <c r="N187" s="973" t="s">
        <v>102</v>
      </c>
      <c r="O187" s="974" t="s">
        <v>307</v>
      </c>
      <c r="T187" s="75"/>
    </row>
    <row r="188" spans="1:20" ht="15.75" thickBot="1" x14ac:dyDescent="0.3">
      <c r="A188" s="47" t="s">
        <v>160</v>
      </c>
      <c r="B188" s="4"/>
      <c r="C188" s="112" t="str">
        <f>IF($B188="x",Transportation!$AD57, "NA")</f>
        <v>NA</v>
      </c>
      <c r="D188" s="113" t="str">
        <f>IF($B188="x",Transportation!$AD58, "NA")</f>
        <v>NA</v>
      </c>
      <c r="E188" s="113" t="str">
        <f>IF($B188="x",Transportation!$AD59, "NA")</f>
        <v>NA</v>
      </c>
      <c r="F188" s="114" t="str">
        <f>IF($B188="x",Transportation!$AD56, "NA")</f>
        <v>NA</v>
      </c>
      <c r="G188" s="142">
        <f>+'Amount and Destination'!O175/days_yr</f>
        <v>0</v>
      </c>
      <c r="H188" s="142">
        <f>+'Amount and Destination'!P175/days_yr</f>
        <v>0</v>
      </c>
      <c r="I188" s="142">
        <f>+'Amount and Destination'!AE175/days_yr</f>
        <v>0</v>
      </c>
      <c r="J188" s="91" t="str">
        <f t="shared" si="11"/>
        <v>NA</v>
      </c>
      <c r="L188" s="115" t="str">
        <f>IF($B188="x",Transportation!$AD57, "NA")</f>
        <v>NA</v>
      </c>
      <c r="M188" s="116" t="s">
        <v>102</v>
      </c>
      <c r="N188" s="116" t="s">
        <v>102</v>
      </c>
      <c r="O188" s="117" t="str">
        <f>IF($B188="x",Transportation!$AD60, "NA")</f>
        <v>NA</v>
      </c>
      <c r="T188" s="75"/>
    </row>
    <row r="189" spans="1:20" ht="18.75" thickBot="1" x14ac:dyDescent="0.3">
      <c r="A189" s="118" t="s">
        <v>278</v>
      </c>
      <c r="C189" s="119">
        <f>SUM(C168:C188)</f>
        <v>0</v>
      </c>
      <c r="D189" s="120">
        <f>SUM(D168:D188)</f>
        <v>0</v>
      </c>
      <c r="E189" s="121">
        <f>SUM(E168:E188)</f>
        <v>0</v>
      </c>
      <c r="F189" s="122">
        <f>SUM(F168:F188)</f>
        <v>0</v>
      </c>
      <c r="G189" s="123"/>
      <c r="H189" s="123"/>
      <c r="I189" s="123"/>
      <c r="J189" s="124"/>
      <c r="L189" s="125">
        <f>SUM(L168:L188)</f>
        <v>0</v>
      </c>
      <c r="M189" s="125">
        <f>SUM(M168:M188)</f>
        <v>0</v>
      </c>
      <c r="N189" s="125">
        <f>SUM(N168:N188)</f>
        <v>0</v>
      </c>
      <c r="O189" s="126">
        <f>SUM(O168:O188)</f>
        <v>0</v>
      </c>
      <c r="T189" s="75"/>
    </row>
    <row r="190" spans="1:20" x14ac:dyDescent="0.25">
      <c r="A190" s="127" t="s">
        <v>296</v>
      </c>
      <c r="T190" s="75"/>
    </row>
    <row r="191" spans="1:20" x14ac:dyDescent="0.25">
      <c r="A191" s="128" t="s">
        <v>277</v>
      </c>
      <c r="T191" s="75"/>
    </row>
    <row r="192" spans="1:20" ht="15.75" thickBot="1" x14ac:dyDescent="0.3">
      <c r="A192" s="132"/>
      <c r="B192" s="133"/>
      <c r="C192" s="133"/>
      <c r="D192" s="133"/>
      <c r="E192" s="133"/>
      <c r="F192" s="133"/>
      <c r="G192" s="133"/>
      <c r="H192" s="133"/>
      <c r="I192" s="133"/>
      <c r="J192" s="133"/>
      <c r="K192" s="133"/>
      <c r="L192" s="133"/>
      <c r="M192" s="133"/>
      <c r="N192" s="133"/>
      <c r="O192" s="133"/>
      <c r="P192" s="133"/>
      <c r="Q192" s="133"/>
      <c r="R192" s="133"/>
      <c r="S192" s="133"/>
      <c r="T192" s="134"/>
    </row>
    <row r="193" spans="1:20" ht="15.75" thickBot="1" x14ac:dyDescent="0.3">
      <c r="A193" s="867" t="s">
        <v>469</v>
      </c>
      <c r="B193" s="2" t="s">
        <v>412</v>
      </c>
      <c r="C193" s="868" t="s">
        <v>541</v>
      </c>
      <c r="D193" s="869"/>
      <c r="E193" s="870"/>
      <c r="F193" s="870"/>
      <c r="G193" s="870"/>
      <c r="H193" s="870"/>
      <c r="I193" s="870"/>
      <c r="J193" s="871"/>
      <c r="T193" s="75"/>
    </row>
    <row r="194" spans="1:20" x14ac:dyDescent="0.25">
      <c r="A194" s="74" t="s">
        <v>464</v>
      </c>
      <c r="B194" s="1230"/>
      <c r="C194" s="1230"/>
      <c r="D194" s="1230"/>
      <c r="E194" s="1230"/>
      <c r="F194" s="1230"/>
      <c r="G194" s="1230"/>
      <c r="H194" s="1230"/>
      <c r="I194" s="1230"/>
      <c r="J194" s="1230"/>
      <c r="T194" s="75"/>
    </row>
    <row r="195" spans="1:20" x14ac:dyDescent="0.25">
      <c r="A195" s="74"/>
      <c r="B195" s="1230"/>
      <c r="C195" s="1230"/>
      <c r="D195" s="1230"/>
      <c r="E195" s="1230"/>
      <c r="F195" s="1230"/>
      <c r="G195" s="1230"/>
      <c r="H195" s="1230"/>
      <c r="I195" s="1230"/>
      <c r="J195" s="1230"/>
      <c r="T195" s="75"/>
    </row>
    <row r="196" spans="1:20" x14ac:dyDescent="0.25">
      <c r="A196" s="74"/>
      <c r="B196" s="1230"/>
      <c r="C196" s="1230"/>
      <c r="D196" s="1230"/>
      <c r="E196" s="1230"/>
      <c r="F196" s="1230"/>
      <c r="G196" s="1230"/>
      <c r="H196" s="1230"/>
      <c r="I196" s="1230"/>
      <c r="J196" s="1230"/>
      <c r="T196" s="75"/>
    </row>
    <row r="197" spans="1:20" ht="15.75" thickBot="1" x14ac:dyDescent="0.3">
      <c r="A197" s="74"/>
      <c r="B197" s="1230"/>
      <c r="C197" s="1230"/>
      <c r="D197" s="1230"/>
      <c r="E197" s="1230"/>
      <c r="F197" s="1230"/>
      <c r="G197" s="1230"/>
      <c r="H197" s="1230"/>
      <c r="I197" s="1230"/>
      <c r="J197" s="1230"/>
      <c r="T197" s="75"/>
    </row>
    <row r="198" spans="1:20" ht="16.5" thickBot="1" x14ac:dyDescent="0.3">
      <c r="A198" s="74"/>
      <c r="C198" s="1221" t="s">
        <v>617</v>
      </c>
      <c r="D198" s="1222"/>
      <c r="E198" s="1222"/>
      <c r="F198" s="1223"/>
      <c r="L198" s="1227" t="s">
        <v>531</v>
      </c>
      <c r="M198" s="1228"/>
      <c r="N198" s="1228"/>
      <c r="O198" s="1229"/>
      <c r="T198" s="75"/>
    </row>
    <row r="199" spans="1:20" ht="63.75" thickBot="1" x14ac:dyDescent="0.3">
      <c r="A199" s="45" t="s">
        <v>152</v>
      </c>
      <c r="B199" s="79" t="s">
        <v>101</v>
      </c>
      <c r="C199" s="80" t="s">
        <v>228</v>
      </c>
      <c r="D199" s="81" t="s">
        <v>229</v>
      </c>
      <c r="E199" s="82" t="s">
        <v>230</v>
      </c>
      <c r="F199" s="48" t="s">
        <v>99</v>
      </c>
      <c r="G199" s="83" t="s">
        <v>553</v>
      </c>
      <c r="H199" s="83" t="s">
        <v>554</v>
      </c>
      <c r="I199" s="83" t="s">
        <v>477</v>
      </c>
      <c r="J199" s="83" t="s">
        <v>904</v>
      </c>
      <c r="L199" s="1027" t="s">
        <v>536</v>
      </c>
      <c r="M199" s="84" t="s">
        <v>903</v>
      </c>
      <c r="N199" s="84" t="s">
        <v>902</v>
      </c>
      <c r="O199" s="85" t="s">
        <v>537</v>
      </c>
      <c r="P199" s="95"/>
      <c r="T199" s="75"/>
    </row>
    <row r="200" spans="1:20" x14ac:dyDescent="0.25">
      <c r="A200" s="86" t="s">
        <v>324</v>
      </c>
      <c r="B200" s="3"/>
      <c r="C200" s="87" t="str">
        <f>IF($B200="x",Storage!N$25, "NA")</f>
        <v>NA</v>
      </c>
      <c r="D200" s="88" t="str">
        <f>IF($B200="x",Storage!N$26, "NA")</f>
        <v>NA</v>
      </c>
      <c r="E200" s="88" t="str">
        <f>IF($B200="x",Storage!N$28, "NA")</f>
        <v>NA</v>
      </c>
      <c r="F200" s="89" t="str">
        <f>IF($B200="x",Storage!N$24, "NA")</f>
        <v>NA</v>
      </c>
      <c r="G200" s="90" t="s">
        <v>307</v>
      </c>
      <c r="H200" s="90" t="s">
        <v>307</v>
      </c>
      <c r="I200" s="90" t="s">
        <v>307</v>
      </c>
      <c r="J200" s="91" t="s">
        <v>307</v>
      </c>
      <c r="L200" s="92" t="str">
        <f>IF($B200="x",Storage!N$18*days_yr, "NA")</f>
        <v>NA</v>
      </c>
      <c r="M200" s="93" t="str">
        <f>IF($B200="x",Storage!N$21*days_yr, "NA")</f>
        <v>NA</v>
      </c>
      <c r="N200" s="93" t="s">
        <v>102</v>
      </c>
      <c r="O200" s="94" t="str">
        <f>IF($B200="x",Storage!N$29, "NA")</f>
        <v>NA</v>
      </c>
      <c r="P200" s="104"/>
      <c r="Q200" s="96"/>
      <c r="T200" s="75"/>
    </row>
    <row r="201" spans="1:20" x14ac:dyDescent="0.25">
      <c r="A201" s="46" t="s">
        <v>159</v>
      </c>
      <c r="B201" s="3"/>
      <c r="C201" s="97" t="str">
        <f>IF($B201="x",'Conditioning Thickening'!N$19, "NA")</f>
        <v>NA</v>
      </c>
      <c r="D201" s="98" t="str">
        <f>IF($B201="x",'Conditioning Thickening'!N$20, "NA")</f>
        <v>NA</v>
      </c>
      <c r="E201" s="98" t="str">
        <f>IF($B201="x",'Conditioning Thickening'!N$22, "NA")</f>
        <v>NA</v>
      </c>
      <c r="F201" s="99" t="str">
        <f>IF($B201="x",'Conditioning Thickening'!N$18, "NA")</f>
        <v>NA</v>
      </c>
      <c r="G201" s="100" t="s">
        <v>307</v>
      </c>
      <c r="H201" s="100" t="s">
        <v>307</v>
      </c>
      <c r="I201" s="100" t="s">
        <v>307</v>
      </c>
      <c r="J201" s="91" t="s">
        <v>307</v>
      </c>
      <c r="L201" s="101" t="str">
        <f>IF($B201="x",SUM('Conditioning Thickening'!N$11,'Conditioning Thickening'!N$15)*days_yr, "NA")</f>
        <v>NA</v>
      </c>
      <c r="M201" s="102" t="s">
        <v>102</v>
      </c>
      <c r="N201" s="102" t="s">
        <v>102</v>
      </c>
      <c r="O201" s="103" t="str">
        <f>IF($B201="x",'Conditioning Thickening'!N$23, "NA")</f>
        <v>NA</v>
      </c>
      <c r="P201" s="104"/>
      <c r="Q201" s="96"/>
      <c r="T201" s="75"/>
    </row>
    <row r="202" spans="1:20" x14ac:dyDescent="0.25">
      <c r="A202" s="46" t="s">
        <v>195</v>
      </c>
      <c r="B202" s="3"/>
      <c r="C202" s="97" t="str">
        <f>IF($B202="x",'Aerobic Digestion'!N$26, "NA")</f>
        <v>NA</v>
      </c>
      <c r="D202" s="98" t="str">
        <f>IF($B202="x",'Aerobic Digestion'!N$27, "NA")</f>
        <v>NA</v>
      </c>
      <c r="E202" s="98" t="str">
        <f>IF($B202="x",'Aerobic Digestion'!N$29, "NA")</f>
        <v>NA</v>
      </c>
      <c r="F202" s="99" t="str">
        <f>IF($B202="x",'Aerobic Digestion'!N$25, "NA")</f>
        <v>NA</v>
      </c>
      <c r="G202" s="100" t="s">
        <v>307</v>
      </c>
      <c r="H202" s="100" t="s">
        <v>307</v>
      </c>
      <c r="I202" s="100" t="s">
        <v>307</v>
      </c>
      <c r="J202" s="91" t="s">
        <v>307</v>
      </c>
      <c r="L202" s="101" t="str">
        <f>IF($B202="x",SUM('Aerobic Digestion'!N$21:N$22)*days_yr, "NA")</f>
        <v>NA</v>
      </c>
      <c r="M202" s="102" t="s">
        <v>102</v>
      </c>
      <c r="N202" s="102" t="s">
        <v>102</v>
      </c>
      <c r="O202" s="103" t="str">
        <f>IF($B202="x",'Aerobic Digestion'!N$30, "NA")</f>
        <v>NA</v>
      </c>
      <c r="P202" s="104"/>
      <c r="Q202" s="96"/>
      <c r="T202" s="75"/>
    </row>
    <row r="203" spans="1:20" x14ac:dyDescent="0.25">
      <c r="A203" s="46" t="s">
        <v>197</v>
      </c>
      <c r="B203" s="3"/>
      <c r="C203" s="97" t="str">
        <f>IF($B203="x", 'Anaerobic Digestion'!N$49, "NA")</f>
        <v>NA</v>
      </c>
      <c r="D203" s="98" t="str">
        <f>IF($B203="x", 'Anaerobic Digestion'!N$50, "NA")</f>
        <v>NA</v>
      </c>
      <c r="E203" s="106" t="str">
        <f>IF($B203="x", 'Anaerobic Digestion'!N$52, "NA")</f>
        <v>NA</v>
      </c>
      <c r="F203" s="99" t="str">
        <f>IF($B203="x", 'Anaerobic Digestion'!N$48, "NA")</f>
        <v>NA</v>
      </c>
      <c r="G203" s="100" t="s">
        <v>307</v>
      </c>
      <c r="H203" s="100" t="s">
        <v>307</v>
      </c>
      <c r="I203" s="100" t="s">
        <v>307</v>
      </c>
      <c r="J203" s="91" t="s">
        <v>307</v>
      </c>
      <c r="L203" s="101" t="str">
        <f>IF($B203="x", SUM('Anaerobic Digestion'!N$42:N$43)*days_yr, "NA")</f>
        <v>NA</v>
      </c>
      <c r="M203" s="102" t="str">
        <f>IF($B203="x", 'Anaerobic Digestion'!N$44*days_yr, "NA")</f>
        <v>NA</v>
      </c>
      <c r="N203" s="102" t="s">
        <v>102</v>
      </c>
      <c r="O203" s="103" t="str">
        <f>IF($B203="x", 'Anaerobic Digestion'!N$53, "NA")</f>
        <v>NA</v>
      </c>
      <c r="P203" s="104"/>
      <c r="Q203" s="105"/>
      <c r="T203" s="75"/>
    </row>
    <row r="204" spans="1:20" x14ac:dyDescent="0.25">
      <c r="A204" s="558" t="s">
        <v>516</v>
      </c>
      <c r="B204" s="3"/>
      <c r="C204" s="97" t="str">
        <f>IF($B204="x", 'Anaerobic Digestion (2)'!N$49, "NA")</f>
        <v>NA</v>
      </c>
      <c r="D204" s="98" t="str">
        <f>IF($B204="x", 'Anaerobic Digestion (2)'!N$50, "NA")</f>
        <v>NA</v>
      </c>
      <c r="E204" s="106" t="str">
        <f>IF($B204="x", 'Anaerobic Digestion (2)'!N$52, "NA")</f>
        <v>NA</v>
      </c>
      <c r="F204" s="99" t="str">
        <f>IF($B204="x", 'Anaerobic Digestion (2)'!N$48, "NA")</f>
        <v>NA</v>
      </c>
      <c r="G204" s="100" t="s">
        <v>307</v>
      </c>
      <c r="H204" s="100" t="s">
        <v>307</v>
      </c>
      <c r="I204" s="100" t="s">
        <v>307</v>
      </c>
      <c r="J204" s="91" t="s">
        <v>307</v>
      </c>
      <c r="L204" s="101" t="str">
        <f>IF($B204="x", SUM('Anaerobic Digestion (2)'!N$42:N$43)*days_yr, "NA")</f>
        <v>NA</v>
      </c>
      <c r="M204" s="102" t="str">
        <f>IF($B204="x", 'Anaerobic Digestion (2)'!N$44*days_yr, "NA")</f>
        <v>NA</v>
      </c>
      <c r="N204" s="102" t="s">
        <v>102</v>
      </c>
      <c r="O204" s="103" t="str">
        <f>IF($B204="x", 'Anaerobic Digestion (2)'!N$53, "NA")</f>
        <v>NA</v>
      </c>
      <c r="Q204" s="105"/>
      <c r="T204" s="75"/>
    </row>
    <row r="205" spans="1:20" x14ac:dyDescent="0.25">
      <c r="A205" s="46" t="s">
        <v>223</v>
      </c>
      <c r="B205" s="3"/>
      <c r="C205" s="97" t="str">
        <f>IF($B205="x", 'De-watering'!N$20, "NA")</f>
        <v>NA</v>
      </c>
      <c r="D205" s="98" t="str">
        <f>IF($B205="x", 'De-watering'!N$21, "NA")</f>
        <v>NA</v>
      </c>
      <c r="E205" s="98" t="str">
        <f>IF($B205="x", 'De-watering'!N$23, "NA")</f>
        <v>NA</v>
      </c>
      <c r="F205" s="99" t="str">
        <f>IF($B205="x", 'De-watering'!N$19, "NA")</f>
        <v>NA</v>
      </c>
      <c r="G205" s="100" t="s">
        <v>307</v>
      </c>
      <c r="H205" s="100" t="s">
        <v>307</v>
      </c>
      <c r="I205" s="100" t="s">
        <v>307</v>
      </c>
      <c r="J205" s="91" t="s">
        <v>307</v>
      </c>
      <c r="L205" s="101" t="str">
        <f>IF($B205="x", SUM('De-watering'!N$12,'De-watering'!N$16)*days_yr, "NA")</f>
        <v>NA</v>
      </c>
      <c r="M205" s="102" t="s">
        <v>102</v>
      </c>
      <c r="N205" s="102" t="s">
        <v>102</v>
      </c>
      <c r="O205" s="103" t="str">
        <f>IF($B205="x", 'De-watering'!N$24, "NA")</f>
        <v>NA</v>
      </c>
      <c r="T205" s="75"/>
    </row>
    <row r="206" spans="1:20" x14ac:dyDescent="0.25">
      <c r="A206" s="46" t="s">
        <v>133</v>
      </c>
      <c r="B206" s="3"/>
      <c r="C206" s="97" t="str">
        <f>IF($B206="x", 'Thermal Drying'!N$24, "NA")</f>
        <v>NA</v>
      </c>
      <c r="D206" s="98" t="str">
        <f>IF($B206="x", 'Thermal Drying'!N$25, "NA")</f>
        <v>NA</v>
      </c>
      <c r="E206" s="98" t="str">
        <f>IF($B206="x", 'Thermal Drying'!N$27, "NA")</f>
        <v>NA</v>
      </c>
      <c r="F206" s="99" t="str">
        <f>IF($B206="x", 'Thermal Drying'!N$23, "NA")</f>
        <v>NA</v>
      </c>
      <c r="G206" s="100" t="str">
        <f t="shared" ref="G206:G218" si="12">IF($B206="x",H206*Mg_ton,"NA")</f>
        <v>NA</v>
      </c>
      <c r="H206" s="100" t="str">
        <f>IF($B206="x",'Thermal Drying'!N$6,"NA")</f>
        <v>NA</v>
      </c>
      <c r="I206" s="108" t="str">
        <f>IF($B206="x", 'Thermal Drying'!N$9, "NA")</f>
        <v>NA</v>
      </c>
      <c r="J206" s="91" t="str">
        <f>IF($B206="x", F206/(I206*days_yr),"NA")</f>
        <v>NA</v>
      </c>
      <c r="L206" s="101" t="str">
        <f>IF($B206="x",'Thermal Drying'!N$23, "NA")</f>
        <v>NA</v>
      </c>
      <c r="M206" s="102" t="s">
        <v>102</v>
      </c>
      <c r="N206" s="102" t="s">
        <v>102</v>
      </c>
      <c r="O206" s="103" t="str">
        <f>IF($B206="x", 'Thermal Drying'!N$28, "NA")</f>
        <v>NA</v>
      </c>
      <c r="T206" s="75"/>
    </row>
    <row r="207" spans="1:20" x14ac:dyDescent="0.25">
      <c r="A207" s="558" t="s">
        <v>645</v>
      </c>
      <c r="B207" s="3"/>
      <c r="C207" s="97" t="str">
        <f>IF($B207="x",BioDrying!N$23, "NA")</f>
        <v>NA</v>
      </c>
      <c r="D207" s="98" t="str">
        <f>IF($B207="x",BioDrying!N$24, "NA")</f>
        <v>NA</v>
      </c>
      <c r="E207" s="98" t="str">
        <f>IF($B207="x",BioDrying!N$26, "NA")</f>
        <v>NA</v>
      </c>
      <c r="F207" s="138" t="str">
        <f>IF($B207="x",BioDrying!N$22, "NA")</f>
        <v>NA</v>
      </c>
      <c r="G207" s="583" t="str">
        <f>IF($B207="x",H207*Mg_ton,"NA")</f>
        <v>NA</v>
      </c>
      <c r="H207" s="100" t="str">
        <f>IF($B207="x",BioDrying!N$6,"NA")</f>
        <v>NA</v>
      </c>
      <c r="I207" s="108" t="str">
        <f>IF($B207="x",BioDrying!N$9,"NA")</f>
        <v>NA</v>
      </c>
      <c r="J207" s="91" t="str">
        <f>IF($B207="x", F207/(I207*days_yr),"NA")</f>
        <v>NA</v>
      </c>
      <c r="L207" s="101" t="str">
        <f>IF($B207="x",BioDrying!N$22, "NA")</f>
        <v>NA</v>
      </c>
      <c r="M207" s="102" t="s">
        <v>102</v>
      </c>
      <c r="N207" s="102" t="s">
        <v>102</v>
      </c>
      <c r="O207" s="103" t="str">
        <f>IF($B207="x",BioDrying!N$27, "NA")</f>
        <v>NA</v>
      </c>
      <c r="T207" s="75"/>
    </row>
    <row r="208" spans="1:20" x14ac:dyDescent="0.25">
      <c r="A208" s="46" t="s">
        <v>269</v>
      </c>
      <c r="B208" s="3"/>
      <c r="C208" s="97" t="str">
        <f>IF($B208="x",'Alkaline Stabilization'!N$24, "NA")</f>
        <v>NA</v>
      </c>
      <c r="D208" s="98" t="str">
        <f>IF($B208="x",'Alkaline Stabilization'!N$25, "NA")</f>
        <v>NA</v>
      </c>
      <c r="E208" s="98" t="str">
        <f>IF($B208="x",'Alkaline Stabilization'!N$27, "NA")</f>
        <v>NA</v>
      </c>
      <c r="F208" s="99" t="str">
        <f>IF($B208="x",'Alkaline Stabilization'!N$23, "NA")</f>
        <v>NA</v>
      </c>
      <c r="G208" s="100" t="str">
        <f t="shared" si="12"/>
        <v>NA</v>
      </c>
      <c r="H208" s="100" t="str">
        <f>IF($B208="x",'Alkaline Stabilization'!N$6,"NA")</f>
        <v>NA</v>
      </c>
      <c r="I208" s="108" t="str">
        <f>IF($B208="x",'Alkaline Stabilization'!N$8, "NA")</f>
        <v>NA</v>
      </c>
      <c r="J208" s="91" t="str">
        <f t="shared" ref="J208:J220" si="13">IF($B208="x", F208/(I208*days_yr),"NA")</f>
        <v>NA</v>
      </c>
      <c r="L208" s="101" t="str">
        <f>IF($B208="x",SUM('Alkaline Stabilization'!N$12,'Alkaline Stabilization'!N$16,'Alkaline Stabilization'!N$20)*days_yr, "NA")</f>
        <v>NA</v>
      </c>
      <c r="M208" s="102" t="s">
        <v>102</v>
      </c>
      <c r="N208" s="102" t="s">
        <v>102</v>
      </c>
      <c r="O208" s="103" t="str">
        <f>IF($B208="x",'Alkaline Stabilization'!N$28, "NA")</f>
        <v>NA</v>
      </c>
      <c r="T208" s="75"/>
    </row>
    <row r="209" spans="1:20" x14ac:dyDescent="0.25">
      <c r="A209" s="46" t="s">
        <v>250</v>
      </c>
      <c r="B209" s="3"/>
      <c r="C209" s="97" t="str">
        <f>IF($B209="x", Composting!N$58, "NA")</f>
        <v>NA</v>
      </c>
      <c r="D209" s="98" t="str">
        <f>IF($B209="x", Composting!N$59, "NA")</f>
        <v>NA</v>
      </c>
      <c r="E209" s="98" t="str">
        <f>IF($B209="x", Composting!N$61, "NA")</f>
        <v>NA</v>
      </c>
      <c r="F209" s="99" t="str">
        <f>IF($B209="x", Composting!N$57, "NA")</f>
        <v>NA</v>
      </c>
      <c r="G209" s="100" t="str">
        <f t="shared" si="12"/>
        <v>NA</v>
      </c>
      <c r="H209" s="100" t="str">
        <f>IF($B209="x",Composting!N$7,"NA")</f>
        <v>NA</v>
      </c>
      <c r="I209" s="108" t="str">
        <f>IF($B209="x", Composting!N$9, "NA")</f>
        <v>NA</v>
      </c>
      <c r="J209" s="91" t="str">
        <f t="shared" si="13"/>
        <v>NA</v>
      </c>
      <c r="L209" s="101" t="str">
        <f>IF($B209="x", SUM(Composting!N$34,Composting!N$38,Composting!N$50,Composting!N$53:N$54)*days_yr, "NA")</f>
        <v>NA</v>
      </c>
      <c r="M209" s="102" t="str">
        <f>IF($B209="x", Composting!N$42*days_yr, "NA")</f>
        <v>NA</v>
      </c>
      <c r="N209" s="102" t="str">
        <f>IF($B209="x", Composting!N$46*days_yr, "NA")</f>
        <v>NA</v>
      </c>
      <c r="O209" s="103" t="str">
        <f>IF($B209="x", Composting!N$62, "NA")</f>
        <v>NA</v>
      </c>
      <c r="T209" s="75"/>
    </row>
    <row r="210" spans="1:20" x14ac:dyDescent="0.25">
      <c r="A210" s="558" t="s">
        <v>517</v>
      </c>
      <c r="B210" s="3"/>
      <c r="C210" s="97" t="str">
        <f>IF($B210="x", 'Composting (2)'!N$58, "NA")</f>
        <v>NA</v>
      </c>
      <c r="D210" s="98" t="str">
        <f>IF($B210="x", 'Composting (2)'!N$59, "NA")</f>
        <v>NA</v>
      </c>
      <c r="E210" s="98" t="str">
        <f>IF($B210="x", 'Composting (2)'!N$61, "NA")</f>
        <v>NA</v>
      </c>
      <c r="F210" s="99" t="str">
        <f>IF($B210="x", 'Composting (2)'!N$57, "NA")</f>
        <v>NA</v>
      </c>
      <c r="G210" s="100" t="str">
        <f t="shared" si="12"/>
        <v>NA</v>
      </c>
      <c r="H210" s="100" t="str">
        <f>IF($B210="x",'Composting (2)'!N$7,"NA")</f>
        <v>NA</v>
      </c>
      <c r="I210" s="108" t="str">
        <f>IF($B210="x", 'Composting (2)'!N$9, "NA")</f>
        <v>NA</v>
      </c>
      <c r="J210" s="91" t="str">
        <f t="shared" si="13"/>
        <v>NA</v>
      </c>
      <c r="L210" s="101" t="str">
        <f>IF($B210="x", SUM('Composting (2)'!N$34,'Composting (2)'!N$38,'Composting (2)'!N$49,'Composting (2)'!N$53:N$54)*days_yr, "NA")</f>
        <v>NA</v>
      </c>
      <c r="M210" s="102" t="str">
        <f>IF($B210="x", 'Composting (2)'!N$42*days_yr, "NA")</f>
        <v>NA</v>
      </c>
      <c r="N210" s="102" t="str">
        <f>IF($B210="x", 'Composting (2)'!N$46*days_yr, "NA")</f>
        <v>NA</v>
      </c>
      <c r="O210" s="103" t="str">
        <f>IF($B210="x", 'Composting (2)'!N$62, "NA")</f>
        <v>NA</v>
      </c>
      <c r="T210" s="75"/>
    </row>
    <row r="211" spans="1:20" x14ac:dyDescent="0.25">
      <c r="A211" s="558" t="s">
        <v>532</v>
      </c>
      <c r="B211" s="3"/>
      <c r="C211" s="97" t="str">
        <f>IF($B211="x", 'Landfill Disposal Typical'!N$53, "NA")</f>
        <v>NA</v>
      </c>
      <c r="D211" s="98" t="str">
        <f>IF($B211="x", 'Landfill Disposal Typical'!N$54, "NA")</f>
        <v>NA</v>
      </c>
      <c r="E211" s="98" t="str">
        <f>IF($B211="x", 'Landfill Disposal Typical'!N$56, "NA")</f>
        <v>NA</v>
      </c>
      <c r="F211" s="99" t="str">
        <f>IF($B211="x", 'Landfill Disposal Typical'!N$52, "NA")</f>
        <v>NA</v>
      </c>
      <c r="G211" s="100" t="str">
        <f t="shared" si="12"/>
        <v>NA</v>
      </c>
      <c r="H211" s="100" t="str">
        <f>IF($B211="x",'Landfill Disposal Typical'!N$13,"NA")</f>
        <v>NA</v>
      </c>
      <c r="I211" s="108" t="str">
        <f>IF($B211="x", 'Landfill Disposal Typical'!N$15, "NA")</f>
        <v>NA</v>
      </c>
      <c r="J211" s="91" t="str">
        <f t="shared" si="13"/>
        <v>NA</v>
      </c>
      <c r="L211" s="101" t="str">
        <f>IF($B211="x",('Landfill Disposal Typical'!N$44+'Landfill Disposal Typical'!N$48)*days_yr,"NA")</f>
        <v>NA</v>
      </c>
      <c r="M211" s="102" t="str">
        <f>IF($B211="x",'Landfill Disposal Typical'!N$37*days_yr,"NA")</f>
        <v>NA</v>
      </c>
      <c r="N211" s="102" t="str">
        <f>IF($B211="x",'Landfill Disposal Typical'!N$41*days_yr,"NA")</f>
        <v>NA</v>
      </c>
      <c r="O211" s="103" t="str">
        <f>IF($B211="x",'Landfill Disposal Typical'!N$57,"NA")</f>
        <v>NA</v>
      </c>
      <c r="T211" s="75"/>
    </row>
    <row r="212" spans="1:20" x14ac:dyDescent="0.25">
      <c r="A212" s="558" t="s">
        <v>533</v>
      </c>
      <c r="B212" s="3"/>
      <c r="C212" s="109" t="str">
        <f>IF($B212="x", 'Landfill Disposal Worst-case'!N$53, "NA")</f>
        <v>NA</v>
      </c>
      <c r="D212" s="110" t="str">
        <f>IF($B212="x", 'Landfill Disposal Worst-case'!N$54, "NA")</f>
        <v>NA</v>
      </c>
      <c r="E212" s="110" t="str">
        <f>IF($B212="x", 'Landfill Disposal Worst-case'!N$56, "NA")</f>
        <v>NA</v>
      </c>
      <c r="F212" s="111" t="str">
        <f>IF($B212="x", 'Landfill Disposal Worst-case'!N$52, "NA")</f>
        <v>NA</v>
      </c>
      <c r="G212" s="100" t="str">
        <f t="shared" si="12"/>
        <v>NA</v>
      </c>
      <c r="H212" s="100" t="str">
        <f>IF($B212="x",'Landfill Disposal Worst-case'!N$13,"NA")</f>
        <v>NA</v>
      </c>
      <c r="I212" s="108" t="str">
        <f>IF($B212="x", 'Landfill Disposal Worst-case'!N$15, "NA")</f>
        <v>NA</v>
      </c>
      <c r="J212" s="91" t="str">
        <f t="shared" si="13"/>
        <v>NA</v>
      </c>
      <c r="L212" s="101" t="str">
        <f>IF($B212="x",('Landfill Disposal Worst-case'!N$44+'Landfill Disposal Worst-case'!N$48)*days_yr,"NA")</f>
        <v>NA</v>
      </c>
      <c r="M212" s="102" t="str">
        <f>IF($B212="x",'Landfill Disposal Worst-case'!N$37*days_yr,"NA")</f>
        <v>NA</v>
      </c>
      <c r="N212" s="102" t="str">
        <f>IF($B212="x",'Landfill Disposal Worst-case'!N$41*days_yr,"NA")</f>
        <v>NA</v>
      </c>
      <c r="O212" s="103" t="str">
        <f>IF($B212="x",'Landfill Disposal Worst-case'!N$57,"NA")</f>
        <v>NA</v>
      </c>
      <c r="T212" s="75"/>
    </row>
    <row r="213" spans="1:20" x14ac:dyDescent="0.25">
      <c r="A213" s="558" t="s">
        <v>534</v>
      </c>
      <c r="B213" s="3"/>
      <c r="C213" s="109" t="str">
        <f>IF($B213="x", 'Landfill Disposal Aggressive'!N$53, "NA")</f>
        <v>NA</v>
      </c>
      <c r="D213" s="110" t="str">
        <f>IF($B213="x", 'Landfill Disposal Aggressive'!N$54, "NA")</f>
        <v>NA</v>
      </c>
      <c r="E213" s="110" t="str">
        <f>IF($B213="x", 'Landfill Disposal Aggressive'!N$56, "NA")</f>
        <v>NA</v>
      </c>
      <c r="F213" s="111" t="str">
        <f>IF($B213="x", 'Landfill Disposal Aggressive'!N$52, "NA")</f>
        <v>NA</v>
      </c>
      <c r="G213" s="100" t="str">
        <f t="shared" si="12"/>
        <v>NA</v>
      </c>
      <c r="H213" s="100" t="str">
        <f>IF($B213="x",'Landfill Disposal Aggressive'!N$13,"NA")</f>
        <v>NA</v>
      </c>
      <c r="I213" s="108" t="str">
        <f>IF($B213="x", 'Landfill Disposal Aggressive'!N$15, "NA")</f>
        <v>NA</v>
      </c>
      <c r="J213" s="91" t="str">
        <f t="shared" si="13"/>
        <v>NA</v>
      </c>
      <c r="L213" s="101" t="str">
        <f>IF($B213="x",('Landfill Disposal Aggressive'!N$44+'Landfill Disposal Aggressive'!N$48)*days_yr,"NA")</f>
        <v>NA</v>
      </c>
      <c r="M213" s="102" t="str">
        <f>IF($B213="x",'Landfill Disposal Aggressive'!N$37*days_yr,"NA")</f>
        <v>NA</v>
      </c>
      <c r="N213" s="102" t="str">
        <f>IF($B213="x",'Landfill Disposal Aggressive'!N$41*days_yr,"NA")</f>
        <v>NA</v>
      </c>
      <c r="O213" s="103" t="str">
        <f>IF($B213="x",'Landfill Disposal Aggressive'!N$57,"NA")</f>
        <v>NA</v>
      </c>
      <c r="T213" s="75"/>
    </row>
    <row r="214" spans="1:20" x14ac:dyDescent="0.25">
      <c r="A214" s="558" t="s">
        <v>535</v>
      </c>
      <c r="B214" s="3"/>
      <c r="C214" s="109" t="str">
        <f>IF($B214="x", 'Landfill Disposal CA Regulatory'!N$53, "NA")</f>
        <v>NA</v>
      </c>
      <c r="D214" s="110" t="str">
        <f>IF($B214="x", 'Landfill Disposal CA Regulatory'!N$54, "NA")</f>
        <v>NA</v>
      </c>
      <c r="E214" s="110" t="str">
        <f>IF($B214="x", 'Landfill Disposal CA Regulatory'!N$56, "NA")</f>
        <v>NA</v>
      </c>
      <c r="F214" s="111" t="str">
        <f>IF($B214="x", 'Landfill Disposal CA Regulatory'!N$52, "NA")</f>
        <v>NA</v>
      </c>
      <c r="G214" s="100" t="str">
        <f t="shared" si="12"/>
        <v>NA</v>
      </c>
      <c r="H214" s="100" t="str">
        <f>IF($B214="x",'Landfill Disposal CA Regulatory'!N$13,"NA")</f>
        <v>NA</v>
      </c>
      <c r="I214" s="108" t="str">
        <f>IF($B214="x", 'Landfill Disposal CA Regulatory'!N$15, "NA")</f>
        <v>NA</v>
      </c>
      <c r="J214" s="91" t="str">
        <f t="shared" si="13"/>
        <v>NA</v>
      </c>
      <c r="L214" s="101" t="str">
        <f>IF($B214="x",('Landfill Disposal CA Regulatory'!N$44+'Landfill Disposal CA Regulatory'!N$48)*days_yr,"NA")</f>
        <v>NA</v>
      </c>
      <c r="M214" s="102" t="str">
        <f>IF($B214="x",'Landfill Disposal CA Regulatory'!N$37*days_yr,"NA")</f>
        <v>NA</v>
      </c>
      <c r="N214" s="102" t="str">
        <f>IF($B214="x",'Landfill Disposal CA Regulatory'!N$41*days_yr,"NA")</f>
        <v>NA</v>
      </c>
      <c r="O214" s="103" t="str">
        <f>IF($B214="x",'Landfill Disposal CA Regulatory'!N$57,"NA")</f>
        <v>NA</v>
      </c>
      <c r="T214" s="75"/>
    </row>
    <row r="215" spans="1:20" x14ac:dyDescent="0.25">
      <c r="A215" s="46" t="s">
        <v>222</v>
      </c>
      <c r="B215" s="3"/>
      <c r="C215" s="97" t="str">
        <f>IF($B215="x", Combustion!N$58, "NA")</f>
        <v>NA</v>
      </c>
      <c r="D215" s="98" t="str">
        <f>IF($B215="x", Combustion!N$59, "NA")</f>
        <v>NA</v>
      </c>
      <c r="E215" s="98" t="str">
        <f>IF($B215="x", Combustion!N$61, "NA")</f>
        <v>NA</v>
      </c>
      <c r="F215" s="99" t="str">
        <f>IF($B215="x", Combustion!N$57, "NA")</f>
        <v>NA</v>
      </c>
      <c r="G215" s="100" t="str">
        <f t="shared" si="12"/>
        <v>NA</v>
      </c>
      <c r="H215" s="100" t="str">
        <f>IF($B215="x",Combustion!N$7,"NA")</f>
        <v>NA</v>
      </c>
      <c r="I215" s="108" t="str">
        <f>IF($B215="x", Combustion!N$9, "NA")</f>
        <v>NA</v>
      </c>
      <c r="J215" s="91" t="str">
        <f t="shared" si="13"/>
        <v>NA</v>
      </c>
      <c r="L215" s="101" t="str">
        <f>IF($B215="x", SUM(Combustion!N$30,Combustion!N$36,Combustion!N$48,Combustion!N$51)*days_yr, "NA")</f>
        <v>NA</v>
      </c>
      <c r="M215" s="102" t="str">
        <f>IF($B215="x", Combustion!N$39*days_yr, "NA")</f>
        <v>NA</v>
      </c>
      <c r="N215" s="102" t="str">
        <f>IF($B215="x", Combustion!N$45*days_yr, "NA")</f>
        <v>NA</v>
      </c>
      <c r="O215" s="103" t="str">
        <f>IF($B215="x", Combustion!N$62, "NA")</f>
        <v>NA</v>
      </c>
      <c r="T215" s="75"/>
    </row>
    <row r="216" spans="1:20" x14ac:dyDescent="0.25">
      <c r="A216" s="558" t="s">
        <v>545</v>
      </c>
      <c r="B216" s="3"/>
      <c r="C216" s="97" t="str">
        <f>IF($B216="x",Pyrolysis!N$40, "NA")</f>
        <v>NA</v>
      </c>
      <c r="D216" s="98" t="str">
        <f>IF($B216="x",Pyrolysis!N$41, "NA")</f>
        <v>NA</v>
      </c>
      <c r="E216" s="98" t="str">
        <f>IF($B216="x",Pyrolysis!N$43, "NA")</f>
        <v>NA</v>
      </c>
      <c r="F216" s="138" t="str">
        <f>IF($B216="x",Pyrolysis!N$39, "NA")</f>
        <v>NA</v>
      </c>
      <c r="G216" s="583" t="str">
        <f>IF($B216="x",H216*Mg_ton,"NA")</f>
        <v>NA</v>
      </c>
      <c r="H216" s="100" t="str">
        <f>IF($B216="x",Pyrolysis!N$7,"NA")</f>
        <v>NA</v>
      </c>
      <c r="I216" s="108" t="str">
        <f>IF($B216="x",Pyrolysis!N$9,"NA")</f>
        <v>NA</v>
      </c>
      <c r="J216" s="91" t="str">
        <f>IF($B216="x", F216/(I216*days_yr),"NA")</f>
        <v>NA</v>
      </c>
      <c r="L216" s="101" t="str">
        <f>IF($B216="x",SUM(Pyrolysis!N$21,Pyrolysis!N$27)*days_yr, "NA")</f>
        <v>NA</v>
      </c>
      <c r="M216" s="102" t="str">
        <f>IF($B216="x", Pyrolysis!N$30*days_yr, "NA")</f>
        <v>NA</v>
      </c>
      <c r="N216" s="102" t="str">
        <f>IF($B216="x", Pyrolysis!N$33*days_yr, "NA")</f>
        <v>NA</v>
      </c>
      <c r="O216" s="103" t="str">
        <f>IF($B216="x", Pyrolysis!N$44, "NA")</f>
        <v>NA</v>
      </c>
      <c r="T216" s="75"/>
    </row>
    <row r="217" spans="1:20" x14ac:dyDescent="0.25">
      <c r="A217" s="46" t="s">
        <v>182</v>
      </c>
      <c r="B217" s="3"/>
      <c r="C217" s="97" t="str">
        <f>IF($B217="x", 'Land Application'!N$53, "NA")</f>
        <v>NA</v>
      </c>
      <c r="D217" s="98" t="str">
        <f>IF($B217="x", 'Land Application'!N$54, "NA")</f>
        <v>NA</v>
      </c>
      <c r="E217" s="98" t="str">
        <f>IF($B217="x", 'Land Application'!N$56, "NA")</f>
        <v>NA</v>
      </c>
      <c r="F217" s="99" t="str">
        <f>IF($B217="x", 'Land Application'!N$52, "NA")</f>
        <v>NA</v>
      </c>
      <c r="G217" s="100" t="str">
        <f t="shared" si="12"/>
        <v>NA</v>
      </c>
      <c r="H217" s="100" t="str">
        <f>IF($B217="x",'Land Application'!N$7,"NA")</f>
        <v>NA</v>
      </c>
      <c r="I217" s="108" t="str">
        <f>IF($B217="x", 'Land Application'!N$9, "NA")</f>
        <v>NA</v>
      </c>
      <c r="J217" s="91" t="str">
        <f t="shared" si="13"/>
        <v>NA</v>
      </c>
      <c r="L217" s="101" t="str">
        <f>IF($B217="x", SUM('Land Application'!N$28,'Land Application'!N$42,'Land Application'!N$45,'Land Application'!N$46,'Land Application'!N$49)*days_yr, "NA")</f>
        <v>NA</v>
      </c>
      <c r="M217" s="102" t="str">
        <f>IF($B217="x", 'Land Application'!N$32*days_yr, "NA")</f>
        <v>NA</v>
      </c>
      <c r="N217" s="102" t="str">
        <f>IF($B217="x", 'Land Application'!N$38*days_yr, "NA")</f>
        <v>NA</v>
      </c>
      <c r="O217" s="103" t="str">
        <f>IF($B217="x", 'Land Application'!N$57, "NA")</f>
        <v>NA</v>
      </c>
      <c r="T217" s="75"/>
    </row>
    <row r="218" spans="1:20" x14ac:dyDescent="0.25">
      <c r="A218" s="558" t="s">
        <v>518</v>
      </c>
      <c r="B218" s="3"/>
      <c r="C218" s="97" t="str">
        <f>IF($B218="x", 'Land Application (2)'!N$53, "NA")</f>
        <v>NA</v>
      </c>
      <c r="D218" s="98" t="str">
        <f>IF($B218="x", 'Land Application (2)'!N$54, "NA")</f>
        <v>NA</v>
      </c>
      <c r="E218" s="98" t="str">
        <f>IF($B218="x", 'Land Application (2)'!N$56, "NA")</f>
        <v>NA</v>
      </c>
      <c r="F218" s="99" t="str">
        <f>IF($B218="x", 'Land Application (2)'!N$52, "NA")</f>
        <v>NA</v>
      </c>
      <c r="G218" s="100" t="str">
        <f t="shared" si="12"/>
        <v>NA</v>
      </c>
      <c r="H218" s="100" t="str">
        <f>IF($B218="x",'Land Application (2)'!N$7,"NA")</f>
        <v>NA</v>
      </c>
      <c r="I218" s="108" t="str">
        <f>IF($B218="x", 'Land Application (2)'!N$9, "NA")</f>
        <v>NA</v>
      </c>
      <c r="J218" s="91" t="str">
        <f t="shared" si="13"/>
        <v>NA</v>
      </c>
      <c r="L218" s="101" t="str">
        <f>IF($B218="x", SUM('Land Application (2)'!N$28,'Land Application (2)'!N$42,'Land Application (2)'!N$45,'Land Application (2)'!N$46,'Land Application (2)'!N$49)*days_yr, "NA")</f>
        <v>NA</v>
      </c>
      <c r="M218" s="102" t="str">
        <f>IF($B218="x", 'Land Application (2)'!N$32*days_yr, "NA")</f>
        <v>NA</v>
      </c>
      <c r="N218" s="102" t="str">
        <f>IF($B218="x", 'Land Application (2)'!N$38*days_yr, "NA")</f>
        <v>NA</v>
      </c>
      <c r="O218" s="103" t="str">
        <f>IF($B218="x", 'Land Application (2)'!N$57, "NA")</f>
        <v>NA</v>
      </c>
      <c r="T218" s="75"/>
    </row>
    <row r="219" spans="1:20" x14ac:dyDescent="0.25">
      <c r="A219" s="970" t="s">
        <v>762</v>
      </c>
      <c r="B219" s="971"/>
      <c r="C219" s="975" t="str">
        <f>IF($B219="x",'Misc Emissions'!$N$23, "NA")</f>
        <v>NA</v>
      </c>
      <c r="D219" s="98" t="str">
        <f>IF($B219="x",'Misc Emissions'!$N$24, "NA")</f>
        <v>NA</v>
      </c>
      <c r="E219" s="98" t="str">
        <f>IF($B219="x",'Misc Emissions'!$N$26, "NA")</f>
        <v>NA</v>
      </c>
      <c r="F219" s="138" t="str">
        <f>IF($B219="x",'Misc Emissions'!$N$22, "NA")</f>
        <v>NA</v>
      </c>
      <c r="G219" s="977" t="s">
        <v>307</v>
      </c>
      <c r="H219" s="978" t="s">
        <v>307</v>
      </c>
      <c r="I219" s="979" t="s">
        <v>307</v>
      </c>
      <c r="J219" s="91" t="s">
        <v>307</v>
      </c>
      <c r="L219" s="972" t="str">
        <f>IF($B219="x",SUM('Misc Emissions'!$N$7,'Misc Emissions'!$N$11,'Misc Emissions'!$N$15,'Misc Emissions'!$N$19)*days_yr,"NA")</f>
        <v>NA</v>
      </c>
      <c r="M219" s="973" t="s">
        <v>102</v>
      </c>
      <c r="N219" s="973" t="s">
        <v>102</v>
      </c>
      <c r="O219" s="974" t="s">
        <v>307</v>
      </c>
      <c r="T219" s="75"/>
    </row>
    <row r="220" spans="1:20" ht="15.75" thickBot="1" x14ac:dyDescent="0.3">
      <c r="A220" s="47" t="s">
        <v>160</v>
      </c>
      <c r="B220" s="4"/>
      <c r="C220" s="112" t="str">
        <f>IF($B220="x",Transportation!$AD67, "NA")</f>
        <v>NA</v>
      </c>
      <c r="D220" s="113" t="str">
        <f>IF($B220="x",Transportation!$AD68, "NA")</f>
        <v>NA</v>
      </c>
      <c r="E220" s="113" t="str">
        <f>IF($B220="x",Transportation!$AD69, "NA")</f>
        <v>NA</v>
      </c>
      <c r="F220" s="114" t="str">
        <f>IF($B220="x",Transportation!$AD66, "NA")</f>
        <v>NA</v>
      </c>
      <c r="G220" s="142">
        <f>+'Amount and Destination'!O204/days_yr</f>
        <v>0</v>
      </c>
      <c r="H220" s="142">
        <f>+'Amount and Destination'!P204/days_yr</f>
        <v>0</v>
      </c>
      <c r="I220" s="142">
        <f>+'Amount and Destination'!AE204/days_yr</f>
        <v>0</v>
      </c>
      <c r="J220" s="91" t="str">
        <f t="shared" si="13"/>
        <v>NA</v>
      </c>
      <c r="L220" s="115" t="str">
        <f>IF($B220="x",Transportation!$AD67, "NA")</f>
        <v>NA</v>
      </c>
      <c r="M220" s="116" t="s">
        <v>102</v>
      </c>
      <c r="N220" s="116" t="s">
        <v>102</v>
      </c>
      <c r="O220" s="117" t="str">
        <f>IF($B220="x",Transportation!$AD70, "NA")</f>
        <v>NA</v>
      </c>
      <c r="T220" s="75"/>
    </row>
    <row r="221" spans="1:20" ht="18.75" thickBot="1" x14ac:dyDescent="0.3">
      <c r="A221" s="118" t="s">
        <v>278</v>
      </c>
      <c r="C221" s="119">
        <f>SUM(C200:C220)</f>
        <v>0</v>
      </c>
      <c r="D221" s="120">
        <f>SUM(D200:D220)</f>
        <v>0</v>
      </c>
      <c r="E221" s="121">
        <f>SUM(E200:E220)</f>
        <v>0</v>
      </c>
      <c r="F221" s="122">
        <f>SUM(F200:F220)</f>
        <v>0</v>
      </c>
      <c r="G221" s="123"/>
      <c r="H221" s="123"/>
      <c r="I221" s="123"/>
      <c r="J221" s="124"/>
      <c r="L221" s="125">
        <f>SUM(L200:L220)</f>
        <v>0</v>
      </c>
      <c r="M221" s="125">
        <f>SUM(M200:M220)</f>
        <v>0</v>
      </c>
      <c r="N221" s="125">
        <f>SUM(N200:N220)</f>
        <v>0</v>
      </c>
      <c r="O221" s="126">
        <f>SUM(O200:O220)</f>
        <v>0</v>
      </c>
      <c r="T221" s="75"/>
    </row>
    <row r="222" spans="1:20" x14ac:dyDescent="0.25">
      <c r="A222" s="127" t="s">
        <v>296</v>
      </c>
      <c r="T222" s="75"/>
    </row>
    <row r="223" spans="1:20" x14ac:dyDescent="0.25">
      <c r="A223" s="128" t="s">
        <v>277</v>
      </c>
      <c r="T223" s="75"/>
    </row>
    <row r="224" spans="1:20" ht="15.75" thickBot="1" x14ac:dyDescent="0.3">
      <c r="A224" s="128"/>
      <c r="T224" s="75"/>
    </row>
    <row r="225" spans="1:20" ht="15.75" thickBot="1" x14ac:dyDescent="0.3">
      <c r="A225" s="129" t="s">
        <v>470</v>
      </c>
      <c r="B225" s="863"/>
      <c r="C225" s="69" t="s">
        <v>541</v>
      </c>
      <c r="D225" s="864"/>
      <c r="E225" s="865"/>
      <c r="F225" s="865"/>
      <c r="G225" s="865"/>
      <c r="H225" s="865"/>
      <c r="I225" s="865"/>
      <c r="J225" s="866"/>
      <c r="K225" s="72"/>
      <c r="L225" s="72"/>
      <c r="M225" s="72"/>
      <c r="N225" s="72"/>
      <c r="O225" s="72"/>
      <c r="P225" s="72"/>
      <c r="Q225" s="72"/>
      <c r="R225" s="72"/>
      <c r="S225" s="72"/>
      <c r="T225" s="73"/>
    </row>
    <row r="226" spans="1:20" x14ac:dyDescent="0.25">
      <c r="A226" s="74" t="s">
        <v>464</v>
      </c>
      <c r="B226" s="1230"/>
      <c r="C226" s="1230"/>
      <c r="D226" s="1230"/>
      <c r="E226" s="1230"/>
      <c r="F226" s="1230"/>
      <c r="G226" s="1230"/>
      <c r="H226" s="1230"/>
      <c r="I226" s="1230"/>
      <c r="J226" s="1230"/>
      <c r="T226" s="75"/>
    </row>
    <row r="227" spans="1:20" x14ac:dyDescent="0.25">
      <c r="A227" s="74"/>
      <c r="B227" s="1230"/>
      <c r="C227" s="1230"/>
      <c r="D227" s="1230"/>
      <c r="E227" s="1230"/>
      <c r="F227" s="1230"/>
      <c r="G227" s="1230"/>
      <c r="H227" s="1230"/>
      <c r="I227" s="1230"/>
      <c r="J227" s="1230"/>
      <c r="T227" s="75"/>
    </row>
    <row r="228" spans="1:20" x14ac:dyDescent="0.25">
      <c r="A228" s="74"/>
      <c r="B228" s="1230"/>
      <c r="C228" s="1230"/>
      <c r="D228" s="1230"/>
      <c r="E228" s="1230"/>
      <c r="F228" s="1230"/>
      <c r="G228" s="1230"/>
      <c r="H228" s="1230"/>
      <c r="I228" s="1230"/>
      <c r="J228" s="1230"/>
      <c r="T228" s="75"/>
    </row>
    <row r="229" spans="1:20" ht="15.75" thickBot="1" x14ac:dyDescent="0.3">
      <c r="A229" s="74"/>
      <c r="B229" s="1230"/>
      <c r="C229" s="1230"/>
      <c r="D229" s="1230"/>
      <c r="E229" s="1230"/>
      <c r="F229" s="1230"/>
      <c r="G229" s="1230"/>
      <c r="H229" s="1230"/>
      <c r="I229" s="1230"/>
      <c r="J229" s="1230"/>
      <c r="T229" s="75"/>
    </row>
    <row r="230" spans="1:20" ht="16.5" thickBot="1" x14ac:dyDescent="0.3">
      <c r="A230" s="74"/>
      <c r="C230" s="1221" t="s">
        <v>617</v>
      </c>
      <c r="D230" s="1222"/>
      <c r="E230" s="1222"/>
      <c r="F230" s="1223"/>
      <c r="L230" s="1227" t="s">
        <v>531</v>
      </c>
      <c r="M230" s="1228"/>
      <c r="N230" s="1228"/>
      <c r="O230" s="1229"/>
      <c r="T230" s="75"/>
    </row>
    <row r="231" spans="1:20" ht="63.75" thickBot="1" x14ac:dyDescent="0.3">
      <c r="A231" s="45" t="s">
        <v>152</v>
      </c>
      <c r="B231" s="79" t="s">
        <v>101</v>
      </c>
      <c r="C231" s="80" t="s">
        <v>228</v>
      </c>
      <c r="D231" s="81" t="s">
        <v>229</v>
      </c>
      <c r="E231" s="82" t="s">
        <v>230</v>
      </c>
      <c r="F231" s="48" t="s">
        <v>99</v>
      </c>
      <c r="G231" s="83" t="s">
        <v>553</v>
      </c>
      <c r="H231" s="83" t="s">
        <v>554</v>
      </c>
      <c r="I231" s="83" t="s">
        <v>477</v>
      </c>
      <c r="J231" s="83" t="s">
        <v>904</v>
      </c>
      <c r="L231" s="1027" t="s">
        <v>536</v>
      </c>
      <c r="M231" s="84" t="s">
        <v>903</v>
      </c>
      <c r="N231" s="84" t="s">
        <v>902</v>
      </c>
      <c r="O231" s="85" t="s">
        <v>537</v>
      </c>
      <c r="P231" s="95"/>
      <c r="T231" s="75"/>
    </row>
    <row r="232" spans="1:20" x14ac:dyDescent="0.25">
      <c r="A232" s="86" t="s">
        <v>324</v>
      </c>
      <c r="B232" s="3"/>
      <c r="C232" s="87" t="str">
        <f>IF($B232="x",Storage!P$25, "NA")</f>
        <v>NA</v>
      </c>
      <c r="D232" s="88" t="str">
        <f>IF($B232="x",Storage!P$26, "NA")</f>
        <v>NA</v>
      </c>
      <c r="E232" s="88" t="str">
        <f>IF($B232="x",Storage!P$28, "NA")</f>
        <v>NA</v>
      </c>
      <c r="F232" s="89" t="str">
        <f>IF($B232="x",Storage!P$24, "NA")</f>
        <v>NA</v>
      </c>
      <c r="G232" s="90" t="s">
        <v>307</v>
      </c>
      <c r="H232" s="90" t="s">
        <v>307</v>
      </c>
      <c r="I232" s="90" t="s">
        <v>307</v>
      </c>
      <c r="J232" s="91" t="s">
        <v>307</v>
      </c>
      <c r="L232" s="92" t="str">
        <f>IF($B232="x",Storage!P$18*days_yr, "NA")</f>
        <v>NA</v>
      </c>
      <c r="M232" s="93" t="str">
        <f>IF($B232="x",Storage!P$21*days_yr, "NA")</f>
        <v>NA</v>
      </c>
      <c r="N232" s="93" t="s">
        <v>102</v>
      </c>
      <c r="O232" s="94" t="str">
        <f>IF($B232="x",Storage!P$29, "NA")</f>
        <v>NA</v>
      </c>
      <c r="P232" s="104"/>
      <c r="Q232" s="96"/>
      <c r="T232" s="75"/>
    </row>
    <row r="233" spans="1:20" x14ac:dyDescent="0.25">
      <c r="A233" s="46" t="s">
        <v>159</v>
      </c>
      <c r="B233" s="3"/>
      <c r="C233" s="97" t="str">
        <f>IF($B233="x",'Conditioning Thickening'!P$19, "NA")</f>
        <v>NA</v>
      </c>
      <c r="D233" s="98" t="str">
        <f>IF($B233="x",'Conditioning Thickening'!P$20, "NA")</f>
        <v>NA</v>
      </c>
      <c r="E233" s="98" t="str">
        <f>IF($B233="x",'Conditioning Thickening'!P$22, "NA")</f>
        <v>NA</v>
      </c>
      <c r="F233" s="99" t="str">
        <f>IF($B233="x",'Conditioning Thickening'!P$18, "NA")</f>
        <v>NA</v>
      </c>
      <c r="G233" s="100" t="s">
        <v>307</v>
      </c>
      <c r="H233" s="100" t="s">
        <v>307</v>
      </c>
      <c r="I233" s="100" t="s">
        <v>307</v>
      </c>
      <c r="J233" s="91" t="s">
        <v>307</v>
      </c>
      <c r="L233" s="101" t="str">
        <f>IF($B233="x",SUM('Conditioning Thickening'!P$11,'Conditioning Thickening'!P$15)*days_yr, "NA")</f>
        <v>NA</v>
      </c>
      <c r="M233" s="102" t="s">
        <v>102</v>
      </c>
      <c r="N233" s="102" t="s">
        <v>102</v>
      </c>
      <c r="O233" s="103" t="str">
        <f>IF($B233="x",'Conditioning Thickening'!P$23, "NA")</f>
        <v>NA</v>
      </c>
      <c r="P233" s="104"/>
      <c r="Q233" s="96"/>
      <c r="T233" s="75"/>
    </row>
    <row r="234" spans="1:20" x14ac:dyDescent="0.25">
      <c r="A234" s="46" t="s">
        <v>195</v>
      </c>
      <c r="B234" s="3"/>
      <c r="C234" s="97" t="str">
        <f>IF($B234="x",'Aerobic Digestion'!P$26, "NA")</f>
        <v>NA</v>
      </c>
      <c r="D234" s="98" t="str">
        <f>IF($B234="x",'Aerobic Digestion'!P$27, "NA")</f>
        <v>NA</v>
      </c>
      <c r="E234" s="98" t="str">
        <f>IF($B234="x",'Aerobic Digestion'!P$29, "NA")</f>
        <v>NA</v>
      </c>
      <c r="F234" s="99" t="str">
        <f>IF($B234="x",'Aerobic Digestion'!P$25, "NA")</f>
        <v>NA</v>
      </c>
      <c r="G234" s="100" t="s">
        <v>307</v>
      </c>
      <c r="H234" s="100" t="s">
        <v>307</v>
      </c>
      <c r="I234" s="100" t="s">
        <v>307</v>
      </c>
      <c r="J234" s="91" t="s">
        <v>307</v>
      </c>
      <c r="L234" s="101" t="str">
        <f>IF($B234="x",SUM('Aerobic Digestion'!P$21:P$22)*days_yr, "NA")</f>
        <v>NA</v>
      </c>
      <c r="M234" s="102" t="s">
        <v>102</v>
      </c>
      <c r="N234" s="102" t="s">
        <v>102</v>
      </c>
      <c r="O234" s="103" t="str">
        <f>IF($B234="x",'Aerobic Digestion'!P$30, "NA")</f>
        <v>NA</v>
      </c>
      <c r="P234" s="104"/>
      <c r="Q234" s="96"/>
      <c r="T234" s="75"/>
    </row>
    <row r="235" spans="1:20" x14ac:dyDescent="0.25">
      <c r="A235" s="46" t="s">
        <v>197</v>
      </c>
      <c r="B235" s="3"/>
      <c r="C235" s="97" t="str">
        <f>IF($B235="x", 'Anaerobic Digestion'!P$49, "NA")</f>
        <v>NA</v>
      </c>
      <c r="D235" s="98" t="str">
        <f>IF($B235="x", 'Anaerobic Digestion'!P$50, "NA")</f>
        <v>NA</v>
      </c>
      <c r="E235" s="106" t="str">
        <f>IF($B235="x", 'Anaerobic Digestion'!P$52, "NA")</f>
        <v>NA</v>
      </c>
      <c r="F235" s="99" t="str">
        <f>IF($B235="x", 'Anaerobic Digestion'!P$48, "NA")</f>
        <v>NA</v>
      </c>
      <c r="G235" s="100" t="s">
        <v>307</v>
      </c>
      <c r="H235" s="100" t="s">
        <v>307</v>
      </c>
      <c r="I235" s="100" t="s">
        <v>307</v>
      </c>
      <c r="J235" s="91" t="s">
        <v>307</v>
      </c>
      <c r="L235" s="101" t="str">
        <f>IF($B235="x", SUM('Anaerobic Digestion'!P$42:P$43)*days_yr, "NA")</f>
        <v>NA</v>
      </c>
      <c r="M235" s="102" t="str">
        <f>IF($B235="x", 'Anaerobic Digestion'!P$44*days_yr, "NA")</f>
        <v>NA</v>
      </c>
      <c r="N235" s="102" t="s">
        <v>102</v>
      </c>
      <c r="O235" s="103" t="str">
        <f>IF($B235="x", 'Anaerobic Digestion'!P$53, "NA")</f>
        <v>NA</v>
      </c>
      <c r="P235" s="104"/>
      <c r="Q235" s="105"/>
      <c r="T235" s="75"/>
    </row>
    <row r="236" spans="1:20" x14ac:dyDescent="0.25">
      <c r="A236" s="558" t="s">
        <v>516</v>
      </c>
      <c r="B236" s="3"/>
      <c r="C236" s="97" t="str">
        <f>IF($B236="x", 'Anaerobic Digestion (2)'!P$49, "NA")</f>
        <v>NA</v>
      </c>
      <c r="D236" s="98" t="str">
        <f>IF($B236="x", 'Anaerobic Digestion (2)'!P$50, "NA")</f>
        <v>NA</v>
      </c>
      <c r="E236" s="106" t="str">
        <f>IF($B236="x", 'Anaerobic Digestion (2)'!P$52, "NA")</f>
        <v>NA</v>
      </c>
      <c r="F236" s="99" t="str">
        <f>IF($B236="x", 'Anaerobic Digestion (2)'!P$48, "NA")</f>
        <v>NA</v>
      </c>
      <c r="G236" s="100" t="s">
        <v>307</v>
      </c>
      <c r="H236" s="100" t="s">
        <v>307</v>
      </c>
      <c r="I236" s="100" t="s">
        <v>307</v>
      </c>
      <c r="J236" s="91" t="s">
        <v>307</v>
      </c>
      <c r="L236" s="101" t="str">
        <f>IF($B236="x", SUM('Anaerobic Digestion (2)'!P$42:P$43)*days_yr, "NA")</f>
        <v>NA</v>
      </c>
      <c r="M236" s="102" t="str">
        <f>IF($B236="x", 'Anaerobic Digestion (2)'!P$44*days_yr, "NA")</f>
        <v>NA</v>
      </c>
      <c r="N236" s="102" t="s">
        <v>102</v>
      </c>
      <c r="O236" s="103" t="str">
        <f>IF($B236="x", 'Anaerobic Digestion (2)'!P$53, "NA")</f>
        <v>NA</v>
      </c>
      <c r="Q236" s="105"/>
      <c r="T236" s="75"/>
    </row>
    <row r="237" spans="1:20" x14ac:dyDescent="0.25">
      <c r="A237" s="46" t="s">
        <v>223</v>
      </c>
      <c r="B237" s="3"/>
      <c r="C237" s="97" t="str">
        <f>IF($B237="x", 'De-watering'!P$20, "NA")</f>
        <v>NA</v>
      </c>
      <c r="D237" s="98" t="str">
        <f>IF($B237="x", 'De-watering'!P$21, "NA")</f>
        <v>NA</v>
      </c>
      <c r="E237" s="98" t="str">
        <f>IF($B237="x", 'De-watering'!P$23, "NA")</f>
        <v>NA</v>
      </c>
      <c r="F237" s="99" t="str">
        <f>IF($B237="x", 'De-watering'!P$19, "NA")</f>
        <v>NA</v>
      </c>
      <c r="G237" s="100" t="s">
        <v>307</v>
      </c>
      <c r="H237" s="100" t="s">
        <v>307</v>
      </c>
      <c r="I237" s="100" t="s">
        <v>307</v>
      </c>
      <c r="J237" s="91" t="s">
        <v>307</v>
      </c>
      <c r="L237" s="101" t="str">
        <f>IF($B237="x", SUM('De-watering'!P$12,'De-watering'!P$16)*days_yr, "NA")</f>
        <v>NA</v>
      </c>
      <c r="M237" s="102" t="s">
        <v>102</v>
      </c>
      <c r="N237" s="102" t="s">
        <v>102</v>
      </c>
      <c r="O237" s="103" t="str">
        <f>IF($B237="x", 'De-watering'!P$24, "NA")</f>
        <v>NA</v>
      </c>
      <c r="T237" s="75"/>
    </row>
    <row r="238" spans="1:20" x14ac:dyDescent="0.25">
      <c r="A238" s="46" t="s">
        <v>133</v>
      </c>
      <c r="B238" s="3"/>
      <c r="C238" s="97" t="str">
        <f>IF($B238="x", 'Thermal Drying'!P$24, "NA")</f>
        <v>NA</v>
      </c>
      <c r="D238" s="98" t="str">
        <f>IF($B238="x", 'Thermal Drying'!P$25, "NA")</f>
        <v>NA</v>
      </c>
      <c r="E238" s="98" t="str">
        <f>IF($B238="x", 'Thermal Drying'!P$27, "NA")</f>
        <v>NA</v>
      </c>
      <c r="F238" s="99" t="str">
        <f>IF($B238="x", 'Thermal Drying'!P$23, "NA")</f>
        <v>NA</v>
      </c>
      <c r="G238" s="100" t="str">
        <f t="shared" ref="G238:G250" si="14">IF($B238="x",H238*Mg_ton,"NA")</f>
        <v>NA</v>
      </c>
      <c r="H238" s="100" t="str">
        <f>IF($B238="x",'Thermal Drying'!P$6,"NA")</f>
        <v>NA</v>
      </c>
      <c r="I238" s="108" t="str">
        <f>IF($B238="x", 'Thermal Drying'!P$9, "NA")</f>
        <v>NA</v>
      </c>
      <c r="J238" s="91" t="str">
        <f t="shared" ref="J238:J252" si="15">IF($B238="x", F238/(I238*days_yr),"NA")</f>
        <v>NA</v>
      </c>
      <c r="L238" s="101" t="str">
        <f>IF($B238="x",'Thermal Drying'!P$23, "NA")</f>
        <v>NA</v>
      </c>
      <c r="M238" s="102" t="s">
        <v>102</v>
      </c>
      <c r="N238" s="102" t="s">
        <v>102</v>
      </c>
      <c r="O238" s="103" t="str">
        <f>IF($B238="x", 'Thermal Drying'!P$28, "NA")</f>
        <v>NA</v>
      </c>
      <c r="T238" s="75"/>
    </row>
    <row r="239" spans="1:20" x14ac:dyDescent="0.25">
      <c r="A239" s="558" t="s">
        <v>645</v>
      </c>
      <c r="B239" s="3"/>
      <c r="C239" s="97" t="str">
        <f>IF($B239="x",BioDrying!P$23, "NA")</f>
        <v>NA</v>
      </c>
      <c r="D239" s="98" t="str">
        <f>IF($B239="x",BioDrying!P$24, "NA")</f>
        <v>NA</v>
      </c>
      <c r="E239" s="98" t="str">
        <f>IF($B239="x",BioDrying!P$26, "NA")</f>
        <v>NA</v>
      </c>
      <c r="F239" s="138" t="str">
        <f>IF($B239="x",BioDrying!P$22, "NA")</f>
        <v>NA</v>
      </c>
      <c r="G239" s="583" t="str">
        <f>IF($B239="x",H239*Mg_ton,"NA")</f>
        <v>NA</v>
      </c>
      <c r="H239" s="100" t="str">
        <f>IF($B239="x",BioDrying!P$6,"NA")</f>
        <v>NA</v>
      </c>
      <c r="I239" s="108" t="str">
        <f>IF($B239="x",BioDrying!P$9,"NA")</f>
        <v>NA</v>
      </c>
      <c r="J239" s="91" t="str">
        <f>IF($B239="x", F239/(I239*days_yr),"NA")</f>
        <v>NA</v>
      </c>
      <c r="L239" s="101" t="str">
        <f>IF($B239="x",BioDrying!P$22, "NA")</f>
        <v>NA</v>
      </c>
      <c r="M239" s="102" t="s">
        <v>102</v>
      </c>
      <c r="N239" s="102" t="s">
        <v>102</v>
      </c>
      <c r="O239" s="103" t="str">
        <f>IF($B239="x",BioDrying!P$27, "NA")</f>
        <v>NA</v>
      </c>
      <c r="T239" s="75"/>
    </row>
    <row r="240" spans="1:20" x14ac:dyDescent="0.25">
      <c r="A240" s="46" t="s">
        <v>269</v>
      </c>
      <c r="B240" s="3"/>
      <c r="C240" s="97" t="str">
        <f>IF($B240="x",'Alkaline Stabilization'!P$24, "NA")</f>
        <v>NA</v>
      </c>
      <c r="D240" s="98" t="str">
        <f>IF($B240="x",'Alkaline Stabilization'!P$25, "NA")</f>
        <v>NA</v>
      </c>
      <c r="E240" s="98" t="str">
        <f>IF($B240="x",'Alkaline Stabilization'!P$27, "NA")</f>
        <v>NA</v>
      </c>
      <c r="F240" s="99" t="str">
        <f>IF($B240="x",'Alkaline Stabilization'!P$23, "NA")</f>
        <v>NA</v>
      </c>
      <c r="G240" s="100" t="str">
        <f t="shared" si="14"/>
        <v>NA</v>
      </c>
      <c r="H240" s="100" t="str">
        <f>IF($B240="x",'Alkaline Stabilization'!P$6,"NA")</f>
        <v>NA</v>
      </c>
      <c r="I240" s="108" t="str">
        <f>IF($B240="x",'Alkaline Stabilization'!P$8, "NA")</f>
        <v>NA</v>
      </c>
      <c r="J240" s="91" t="str">
        <f t="shared" si="15"/>
        <v>NA</v>
      </c>
      <c r="L240" s="101" t="str">
        <f>IF($B240="x",SUM('Alkaline Stabilization'!P$12,'Alkaline Stabilization'!P$16,'Alkaline Stabilization'!P$20)*days_yr, "NA")</f>
        <v>NA</v>
      </c>
      <c r="M240" s="102" t="s">
        <v>102</v>
      </c>
      <c r="N240" s="102" t="s">
        <v>102</v>
      </c>
      <c r="O240" s="103" t="str">
        <f>IF($B240="x",'Alkaline Stabilization'!P$28, "NA")</f>
        <v>NA</v>
      </c>
      <c r="T240" s="75"/>
    </row>
    <row r="241" spans="1:20" x14ac:dyDescent="0.25">
      <c r="A241" s="46" t="s">
        <v>250</v>
      </c>
      <c r="B241" s="3"/>
      <c r="C241" s="97" t="str">
        <f>IF($B241="x", Composting!P$58, "NA")</f>
        <v>NA</v>
      </c>
      <c r="D241" s="98" t="str">
        <f>IF($B241="x", Composting!P$59, "NA")</f>
        <v>NA</v>
      </c>
      <c r="E241" s="98" t="str">
        <f>IF($B241="x", Composting!P$61, "NA")</f>
        <v>NA</v>
      </c>
      <c r="F241" s="99" t="str">
        <f>IF($B241="x", Composting!P$57, "NA")</f>
        <v>NA</v>
      </c>
      <c r="G241" s="100" t="str">
        <f t="shared" si="14"/>
        <v>NA</v>
      </c>
      <c r="H241" s="100" t="str">
        <f>IF($B241="x",Composting!P$7,"NA")</f>
        <v>NA</v>
      </c>
      <c r="I241" s="108" t="str">
        <f>IF($B241="x", Composting!P$9, "NA")</f>
        <v>NA</v>
      </c>
      <c r="J241" s="91" t="str">
        <f t="shared" si="15"/>
        <v>NA</v>
      </c>
      <c r="L241" s="101" t="str">
        <f>IF($B241="x", SUM(Composting!P$34,Composting!P$38,Composting!P$50,Composting!P$53:P$54)*days_yr, "NA")</f>
        <v>NA</v>
      </c>
      <c r="M241" s="102" t="str">
        <f>IF($B241="x", Composting!P$42*days_yr, "NA")</f>
        <v>NA</v>
      </c>
      <c r="N241" s="102" t="str">
        <f>IF($B241="x", Composting!P$46*days_yr, "NA")</f>
        <v>NA</v>
      </c>
      <c r="O241" s="103" t="str">
        <f>IF($B241="x", Composting!P$62, "NA")</f>
        <v>NA</v>
      </c>
      <c r="T241" s="75"/>
    </row>
    <row r="242" spans="1:20" x14ac:dyDescent="0.25">
      <c r="A242" s="558" t="s">
        <v>517</v>
      </c>
      <c r="B242" s="3"/>
      <c r="C242" s="97" t="str">
        <f>IF($B242="x", 'Composting (2)'!P$58, "NA")</f>
        <v>NA</v>
      </c>
      <c r="D242" s="98" t="str">
        <f>IF($B242="x", 'Composting (2)'!P$59, "NA")</f>
        <v>NA</v>
      </c>
      <c r="E242" s="98" t="str">
        <f>IF($B242="x", 'Composting (2)'!P$61, "NA")</f>
        <v>NA</v>
      </c>
      <c r="F242" s="99" t="str">
        <f>IF($B242="x", 'Composting (2)'!P$57, "NA")</f>
        <v>NA</v>
      </c>
      <c r="G242" s="100" t="str">
        <f t="shared" si="14"/>
        <v>NA</v>
      </c>
      <c r="H242" s="100" t="str">
        <f>IF($B242="x",'Composting (2)'!P$7,"NA")</f>
        <v>NA</v>
      </c>
      <c r="I242" s="108" t="str">
        <f>IF($B242="x", 'Composting (2)'!P$9, "NA")</f>
        <v>NA</v>
      </c>
      <c r="J242" s="91" t="str">
        <f t="shared" si="15"/>
        <v>NA</v>
      </c>
      <c r="L242" s="101" t="str">
        <f>IF($B242="x", SUM('Composting (2)'!P$34,'Composting (2)'!P$38,'Composting (2)'!P$49,'Composting (2)'!P$53:P$54)*days_yr, "NA")</f>
        <v>NA</v>
      </c>
      <c r="M242" s="102" t="str">
        <f>IF($B242="x", 'Composting (2)'!P$42*days_yr, "NA")</f>
        <v>NA</v>
      </c>
      <c r="N242" s="102" t="str">
        <f>IF($B242="x", 'Composting (2)'!P$46*days_yr, "NA")</f>
        <v>NA</v>
      </c>
      <c r="O242" s="103" t="str">
        <f>IF($B242="x", 'Composting (2)'!P$62, "NA")</f>
        <v>NA</v>
      </c>
      <c r="T242" s="75"/>
    </row>
    <row r="243" spans="1:20" x14ac:dyDescent="0.25">
      <c r="A243" s="558" t="s">
        <v>532</v>
      </c>
      <c r="B243" s="3"/>
      <c r="C243" s="97" t="str">
        <f>IF($B243="x", 'Landfill Disposal Typical'!P$53, "NA")</f>
        <v>NA</v>
      </c>
      <c r="D243" s="98" t="str">
        <f>IF($B243="x", 'Landfill Disposal Typical'!P$54, "NA")</f>
        <v>NA</v>
      </c>
      <c r="E243" s="98" t="str">
        <f>IF($B243="x", 'Landfill Disposal Typical'!P$56, "NA")</f>
        <v>NA</v>
      </c>
      <c r="F243" s="99" t="str">
        <f>IF($B243="x", 'Landfill Disposal Typical'!P$52, "NA")</f>
        <v>NA</v>
      </c>
      <c r="G243" s="100" t="str">
        <f t="shared" si="14"/>
        <v>NA</v>
      </c>
      <c r="H243" s="100" t="str">
        <f>IF($B243="x",'Landfill Disposal Typical'!P$13,"NA")</f>
        <v>NA</v>
      </c>
      <c r="I243" s="108" t="str">
        <f>IF($B243="x", 'Landfill Disposal Typical'!P$15, "NA")</f>
        <v>NA</v>
      </c>
      <c r="J243" s="91" t="str">
        <f t="shared" si="15"/>
        <v>NA</v>
      </c>
      <c r="L243" s="101" t="str">
        <f>IF($B243="x",('Landfill Disposal Typical'!P$44+'Landfill Disposal Typical'!P$48)*days_yr,"NA")</f>
        <v>NA</v>
      </c>
      <c r="M243" s="102" t="str">
        <f>IF($B243="x",'Landfill Disposal Typical'!P$37*days_yr,"NA")</f>
        <v>NA</v>
      </c>
      <c r="N243" s="102" t="str">
        <f>IF($B243="x",'Landfill Disposal Typical'!P$41*days_yr,"NA")</f>
        <v>NA</v>
      </c>
      <c r="O243" s="103" t="str">
        <f>IF($B243="x",'Landfill Disposal Typical'!P$57,"NA")</f>
        <v>NA</v>
      </c>
      <c r="T243" s="75"/>
    </row>
    <row r="244" spans="1:20" x14ac:dyDescent="0.25">
      <c r="A244" s="558" t="s">
        <v>533</v>
      </c>
      <c r="B244" s="3"/>
      <c r="C244" s="109" t="str">
        <f>IF($B244="x", 'Landfill Disposal Worst-case'!P$53, "NA")</f>
        <v>NA</v>
      </c>
      <c r="D244" s="110" t="str">
        <f>IF($B244="x", 'Landfill Disposal Worst-case'!P$54, "NA")</f>
        <v>NA</v>
      </c>
      <c r="E244" s="110" t="str">
        <f>IF($B244="x", 'Landfill Disposal Worst-case'!P$56, "NA")</f>
        <v>NA</v>
      </c>
      <c r="F244" s="111" t="str">
        <f>IF($B244="x", 'Landfill Disposal Worst-case'!P$52, "NA")</f>
        <v>NA</v>
      </c>
      <c r="G244" s="100" t="str">
        <f t="shared" si="14"/>
        <v>NA</v>
      </c>
      <c r="H244" s="100" t="str">
        <f>IF($B244="x",'Landfill Disposal Worst-case'!P$13,"NA")</f>
        <v>NA</v>
      </c>
      <c r="I244" s="108" t="str">
        <f>IF($B244="x", 'Landfill Disposal Worst-case'!P$15, "NA")</f>
        <v>NA</v>
      </c>
      <c r="J244" s="91" t="str">
        <f t="shared" si="15"/>
        <v>NA</v>
      </c>
      <c r="L244" s="101" t="str">
        <f>IF($B244="x",('Landfill Disposal Worst-case'!P$44+'Landfill Disposal Worst-case'!P$48)*days_yr,"NA")</f>
        <v>NA</v>
      </c>
      <c r="M244" s="102" t="str">
        <f>IF($B244="x",'Landfill Disposal Worst-case'!P$37*days_yr,"NA")</f>
        <v>NA</v>
      </c>
      <c r="N244" s="102" t="str">
        <f>IF($B244="x",'Landfill Disposal Worst-case'!P$41*days_yr,"NA")</f>
        <v>NA</v>
      </c>
      <c r="O244" s="103" t="str">
        <f>IF($B244="x",'Landfill Disposal Worst-case'!P$57,"NA")</f>
        <v>NA</v>
      </c>
      <c r="T244" s="75"/>
    </row>
    <row r="245" spans="1:20" x14ac:dyDescent="0.25">
      <c r="A245" s="558" t="s">
        <v>534</v>
      </c>
      <c r="B245" s="3"/>
      <c r="C245" s="109" t="str">
        <f>IF($B245="x", 'Landfill Disposal Aggressive'!P$53, "NA")</f>
        <v>NA</v>
      </c>
      <c r="D245" s="110" t="str">
        <f>IF($B245="x", 'Landfill Disposal Aggressive'!P$54, "NA")</f>
        <v>NA</v>
      </c>
      <c r="E245" s="110" t="str">
        <f>IF($B245="x", 'Landfill Disposal Aggressive'!P$56, "NA")</f>
        <v>NA</v>
      </c>
      <c r="F245" s="111" t="str">
        <f>IF($B245="x", 'Landfill Disposal Aggressive'!P$52, "NA")</f>
        <v>NA</v>
      </c>
      <c r="G245" s="100" t="str">
        <f t="shared" si="14"/>
        <v>NA</v>
      </c>
      <c r="H245" s="100" t="str">
        <f>IF($B245="x",'Landfill Disposal Aggressive'!P$13,"NA")</f>
        <v>NA</v>
      </c>
      <c r="I245" s="108" t="str">
        <f>IF($B245="x", 'Landfill Disposal Aggressive'!P$15, "NA")</f>
        <v>NA</v>
      </c>
      <c r="J245" s="91" t="str">
        <f t="shared" si="15"/>
        <v>NA</v>
      </c>
      <c r="L245" s="101" t="str">
        <f>IF($B245="x",('Landfill Disposal Aggressive'!P$44+'Landfill Disposal Aggressive'!P$48)*days_yr,"NA")</f>
        <v>NA</v>
      </c>
      <c r="M245" s="102" t="str">
        <f>IF($B245="x",'Landfill Disposal Aggressive'!P$37*days_yr,"NA")</f>
        <v>NA</v>
      </c>
      <c r="N245" s="102" t="str">
        <f>IF($B245="x",'Landfill Disposal Aggressive'!P$41*days_yr,"NA")</f>
        <v>NA</v>
      </c>
      <c r="O245" s="103" t="str">
        <f>IF($B245="x",'Landfill Disposal Aggressive'!P$57,"NA")</f>
        <v>NA</v>
      </c>
      <c r="T245" s="75"/>
    </row>
    <row r="246" spans="1:20" x14ac:dyDescent="0.25">
      <c r="A246" s="558" t="s">
        <v>535</v>
      </c>
      <c r="B246" s="3"/>
      <c r="C246" s="109" t="str">
        <f>IF($B246="x", 'Landfill Disposal CA Regulatory'!P$53, "NA")</f>
        <v>NA</v>
      </c>
      <c r="D246" s="110" t="str">
        <f>IF($B246="x", 'Landfill Disposal CA Regulatory'!P$54, "NA")</f>
        <v>NA</v>
      </c>
      <c r="E246" s="110" t="str">
        <f>IF($B246="x", 'Landfill Disposal CA Regulatory'!P$56, "NA")</f>
        <v>NA</v>
      </c>
      <c r="F246" s="111" t="str">
        <f>IF($B246="x", 'Landfill Disposal CA Regulatory'!P$52, "NA")</f>
        <v>NA</v>
      </c>
      <c r="G246" s="100" t="str">
        <f t="shared" si="14"/>
        <v>NA</v>
      </c>
      <c r="H246" s="100" t="str">
        <f>IF($B246="x",'Landfill Disposal CA Regulatory'!P$13,"NA")</f>
        <v>NA</v>
      </c>
      <c r="I246" s="108" t="str">
        <f>IF($B246="x", 'Landfill Disposal CA Regulatory'!P$15, "NA")</f>
        <v>NA</v>
      </c>
      <c r="J246" s="91" t="str">
        <f t="shared" si="15"/>
        <v>NA</v>
      </c>
      <c r="L246" s="101" t="str">
        <f>IF($B246="x",('Landfill Disposal CA Regulatory'!P$44+'Landfill Disposal CA Regulatory'!P$48)*days_yr,"NA")</f>
        <v>NA</v>
      </c>
      <c r="M246" s="102" t="str">
        <f>IF($B246="x",'Landfill Disposal CA Regulatory'!P$37*days_yr,"NA")</f>
        <v>NA</v>
      </c>
      <c r="N246" s="102" t="str">
        <f>IF($B246="x",'Landfill Disposal CA Regulatory'!P$41*days_yr,"NA")</f>
        <v>NA</v>
      </c>
      <c r="O246" s="103" t="str">
        <f>IF($B246="x",'Landfill Disposal CA Regulatory'!P$57,"NA")</f>
        <v>NA</v>
      </c>
      <c r="T246" s="75"/>
    </row>
    <row r="247" spans="1:20" x14ac:dyDescent="0.25">
      <c r="A247" s="46" t="s">
        <v>222</v>
      </c>
      <c r="B247" s="3"/>
      <c r="C247" s="97" t="str">
        <f>IF($B247="x", Combustion!P$58, "NA")</f>
        <v>NA</v>
      </c>
      <c r="D247" s="98" t="str">
        <f>IF($B247="x", Combustion!P$59, "NA")</f>
        <v>NA</v>
      </c>
      <c r="E247" s="98" t="str">
        <f>IF($B247="x", Combustion!P$61, "NA")</f>
        <v>NA</v>
      </c>
      <c r="F247" s="99" t="str">
        <f>IF($B247="x", Combustion!P$57, "NA")</f>
        <v>NA</v>
      </c>
      <c r="G247" s="100" t="str">
        <f t="shared" si="14"/>
        <v>NA</v>
      </c>
      <c r="H247" s="100" t="str">
        <f>IF($B247="x",Combustion!P$7,"NA")</f>
        <v>NA</v>
      </c>
      <c r="I247" s="108" t="str">
        <f>IF($B247="x", Combustion!P$9, "NA")</f>
        <v>NA</v>
      </c>
      <c r="J247" s="91" t="str">
        <f t="shared" si="15"/>
        <v>NA</v>
      </c>
      <c r="L247" s="101" t="str">
        <f>IF($B247="x", SUM(Combustion!P$30,Combustion!P$36,Combustion!P$48,Combustion!P$51)*days_yr, "NA")</f>
        <v>NA</v>
      </c>
      <c r="M247" s="102" t="str">
        <f>IF($B247="x", Combustion!P$39*days_yr, "NA")</f>
        <v>NA</v>
      </c>
      <c r="N247" s="102" t="str">
        <f>IF($B247="x", Combustion!P$45*days_yr, "NA")</f>
        <v>NA</v>
      </c>
      <c r="O247" s="103" t="str">
        <f>IF($B247="x", Combustion!P$62, "NA")</f>
        <v>NA</v>
      </c>
      <c r="T247" s="75"/>
    </row>
    <row r="248" spans="1:20" x14ac:dyDescent="0.25">
      <c r="A248" s="558" t="s">
        <v>545</v>
      </c>
      <c r="B248" s="3"/>
      <c r="C248" s="97" t="str">
        <f>IF($B248="x",Pyrolysis!P$40, "NA")</f>
        <v>NA</v>
      </c>
      <c r="D248" s="98" t="str">
        <f>IF($B248="x",Pyrolysis!P$41, "NA")</f>
        <v>NA</v>
      </c>
      <c r="E248" s="98" t="str">
        <f>IF($B248="x",Pyrolysis!P$43, "NA")</f>
        <v>NA</v>
      </c>
      <c r="F248" s="138" t="str">
        <f>IF($B248="x",Pyrolysis!P$39, "NA")</f>
        <v>NA</v>
      </c>
      <c r="G248" s="583" t="str">
        <f>IF($B248="x",H248*Mg_ton,"NA")</f>
        <v>NA</v>
      </c>
      <c r="H248" s="100" t="str">
        <f>IF($B248="x",Pyrolysis!P$7,"NA")</f>
        <v>NA</v>
      </c>
      <c r="I248" s="108" t="str">
        <f>IF($B248="x",Pyrolysis!P$9,"NA")</f>
        <v>NA</v>
      </c>
      <c r="J248" s="91" t="str">
        <f>IF($B248="x", F248/(I248*days_yr),"NA")</f>
        <v>NA</v>
      </c>
      <c r="L248" s="101" t="str">
        <f>IF($B248="x",SUM(Pyrolysis!P$21,Pyrolysis!P$27)*days_yr, "NA")</f>
        <v>NA</v>
      </c>
      <c r="M248" s="102" t="str">
        <f>IF($B248="x", Pyrolysis!P$30*days_yr, "NA")</f>
        <v>NA</v>
      </c>
      <c r="N248" s="102" t="str">
        <f>IF($B248="x", Pyrolysis!P$33*days_yr, "NA")</f>
        <v>NA</v>
      </c>
      <c r="O248" s="103" t="str">
        <f>IF($B248="x", Pyrolysis!P$44, "NA")</f>
        <v>NA</v>
      </c>
      <c r="T248" s="75"/>
    </row>
    <row r="249" spans="1:20" x14ac:dyDescent="0.25">
      <c r="A249" s="46" t="s">
        <v>182</v>
      </c>
      <c r="B249" s="3"/>
      <c r="C249" s="97" t="str">
        <f>IF($B249="x", 'Land Application'!P$53, "NA")</f>
        <v>NA</v>
      </c>
      <c r="D249" s="98" t="str">
        <f>IF($B249="x", 'Land Application'!P$54, "NA")</f>
        <v>NA</v>
      </c>
      <c r="E249" s="98" t="str">
        <f>IF($B249="x", 'Land Application'!P$56, "NA")</f>
        <v>NA</v>
      </c>
      <c r="F249" s="99" t="str">
        <f>IF($B249="x", 'Land Application'!P$52, "NA")</f>
        <v>NA</v>
      </c>
      <c r="G249" s="100" t="str">
        <f t="shared" si="14"/>
        <v>NA</v>
      </c>
      <c r="H249" s="100" t="str">
        <f>IF($B249="x",'Land Application'!P$7,"NA")</f>
        <v>NA</v>
      </c>
      <c r="I249" s="108" t="str">
        <f>IF($B249="x", 'Land Application'!P$9, "NA")</f>
        <v>NA</v>
      </c>
      <c r="J249" s="91" t="str">
        <f t="shared" si="15"/>
        <v>NA</v>
      </c>
      <c r="L249" s="101" t="str">
        <f>IF($B249="x", SUM('Land Application'!P$28,'Land Application'!P$42,'Land Application'!P$45,'Land Application'!P$46,'Land Application'!P$49)*days_yr, "NA")</f>
        <v>NA</v>
      </c>
      <c r="M249" s="102" t="str">
        <f>IF($B249="x", 'Land Application'!P$32*days_yr, "NA")</f>
        <v>NA</v>
      </c>
      <c r="N249" s="102" t="str">
        <f>IF($B249="x", 'Land Application'!P$38*days_yr, "NA")</f>
        <v>NA</v>
      </c>
      <c r="O249" s="103" t="str">
        <f>IF($B249="x", 'Land Application'!P$57, "NA")</f>
        <v>NA</v>
      </c>
      <c r="T249" s="75"/>
    </row>
    <row r="250" spans="1:20" x14ac:dyDescent="0.25">
      <c r="A250" s="558" t="s">
        <v>518</v>
      </c>
      <c r="B250" s="3"/>
      <c r="C250" s="97" t="str">
        <f>IF($B250="x", 'Land Application (2)'!P$53, "NA")</f>
        <v>NA</v>
      </c>
      <c r="D250" s="98" t="str">
        <f>IF($B250="x", 'Land Application (2)'!P$54, "NA")</f>
        <v>NA</v>
      </c>
      <c r="E250" s="98" t="str">
        <f>IF($B250="x", 'Land Application (2)'!P$56, "NA")</f>
        <v>NA</v>
      </c>
      <c r="F250" s="99" t="str">
        <f>IF($B250="x", 'Land Application (2)'!P$52, "NA")</f>
        <v>NA</v>
      </c>
      <c r="G250" s="100" t="str">
        <f t="shared" si="14"/>
        <v>NA</v>
      </c>
      <c r="H250" s="100" t="str">
        <f>IF($B250="x",'Land Application (2)'!P$7,"NA")</f>
        <v>NA</v>
      </c>
      <c r="I250" s="108" t="str">
        <f>IF($B250="x", 'Land Application (2)'!P$9, "NA")</f>
        <v>NA</v>
      </c>
      <c r="J250" s="91" t="str">
        <f t="shared" si="15"/>
        <v>NA</v>
      </c>
      <c r="L250" s="101" t="str">
        <f>IF($B250="x", SUM('Land Application (2)'!P$28,'Land Application (2)'!P$42,'Land Application (2)'!P$45,'Land Application (2)'!P$46,'Land Application (2)'!P$49)*days_yr, "NA")</f>
        <v>NA</v>
      </c>
      <c r="M250" s="102" t="str">
        <f>IF($B250="x", 'Land Application (2)'!P$32*days_yr, "NA")</f>
        <v>NA</v>
      </c>
      <c r="N250" s="102" t="str">
        <f>IF($B250="x", 'Land Application (2)'!P$38*days_yr, "NA")</f>
        <v>NA</v>
      </c>
      <c r="O250" s="103" t="str">
        <f>IF($B250="x", 'Land Application (2)'!P$57, "NA")</f>
        <v>NA</v>
      </c>
      <c r="T250" s="75"/>
    </row>
    <row r="251" spans="1:20" x14ac:dyDescent="0.25">
      <c r="A251" s="970" t="s">
        <v>762</v>
      </c>
      <c r="B251" s="971"/>
      <c r="C251" s="975" t="str">
        <f>IF($B251="x",'Misc Emissions'!$P$23, "NA")</f>
        <v>NA</v>
      </c>
      <c r="D251" s="98" t="str">
        <f>IF($B251="x",'Misc Emissions'!$P$24, "NA")</f>
        <v>NA</v>
      </c>
      <c r="E251" s="98" t="str">
        <f>IF($B251="x",'Misc Emissions'!$P$26, "NA")</f>
        <v>NA</v>
      </c>
      <c r="F251" s="138" t="str">
        <f>IF($B251="x",'Misc Emissions'!$P$22, "NA")</f>
        <v>NA</v>
      </c>
      <c r="G251" s="977" t="s">
        <v>307</v>
      </c>
      <c r="H251" s="978" t="s">
        <v>307</v>
      </c>
      <c r="I251" s="979" t="s">
        <v>307</v>
      </c>
      <c r="J251" s="91" t="s">
        <v>307</v>
      </c>
      <c r="L251" s="972" t="str">
        <f>IF($B251="x",SUM('Misc Emissions'!$P$7,'Misc Emissions'!$P$11,'Misc Emissions'!$P$15,'Misc Emissions'!$P$19)*days_yr,"NA")</f>
        <v>NA</v>
      </c>
      <c r="M251" s="973" t="s">
        <v>102</v>
      </c>
      <c r="N251" s="973" t="s">
        <v>102</v>
      </c>
      <c r="O251" s="974" t="s">
        <v>307</v>
      </c>
      <c r="T251" s="75"/>
    </row>
    <row r="252" spans="1:20" ht="15.75" thickBot="1" x14ac:dyDescent="0.3">
      <c r="A252" s="47" t="s">
        <v>160</v>
      </c>
      <c r="B252" s="4"/>
      <c r="C252" s="112" t="str">
        <f>IF($B252="x",Transportation!$AD77, "NA")</f>
        <v>NA</v>
      </c>
      <c r="D252" s="113" t="str">
        <f>IF($B252="x",Transportation!$AD78, "NA")</f>
        <v>NA</v>
      </c>
      <c r="E252" s="113" t="str">
        <f>IF($B252="x",Transportation!$AD79, "NA")</f>
        <v>NA</v>
      </c>
      <c r="F252" s="114" t="str">
        <f>IF($B252="x",Transportation!$AD76, "NA")</f>
        <v>NA</v>
      </c>
      <c r="G252" s="142">
        <f>+'Amount and Destination'!O233/days_yr</f>
        <v>0</v>
      </c>
      <c r="H252" s="142">
        <f>+'Amount and Destination'!P233/days_yr</f>
        <v>0</v>
      </c>
      <c r="I252" s="142">
        <f>+'Amount and Destination'!AE233/days_yr</f>
        <v>0</v>
      </c>
      <c r="J252" s="91" t="str">
        <f t="shared" si="15"/>
        <v>NA</v>
      </c>
      <c r="L252" s="115" t="str">
        <f>IF($B252="x",Transportation!$AD77, "NA")</f>
        <v>NA</v>
      </c>
      <c r="M252" s="116" t="s">
        <v>102</v>
      </c>
      <c r="N252" s="116" t="s">
        <v>102</v>
      </c>
      <c r="O252" s="117" t="str">
        <f>IF($B252="x",Transportation!$AD80, "NA")</f>
        <v>NA</v>
      </c>
      <c r="T252" s="75"/>
    </row>
    <row r="253" spans="1:20" ht="18.75" thickBot="1" x14ac:dyDescent="0.3">
      <c r="A253" s="118" t="s">
        <v>278</v>
      </c>
      <c r="C253" s="119">
        <f>SUM(C232:C252)</f>
        <v>0</v>
      </c>
      <c r="D253" s="120">
        <f>SUM(D232:D252)</f>
        <v>0</v>
      </c>
      <c r="E253" s="121">
        <f>SUM(E232:E252)</f>
        <v>0</v>
      </c>
      <c r="F253" s="122">
        <f>SUM(F232:F252)</f>
        <v>0</v>
      </c>
      <c r="G253" s="123"/>
      <c r="H253" s="123"/>
      <c r="I253" s="123"/>
      <c r="J253" s="124"/>
      <c r="L253" s="125">
        <f>SUM(L232:L252)</f>
        <v>0</v>
      </c>
      <c r="M253" s="125">
        <f>SUM(M232:M252)</f>
        <v>0</v>
      </c>
      <c r="N253" s="125">
        <f>SUM(N232:N252)</f>
        <v>0</v>
      </c>
      <c r="O253" s="126">
        <f>SUM(O232:O252)</f>
        <v>0</v>
      </c>
      <c r="T253" s="75"/>
    </row>
    <row r="254" spans="1:20" x14ac:dyDescent="0.25">
      <c r="A254" s="127" t="s">
        <v>296</v>
      </c>
      <c r="T254" s="75"/>
    </row>
    <row r="255" spans="1:20" x14ac:dyDescent="0.25">
      <c r="A255" s="128" t="s">
        <v>277</v>
      </c>
      <c r="T255" s="75"/>
    </row>
    <row r="256" spans="1:20" ht="15.75" thickBot="1" x14ac:dyDescent="0.3">
      <c r="A256" s="132"/>
      <c r="B256" s="133"/>
      <c r="C256" s="133"/>
      <c r="D256" s="133"/>
      <c r="E256" s="133"/>
      <c r="F256" s="133"/>
      <c r="G256" s="133"/>
      <c r="H256" s="133"/>
      <c r="I256" s="133"/>
      <c r="J256" s="133"/>
      <c r="K256" s="133"/>
      <c r="L256" s="133"/>
      <c r="M256" s="133"/>
      <c r="N256" s="133"/>
      <c r="O256" s="133"/>
      <c r="P256" s="133"/>
      <c r="Q256" s="133"/>
      <c r="R256" s="133"/>
      <c r="S256" s="133"/>
      <c r="T256" s="134"/>
    </row>
    <row r="257" spans="1:20" ht="15.75" thickBot="1" x14ac:dyDescent="0.3">
      <c r="A257" s="867" t="s">
        <v>471</v>
      </c>
      <c r="B257" s="2"/>
      <c r="C257" s="868" t="s">
        <v>541</v>
      </c>
      <c r="D257" s="869"/>
      <c r="E257" s="870"/>
      <c r="F257" s="870"/>
      <c r="G257" s="870"/>
      <c r="H257" s="870"/>
      <c r="I257" s="870"/>
      <c r="J257" s="871"/>
      <c r="T257" s="75"/>
    </row>
    <row r="258" spans="1:20" x14ac:dyDescent="0.25">
      <c r="A258" s="74" t="s">
        <v>464</v>
      </c>
      <c r="B258" s="1230"/>
      <c r="C258" s="1230"/>
      <c r="D258" s="1230"/>
      <c r="E258" s="1230"/>
      <c r="F258" s="1230"/>
      <c r="G258" s="1230"/>
      <c r="H258" s="1230"/>
      <c r="I258" s="1230"/>
      <c r="J258" s="1230"/>
      <c r="T258" s="75"/>
    </row>
    <row r="259" spans="1:20" x14ac:dyDescent="0.25">
      <c r="A259" s="74"/>
      <c r="B259" s="1230"/>
      <c r="C259" s="1230"/>
      <c r="D259" s="1230"/>
      <c r="E259" s="1230"/>
      <c r="F259" s="1230"/>
      <c r="G259" s="1230"/>
      <c r="H259" s="1230"/>
      <c r="I259" s="1230"/>
      <c r="J259" s="1230"/>
      <c r="T259" s="75"/>
    </row>
    <row r="260" spans="1:20" x14ac:dyDescent="0.25">
      <c r="A260" s="74"/>
      <c r="B260" s="1230"/>
      <c r="C260" s="1230"/>
      <c r="D260" s="1230"/>
      <c r="E260" s="1230"/>
      <c r="F260" s="1230"/>
      <c r="G260" s="1230"/>
      <c r="H260" s="1230"/>
      <c r="I260" s="1230"/>
      <c r="J260" s="1230"/>
      <c r="T260" s="75"/>
    </row>
    <row r="261" spans="1:20" ht="15.75" thickBot="1" x14ac:dyDescent="0.3">
      <c r="A261" s="74"/>
      <c r="B261" s="1230"/>
      <c r="C261" s="1230"/>
      <c r="D261" s="1230"/>
      <c r="E261" s="1230"/>
      <c r="F261" s="1230"/>
      <c r="G261" s="1230"/>
      <c r="H261" s="1230"/>
      <c r="I261" s="1230"/>
      <c r="J261" s="1230"/>
      <c r="T261" s="75"/>
    </row>
    <row r="262" spans="1:20" ht="16.5" thickBot="1" x14ac:dyDescent="0.3">
      <c r="A262" s="74"/>
      <c r="C262" s="1221" t="s">
        <v>617</v>
      </c>
      <c r="D262" s="1222"/>
      <c r="E262" s="1222"/>
      <c r="F262" s="1223"/>
      <c r="L262" s="1227" t="s">
        <v>531</v>
      </c>
      <c r="M262" s="1228"/>
      <c r="N262" s="1228"/>
      <c r="O262" s="1229"/>
      <c r="T262" s="75"/>
    </row>
    <row r="263" spans="1:20" ht="63.75" thickBot="1" x14ac:dyDescent="0.3">
      <c r="A263" s="45" t="s">
        <v>152</v>
      </c>
      <c r="B263" s="79" t="s">
        <v>101</v>
      </c>
      <c r="C263" s="80" t="s">
        <v>228</v>
      </c>
      <c r="D263" s="81" t="s">
        <v>229</v>
      </c>
      <c r="E263" s="82" t="s">
        <v>230</v>
      </c>
      <c r="F263" s="48" t="s">
        <v>99</v>
      </c>
      <c r="G263" s="83" t="s">
        <v>553</v>
      </c>
      <c r="H263" s="83" t="s">
        <v>554</v>
      </c>
      <c r="I263" s="83" t="s">
        <v>477</v>
      </c>
      <c r="J263" s="83" t="s">
        <v>904</v>
      </c>
      <c r="L263" s="1027" t="s">
        <v>536</v>
      </c>
      <c r="M263" s="84" t="s">
        <v>903</v>
      </c>
      <c r="N263" s="84" t="s">
        <v>902</v>
      </c>
      <c r="O263" s="85" t="s">
        <v>537</v>
      </c>
      <c r="P263" s="95"/>
      <c r="T263" s="75"/>
    </row>
    <row r="264" spans="1:20" x14ac:dyDescent="0.25">
      <c r="A264" s="86" t="s">
        <v>324</v>
      </c>
      <c r="B264" s="3"/>
      <c r="C264" s="87" t="str">
        <f>IF($B264="x",Storage!R$25, "NA")</f>
        <v>NA</v>
      </c>
      <c r="D264" s="88" t="str">
        <f>IF($B264="x",Storage!R$26, "NA")</f>
        <v>NA</v>
      </c>
      <c r="E264" s="88" t="str">
        <f>IF($B264="x",Storage!R$28, "NA")</f>
        <v>NA</v>
      </c>
      <c r="F264" s="137" t="str">
        <f>IF($B264="x",Storage!R$24, "NA")</f>
        <v>NA</v>
      </c>
      <c r="G264" s="90" t="s">
        <v>307</v>
      </c>
      <c r="H264" s="90" t="s">
        <v>307</v>
      </c>
      <c r="I264" s="90" t="s">
        <v>307</v>
      </c>
      <c r="J264" s="91" t="s">
        <v>307</v>
      </c>
      <c r="L264" s="92" t="str">
        <f>IF($B264="x",Storage!R$18*days_yr, "NA")</f>
        <v>NA</v>
      </c>
      <c r="M264" s="93" t="str">
        <f>IF($B264="x",Storage!R$21*days_yr, "NA")</f>
        <v>NA</v>
      </c>
      <c r="N264" s="93" t="s">
        <v>102</v>
      </c>
      <c r="O264" s="94" t="str">
        <f>IF($B264="x",Storage!R$29, "NA")</f>
        <v>NA</v>
      </c>
      <c r="P264" s="104"/>
      <c r="Q264" s="96"/>
      <c r="T264" s="75"/>
    </row>
    <row r="265" spans="1:20" x14ac:dyDescent="0.25">
      <c r="A265" s="46" t="s">
        <v>159</v>
      </c>
      <c r="B265" s="3"/>
      <c r="C265" s="97" t="str">
        <f>IF($B265="x",'Conditioning Thickening'!R$19, "NA")</f>
        <v>NA</v>
      </c>
      <c r="D265" s="98" t="str">
        <f>IF($B265="x",'Conditioning Thickening'!R$20, "NA")</f>
        <v>NA</v>
      </c>
      <c r="E265" s="98" t="str">
        <f>IF($B265="x",'Conditioning Thickening'!R$22, "NA")</f>
        <v>NA</v>
      </c>
      <c r="F265" s="99" t="str">
        <f>IF($B265="x",'Conditioning Thickening'!R$18, "NA")</f>
        <v>NA</v>
      </c>
      <c r="G265" s="100" t="s">
        <v>307</v>
      </c>
      <c r="H265" s="100" t="s">
        <v>307</v>
      </c>
      <c r="I265" s="100" t="s">
        <v>307</v>
      </c>
      <c r="J265" s="91" t="s">
        <v>307</v>
      </c>
      <c r="L265" s="101" t="str">
        <f>IF($B265="x",SUM('Conditioning Thickening'!R$11,'Conditioning Thickening'!R$15)*days_yr, "NA")</f>
        <v>NA</v>
      </c>
      <c r="M265" s="102" t="s">
        <v>102</v>
      </c>
      <c r="N265" s="102" t="s">
        <v>102</v>
      </c>
      <c r="O265" s="103" t="str">
        <f>IF($B265="x",'Conditioning Thickening'!R$23, "NA")</f>
        <v>NA</v>
      </c>
      <c r="P265" s="104"/>
      <c r="Q265" s="96"/>
      <c r="T265" s="75"/>
    </row>
    <row r="266" spans="1:20" x14ac:dyDescent="0.25">
      <c r="A266" s="46" t="s">
        <v>195</v>
      </c>
      <c r="B266" s="3"/>
      <c r="C266" s="97" t="str">
        <f>IF($B266="x",'Aerobic Digestion'!R$26, "NA")</f>
        <v>NA</v>
      </c>
      <c r="D266" s="98" t="str">
        <f>IF($B266="x",'Aerobic Digestion'!R$27, "NA")</f>
        <v>NA</v>
      </c>
      <c r="E266" s="98" t="str">
        <f>IF($B266="x",'Aerobic Digestion'!R$29, "NA")</f>
        <v>NA</v>
      </c>
      <c r="F266" s="138" t="str">
        <f>IF($B266="x",'Aerobic Digestion'!R$25, "NA")</f>
        <v>NA</v>
      </c>
      <c r="G266" s="100" t="s">
        <v>307</v>
      </c>
      <c r="H266" s="100" t="s">
        <v>307</v>
      </c>
      <c r="I266" s="100" t="s">
        <v>307</v>
      </c>
      <c r="J266" s="91" t="s">
        <v>307</v>
      </c>
      <c r="L266" s="101" t="str">
        <f>IF($B266="x",SUM('Aerobic Digestion'!R$21:R$22)*days_yr, "NA")</f>
        <v>NA</v>
      </c>
      <c r="M266" s="102" t="s">
        <v>102</v>
      </c>
      <c r="N266" s="102" t="s">
        <v>102</v>
      </c>
      <c r="O266" s="103" t="str">
        <f>IF($B266="x",'Aerobic Digestion'!R$30, "NA")</f>
        <v>NA</v>
      </c>
      <c r="P266" s="104"/>
      <c r="Q266" s="96"/>
      <c r="T266" s="75"/>
    </row>
    <row r="267" spans="1:20" x14ac:dyDescent="0.25">
      <c r="A267" s="46" t="s">
        <v>197</v>
      </c>
      <c r="B267" s="3"/>
      <c r="C267" s="97" t="str">
        <f>IF($B267="x", 'Anaerobic Digestion'!R$49, "NA")</f>
        <v>NA</v>
      </c>
      <c r="D267" s="98" t="str">
        <f>IF($B267="x", 'Anaerobic Digestion'!R$50, "NA")</f>
        <v>NA</v>
      </c>
      <c r="E267" s="106" t="str">
        <f>IF($B267="x", 'Anaerobic Digestion'!R$52, "NA")</f>
        <v>NA</v>
      </c>
      <c r="F267" s="138" t="str">
        <f>IF($B267="x", 'Anaerobic Digestion'!R$48, "NA")</f>
        <v>NA</v>
      </c>
      <c r="G267" s="100" t="s">
        <v>307</v>
      </c>
      <c r="H267" s="100" t="s">
        <v>307</v>
      </c>
      <c r="I267" s="100" t="s">
        <v>307</v>
      </c>
      <c r="J267" s="91" t="s">
        <v>307</v>
      </c>
      <c r="L267" s="101" t="str">
        <f>IF($B267="x", SUM('Anaerobic Digestion'!R$42:R$43)*days_yr, "NA")</f>
        <v>NA</v>
      </c>
      <c r="M267" s="102" t="str">
        <f>IF($B267="x", 'Anaerobic Digestion'!R$44*days_yr, "NA")</f>
        <v>NA</v>
      </c>
      <c r="N267" s="102" t="s">
        <v>102</v>
      </c>
      <c r="O267" s="103" t="str">
        <f>IF($B267="x", 'Anaerobic Digestion'!R$53, "NA")</f>
        <v>NA</v>
      </c>
      <c r="P267" s="104"/>
      <c r="Q267" s="105"/>
      <c r="T267" s="75"/>
    </row>
    <row r="268" spans="1:20" x14ac:dyDescent="0.25">
      <c r="A268" s="558" t="s">
        <v>516</v>
      </c>
      <c r="B268" s="3"/>
      <c r="C268" s="97" t="str">
        <f>IF($B268="x", 'Anaerobic Digestion (2)'!R$49, "NA")</f>
        <v>NA</v>
      </c>
      <c r="D268" s="98" t="str">
        <f>IF($B268="x", 'Anaerobic Digestion (2)'!R$50, "NA")</f>
        <v>NA</v>
      </c>
      <c r="E268" s="106" t="str">
        <f>IF($B268="x", 'Anaerobic Digestion (2)'!R$52, "NA")</f>
        <v>NA</v>
      </c>
      <c r="F268" s="138" t="str">
        <f>IF($B268="x", 'Anaerobic Digestion (2)'!R$48, "NA")</f>
        <v>NA</v>
      </c>
      <c r="G268" s="100" t="s">
        <v>307</v>
      </c>
      <c r="H268" s="100" t="s">
        <v>307</v>
      </c>
      <c r="I268" s="100" t="s">
        <v>307</v>
      </c>
      <c r="J268" s="91" t="s">
        <v>307</v>
      </c>
      <c r="L268" s="101" t="str">
        <f>IF($B268="x", SUM('Anaerobic Digestion (2)'!R$42:R$43)*days_yr, "NA")</f>
        <v>NA</v>
      </c>
      <c r="M268" s="102" t="str">
        <f>IF($B268="x", 'Anaerobic Digestion (2)'!R$44*days_yr, "NA")</f>
        <v>NA</v>
      </c>
      <c r="N268" s="102" t="s">
        <v>102</v>
      </c>
      <c r="O268" s="103" t="str">
        <f>IF($B268="x", 'Anaerobic Digestion (2)'!R$53, "NA")</f>
        <v>NA</v>
      </c>
      <c r="Q268" s="105"/>
      <c r="T268" s="75"/>
    </row>
    <row r="269" spans="1:20" x14ac:dyDescent="0.25">
      <c r="A269" s="46" t="s">
        <v>223</v>
      </c>
      <c r="B269" s="3"/>
      <c r="C269" s="97" t="str">
        <f>IF($B269="x", 'De-watering'!R$20, "NA")</f>
        <v>NA</v>
      </c>
      <c r="D269" s="98" t="str">
        <f>IF($B269="x", 'De-watering'!R$21, "NA")</f>
        <v>NA</v>
      </c>
      <c r="E269" s="98" t="str">
        <f>IF($B269="x", 'De-watering'!R$23, "NA")</f>
        <v>NA</v>
      </c>
      <c r="F269" s="138" t="str">
        <f>IF($B269="x", 'De-watering'!R$19, "NA")</f>
        <v>NA</v>
      </c>
      <c r="G269" s="100" t="s">
        <v>307</v>
      </c>
      <c r="H269" s="100" t="s">
        <v>307</v>
      </c>
      <c r="I269" s="100" t="s">
        <v>307</v>
      </c>
      <c r="J269" s="91" t="s">
        <v>307</v>
      </c>
      <c r="L269" s="101" t="str">
        <f>IF($B269="x", SUM('De-watering'!R$12,'De-watering'!R$16)*days_yr, "NA")</f>
        <v>NA</v>
      </c>
      <c r="M269" s="102" t="s">
        <v>102</v>
      </c>
      <c r="N269" s="102" t="s">
        <v>102</v>
      </c>
      <c r="O269" s="103" t="str">
        <f>IF($B269="x", 'De-watering'!R$24, "NA")</f>
        <v>NA</v>
      </c>
      <c r="T269" s="75"/>
    </row>
    <row r="270" spans="1:20" x14ac:dyDescent="0.25">
      <c r="A270" s="46" t="s">
        <v>133</v>
      </c>
      <c r="B270" s="3"/>
      <c r="C270" s="97" t="str">
        <f>IF($B270="x", 'Thermal Drying'!R$24, "NA")</f>
        <v>NA</v>
      </c>
      <c r="D270" s="98" t="str">
        <f>IF($B270="x", 'Thermal Drying'!R$25, "NA")</f>
        <v>NA</v>
      </c>
      <c r="E270" s="98" t="str">
        <f>IF($B270="x", 'Thermal Drying'!R$27, "NA")</f>
        <v>NA</v>
      </c>
      <c r="F270" s="138" t="str">
        <f>IF($B270="x", 'Thermal Drying'!R$23, "NA")</f>
        <v>NA</v>
      </c>
      <c r="G270" s="100" t="str">
        <f t="shared" ref="G270:G282" si="16">IF($B270="x",H270*Mg_ton,"NA")</f>
        <v>NA</v>
      </c>
      <c r="H270" s="100" t="str">
        <f>IF($B270="x",'Thermal Drying'!R$6,"NA")</f>
        <v>NA</v>
      </c>
      <c r="I270" s="108" t="str">
        <f>IF($B270="x", 'Thermal Drying'!R$9, "NA")</f>
        <v>NA</v>
      </c>
      <c r="J270" s="91" t="str">
        <f t="shared" ref="J270:J284" si="17">IF($B270="x", F270/(I270*days_yr),"NA")</f>
        <v>NA</v>
      </c>
      <c r="L270" s="101" t="str">
        <f>IF($B270="x",'Thermal Drying'!R$23, "NA")</f>
        <v>NA</v>
      </c>
      <c r="M270" s="102" t="s">
        <v>102</v>
      </c>
      <c r="N270" s="102" t="s">
        <v>102</v>
      </c>
      <c r="O270" s="103" t="str">
        <f>IF($B270="x", 'Thermal Drying'!R$28, "NA")</f>
        <v>NA</v>
      </c>
      <c r="T270" s="75"/>
    </row>
    <row r="271" spans="1:20" x14ac:dyDescent="0.25">
      <c r="A271" s="558" t="s">
        <v>645</v>
      </c>
      <c r="B271" s="3"/>
      <c r="C271" s="97" t="str">
        <f>IF($B271="x",BioDrying!R$23, "NA")</f>
        <v>NA</v>
      </c>
      <c r="D271" s="98" t="str">
        <f>IF($B271="x",BioDrying!R$24, "NA")</f>
        <v>NA</v>
      </c>
      <c r="E271" s="98" t="str">
        <f>IF($B271="x",BioDrying!R$26, "NA")</f>
        <v>NA</v>
      </c>
      <c r="F271" s="138" t="str">
        <f>IF($B271="x",BioDrying!R$22, "NA")</f>
        <v>NA</v>
      </c>
      <c r="G271" s="583" t="str">
        <f>IF($B271="x",H271*Mg_ton,"NA")</f>
        <v>NA</v>
      </c>
      <c r="H271" s="100" t="str">
        <f>IF($B271="x",BioDrying!R$6,"NA")</f>
        <v>NA</v>
      </c>
      <c r="I271" s="108" t="str">
        <f>IF($B271="x",BioDrying!R$9,"NA")</f>
        <v>NA</v>
      </c>
      <c r="J271" s="91" t="str">
        <f>IF($B271="x", F271/(I271*days_yr),"NA")</f>
        <v>NA</v>
      </c>
      <c r="L271" s="101" t="str">
        <f>IF($B271="x",BioDrying!R$22, "NA")</f>
        <v>NA</v>
      </c>
      <c r="M271" s="102" t="s">
        <v>102</v>
      </c>
      <c r="N271" s="102" t="s">
        <v>102</v>
      </c>
      <c r="O271" s="103" t="str">
        <f>IF($B271="x",BioDrying!R$27, "NA")</f>
        <v>NA</v>
      </c>
      <c r="T271" s="75"/>
    </row>
    <row r="272" spans="1:20" x14ac:dyDescent="0.25">
      <c r="A272" s="46" t="s">
        <v>269</v>
      </c>
      <c r="B272" s="3"/>
      <c r="C272" s="97" t="str">
        <f>IF($B272="x",'Alkaline Stabilization'!R$24, "NA")</f>
        <v>NA</v>
      </c>
      <c r="D272" s="98" t="str">
        <f>IF($B272="x",'Alkaline Stabilization'!R$25, "NA")</f>
        <v>NA</v>
      </c>
      <c r="E272" s="98" t="str">
        <f>IF($B272="x",'Alkaline Stabilization'!R$27, "NA")</f>
        <v>NA</v>
      </c>
      <c r="F272" s="138" t="str">
        <f>IF($B272="x",'Alkaline Stabilization'!R$23, "NA")</f>
        <v>NA</v>
      </c>
      <c r="G272" s="100" t="str">
        <f t="shared" si="16"/>
        <v>NA</v>
      </c>
      <c r="H272" s="100" t="str">
        <f>IF($B272="x",'Alkaline Stabilization'!R$6,"NA")</f>
        <v>NA</v>
      </c>
      <c r="I272" s="108" t="str">
        <f>IF($B272="x",'Alkaline Stabilization'!R$8, "NA")</f>
        <v>NA</v>
      </c>
      <c r="J272" s="91" t="str">
        <f t="shared" si="17"/>
        <v>NA</v>
      </c>
      <c r="L272" s="101" t="str">
        <f>IF($B272="x",SUM('Alkaline Stabilization'!R$12,'Alkaline Stabilization'!R$16,'Alkaline Stabilization'!R$20)*days_yr, "NA")</f>
        <v>NA</v>
      </c>
      <c r="M272" s="102" t="s">
        <v>102</v>
      </c>
      <c r="N272" s="102" t="s">
        <v>102</v>
      </c>
      <c r="O272" s="103" t="str">
        <f>IF($B272="x",'Alkaline Stabilization'!R$28, "NA")</f>
        <v>NA</v>
      </c>
      <c r="T272" s="75"/>
    </row>
    <row r="273" spans="1:20" x14ac:dyDescent="0.25">
      <c r="A273" s="46" t="s">
        <v>250</v>
      </c>
      <c r="B273" s="3"/>
      <c r="C273" s="97" t="str">
        <f>IF($B273="x", Composting!R$58, "NA")</f>
        <v>NA</v>
      </c>
      <c r="D273" s="98" t="str">
        <f>IF($B273="x", Composting!R$59, "NA")</f>
        <v>NA</v>
      </c>
      <c r="E273" s="98" t="str">
        <f>IF($B273="x", Composting!R$61, "NA")</f>
        <v>NA</v>
      </c>
      <c r="F273" s="138" t="str">
        <f>IF($B273="x", Composting!R$57, "NA")</f>
        <v>NA</v>
      </c>
      <c r="G273" s="100" t="str">
        <f t="shared" si="16"/>
        <v>NA</v>
      </c>
      <c r="H273" s="100" t="str">
        <f>IF($B273="x",Composting!R$7,"NA")</f>
        <v>NA</v>
      </c>
      <c r="I273" s="108" t="str">
        <f>IF($B273="x", Composting!R$9, "NA")</f>
        <v>NA</v>
      </c>
      <c r="J273" s="91" t="str">
        <f t="shared" si="17"/>
        <v>NA</v>
      </c>
      <c r="L273" s="101" t="str">
        <f>IF($B273="x", SUM(Composting!R$34,Composting!R$38,Composting!R$50,Composting!R$53:R$54)*days_yr, "NA")</f>
        <v>NA</v>
      </c>
      <c r="M273" s="102" t="str">
        <f>IF($B273="x", Composting!R$42*days_yr, "NA")</f>
        <v>NA</v>
      </c>
      <c r="N273" s="102" t="str">
        <f>IF($B273="x", Composting!R$46*days_yr, "NA")</f>
        <v>NA</v>
      </c>
      <c r="O273" s="103" t="str">
        <f>IF($B273="x", Composting!R$62, "NA")</f>
        <v>NA</v>
      </c>
      <c r="T273" s="75"/>
    </row>
    <row r="274" spans="1:20" x14ac:dyDescent="0.25">
      <c r="A274" s="558" t="s">
        <v>517</v>
      </c>
      <c r="B274" s="3"/>
      <c r="C274" s="97" t="str">
        <f>IF($B274="x", 'Composting (2)'!R$58, "NA")</f>
        <v>NA</v>
      </c>
      <c r="D274" s="98" t="str">
        <f>IF($B274="x", 'Composting (2)'!R$59, "NA")</f>
        <v>NA</v>
      </c>
      <c r="E274" s="98" t="str">
        <f>IF($B274="x", 'Composting (2)'!R$61, "NA")</f>
        <v>NA</v>
      </c>
      <c r="F274" s="138" t="str">
        <f>IF($B274="x", 'Composting (2)'!R$57, "NA")</f>
        <v>NA</v>
      </c>
      <c r="G274" s="100" t="str">
        <f t="shared" si="16"/>
        <v>NA</v>
      </c>
      <c r="H274" s="100" t="str">
        <f>IF($B274="x",'Composting (2)'!R$7,"NA")</f>
        <v>NA</v>
      </c>
      <c r="I274" s="108" t="str">
        <f>IF($B274="x", 'Composting (2)'!R$9, "NA")</f>
        <v>NA</v>
      </c>
      <c r="J274" s="91" t="str">
        <f t="shared" si="17"/>
        <v>NA</v>
      </c>
      <c r="L274" s="101" t="str">
        <f>IF($B274="x", SUM('Composting (2)'!R$34,'Composting (2)'!R$38,'Composting (2)'!R$49,'Composting (2)'!R$53:R$54)*days_yr, "NA")</f>
        <v>NA</v>
      </c>
      <c r="M274" s="102" t="str">
        <f>IF($B274="x", 'Composting (2)'!R$42*days_yr, "NA")</f>
        <v>NA</v>
      </c>
      <c r="N274" s="102" t="str">
        <f>IF($B274="x", 'Composting (2)'!R$46*days_yr, "NA")</f>
        <v>NA</v>
      </c>
      <c r="O274" s="103" t="str">
        <f>IF($B274="x", 'Composting (2)'!R$62, "NA")</f>
        <v>NA</v>
      </c>
      <c r="T274" s="75"/>
    </row>
    <row r="275" spans="1:20" x14ac:dyDescent="0.25">
      <c r="A275" s="558" t="s">
        <v>532</v>
      </c>
      <c r="B275" s="3"/>
      <c r="C275" s="97" t="str">
        <f>IF($B275="x", 'Landfill Disposal Typical'!R$53, "NA")</f>
        <v>NA</v>
      </c>
      <c r="D275" s="98" t="str">
        <f>IF($B275="x", 'Landfill Disposal Typical'!R$54, "NA")</f>
        <v>NA</v>
      </c>
      <c r="E275" s="98" t="str">
        <f>IF($B275="x", 'Landfill Disposal Typical'!R$56, "NA")</f>
        <v>NA</v>
      </c>
      <c r="F275" s="138" t="str">
        <f>IF($B275="x", 'Landfill Disposal Typical'!R$52, "NA")</f>
        <v>NA</v>
      </c>
      <c r="G275" s="100" t="str">
        <f t="shared" si="16"/>
        <v>NA</v>
      </c>
      <c r="H275" s="100" t="str">
        <f>IF($B275="x",'Landfill Disposal Typical'!R$13,"NA")</f>
        <v>NA</v>
      </c>
      <c r="I275" s="108" t="str">
        <f>IF($B275="x", 'Landfill Disposal Typical'!R$15, "NA")</f>
        <v>NA</v>
      </c>
      <c r="J275" s="91" t="str">
        <f t="shared" si="17"/>
        <v>NA</v>
      </c>
      <c r="L275" s="101" t="str">
        <f>IF($B275="x",('Landfill Disposal Typical'!R$44+'Landfill Disposal Typical'!R$48)*days_yr,"NA")</f>
        <v>NA</v>
      </c>
      <c r="M275" s="102" t="str">
        <f>IF($B275="x",'Landfill Disposal Typical'!R$37*days_yr,"NA")</f>
        <v>NA</v>
      </c>
      <c r="N275" s="102" t="str">
        <f>IF($B275="x",'Landfill Disposal Typical'!R$41*days_yr,"NA")</f>
        <v>NA</v>
      </c>
      <c r="O275" s="103" t="str">
        <f>IF($B275="x",'Landfill Disposal Typical'!R$57,"NA")</f>
        <v>NA</v>
      </c>
      <c r="T275" s="75"/>
    </row>
    <row r="276" spans="1:20" x14ac:dyDescent="0.25">
      <c r="A276" s="558" t="s">
        <v>533</v>
      </c>
      <c r="B276" s="3"/>
      <c r="C276" s="109" t="str">
        <f>IF($B276="x", 'Landfill Disposal Worst-case'!R$53, "NA")</f>
        <v>NA</v>
      </c>
      <c r="D276" s="110" t="str">
        <f>IF($B276="x", 'Landfill Disposal Worst-case'!R$54, "NA")</f>
        <v>NA</v>
      </c>
      <c r="E276" s="110" t="str">
        <f>IF($B276="x", 'Landfill Disposal Worst-case'!R$56, "NA")</f>
        <v>NA</v>
      </c>
      <c r="F276" s="139" t="str">
        <f>IF($B276="x", 'Landfill Disposal Worst-case'!R$52, "NA")</f>
        <v>NA</v>
      </c>
      <c r="G276" s="100" t="str">
        <f t="shared" si="16"/>
        <v>NA</v>
      </c>
      <c r="H276" s="100" t="str">
        <f>IF($B276="x",'Landfill Disposal Worst-case'!R$13,"NA")</f>
        <v>NA</v>
      </c>
      <c r="I276" s="108" t="str">
        <f>IF($B276="x", 'Landfill Disposal Worst-case'!R$15, "NA")</f>
        <v>NA</v>
      </c>
      <c r="J276" s="91" t="str">
        <f t="shared" si="17"/>
        <v>NA</v>
      </c>
      <c r="L276" s="101" t="str">
        <f>IF($B276="x",('Landfill Disposal Worst-case'!R$44+'Landfill Disposal Worst-case'!R$48)*days_yr,"NA")</f>
        <v>NA</v>
      </c>
      <c r="M276" s="102" t="str">
        <f>IF($B276="x",'Landfill Disposal Worst-case'!R$37*days_yr,"NA")</f>
        <v>NA</v>
      </c>
      <c r="N276" s="102" t="str">
        <f>IF($B276="x",'Landfill Disposal Worst-case'!R$41*days_yr,"NA")</f>
        <v>NA</v>
      </c>
      <c r="O276" s="103" t="str">
        <f>IF($B276="x",'Landfill Disposal Worst-case'!R$57,"NA")</f>
        <v>NA</v>
      </c>
      <c r="T276" s="75"/>
    </row>
    <row r="277" spans="1:20" x14ac:dyDescent="0.25">
      <c r="A277" s="558" t="s">
        <v>534</v>
      </c>
      <c r="B277" s="3"/>
      <c r="C277" s="109" t="str">
        <f>IF($B277="x", 'Landfill Disposal Aggressive'!R$53, "NA")</f>
        <v>NA</v>
      </c>
      <c r="D277" s="110" t="str">
        <f>IF($B277="x", 'Landfill Disposal Aggressive'!R$54, "NA")</f>
        <v>NA</v>
      </c>
      <c r="E277" s="110" t="str">
        <f>IF($B277="x", 'Landfill Disposal Aggressive'!R$56, "NA")</f>
        <v>NA</v>
      </c>
      <c r="F277" s="139" t="str">
        <f>IF($B277="x", 'Landfill Disposal Aggressive'!R$52, "NA")</f>
        <v>NA</v>
      </c>
      <c r="G277" s="100" t="str">
        <f t="shared" si="16"/>
        <v>NA</v>
      </c>
      <c r="H277" s="100" t="str">
        <f>IF($B277="x",'Landfill Disposal Aggressive'!R$13,"NA")</f>
        <v>NA</v>
      </c>
      <c r="I277" s="108" t="str">
        <f>IF($B277="x", 'Landfill Disposal Aggressive'!R$15, "NA")</f>
        <v>NA</v>
      </c>
      <c r="J277" s="91" t="str">
        <f t="shared" si="17"/>
        <v>NA</v>
      </c>
      <c r="L277" s="101" t="str">
        <f>IF($B277="x",('Landfill Disposal Aggressive'!R$44+'Landfill Disposal Aggressive'!R$48)*days_yr,"NA")</f>
        <v>NA</v>
      </c>
      <c r="M277" s="102" t="str">
        <f>IF($B277="x",'Landfill Disposal Aggressive'!R$37*days_yr,"NA")</f>
        <v>NA</v>
      </c>
      <c r="N277" s="102" t="str">
        <f>IF($B277="x",'Landfill Disposal Aggressive'!R$41*days_yr,"NA")</f>
        <v>NA</v>
      </c>
      <c r="O277" s="103" t="str">
        <f>IF($B277="x",'Landfill Disposal Aggressive'!R$57,"NA")</f>
        <v>NA</v>
      </c>
      <c r="T277" s="75"/>
    </row>
    <row r="278" spans="1:20" x14ac:dyDescent="0.25">
      <c r="A278" s="558" t="s">
        <v>535</v>
      </c>
      <c r="B278" s="3"/>
      <c r="C278" s="109" t="str">
        <f>IF($B278="x", 'Landfill Disposal CA Regulatory'!R$53, "NA")</f>
        <v>NA</v>
      </c>
      <c r="D278" s="110" t="str">
        <f>IF($B278="x", 'Landfill Disposal CA Regulatory'!R$54, "NA")</f>
        <v>NA</v>
      </c>
      <c r="E278" s="110" t="str">
        <f>IF($B278="x", 'Landfill Disposal CA Regulatory'!R$56, "NA")</f>
        <v>NA</v>
      </c>
      <c r="F278" s="139" t="str">
        <f>IF($B278="x", 'Landfill Disposal CA Regulatory'!R$52, "NA")</f>
        <v>NA</v>
      </c>
      <c r="G278" s="100" t="str">
        <f t="shared" si="16"/>
        <v>NA</v>
      </c>
      <c r="H278" s="100" t="str">
        <f>IF($B278="x",'Landfill Disposal CA Regulatory'!R$13,"NA")</f>
        <v>NA</v>
      </c>
      <c r="I278" s="108" t="str">
        <f>IF($B278="x", 'Landfill Disposal CA Regulatory'!R$15, "NA")</f>
        <v>NA</v>
      </c>
      <c r="J278" s="91" t="str">
        <f t="shared" si="17"/>
        <v>NA</v>
      </c>
      <c r="L278" s="101" t="str">
        <f>IF($B278="x",('Landfill Disposal CA Regulatory'!R$44+'Landfill Disposal CA Regulatory'!R$48)*days_yr,"NA")</f>
        <v>NA</v>
      </c>
      <c r="M278" s="102" t="str">
        <f>IF($B278="x",'Landfill Disposal CA Regulatory'!R$37*days_yr,"NA")</f>
        <v>NA</v>
      </c>
      <c r="N278" s="102" t="str">
        <f>IF($B278="x",'Landfill Disposal CA Regulatory'!R$41*days_yr,"NA")</f>
        <v>NA</v>
      </c>
      <c r="O278" s="103" t="str">
        <f>IF($B278="x",'Landfill Disposal CA Regulatory'!R$57,"NA")</f>
        <v>NA</v>
      </c>
      <c r="T278" s="75"/>
    </row>
    <row r="279" spans="1:20" x14ac:dyDescent="0.25">
      <c r="A279" s="46" t="s">
        <v>222</v>
      </c>
      <c r="B279" s="3"/>
      <c r="C279" s="97" t="str">
        <f>IF($B279="x", Combustion!R$58, "NA")</f>
        <v>NA</v>
      </c>
      <c r="D279" s="98" t="str">
        <f>IF($B279="x", Combustion!R$59, "NA")</f>
        <v>NA</v>
      </c>
      <c r="E279" s="98" t="str">
        <f>IF($B279="x", Combustion!R$61, "NA")</f>
        <v>NA</v>
      </c>
      <c r="F279" s="138" t="str">
        <f>IF($B279="x", Combustion!R$57, "NA")</f>
        <v>NA</v>
      </c>
      <c r="G279" s="100" t="str">
        <f t="shared" si="16"/>
        <v>NA</v>
      </c>
      <c r="H279" s="100" t="str">
        <f>IF($B279="x",Combustion!R$7,"NA")</f>
        <v>NA</v>
      </c>
      <c r="I279" s="108" t="str">
        <f>IF($B279="x", Combustion!R$9, "NA")</f>
        <v>NA</v>
      </c>
      <c r="J279" s="91" t="str">
        <f t="shared" si="17"/>
        <v>NA</v>
      </c>
      <c r="L279" s="101" t="str">
        <f>IF($B279="x", SUM(Combustion!R$30,Combustion!R$36,Combustion!R$48,Combustion!R$51)*days_yr, "NA")</f>
        <v>NA</v>
      </c>
      <c r="M279" s="102" t="str">
        <f>IF($B279="x", Combustion!R$39*days_yr, "NA")</f>
        <v>NA</v>
      </c>
      <c r="N279" s="102" t="str">
        <f>IF($B279="x", Combustion!R$45*days_yr, "NA")</f>
        <v>NA</v>
      </c>
      <c r="O279" s="103" t="str">
        <f>IF($B279="x", Combustion!R$62, "NA")</f>
        <v>NA</v>
      </c>
      <c r="T279" s="75"/>
    </row>
    <row r="280" spans="1:20" x14ac:dyDescent="0.25">
      <c r="A280" s="558" t="s">
        <v>545</v>
      </c>
      <c r="B280" s="3"/>
      <c r="C280" s="97" t="str">
        <f>IF($B280="x",Pyrolysis!R$40, "NA")</f>
        <v>NA</v>
      </c>
      <c r="D280" s="98" t="str">
        <f>IF($B280="x",Pyrolysis!R$41, "NA")</f>
        <v>NA</v>
      </c>
      <c r="E280" s="98" t="str">
        <f>IF($B280="x",Pyrolysis!R$43, "NA")</f>
        <v>NA</v>
      </c>
      <c r="F280" s="138" t="str">
        <f>IF($B280="x",Pyrolysis!R$39, "NA")</f>
        <v>NA</v>
      </c>
      <c r="G280" s="583" t="str">
        <f>IF($B280="x",H280*Mg_ton,"NA")</f>
        <v>NA</v>
      </c>
      <c r="H280" s="100" t="str">
        <f>IF($B280="x",Pyrolysis!R$7,"NA")</f>
        <v>NA</v>
      </c>
      <c r="I280" s="108" t="str">
        <f>IF($B280="x",Pyrolysis!R$9,"NA")</f>
        <v>NA</v>
      </c>
      <c r="J280" s="91" t="str">
        <f>IF($B280="x", F280/(I280*days_yr),"NA")</f>
        <v>NA</v>
      </c>
      <c r="L280" s="101" t="str">
        <f>IF($B280="x",SUM(Pyrolysis!R$21,Pyrolysis!R$27)*days_yr, "NA")</f>
        <v>NA</v>
      </c>
      <c r="M280" s="102" t="str">
        <f>IF($B280="x", Pyrolysis!R$30*days_yr, "NA")</f>
        <v>NA</v>
      </c>
      <c r="N280" s="102" t="str">
        <f>IF($B280="x", Pyrolysis!R$33*days_yr, "NA")</f>
        <v>NA</v>
      </c>
      <c r="O280" s="103" t="str">
        <f>IF($B280="x", Pyrolysis!R$44, "NA")</f>
        <v>NA</v>
      </c>
      <c r="T280" s="75"/>
    </row>
    <row r="281" spans="1:20" x14ac:dyDescent="0.25">
      <c r="A281" s="46" t="s">
        <v>182</v>
      </c>
      <c r="B281" s="3"/>
      <c r="C281" s="97" t="str">
        <f>IF($B281="x", 'Land Application'!R$53, "NA")</f>
        <v>NA</v>
      </c>
      <c r="D281" s="98" t="str">
        <f>IF($B281="x", 'Land Application'!R$54, "NA")</f>
        <v>NA</v>
      </c>
      <c r="E281" s="98" t="str">
        <f>IF($B281="x", 'Land Application'!R$56, "NA")</f>
        <v>NA</v>
      </c>
      <c r="F281" s="138" t="str">
        <f>IF($B281="x", 'Land Application'!R$52, "NA")</f>
        <v>NA</v>
      </c>
      <c r="G281" s="100" t="str">
        <f t="shared" si="16"/>
        <v>NA</v>
      </c>
      <c r="H281" s="100" t="str">
        <f>IF($B281="x",'Land Application'!R$7,"NA")</f>
        <v>NA</v>
      </c>
      <c r="I281" s="108" t="str">
        <f>IF($B281="x", 'Land Application'!R$9, "NA")</f>
        <v>NA</v>
      </c>
      <c r="J281" s="91" t="str">
        <f t="shared" si="17"/>
        <v>NA</v>
      </c>
      <c r="L281" s="101" t="str">
        <f>IF($B281="x", SUM('Land Application'!R$28,'Land Application'!R$42,'Land Application'!R$45,'Land Application'!R$46,'Land Application'!R$49)*days_yr, "NA")</f>
        <v>NA</v>
      </c>
      <c r="M281" s="102" t="str">
        <f>IF($B281="x", 'Land Application'!R$32*days_yr, "NA")</f>
        <v>NA</v>
      </c>
      <c r="N281" s="102" t="str">
        <f>IF($B281="x", 'Land Application'!R$38*days_yr, "NA")</f>
        <v>NA</v>
      </c>
      <c r="O281" s="103" t="str">
        <f>IF($B281="x", 'Land Application'!R$57, "NA")</f>
        <v>NA</v>
      </c>
      <c r="T281" s="75"/>
    </row>
    <row r="282" spans="1:20" x14ac:dyDescent="0.25">
      <c r="A282" s="558" t="s">
        <v>518</v>
      </c>
      <c r="B282" s="3"/>
      <c r="C282" s="97" t="str">
        <f>IF($B282="x", 'Land Application (2)'!R$53, "NA")</f>
        <v>NA</v>
      </c>
      <c r="D282" s="98" t="str">
        <f>IF($B282="x", 'Land Application (2)'!R$54, "NA")</f>
        <v>NA</v>
      </c>
      <c r="E282" s="98" t="str">
        <f>IF($B282="x", 'Land Application (2)'!R$56, "NA")</f>
        <v>NA</v>
      </c>
      <c r="F282" s="138" t="str">
        <f>IF($B282="x", 'Land Application (2)'!R$52, "NA")</f>
        <v>NA</v>
      </c>
      <c r="G282" s="100" t="str">
        <f t="shared" si="16"/>
        <v>NA</v>
      </c>
      <c r="H282" s="100" t="str">
        <f>IF($B282="x",'Land Application (2)'!R$7,"NA")</f>
        <v>NA</v>
      </c>
      <c r="I282" s="108" t="str">
        <f>IF($B282="x", 'Land Application (2)'!R$9, "NA")</f>
        <v>NA</v>
      </c>
      <c r="J282" s="91" t="str">
        <f t="shared" si="17"/>
        <v>NA</v>
      </c>
      <c r="L282" s="101" t="str">
        <f>IF($B282="x", SUM('Land Application (2)'!R$28,'Land Application (2)'!R$42,'Land Application (2)'!R$45,'Land Application (2)'!R$46,'Land Application (2)'!R$49)*days_yr, "NA")</f>
        <v>NA</v>
      </c>
      <c r="M282" s="102" t="str">
        <f>IF($B282="x", 'Land Application (2)'!R$32*days_yr, "NA")</f>
        <v>NA</v>
      </c>
      <c r="N282" s="102" t="str">
        <f>IF($B282="x", 'Land Application (2)'!R$38*days_yr, "NA")</f>
        <v>NA</v>
      </c>
      <c r="O282" s="103" t="str">
        <f>IF($B282="x", 'Land Application (2)'!R$57, "NA")</f>
        <v>NA</v>
      </c>
      <c r="T282" s="75"/>
    </row>
    <row r="283" spans="1:20" x14ac:dyDescent="0.25">
      <c r="A283" s="970" t="s">
        <v>762</v>
      </c>
      <c r="B283" s="971"/>
      <c r="C283" s="975" t="str">
        <f>IF($B283="x",'Misc Emissions'!$R$23, "NA")</f>
        <v>NA</v>
      </c>
      <c r="D283" s="98" t="str">
        <f>IF($B283="x",'Misc Emissions'!$R$24, "NA")</f>
        <v>NA</v>
      </c>
      <c r="E283" s="98" t="str">
        <f>IF($B283="x",'Misc Emissions'!$R$26, "NA")</f>
        <v>NA</v>
      </c>
      <c r="F283" s="138" t="str">
        <f>IF($B283="x",'Misc Emissions'!$R$22, "NA")</f>
        <v>NA</v>
      </c>
      <c r="G283" s="977" t="s">
        <v>307</v>
      </c>
      <c r="H283" s="978" t="s">
        <v>307</v>
      </c>
      <c r="I283" s="979" t="s">
        <v>307</v>
      </c>
      <c r="J283" s="91" t="s">
        <v>307</v>
      </c>
      <c r="L283" s="972" t="str">
        <f>IF($B283="x",SUM('Misc Emissions'!$R$7,'Misc Emissions'!$R$11,'Misc Emissions'!$R$15,'Misc Emissions'!$R$19)*days_yr,"NA")</f>
        <v>NA</v>
      </c>
      <c r="M283" s="973" t="s">
        <v>102</v>
      </c>
      <c r="N283" s="973" t="s">
        <v>102</v>
      </c>
      <c r="O283" s="974" t="s">
        <v>307</v>
      </c>
      <c r="T283" s="75"/>
    </row>
    <row r="284" spans="1:20" ht="15.75" thickBot="1" x14ac:dyDescent="0.3">
      <c r="A284" s="47" t="s">
        <v>160</v>
      </c>
      <c r="B284" s="4"/>
      <c r="C284" s="112" t="str">
        <f>IF($B284="x",Transportation!$AD87, "NA")</f>
        <v>NA</v>
      </c>
      <c r="D284" s="113" t="str">
        <f>IF($B284="x",Transportation!$AD88, "NA")</f>
        <v>NA</v>
      </c>
      <c r="E284" s="113" t="str">
        <f>IF($B284="x",Transportation!$AD89, "NA")</f>
        <v>NA</v>
      </c>
      <c r="F284" s="140" t="str">
        <f>IF($B284="x",Transportation!$AD86, "NA")</f>
        <v>NA</v>
      </c>
      <c r="G284" s="142">
        <f>+'Amount and Destination'!O262/days_yr</f>
        <v>0</v>
      </c>
      <c r="H284" s="142">
        <f>+'Amount and Destination'!P262/days_yr</f>
        <v>0</v>
      </c>
      <c r="I284" s="142">
        <f>+'Amount and Destination'!AE262/days_yr</f>
        <v>0</v>
      </c>
      <c r="J284" s="91" t="str">
        <f t="shared" si="17"/>
        <v>NA</v>
      </c>
      <c r="L284" s="115" t="str">
        <f>IF($B284="x",Transportation!$AD87, "NA")</f>
        <v>NA</v>
      </c>
      <c r="M284" s="116" t="s">
        <v>102</v>
      </c>
      <c r="N284" s="116" t="s">
        <v>102</v>
      </c>
      <c r="O284" s="117" t="str">
        <f>IF($B284="x",Transportation!$AD90, "NA")</f>
        <v>NA</v>
      </c>
      <c r="T284" s="75"/>
    </row>
    <row r="285" spans="1:20" ht="18.75" thickBot="1" x14ac:dyDescent="0.3">
      <c r="A285" s="118" t="s">
        <v>278</v>
      </c>
      <c r="C285" s="119">
        <f>SUM(C264:C284)</f>
        <v>0</v>
      </c>
      <c r="D285" s="120">
        <f>SUM(D264:D284)</f>
        <v>0</v>
      </c>
      <c r="E285" s="121">
        <f>SUM(E264:E284)</f>
        <v>0</v>
      </c>
      <c r="F285" s="122">
        <f>SUM(F264:F284)</f>
        <v>0</v>
      </c>
      <c r="G285" s="123"/>
      <c r="H285" s="123"/>
      <c r="I285" s="123"/>
      <c r="J285" s="124"/>
      <c r="L285" s="125">
        <f>SUM(L264:L284)</f>
        <v>0</v>
      </c>
      <c r="M285" s="125">
        <f>SUM(M264:M284)</f>
        <v>0</v>
      </c>
      <c r="N285" s="125">
        <f>SUM(N264:N284)</f>
        <v>0</v>
      </c>
      <c r="O285" s="126">
        <f>SUM(O264:O284)</f>
        <v>0</v>
      </c>
      <c r="T285" s="75"/>
    </row>
    <row r="286" spans="1:20" x14ac:dyDescent="0.25">
      <c r="A286" s="127" t="s">
        <v>296</v>
      </c>
      <c r="T286" s="75"/>
    </row>
    <row r="287" spans="1:20" x14ac:dyDescent="0.25">
      <c r="A287" s="128" t="s">
        <v>277</v>
      </c>
      <c r="T287" s="75"/>
    </row>
    <row r="288" spans="1:20" ht="15.75" thickBot="1" x14ac:dyDescent="0.3">
      <c r="A288" s="128"/>
      <c r="T288" s="75"/>
    </row>
    <row r="289" spans="1:20" ht="15.75" thickBot="1" x14ac:dyDescent="0.3">
      <c r="A289" s="129" t="s">
        <v>473</v>
      </c>
      <c r="B289" s="863"/>
      <c r="C289" s="69" t="s">
        <v>541</v>
      </c>
      <c r="D289" s="864"/>
      <c r="E289" s="865"/>
      <c r="F289" s="865"/>
      <c r="G289" s="865"/>
      <c r="H289" s="865"/>
      <c r="I289" s="865"/>
      <c r="J289" s="866"/>
      <c r="K289" s="72"/>
      <c r="L289" s="72"/>
      <c r="M289" s="72"/>
      <c r="N289" s="72"/>
      <c r="O289" s="72"/>
      <c r="P289" s="72"/>
      <c r="Q289" s="72"/>
      <c r="R289" s="72"/>
      <c r="S289" s="72"/>
      <c r="T289" s="73"/>
    </row>
    <row r="290" spans="1:20" x14ac:dyDescent="0.25">
      <c r="A290" s="74" t="s">
        <v>464</v>
      </c>
      <c r="B290" s="1230"/>
      <c r="C290" s="1230"/>
      <c r="D290" s="1230"/>
      <c r="E290" s="1230"/>
      <c r="F290" s="1230"/>
      <c r="G290" s="1230"/>
      <c r="H290" s="1230"/>
      <c r="I290" s="1230"/>
      <c r="J290" s="1230"/>
      <c r="T290" s="75"/>
    </row>
    <row r="291" spans="1:20" x14ac:dyDescent="0.25">
      <c r="A291" s="74"/>
      <c r="B291" s="1230"/>
      <c r="C291" s="1230"/>
      <c r="D291" s="1230"/>
      <c r="E291" s="1230"/>
      <c r="F291" s="1230"/>
      <c r="G291" s="1230"/>
      <c r="H291" s="1230"/>
      <c r="I291" s="1230"/>
      <c r="J291" s="1230"/>
      <c r="T291" s="75"/>
    </row>
    <row r="292" spans="1:20" x14ac:dyDescent="0.25">
      <c r="A292" s="74"/>
      <c r="B292" s="1230"/>
      <c r="C292" s="1230"/>
      <c r="D292" s="1230"/>
      <c r="E292" s="1230"/>
      <c r="F292" s="1230"/>
      <c r="G292" s="1230"/>
      <c r="H292" s="1230"/>
      <c r="I292" s="1230"/>
      <c r="J292" s="1230"/>
      <c r="T292" s="75"/>
    </row>
    <row r="293" spans="1:20" ht="15.75" thickBot="1" x14ac:dyDescent="0.3">
      <c r="A293" s="74"/>
      <c r="B293" s="1230"/>
      <c r="C293" s="1230"/>
      <c r="D293" s="1230"/>
      <c r="E293" s="1230"/>
      <c r="F293" s="1230"/>
      <c r="G293" s="1230"/>
      <c r="H293" s="1230"/>
      <c r="I293" s="1230"/>
      <c r="J293" s="1230"/>
      <c r="T293" s="75"/>
    </row>
    <row r="294" spans="1:20" ht="16.5" thickBot="1" x14ac:dyDescent="0.3">
      <c r="A294" s="74"/>
      <c r="C294" s="1221" t="s">
        <v>617</v>
      </c>
      <c r="D294" s="1222"/>
      <c r="E294" s="1222"/>
      <c r="F294" s="1223"/>
      <c r="L294" s="1227" t="s">
        <v>531</v>
      </c>
      <c r="M294" s="1228"/>
      <c r="N294" s="1228"/>
      <c r="O294" s="1229"/>
      <c r="T294" s="75"/>
    </row>
    <row r="295" spans="1:20" ht="63.75" thickBot="1" x14ac:dyDescent="0.3">
      <c r="A295" s="45" t="s">
        <v>152</v>
      </c>
      <c r="B295" s="79" t="s">
        <v>101</v>
      </c>
      <c r="C295" s="80" t="s">
        <v>228</v>
      </c>
      <c r="D295" s="81" t="s">
        <v>229</v>
      </c>
      <c r="E295" s="82" t="s">
        <v>230</v>
      </c>
      <c r="F295" s="48" t="s">
        <v>99</v>
      </c>
      <c r="G295" s="83" t="s">
        <v>553</v>
      </c>
      <c r="H295" s="83" t="s">
        <v>554</v>
      </c>
      <c r="I295" s="83" t="s">
        <v>477</v>
      </c>
      <c r="J295" s="83" t="s">
        <v>904</v>
      </c>
      <c r="L295" s="1027" t="s">
        <v>536</v>
      </c>
      <c r="M295" s="84" t="s">
        <v>903</v>
      </c>
      <c r="N295" s="84" t="s">
        <v>902</v>
      </c>
      <c r="O295" s="85" t="s">
        <v>537</v>
      </c>
      <c r="P295" s="95"/>
      <c r="T295" s="75"/>
    </row>
    <row r="296" spans="1:20" x14ac:dyDescent="0.25">
      <c r="A296" s="86" t="s">
        <v>324</v>
      </c>
      <c r="B296" s="3"/>
      <c r="C296" s="87" t="str">
        <f>IF($B296="x",Storage!T$25, "NA")</f>
        <v>NA</v>
      </c>
      <c r="D296" s="88" t="str">
        <f>IF($B296="x",Storage!T$26, "NA")</f>
        <v>NA</v>
      </c>
      <c r="E296" s="88" t="str">
        <f>IF($B296="x",Storage!T$28, "NA")</f>
        <v>NA</v>
      </c>
      <c r="F296" s="137" t="str">
        <f>IF($B296="x",Storage!T$24, "NA")</f>
        <v>NA</v>
      </c>
      <c r="G296" s="90" t="s">
        <v>307</v>
      </c>
      <c r="H296" s="90" t="s">
        <v>307</v>
      </c>
      <c r="I296" s="90" t="s">
        <v>307</v>
      </c>
      <c r="J296" s="91" t="s">
        <v>307</v>
      </c>
      <c r="L296" s="92" t="str">
        <f>IF($B296="x",Storage!T$18*days_yr, "NA")</f>
        <v>NA</v>
      </c>
      <c r="M296" s="93" t="str">
        <f>IF($B296="x",Storage!T$21*days_yr, "NA")</f>
        <v>NA</v>
      </c>
      <c r="N296" s="93" t="s">
        <v>102</v>
      </c>
      <c r="O296" s="94" t="str">
        <f>IF($B296="x",Storage!T$29, "NA")</f>
        <v>NA</v>
      </c>
      <c r="P296" s="104"/>
      <c r="Q296" s="96"/>
      <c r="T296" s="75"/>
    </row>
    <row r="297" spans="1:20" x14ac:dyDescent="0.25">
      <c r="A297" s="46" t="s">
        <v>159</v>
      </c>
      <c r="B297" s="3"/>
      <c r="C297" s="97" t="str">
        <f>IF($B297="x",'Conditioning Thickening'!T$19, "NA")</f>
        <v>NA</v>
      </c>
      <c r="D297" s="98" t="str">
        <f>IF($B297="x",'Conditioning Thickening'!T$20, "NA")</f>
        <v>NA</v>
      </c>
      <c r="E297" s="98" t="str">
        <f>IF($B297="x",'Conditioning Thickening'!T$22, "NA")</f>
        <v>NA</v>
      </c>
      <c r="F297" s="99" t="str">
        <f>IF($B297="x",'Conditioning Thickening'!T$18, "NA")</f>
        <v>NA</v>
      </c>
      <c r="G297" s="100" t="s">
        <v>307</v>
      </c>
      <c r="H297" s="100" t="s">
        <v>307</v>
      </c>
      <c r="I297" s="100" t="s">
        <v>307</v>
      </c>
      <c r="J297" s="91" t="s">
        <v>307</v>
      </c>
      <c r="L297" s="101" t="str">
        <f>IF($B297="x",SUM('Conditioning Thickening'!T$11,'Conditioning Thickening'!T$15)*days_yr, "NA")</f>
        <v>NA</v>
      </c>
      <c r="M297" s="102" t="s">
        <v>102</v>
      </c>
      <c r="N297" s="102" t="s">
        <v>102</v>
      </c>
      <c r="O297" s="103" t="str">
        <f>IF($B297="x",'Conditioning Thickening'!T$23, "NA")</f>
        <v>NA</v>
      </c>
      <c r="P297" s="104"/>
      <c r="Q297" s="96"/>
      <c r="T297" s="75"/>
    </row>
    <row r="298" spans="1:20" x14ac:dyDescent="0.25">
      <c r="A298" s="46" t="s">
        <v>195</v>
      </c>
      <c r="B298" s="3"/>
      <c r="C298" s="97" t="str">
        <f>IF($B298="x",'Aerobic Digestion'!T$26, "NA")</f>
        <v>NA</v>
      </c>
      <c r="D298" s="98" t="str">
        <f>IF($B298="x",'Aerobic Digestion'!T$27, "NA")</f>
        <v>NA</v>
      </c>
      <c r="E298" s="98" t="str">
        <f>IF($B298="x",'Aerobic Digestion'!T$29, "NA")</f>
        <v>NA</v>
      </c>
      <c r="F298" s="138" t="str">
        <f>IF($B298="x",'Aerobic Digestion'!T$25, "NA")</f>
        <v>NA</v>
      </c>
      <c r="G298" s="100" t="s">
        <v>307</v>
      </c>
      <c r="H298" s="100" t="s">
        <v>307</v>
      </c>
      <c r="I298" s="100" t="s">
        <v>307</v>
      </c>
      <c r="J298" s="91" t="s">
        <v>307</v>
      </c>
      <c r="L298" s="101" t="str">
        <f>IF($B298="x",SUM('Aerobic Digestion'!T$21:T$22)*days_yr, "NA")</f>
        <v>NA</v>
      </c>
      <c r="M298" s="102" t="s">
        <v>102</v>
      </c>
      <c r="N298" s="102" t="s">
        <v>102</v>
      </c>
      <c r="O298" s="103" t="str">
        <f>IF($B298="x",'Aerobic Digestion'!T$30, "NA")</f>
        <v>NA</v>
      </c>
      <c r="P298" s="104"/>
      <c r="Q298" s="96"/>
      <c r="T298" s="75"/>
    </row>
    <row r="299" spans="1:20" x14ac:dyDescent="0.25">
      <c r="A299" s="46" t="s">
        <v>197</v>
      </c>
      <c r="B299" s="3"/>
      <c r="C299" s="97" t="str">
        <f>IF($B299="x", 'Anaerobic Digestion'!T$49, "NA")</f>
        <v>NA</v>
      </c>
      <c r="D299" s="98" t="str">
        <f>IF($B299="x", 'Anaerobic Digestion'!T$50, "NA")</f>
        <v>NA</v>
      </c>
      <c r="E299" s="106" t="str">
        <f>IF($B299="x", 'Anaerobic Digestion'!T$52, "NA")</f>
        <v>NA</v>
      </c>
      <c r="F299" s="138" t="str">
        <f>IF($B299="x", 'Anaerobic Digestion'!T$48, "NA")</f>
        <v>NA</v>
      </c>
      <c r="G299" s="100" t="s">
        <v>307</v>
      </c>
      <c r="H299" s="100" t="s">
        <v>307</v>
      </c>
      <c r="I299" s="100" t="s">
        <v>307</v>
      </c>
      <c r="J299" s="91" t="s">
        <v>307</v>
      </c>
      <c r="L299" s="101" t="str">
        <f>IF($B299="x", SUM('Anaerobic Digestion'!T$42:T$43)*days_yr, "NA")</f>
        <v>NA</v>
      </c>
      <c r="M299" s="102" t="str">
        <f>IF($B299="x", 'Anaerobic Digestion'!T$44*days_yr, "NA")</f>
        <v>NA</v>
      </c>
      <c r="N299" s="102" t="s">
        <v>102</v>
      </c>
      <c r="O299" s="103" t="str">
        <f>IF($B299="x", 'Anaerobic Digestion'!T$53, "NA")</f>
        <v>NA</v>
      </c>
      <c r="P299" s="104"/>
      <c r="Q299" s="105"/>
      <c r="T299" s="75"/>
    </row>
    <row r="300" spans="1:20" x14ac:dyDescent="0.25">
      <c r="A300" s="558" t="s">
        <v>516</v>
      </c>
      <c r="B300" s="3"/>
      <c r="C300" s="97" t="str">
        <f>IF($B300="x", 'Anaerobic Digestion (2)'!T$49, "NA")</f>
        <v>NA</v>
      </c>
      <c r="D300" s="98" t="str">
        <f>IF($B300="x", 'Anaerobic Digestion (2)'!T$50, "NA")</f>
        <v>NA</v>
      </c>
      <c r="E300" s="106" t="str">
        <f>IF($B300="x", 'Anaerobic Digestion (2)'!T$52, "NA")</f>
        <v>NA</v>
      </c>
      <c r="F300" s="138" t="str">
        <f>IF($B300="x", 'Anaerobic Digestion (2)'!T$48, "NA")</f>
        <v>NA</v>
      </c>
      <c r="G300" s="100" t="s">
        <v>307</v>
      </c>
      <c r="H300" s="100" t="s">
        <v>307</v>
      </c>
      <c r="I300" s="100" t="s">
        <v>307</v>
      </c>
      <c r="J300" s="91" t="s">
        <v>307</v>
      </c>
      <c r="L300" s="101" t="str">
        <f>IF($B300="x", SUM('Anaerobic Digestion (2)'!T$42:T$43)*days_yr, "NA")</f>
        <v>NA</v>
      </c>
      <c r="M300" s="102" t="str">
        <f>IF($B300="x", 'Anaerobic Digestion (2)'!T$44*days_yr, "NA")</f>
        <v>NA</v>
      </c>
      <c r="N300" s="102" t="s">
        <v>102</v>
      </c>
      <c r="O300" s="103" t="str">
        <f>IF($B300="x", 'Anaerobic Digestion (2)'!T$53, "NA")</f>
        <v>NA</v>
      </c>
      <c r="Q300" s="105"/>
      <c r="T300" s="75"/>
    </row>
    <row r="301" spans="1:20" x14ac:dyDescent="0.25">
      <c r="A301" s="46" t="s">
        <v>223</v>
      </c>
      <c r="B301" s="3"/>
      <c r="C301" s="97" t="str">
        <f>IF($B301="x", 'De-watering'!T$20, "NA")</f>
        <v>NA</v>
      </c>
      <c r="D301" s="98" t="str">
        <f>IF($B301="x", 'De-watering'!T$21, "NA")</f>
        <v>NA</v>
      </c>
      <c r="E301" s="98" t="str">
        <f>IF($B301="x", 'De-watering'!T$23, "NA")</f>
        <v>NA</v>
      </c>
      <c r="F301" s="138" t="str">
        <f>IF($B301="x", 'De-watering'!T$19, "NA")</f>
        <v>NA</v>
      </c>
      <c r="G301" s="100" t="s">
        <v>307</v>
      </c>
      <c r="H301" s="100" t="s">
        <v>307</v>
      </c>
      <c r="I301" s="100" t="s">
        <v>307</v>
      </c>
      <c r="J301" s="91" t="s">
        <v>307</v>
      </c>
      <c r="L301" s="101" t="str">
        <f>IF($B301="x", SUM('De-watering'!T$12,'De-watering'!T$16)*days_yr, "NA")</f>
        <v>NA</v>
      </c>
      <c r="M301" s="102" t="s">
        <v>102</v>
      </c>
      <c r="N301" s="102" t="s">
        <v>102</v>
      </c>
      <c r="O301" s="103" t="str">
        <f>IF($B301="x", 'De-watering'!T$24, "NA")</f>
        <v>NA</v>
      </c>
      <c r="T301" s="75"/>
    </row>
    <row r="302" spans="1:20" x14ac:dyDescent="0.25">
      <c r="A302" s="46" t="s">
        <v>133</v>
      </c>
      <c r="B302" s="3"/>
      <c r="C302" s="97" t="str">
        <f>IF($B302="x", 'Thermal Drying'!T$24, "NA")</f>
        <v>NA</v>
      </c>
      <c r="D302" s="98" t="str">
        <f>IF($B302="x", 'Thermal Drying'!T$25, "NA")</f>
        <v>NA</v>
      </c>
      <c r="E302" s="98" t="str">
        <f>IF($B302="x", 'Thermal Drying'!T$27, "NA")</f>
        <v>NA</v>
      </c>
      <c r="F302" s="138" t="str">
        <f>IF($B302="x", 'Thermal Drying'!T$23, "NA")</f>
        <v>NA</v>
      </c>
      <c r="G302" s="100" t="str">
        <f t="shared" ref="G302:G314" si="18">IF($B302="x",H302*Mg_ton,"NA")</f>
        <v>NA</v>
      </c>
      <c r="H302" s="100" t="str">
        <f>IF($B302="x",'Thermal Drying'!T$6,"NA")</f>
        <v>NA</v>
      </c>
      <c r="I302" s="108" t="str">
        <f>IF($B302="x", 'Thermal Drying'!T$9, "NA")</f>
        <v>NA</v>
      </c>
      <c r="J302" s="91" t="str">
        <f t="shared" ref="J302:J316" si="19">IF($B302="x", F302/(I302*days_yr),"NA")</f>
        <v>NA</v>
      </c>
      <c r="L302" s="101" t="str">
        <f>IF($B302="x",'Thermal Drying'!T$23, "NA")</f>
        <v>NA</v>
      </c>
      <c r="M302" s="102" t="s">
        <v>102</v>
      </c>
      <c r="N302" s="102" t="s">
        <v>102</v>
      </c>
      <c r="O302" s="103" t="str">
        <f>IF($B302="x", 'Thermal Drying'!T$28, "NA")</f>
        <v>NA</v>
      </c>
      <c r="T302" s="75"/>
    </row>
    <row r="303" spans="1:20" x14ac:dyDescent="0.25">
      <c r="A303" s="558" t="s">
        <v>645</v>
      </c>
      <c r="B303" s="3"/>
      <c r="C303" s="97" t="str">
        <f>IF($B303="x",BioDrying!T$23, "NA")</f>
        <v>NA</v>
      </c>
      <c r="D303" s="98" t="str">
        <f>IF($B303="x",BioDrying!T$24, "NA")</f>
        <v>NA</v>
      </c>
      <c r="E303" s="98" t="str">
        <f>IF($B303="x",BioDrying!T$26, "NA")</f>
        <v>NA</v>
      </c>
      <c r="F303" s="138" t="str">
        <f>IF($B303="x",BioDrying!T$22, "NA")</f>
        <v>NA</v>
      </c>
      <c r="G303" s="583" t="str">
        <f>IF($B303="x",H303*Mg_ton,"NA")</f>
        <v>NA</v>
      </c>
      <c r="H303" s="100" t="str">
        <f>IF($B303="x",BioDrying!T$6,"NA")</f>
        <v>NA</v>
      </c>
      <c r="I303" s="108" t="str">
        <f>IF($B303="x",BioDrying!T$9,"NA")</f>
        <v>NA</v>
      </c>
      <c r="J303" s="91" t="str">
        <f>IF($B303="x", F303/(I303*days_yr),"NA")</f>
        <v>NA</v>
      </c>
      <c r="L303" s="101" t="str">
        <f>IF($B303="x",BioDrying!B$22, "NA")</f>
        <v>NA</v>
      </c>
      <c r="M303" s="102" t="s">
        <v>102</v>
      </c>
      <c r="N303" s="102" t="s">
        <v>102</v>
      </c>
      <c r="O303" s="103" t="str">
        <f>IF($B303="x",BioDrying!T$27, "NA")</f>
        <v>NA</v>
      </c>
      <c r="T303" s="75"/>
    </row>
    <row r="304" spans="1:20" x14ac:dyDescent="0.25">
      <c r="A304" s="46" t="s">
        <v>269</v>
      </c>
      <c r="B304" s="3"/>
      <c r="C304" s="97" t="str">
        <f>IF($B304="x",'Alkaline Stabilization'!T$24, "NA")</f>
        <v>NA</v>
      </c>
      <c r="D304" s="98" t="str">
        <f>IF($B304="x",'Alkaline Stabilization'!T$25, "NA")</f>
        <v>NA</v>
      </c>
      <c r="E304" s="98" t="str">
        <f>IF($B304="x",'Alkaline Stabilization'!T$27, "NA")</f>
        <v>NA</v>
      </c>
      <c r="F304" s="138" t="str">
        <f>IF($B304="x",'Alkaline Stabilization'!T$23, "NA")</f>
        <v>NA</v>
      </c>
      <c r="G304" s="100" t="str">
        <f t="shared" si="18"/>
        <v>NA</v>
      </c>
      <c r="H304" s="100" t="str">
        <f>IF($B304="x",'Alkaline Stabilization'!T$6,"NA")</f>
        <v>NA</v>
      </c>
      <c r="I304" s="108" t="str">
        <f>IF($B304="x",'Alkaline Stabilization'!T$8, "NA")</f>
        <v>NA</v>
      </c>
      <c r="J304" s="91" t="str">
        <f t="shared" si="19"/>
        <v>NA</v>
      </c>
      <c r="L304" s="101" t="str">
        <f>IF($B304="x",SUM('Alkaline Stabilization'!T$12,'Alkaline Stabilization'!T$16,'Alkaline Stabilization'!T$20)*days_yr, "NA")</f>
        <v>NA</v>
      </c>
      <c r="M304" s="102" t="s">
        <v>102</v>
      </c>
      <c r="N304" s="102" t="s">
        <v>102</v>
      </c>
      <c r="O304" s="103" t="str">
        <f>IF($B304="x",'Alkaline Stabilization'!T$28, "NA")</f>
        <v>NA</v>
      </c>
      <c r="T304" s="75"/>
    </row>
    <row r="305" spans="1:20" x14ac:dyDescent="0.25">
      <c r="A305" s="46" t="s">
        <v>250</v>
      </c>
      <c r="B305" s="3"/>
      <c r="C305" s="97" t="str">
        <f>IF($B305="x", Composting!T$58, "NA")</f>
        <v>NA</v>
      </c>
      <c r="D305" s="98" t="str">
        <f>IF($B305="x", Composting!T$59, "NA")</f>
        <v>NA</v>
      </c>
      <c r="E305" s="98" t="str">
        <f>IF($B305="x", Composting!T$61, "NA")</f>
        <v>NA</v>
      </c>
      <c r="F305" s="138" t="str">
        <f>IF($B305="x", Composting!T$57, "NA")</f>
        <v>NA</v>
      </c>
      <c r="G305" s="100" t="str">
        <f t="shared" si="18"/>
        <v>NA</v>
      </c>
      <c r="H305" s="100" t="str">
        <f>IF($B305="x",Composting!T$7,"NA")</f>
        <v>NA</v>
      </c>
      <c r="I305" s="108" t="str">
        <f>IF($B305="x", Composting!T$9, "NA")</f>
        <v>NA</v>
      </c>
      <c r="J305" s="91" t="str">
        <f t="shared" si="19"/>
        <v>NA</v>
      </c>
      <c r="L305" s="101" t="str">
        <f>IF($B305="x", SUM(Composting!T$34,Composting!T$38,Composting!T$50,Composting!T$53:T$54)*days_yr, "NA")</f>
        <v>NA</v>
      </c>
      <c r="M305" s="102" t="str">
        <f>IF($B305="x", Composting!T$42*days_yr, "NA")</f>
        <v>NA</v>
      </c>
      <c r="N305" s="102" t="str">
        <f>IF($B305="x", Composting!T$46*days_yr, "NA")</f>
        <v>NA</v>
      </c>
      <c r="O305" s="103" t="str">
        <f>IF($B305="x", Composting!T$62, "NA")</f>
        <v>NA</v>
      </c>
      <c r="T305" s="75"/>
    </row>
    <row r="306" spans="1:20" x14ac:dyDescent="0.25">
      <c r="A306" s="558" t="s">
        <v>517</v>
      </c>
      <c r="B306" s="3"/>
      <c r="C306" s="97" t="str">
        <f>IF($B306="x", 'Composting (2)'!T$58, "NA")</f>
        <v>NA</v>
      </c>
      <c r="D306" s="98" t="str">
        <f>IF($B306="x", 'Composting (2)'!T$59, "NA")</f>
        <v>NA</v>
      </c>
      <c r="E306" s="98" t="str">
        <f>IF($B306="x", 'Composting (2)'!T$61, "NA")</f>
        <v>NA</v>
      </c>
      <c r="F306" s="138" t="str">
        <f>IF($B306="x", 'Composting (2)'!T$57, "NA")</f>
        <v>NA</v>
      </c>
      <c r="G306" s="100" t="str">
        <f t="shared" si="18"/>
        <v>NA</v>
      </c>
      <c r="H306" s="100" t="str">
        <f>IF($B306="x",'Composting (2)'!T$7,"NA")</f>
        <v>NA</v>
      </c>
      <c r="I306" s="108" t="str">
        <f>IF($B306="x", 'Composting (2)'!T$9, "NA")</f>
        <v>NA</v>
      </c>
      <c r="J306" s="91" t="str">
        <f t="shared" si="19"/>
        <v>NA</v>
      </c>
      <c r="L306" s="101" t="str">
        <f>IF($B306="x", SUM('Composting (2)'!T$34,'Composting (2)'!T$38,'Composting (2)'!T$49,'Composting (2)'!T$53:T$54)*days_yr, "NA")</f>
        <v>NA</v>
      </c>
      <c r="M306" s="102" t="str">
        <f>IF($B306="x", 'Composting (2)'!T$42*days_yr, "NA")</f>
        <v>NA</v>
      </c>
      <c r="N306" s="102" t="str">
        <f>IF($B306="x", 'Composting (2)'!T$46*days_yr, "NA")</f>
        <v>NA</v>
      </c>
      <c r="O306" s="103" t="str">
        <f>IF($B306="x", 'Composting (2)'!T$62, "NA")</f>
        <v>NA</v>
      </c>
      <c r="T306" s="75"/>
    </row>
    <row r="307" spans="1:20" x14ac:dyDescent="0.25">
      <c r="A307" s="558" t="s">
        <v>532</v>
      </c>
      <c r="B307" s="3"/>
      <c r="C307" s="97" t="str">
        <f>IF($B307="x", 'Landfill Disposal Typical'!T$53, "NA")</f>
        <v>NA</v>
      </c>
      <c r="D307" s="98" t="str">
        <f>IF($B307="x", 'Landfill Disposal Typical'!T$54, "NA")</f>
        <v>NA</v>
      </c>
      <c r="E307" s="98" t="str">
        <f>IF($B307="x", 'Landfill Disposal Typical'!T$56, "NA")</f>
        <v>NA</v>
      </c>
      <c r="F307" s="138" t="str">
        <f>IF($B307="x", 'Landfill Disposal Typical'!T$52, "NA")</f>
        <v>NA</v>
      </c>
      <c r="G307" s="100" t="str">
        <f t="shared" si="18"/>
        <v>NA</v>
      </c>
      <c r="H307" s="100" t="str">
        <f>IF($B307="x",'Landfill Disposal Typical'!T$13,"NA")</f>
        <v>NA</v>
      </c>
      <c r="I307" s="108" t="str">
        <f>IF($B307="x", 'Landfill Disposal Typical'!T$15, "NA")</f>
        <v>NA</v>
      </c>
      <c r="J307" s="91" t="str">
        <f t="shared" si="19"/>
        <v>NA</v>
      </c>
      <c r="L307" s="101" t="str">
        <f>IF($B307="x",('Landfill Disposal Typical'!T$44+'Landfill Disposal Typical'!T$48)*days_yr,"NA")</f>
        <v>NA</v>
      </c>
      <c r="M307" s="102" t="str">
        <f>IF($B307="x",'Landfill Disposal Typical'!T$37*days_yr,"NA")</f>
        <v>NA</v>
      </c>
      <c r="N307" s="102" t="str">
        <f>IF($B307="x",'Landfill Disposal Typical'!T$41*days_yr,"NA")</f>
        <v>NA</v>
      </c>
      <c r="O307" s="103" t="str">
        <f>IF($B307="x",'Landfill Disposal Typical'!T$57,"NA")</f>
        <v>NA</v>
      </c>
      <c r="T307" s="75"/>
    </row>
    <row r="308" spans="1:20" x14ac:dyDescent="0.25">
      <c r="A308" s="558" t="s">
        <v>533</v>
      </c>
      <c r="B308" s="3"/>
      <c r="C308" s="109" t="str">
        <f>IF($B308="x", 'Landfill Disposal Worst-case'!T$53, "NA")</f>
        <v>NA</v>
      </c>
      <c r="D308" s="110" t="str">
        <f>IF($B308="x", 'Landfill Disposal Worst-case'!T$54, "NA")</f>
        <v>NA</v>
      </c>
      <c r="E308" s="110" t="str">
        <f>IF($B308="x", 'Landfill Disposal Worst-case'!T$56, "NA")</f>
        <v>NA</v>
      </c>
      <c r="F308" s="139" t="str">
        <f>IF($B308="x", 'Landfill Disposal Worst-case'!T$52, "NA")</f>
        <v>NA</v>
      </c>
      <c r="G308" s="100" t="str">
        <f t="shared" si="18"/>
        <v>NA</v>
      </c>
      <c r="H308" s="100" t="str">
        <f>IF($B308="x",'Landfill Disposal Worst-case'!T$13,"NA")</f>
        <v>NA</v>
      </c>
      <c r="I308" s="108" t="str">
        <f>IF($B308="x", 'Landfill Disposal Worst-case'!T$15, "NA")</f>
        <v>NA</v>
      </c>
      <c r="J308" s="91" t="str">
        <f t="shared" si="19"/>
        <v>NA</v>
      </c>
      <c r="L308" s="101" t="str">
        <f>IF($B308="x",('Landfill Disposal Worst-case'!T$44+'Landfill Disposal Worst-case'!T$48)*days_yr,"NA")</f>
        <v>NA</v>
      </c>
      <c r="M308" s="102" t="str">
        <f>IF($B308="x",'Landfill Disposal Worst-case'!T$37*days_yr,"NA")</f>
        <v>NA</v>
      </c>
      <c r="N308" s="102" t="str">
        <f>IF($B308="x",'Landfill Disposal Worst-case'!T$41*days_yr,"NA")</f>
        <v>NA</v>
      </c>
      <c r="O308" s="103" t="str">
        <f>IF($B308="x",'Landfill Disposal Worst-case'!T$57,"NA")</f>
        <v>NA</v>
      </c>
      <c r="T308" s="75"/>
    </row>
    <row r="309" spans="1:20" x14ac:dyDescent="0.25">
      <c r="A309" s="558" t="s">
        <v>534</v>
      </c>
      <c r="B309" s="3"/>
      <c r="C309" s="109" t="str">
        <f>IF($B309="x", 'Landfill Disposal Aggressive'!T$53, "NA")</f>
        <v>NA</v>
      </c>
      <c r="D309" s="110" t="str">
        <f>IF($B309="x", 'Landfill Disposal Aggressive'!T$54, "NA")</f>
        <v>NA</v>
      </c>
      <c r="E309" s="110" t="str">
        <f>IF($B309="x", 'Landfill Disposal Aggressive'!T$56, "NA")</f>
        <v>NA</v>
      </c>
      <c r="F309" s="139" t="str">
        <f>IF($B309="x", 'Landfill Disposal Aggressive'!T$52, "NA")</f>
        <v>NA</v>
      </c>
      <c r="G309" s="100" t="str">
        <f t="shared" si="18"/>
        <v>NA</v>
      </c>
      <c r="H309" s="100" t="str">
        <f>IF($B309="x",'Landfill Disposal Aggressive'!T$13,"NA")</f>
        <v>NA</v>
      </c>
      <c r="I309" s="108" t="str">
        <f>IF($B309="x", 'Landfill Disposal Aggressive'!T$15, "NA")</f>
        <v>NA</v>
      </c>
      <c r="J309" s="91" t="str">
        <f t="shared" si="19"/>
        <v>NA</v>
      </c>
      <c r="L309" s="101" t="str">
        <f>IF($B309="x",('Landfill Disposal Aggressive'!T$44+'Landfill Disposal Aggressive'!T$48)*days_yr,"NA")</f>
        <v>NA</v>
      </c>
      <c r="M309" s="102" t="str">
        <f>IF($B309="x",'Landfill Disposal Aggressive'!T$37*days_yr,"NA")</f>
        <v>NA</v>
      </c>
      <c r="N309" s="102" t="str">
        <f>IF($B309="x",'Landfill Disposal Aggressive'!T$41*days_yr,"NA")</f>
        <v>NA</v>
      </c>
      <c r="O309" s="103" t="str">
        <f>IF($B309="x",'Landfill Disposal Aggressive'!T$57,"NA")</f>
        <v>NA</v>
      </c>
      <c r="T309" s="75"/>
    </row>
    <row r="310" spans="1:20" x14ac:dyDescent="0.25">
      <c r="A310" s="558" t="s">
        <v>535</v>
      </c>
      <c r="B310" s="3"/>
      <c r="C310" s="109" t="str">
        <f>IF($B310="x", 'Landfill Disposal CA Regulatory'!T$53, "NA")</f>
        <v>NA</v>
      </c>
      <c r="D310" s="110" t="str">
        <f>IF($B310="x", 'Landfill Disposal CA Regulatory'!T$54, "NA")</f>
        <v>NA</v>
      </c>
      <c r="E310" s="110" t="str">
        <f>IF($B310="x", 'Landfill Disposal CA Regulatory'!T$56, "NA")</f>
        <v>NA</v>
      </c>
      <c r="F310" s="139" t="str">
        <f>IF($B310="x", 'Landfill Disposal CA Regulatory'!T$52, "NA")</f>
        <v>NA</v>
      </c>
      <c r="G310" s="100" t="str">
        <f t="shared" si="18"/>
        <v>NA</v>
      </c>
      <c r="H310" s="100" t="str">
        <f>IF($B310="x",'Landfill Disposal CA Regulatory'!T$13,"NA")</f>
        <v>NA</v>
      </c>
      <c r="I310" s="108" t="str">
        <f>IF($B310="x", 'Landfill Disposal CA Regulatory'!T$15, "NA")</f>
        <v>NA</v>
      </c>
      <c r="J310" s="91" t="str">
        <f t="shared" si="19"/>
        <v>NA</v>
      </c>
      <c r="L310" s="101" t="str">
        <f>IF($B310="x",('Landfill Disposal CA Regulatory'!T$44+'Landfill Disposal CA Regulatory'!T$48)*days_yr,"NA")</f>
        <v>NA</v>
      </c>
      <c r="M310" s="102" t="str">
        <f>IF($B310="x",'Landfill Disposal CA Regulatory'!T$37*days_yr,"NA")</f>
        <v>NA</v>
      </c>
      <c r="N310" s="102" t="str">
        <f>IF($B310="x",'Landfill Disposal CA Regulatory'!T$41*days_yr,"NA")</f>
        <v>NA</v>
      </c>
      <c r="O310" s="103" t="str">
        <f>IF($B310="x",'Landfill Disposal CA Regulatory'!T$57,"NA")</f>
        <v>NA</v>
      </c>
      <c r="T310" s="75"/>
    </row>
    <row r="311" spans="1:20" x14ac:dyDescent="0.25">
      <c r="A311" s="46" t="s">
        <v>222</v>
      </c>
      <c r="B311" s="3"/>
      <c r="C311" s="97" t="str">
        <f>IF($B311="x", Combustion!T$58, "NA")</f>
        <v>NA</v>
      </c>
      <c r="D311" s="98" t="str">
        <f>IF($B311="x", Combustion!T$59, "NA")</f>
        <v>NA</v>
      </c>
      <c r="E311" s="98" t="str">
        <f>IF($B311="x", Combustion!T$61, "NA")</f>
        <v>NA</v>
      </c>
      <c r="F311" s="138" t="str">
        <f>IF($B311="x", Combustion!T$57, "NA")</f>
        <v>NA</v>
      </c>
      <c r="G311" s="100" t="str">
        <f t="shared" si="18"/>
        <v>NA</v>
      </c>
      <c r="H311" s="100" t="str">
        <f>IF($B311="x",Combustion!T$7,"NA")</f>
        <v>NA</v>
      </c>
      <c r="I311" s="108" t="str">
        <f>IF($B311="x", Combustion!T$9, "NA")</f>
        <v>NA</v>
      </c>
      <c r="J311" s="91" t="str">
        <f t="shared" si="19"/>
        <v>NA</v>
      </c>
      <c r="L311" s="101" t="str">
        <f>IF($B311="x", SUM(Combustion!T$30,Combustion!T$36,Combustion!T$48,Combustion!T$51)*days_yr, "NA")</f>
        <v>NA</v>
      </c>
      <c r="M311" s="102" t="str">
        <f>IF($B311="x", Combustion!T$39*days_yr, "NA")</f>
        <v>NA</v>
      </c>
      <c r="N311" s="102" t="str">
        <f>IF($B311="x", Combustion!T$45*days_yr, "NA")</f>
        <v>NA</v>
      </c>
      <c r="O311" s="103" t="str">
        <f>IF($B311="x", Combustion!T$62, "NA")</f>
        <v>NA</v>
      </c>
      <c r="T311" s="75"/>
    </row>
    <row r="312" spans="1:20" x14ac:dyDescent="0.25">
      <c r="A312" s="558" t="s">
        <v>545</v>
      </c>
      <c r="B312" s="3"/>
      <c r="C312" s="97" t="str">
        <f>IF($B312="x",Pyrolysis!T$40, "NA")</f>
        <v>NA</v>
      </c>
      <c r="D312" s="98" t="str">
        <f>IF($B312="x",Pyrolysis!T$41, "NA")</f>
        <v>NA</v>
      </c>
      <c r="E312" s="98" t="str">
        <f>IF($B312="x",Pyrolysis!T$43, "NA")</f>
        <v>NA</v>
      </c>
      <c r="F312" s="138" t="str">
        <f>IF($B312="x",Pyrolysis!T$39, "NA")</f>
        <v>NA</v>
      </c>
      <c r="G312" s="583" t="str">
        <f>IF($B312="x",H312*Mg_ton,"NA")</f>
        <v>NA</v>
      </c>
      <c r="H312" s="100" t="str">
        <f>IF($B312="x",Pyrolysis!T$7,"NA")</f>
        <v>NA</v>
      </c>
      <c r="I312" s="108" t="str">
        <f>IF($B312="x",Pyrolysis!T$9,"NA")</f>
        <v>NA</v>
      </c>
      <c r="J312" s="91" t="str">
        <f>IF($B312="x", F312/(I312*days_yr),"NA")</f>
        <v>NA</v>
      </c>
      <c r="L312" s="101" t="str">
        <f>IF($B312="x",SUM(Pyrolysis!T$21,Pyrolysis!T$27)*days_yr, "NA")</f>
        <v>NA</v>
      </c>
      <c r="M312" s="102" t="str">
        <f>IF($B312="x", Pyrolysis!T$30*days_yr, "NA")</f>
        <v>NA</v>
      </c>
      <c r="N312" s="102" t="str">
        <f>IF($B312="x", Pyrolysis!T$33*days_yr, "NA")</f>
        <v>NA</v>
      </c>
      <c r="O312" s="103" t="str">
        <f>IF($B312="x", Pyrolysis!T$44, "NA")</f>
        <v>NA</v>
      </c>
      <c r="T312" s="75"/>
    </row>
    <row r="313" spans="1:20" x14ac:dyDescent="0.25">
      <c r="A313" s="46" t="s">
        <v>182</v>
      </c>
      <c r="B313" s="3"/>
      <c r="C313" s="97" t="str">
        <f>IF($B313="x", 'Land Application'!T$53, "NA")</f>
        <v>NA</v>
      </c>
      <c r="D313" s="98" t="str">
        <f>IF($B313="x", 'Land Application'!T$54, "NA")</f>
        <v>NA</v>
      </c>
      <c r="E313" s="98" t="str">
        <f>IF($B313="x", 'Land Application'!T$56, "NA")</f>
        <v>NA</v>
      </c>
      <c r="F313" s="138" t="str">
        <f>IF($B313="x", 'Land Application'!T$52, "NA")</f>
        <v>NA</v>
      </c>
      <c r="G313" s="100" t="str">
        <f t="shared" si="18"/>
        <v>NA</v>
      </c>
      <c r="H313" s="100" t="str">
        <f>IF($B313="x",'Land Application'!T$7,"NA")</f>
        <v>NA</v>
      </c>
      <c r="I313" s="108" t="str">
        <f>IF($B313="x", 'Land Application'!T$9, "NA")</f>
        <v>NA</v>
      </c>
      <c r="J313" s="91" t="str">
        <f t="shared" si="19"/>
        <v>NA</v>
      </c>
      <c r="L313" s="101" t="str">
        <f>IF($B313="x", SUM('Land Application'!T$28,'Land Application'!T$42,'Land Application'!T$45,'Land Application'!T$46,'Land Application'!T$49)*days_yr, "NA")</f>
        <v>NA</v>
      </c>
      <c r="M313" s="102" t="str">
        <f>IF($B313="x", 'Land Application'!T$32*days_yr, "NA")</f>
        <v>NA</v>
      </c>
      <c r="N313" s="102" t="str">
        <f>IF($B313="x", 'Land Application'!T$38*days_yr, "NA")</f>
        <v>NA</v>
      </c>
      <c r="O313" s="103" t="str">
        <f>IF($B313="x", 'Land Application'!T$57, "NA")</f>
        <v>NA</v>
      </c>
      <c r="T313" s="75"/>
    </row>
    <row r="314" spans="1:20" x14ac:dyDescent="0.25">
      <c r="A314" s="558" t="s">
        <v>518</v>
      </c>
      <c r="B314" s="3"/>
      <c r="C314" s="97" t="str">
        <f>IF($B314="x", 'Land Application (2)'!T$53, "NA")</f>
        <v>NA</v>
      </c>
      <c r="D314" s="98" t="str">
        <f>IF($B314="x", 'Land Application (2)'!T$54, "NA")</f>
        <v>NA</v>
      </c>
      <c r="E314" s="98" t="str">
        <f>IF($B314="x", 'Land Application (2)'!T$56, "NA")</f>
        <v>NA</v>
      </c>
      <c r="F314" s="138" t="str">
        <f>IF($B314="x", 'Land Application (2)'!T$52, "NA")</f>
        <v>NA</v>
      </c>
      <c r="G314" s="100" t="str">
        <f t="shared" si="18"/>
        <v>NA</v>
      </c>
      <c r="H314" s="100" t="str">
        <f>IF($B314="x",'Land Application (2)'!T$7,"NA")</f>
        <v>NA</v>
      </c>
      <c r="I314" s="108" t="str">
        <f>IF($B314="x", 'Land Application (2)'!T$9, "NA")</f>
        <v>NA</v>
      </c>
      <c r="J314" s="91" t="str">
        <f t="shared" si="19"/>
        <v>NA</v>
      </c>
      <c r="L314" s="101" t="str">
        <f>IF($B314="x", SUM('Land Application (2)'!T$28,'Land Application (2)'!T$42,'Land Application (2)'!T$45,'Land Application (2)'!T$46,'Land Application (2)'!T$49)*days_yr, "NA")</f>
        <v>NA</v>
      </c>
      <c r="M314" s="102" t="str">
        <f>IF($B314="x", 'Land Application (2)'!T$32*days_yr, "NA")</f>
        <v>NA</v>
      </c>
      <c r="N314" s="102" t="str">
        <f>IF($B314="x", 'Land Application (2)'!T$38*days_yr, "NA")</f>
        <v>NA</v>
      </c>
      <c r="O314" s="103" t="str">
        <f>IF($B314="x", 'Land Application (2)'!T$57, "NA")</f>
        <v>NA</v>
      </c>
      <c r="T314" s="75"/>
    </row>
    <row r="315" spans="1:20" x14ac:dyDescent="0.25">
      <c r="A315" s="970" t="s">
        <v>762</v>
      </c>
      <c r="B315" s="971"/>
      <c r="C315" s="975" t="str">
        <f>IF($B315="x",'Misc Emissions'!$T$23, "NA")</f>
        <v>NA</v>
      </c>
      <c r="D315" s="98" t="str">
        <f>IF($B315="x",'Misc Emissions'!$T$24, "NA")</f>
        <v>NA</v>
      </c>
      <c r="E315" s="98" t="str">
        <f>IF($B315="x",'Misc Emissions'!$T$26, "NA")</f>
        <v>NA</v>
      </c>
      <c r="F315" s="138" t="str">
        <f>IF($B315="x",'Misc Emissions'!$T$22, "NA")</f>
        <v>NA</v>
      </c>
      <c r="G315" s="977" t="s">
        <v>307</v>
      </c>
      <c r="H315" s="978" t="s">
        <v>307</v>
      </c>
      <c r="I315" s="979" t="s">
        <v>307</v>
      </c>
      <c r="J315" s="91" t="s">
        <v>307</v>
      </c>
      <c r="L315" s="972" t="str">
        <f>IF($B315="x",SUM('Misc Emissions'!$T$7,'Misc Emissions'!$T$11,'Misc Emissions'!$T$15,'Misc Emissions'!$T$19)*days_yr,"NA")</f>
        <v>NA</v>
      </c>
      <c r="M315" s="973" t="s">
        <v>102</v>
      </c>
      <c r="N315" s="973" t="s">
        <v>102</v>
      </c>
      <c r="O315" s="974" t="s">
        <v>307</v>
      </c>
      <c r="T315" s="75"/>
    </row>
    <row r="316" spans="1:20" ht="15.75" thickBot="1" x14ac:dyDescent="0.3">
      <c r="A316" s="47" t="s">
        <v>160</v>
      </c>
      <c r="B316" s="4"/>
      <c r="C316" s="112" t="str">
        <f>IF($B316="x",Transportation!$AD97, "NA")</f>
        <v>NA</v>
      </c>
      <c r="D316" s="113" t="str">
        <f>IF($B316="x",Transportation!$AD98, "NA")</f>
        <v>NA</v>
      </c>
      <c r="E316" s="113" t="str">
        <f>IF($B316="x",Transportation!$AD99, "NA")</f>
        <v>NA</v>
      </c>
      <c r="F316" s="140" t="str">
        <f>IF($B316="x",Transportation!$AD96, "NA")</f>
        <v>NA</v>
      </c>
      <c r="G316" s="142">
        <f>+'Amount and Destination'!O291/days_yr</f>
        <v>0</v>
      </c>
      <c r="H316" s="142">
        <f>+'Amount and Destination'!P291/days_yr</f>
        <v>0</v>
      </c>
      <c r="I316" s="142">
        <f>+'Amount and Destination'!AE291/days_yr</f>
        <v>0</v>
      </c>
      <c r="J316" s="91" t="str">
        <f t="shared" si="19"/>
        <v>NA</v>
      </c>
      <c r="L316" s="115" t="str">
        <f>IF($B316="x",Transportation!$AD97, "NA")</f>
        <v>NA</v>
      </c>
      <c r="M316" s="116" t="s">
        <v>102</v>
      </c>
      <c r="N316" s="116" t="s">
        <v>102</v>
      </c>
      <c r="O316" s="117" t="str">
        <f>IF($B316="x",Transportation!$AD100, "NA")</f>
        <v>NA</v>
      </c>
      <c r="T316" s="75"/>
    </row>
    <row r="317" spans="1:20" ht="18.75" thickBot="1" x14ac:dyDescent="0.3">
      <c r="A317" s="118" t="s">
        <v>278</v>
      </c>
      <c r="C317" s="119">
        <f>SUM(C296:C316)</f>
        <v>0</v>
      </c>
      <c r="D317" s="120">
        <f>SUM(D296:D316)</f>
        <v>0</v>
      </c>
      <c r="E317" s="121">
        <f>SUM(E296:E316)</f>
        <v>0</v>
      </c>
      <c r="F317" s="122">
        <f>SUM(F296:F316)</f>
        <v>0</v>
      </c>
      <c r="G317" s="123"/>
      <c r="H317" s="123"/>
      <c r="I317" s="123"/>
      <c r="J317" s="124"/>
      <c r="L317" s="125">
        <f>SUM(L296:L316)</f>
        <v>0</v>
      </c>
      <c r="M317" s="125">
        <f>SUM(M296:M316)</f>
        <v>0</v>
      </c>
      <c r="N317" s="125">
        <f>SUM(N296:N316)</f>
        <v>0</v>
      </c>
      <c r="O317" s="126">
        <f>SUM(O296:O316)</f>
        <v>0</v>
      </c>
      <c r="T317" s="75"/>
    </row>
    <row r="318" spans="1:20" x14ac:dyDescent="0.25">
      <c r="A318" s="127" t="s">
        <v>296</v>
      </c>
      <c r="T318" s="75"/>
    </row>
    <row r="319" spans="1:20" x14ac:dyDescent="0.25">
      <c r="A319" s="128" t="s">
        <v>277</v>
      </c>
      <c r="T319" s="75"/>
    </row>
    <row r="320" spans="1:20" x14ac:dyDescent="0.25">
      <c r="A320" s="128"/>
      <c r="T320" s="75"/>
    </row>
    <row r="321" spans="1:20" ht="15.75" thickBot="1" x14ac:dyDescent="0.3">
      <c r="A321" s="141"/>
      <c r="B321" s="133"/>
      <c r="C321" s="133"/>
      <c r="D321" s="133"/>
      <c r="E321" s="133"/>
      <c r="F321" s="133"/>
      <c r="G321" s="133"/>
      <c r="H321" s="133"/>
      <c r="I321" s="133"/>
      <c r="J321" s="133"/>
      <c r="K321" s="133"/>
      <c r="L321" s="133"/>
      <c r="M321" s="133"/>
      <c r="N321" s="133"/>
      <c r="O321" s="133"/>
      <c r="P321" s="133"/>
      <c r="Q321" s="133"/>
      <c r="R321" s="133"/>
      <c r="S321" s="133"/>
      <c r="T321" s="134"/>
    </row>
  </sheetData>
  <sheetProtection algorithmName="SHA-512" hashValue="+UkgQRdJFqt8nEqit1Zfd5O2KJee8mKn2jHtiiV/H6kWCCqnUs5Lca2lrkmbX1pKbzb7X4auKGx/I9Oot2B1nA==" saltValue="KUWKOJ6fs9KwoXCWKVY1FQ==" spinCount="100000" sheet="1" objects="1" scenarios="1"/>
  <mergeCells count="37">
    <mergeCell ref="L102:O102"/>
    <mergeCell ref="W14:Y14"/>
    <mergeCell ref="B2:J5"/>
    <mergeCell ref="B34:J37"/>
    <mergeCell ref="B66:J69"/>
    <mergeCell ref="B98:J101"/>
    <mergeCell ref="L6:O6"/>
    <mergeCell ref="L38:O38"/>
    <mergeCell ref="L70:O70"/>
    <mergeCell ref="W16:Y16"/>
    <mergeCell ref="W10:Z10"/>
    <mergeCell ref="W11:Y11"/>
    <mergeCell ref="W12:Y12"/>
    <mergeCell ref="W13:Y13"/>
    <mergeCell ref="W15:Y15"/>
    <mergeCell ref="L230:O230"/>
    <mergeCell ref="L294:O294"/>
    <mergeCell ref="B130:J133"/>
    <mergeCell ref="B162:J165"/>
    <mergeCell ref="B194:J197"/>
    <mergeCell ref="B226:J229"/>
    <mergeCell ref="B258:J261"/>
    <mergeCell ref="L262:O262"/>
    <mergeCell ref="L134:O134"/>
    <mergeCell ref="B290:J293"/>
    <mergeCell ref="L166:O166"/>
    <mergeCell ref="L198:O198"/>
    <mergeCell ref="C166:F166"/>
    <mergeCell ref="C198:F198"/>
    <mergeCell ref="C230:F230"/>
    <mergeCell ref="C262:F262"/>
    <mergeCell ref="C294:F294"/>
    <mergeCell ref="C6:F6"/>
    <mergeCell ref="C38:F38"/>
    <mergeCell ref="C70:F70"/>
    <mergeCell ref="C102:F102"/>
    <mergeCell ref="C134:F134"/>
  </mergeCells>
  <pageMargins left="0.7" right="0.7" top="0.75" bottom="0.75" header="0.3" footer="0.3"/>
  <pageSetup orientation="portrait" horizontalDpi="1200" verticalDpi="1200" r:id="rId1"/>
  <ignoredErrors>
    <ignoredError sqref="J15"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B1:AQ291"/>
  <sheetViews>
    <sheetView zoomScale="70" zoomScaleNormal="70" workbookViewId="0">
      <selection activeCell="I4" sqref="I4"/>
    </sheetView>
  </sheetViews>
  <sheetFormatPr defaultColWidth="9.140625" defaultRowHeight="15" x14ac:dyDescent="0.25"/>
  <cols>
    <col min="2" max="2" width="15.42578125" customWidth="1"/>
    <col min="3" max="3" width="48.85546875" style="614" bestFit="1" customWidth="1"/>
    <col min="4" max="4" width="17.85546875" customWidth="1"/>
    <col min="5" max="5" width="25" customWidth="1"/>
    <col min="6" max="6" width="20.85546875" customWidth="1"/>
    <col min="7" max="7" width="21.85546875" customWidth="1"/>
    <col min="8" max="14" width="9.140625" customWidth="1"/>
    <col min="17" max="17" width="8.42578125" customWidth="1"/>
    <col min="18" max="18" width="11.42578125" customWidth="1"/>
    <col min="19" max="19" width="10.85546875" customWidth="1"/>
    <col min="20" max="25" width="9.140625" customWidth="1"/>
    <col min="26" max="26" width="11.85546875" customWidth="1"/>
    <col min="27" max="27" width="11.42578125" customWidth="1"/>
    <col min="28" max="28" width="23.42578125" style="622" bestFit="1" customWidth="1"/>
    <col min="29" max="30" width="10.42578125" bestFit="1" customWidth="1"/>
    <col min="31" max="31" width="10" bestFit="1" customWidth="1"/>
    <col min="32" max="32" width="25.140625" bestFit="1" customWidth="1"/>
    <col min="33" max="33" width="10.85546875" customWidth="1"/>
    <col min="34" max="34" width="11" customWidth="1"/>
    <col min="35" max="35" width="10.42578125" bestFit="1" customWidth="1"/>
    <col min="36" max="36" width="16.42578125" customWidth="1"/>
    <col min="37" max="37" width="20.42578125" bestFit="1" customWidth="1"/>
    <col min="47" max="47" width="16.140625" bestFit="1" customWidth="1"/>
    <col min="48" max="48" width="20" bestFit="1" customWidth="1"/>
    <col min="49" max="49" width="11.42578125" bestFit="1" customWidth="1"/>
    <col min="50" max="50" width="10.140625" bestFit="1" customWidth="1"/>
  </cols>
  <sheetData>
    <row r="1" spans="2:41" ht="15.75" thickBot="1" x14ac:dyDescent="0.3">
      <c r="C1" s="621"/>
    </row>
    <row r="2" spans="2:41" ht="21.75" thickBot="1" x14ac:dyDescent="0.4">
      <c r="B2" s="623" t="s">
        <v>449</v>
      </c>
      <c r="C2" s="1021" t="str">
        <f>+'Scenarios Data'!B1</f>
        <v>Landfill</v>
      </c>
      <c r="D2" s="1275" t="str">
        <f>+'Scenarios Data'!D1:J1</f>
        <v>FOG to landfill</v>
      </c>
      <c r="E2" s="1276"/>
      <c r="F2" s="1276"/>
      <c r="G2" s="1277"/>
      <c r="H2" s="624"/>
      <c r="I2" s="1251" t="s">
        <v>833</v>
      </c>
      <c r="J2" s="1251"/>
      <c r="K2" s="1251"/>
      <c r="L2" s="1251"/>
      <c r="M2" s="1251"/>
      <c r="N2" s="1251"/>
      <c r="O2" s="625"/>
      <c r="P2" s="626"/>
      <c r="Q2" s="624"/>
      <c r="R2" s="69"/>
      <c r="S2" s="1273" t="s">
        <v>462</v>
      </c>
      <c r="T2" s="1273"/>
      <c r="U2" s="1272" t="s">
        <v>463</v>
      </c>
      <c r="V2" s="1274"/>
      <c r="W2" s="1272" t="s">
        <v>160</v>
      </c>
      <c r="X2" s="1273"/>
      <c r="Y2" s="1273"/>
      <c r="Z2" s="1273"/>
      <c r="AA2" s="1028"/>
      <c r="AB2" s="1237" t="str">
        <f>CONCATENATE(B2," - ",C2," - Totals")</f>
        <v>Scenario 1 - Landfill - Totals</v>
      </c>
      <c r="AC2" s="1238"/>
      <c r="AD2" s="1238"/>
      <c r="AE2" s="1238"/>
      <c r="AF2" s="1238"/>
      <c r="AG2" s="1238"/>
      <c r="AH2" s="1238"/>
      <c r="AI2" s="1239"/>
    </row>
    <row r="3" spans="2:41" ht="45.75" x14ac:dyDescent="0.3">
      <c r="B3" s="627" t="s">
        <v>400</v>
      </c>
      <c r="C3" s="628" t="s">
        <v>539</v>
      </c>
      <c r="D3" s="629" t="s">
        <v>540</v>
      </c>
      <c r="E3" s="630" t="s">
        <v>489</v>
      </c>
      <c r="F3" s="631" t="s">
        <v>667</v>
      </c>
      <c r="G3" s="630" t="s">
        <v>401</v>
      </c>
      <c r="H3" s="632" t="s">
        <v>402</v>
      </c>
      <c r="I3" s="39">
        <v>1</v>
      </c>
      <c r="J3" s="39">
        <v>2</v>
      </c>
      <c r="K3" s="39">
        <v>3</v>
      </c>
      <c r="L3" s="39">
        <v>4</v>
      </c>
      <c r="M3" s="39">
        <v>5</v>
      </c>
      <c r="N3" s="39">
        <v>6</v>
      </c>
      <c r="O3" s="633" t="s">
        <v>397</v>
      </c>
      <c r="P3" s="633" t="s">
        <v>398</v>
      </c>
      <c r="Q3" s="630" t="s">
        <v>538</v>
      </c>
      <c r="R3" s="634" t="s">
        <v>488</v>
      </c>
      <c r="S3" s="635" t="s">
        <v>460</v>
      </c>
      <c r="T3" s="630" t="s">
        <v>461</v>
      </c>
      <c r="U3" s="636" t="s">
        <v>460</v>
      </c>
      <c r="V3" s="637" t="s">
        <v>461</v>
      </c>
      <c r="W3" s="638" t="s">
        <v>481</v>
      </c>
      <c r="X3" s="638" t="s">
        <v>480</v>
      </c>
      <c r="Y3" s="638" t="s">
        <v>482</v>
      </c>
      <c r="Z3" s="639" t="s">
        <v>483</v>
      </c>
      <c r="AA3" s="640" t="s">
        <v>556</v>
      </c>
      <c r="AB3" s="57" t="s">
        <v>546</v>
      </c>
      <c r="AC3" s="53" t="s">
        <v>399</v>
      </c>
      <c r="AD3" s="53" t="s">
        <v>484</v>
      </c>
      <c r="AE3" s="53" t="s">
        <v>549</v>
      </c>
      <c r="AF3" s="52" t="s">
        <v>555</v>
      </c>
      <c r="AG3" s="53" t="s">
        <v>399</v>
      </c>
      <c r="AH3" s="53" t="s">
        <v>484</v>
      </c>
      <c r="AI3" s="641" t="s">
        <v>549</v>
      </c>
    </row>
    <row r="4" spans="2:41" ht="15.75" customHeight="1" x14ac:dyDescent="0.25">
      <c r="B4" s="642">
        <v>1</v>
      </c>
      <c r="C4" s="38" t="s">
        <v>995</v>
      </c>
      <c r="D4" s="28" t="s">
        <v>444</v>
      </c>
      <c r="E4" s="29" t="s">
        <v>503</v>
      </c>
      <c r="F4" s="30"/>
      <c r="G4" s="31"/>
      <c r="H4" s="27"/>
      <c r="I4" s="32">
        <v>37585.096819999999</v>
      </c>
      <c r="J4" s="32"/>
      <c r="K4" s="32"/>
      <c r="L4" s="32"/>
      <c r="M4" s="32"/>
      <c r="N4" s="32"/>
      <c r="O4" s="643">
        <f>SUM(I4:N4)</f>
        <v>37585.096819999999</v>
      </c>
      <c r="P4" s="644">
        <f>+O4/Mg_ton</f>
        <v>34106.258457350268</v>
      </c>
      <c r="Q4" s="645">
        <f>P4/$P$30</f>
        <v>1</v>
      </c>
      <c r="R4" s="33"/>
      <c r="S4" s="37"/>
      <c r="T4" s="60">
        <f t="shared" ref="T4:T28" si="0">+S4/km_mile</f>
        <v>0</v>
      </c>
      <c r="U4" s="61">
        <f t="shared" ref="U4:U28" si="1">+S4*$U$29</f>
        <v>0</v>
      </c>
      <c r="V4" s="60">
        <f t="shared" ref="V4:V28" si="2">+U4/km_mile</f>
        <v>0</v>
      </c>
      <c r="W4" s="28"/>
      <c r="X4" s="737">
        <f>IF(W4='References Assumptions'!$C$331,'References Assumptions'!$C$335,0)</f>
        <v>0</v>
      </c>
      <c r="Y4" s="646" t="s">
        <v>399</v>
      </c>
      <c r="Z4" s="647">
        <f>+X4/Mg_ton</f>
        <v>0</v>
      </c>
      <c r="AA4" s="28"/>
      <c r="AB4" s="58" t="s">
        <v>444</v>
      </c>
      <c r="AC4" s="648">
        <f>AD4*Mg_ton</f>
        <v>37585.096819999999</v>
      </c>
      <c r="AD4" s="648">
        <f>SUMIF($D$4:$D$28,AB4,$P$4:$P$28)</f>
        <v>34106.258457350268</v>
      </c>
      <c r="AE4" s="50">
        <f>AD4*(Mean_solids)</f>
        <v>2455.6506089292193</v>
      </c>
      <c r="AF4" s="54" t="s">
        <v>503</v>
      </c>
      <c r="AG4" s="55">
        <f t="shared" ref="AG4:AG10" si="3">SUMIFS($O$4:$O$28,$D$4:$D$28,AB4,$E$4:$E$28,AF4)</f>
        <v>37585.096819999999</v>
      </c>
      <c r="AH4" s="55">
        <f t="shared" ref="AH4:AH10" si="4">SUMIFS($P$4:$P$28,$D$4:$D$28,AB4,$E$4:$E$28,AF4)</f>
        <v>34106.258457350268</v>
      </c>
      <c r="AI4" s="49">
        <f>AH4*(Mean_solids)</f>
        <v>2455.6506089292193</v>
      </c>
      <c r="AL4" s="649"/>
      <c r="AM4" s="650"/>
      <c r="AN4" s="650"/>
    </row>
    <row r="5" spans="2:41" ht="15.75" customHeight="1" x14ac:dyDescent="0.25">
      <c r="B5" s="642">
        <v>2</v>
      </c>
      <c r="C5" s="38"/>
      <c r="D5" s="28"/>
      <c r="E5" s="29"/>
      <c r="F5" s="30"/>
      <c r="G5" s="31"/>
      <c r="H5" s="27"/>
      <c r="I5" s="32"/>
      <c r="J5" s="32"/>
      <c r="K5" s="32"/>
      <c r="L5" s="32"/>
      <c r="M5" s="32"/>
      <c r="N5" s="32"/>
      <c r="O5" s="643">
        <f t="shared" ref="O5:O28" si="5">SUM(I5:N5)</f>
        <v>0</v>
      </c>
      <c r="P5" s="644">
        <f t="shared" ref="P5:P15" si="6">+O5/Mg_ton</f>
        <v>0</v>
      </c>
      <c r="Q5" s="645">
        <f t="shared" ref="Q5:Q28" si="7">P5/$P$30</f>
        <v>0</v>
      </c>
      <c r="R5" s="33"/>
      <c r="S5" s="37"/>
      <c r="T5" s="60">
        <f t="shared" si="0"/>
        <v>0</v>
      </c>
      <c r="U5" s="61">
        <f t="shared" si="1"/>
        <v>0</v>
      </c>
      <c r="V5" s="60">
        <f t="shared" si="2"/>
        <v>0</v>
      </c>
      <c r="W5" s="28"/>
      <c r="X5" s="737">
        <f>IF(W5='References Assumptions'!$C$331,'References Assumptions'!$C$335,0)</f>
        <v>0</v>
      </c>
      <c r="Y5" s="646" t="s">
        <v>399</v>
      </c>
      <c r="Z5" s="647">
        <f t="shared" ref="Z5:Z28" si="8">+X5/Mg_ton</f>
        <v>0</v>
      </c>
      <c r="AA5" s="28"/>
      <c r="AB5" s="58" t="s">
        <v>444</v>
      </c>
      <c r="AC5" s="1278"/>
      <c r="AD5" s="1278"/>
      <c r="AE5" s="1278"/>
      <c r="AF5" s="54" t="s">
        <v>504</v>
      </c>
      <c r="AG5" s="55">
        <f t="shared" si="3"/>
        <v>0</v>
      </c>
      <c r="AH5" s="55">
        <f t="shared" si="4"/>
        <v>0</v>
      </c>
      <c r="AI5" s="49">
        <f t="shared" ref="AI5:AI10" si="9">AH5*(Mean_solids)</f>
        <v>0</v>
      </c>
      <c r="AM5" s="650"/>
      <c r="AN5" s="650"/>
    </row>
    <row r="6" spans="2:41" ht="15.75" customHeight="1" x14ac:dyDescent="0.25">
      <c r="B6" s="642">
        <v>3</v>
      </c>
      <c r="C6" s="38"/>
      <c r="D6" s="28"/>
      <c r="E6" s="29"/>
      <c r="F6" s="30"/>
      <c r="G6" s="31"/>
      <c r="H6" s="27"/>
      <c r="I6" s="32"/>
      <c r="J6" s="32"/>
      <c r="K6" s="32"/>
      <c r="L6" s="32"/>
      <c r="M6" s="32"/>
      <c r="N6" s="32"/>
      <c r="O6" s="643">
        <f t="shared" si="5"/>
        <v>0</v>
      </c>
      <c r="P6" s="644">
        <f t="shared" si="6"/>
        <v>0</v>
      </c>
      <c r="Q6" s="645">
        <f t="shared" si="7"/>
        <v>0</v>
      </c>
      <c r="R6" s="33"/>
      <c r="S6" s="37"/>
      <c r="T6" s="60">
        <f t="shared" si="0"/>
        <v>0</v>
      </c>
      <c r="U6" s="61">
        <f t="shared" si="1"/>
        <v>0</v>
      </c>
      <c r="V6" s="60">
        <f t="shared" si="2"/>
        <v>0</v>
      </c>
      <c r="W6" s="28"/>
      <c r="X6" s="737">
        <f>IF(W6='References Assumptions'!$C$331,'References Assumptions'!$C$335,0)</f>
        <v>0</v>
      </c>
      <c r="Y6" s="646" t="s">
        <v>399</v>
      </c>
      <c r="Z6" s="647">
        <f t="shared" si="8"/>
        <v>0</v>
      </c>
      <c r="AA6" s="28"/>
      <c r="AB6" s="58" t="s">
        <v>444</v>
      </c>
      <c r="AC6" s="1278"/>
      <c r="AD6" s="1278"/>
      <c r="AE6" s="1278"/>
      <c r="AF6" s="54" t="s">
        <v>505</v>
      </c>
      <c r="AG6" s="55">
        <f t="shared" si="3"/>
        <v>0</v>
      </c>
      <c r="AH6" s="55">
        <f t="shared" si="4"/>
        <v>0</v>
      </c>
      <c r="AI6" s="49">
        <f t="shared" si="9"/>
        <v>0</v>
      </c>
    </row>
    <row r="7" spans="2:41" ht="15.75" customHeight="1" x14ac:dyDescent="0.25">
      <c r="B7" s="642">
        <v>4</v>
      </c>
      <c r="C7" s="38"/>
      <c r="D7" s="28"/>
      <c r="E7" s="29"/>
      <c r="F7" s="30"/>
      <c r="G7" s="31"/>
      <c r="H7" s="27"/>
      <c r="I7" s="32"/>
      <c r="J7" s="32"/>
      <c r="K7" s="32"/>
      <c r="L7" s="32"/>
      <c r="M7" s="32"/>
      <c r="N7" s="32"/>
      <c r="O7" s="643">
        <f t="shared" si="5"/>
        <v>0</v>
      </c>
      <c r="P7" s="644">
        <f t="shared" si="6"/>
        <v>0</v>
      </c>
      <c r="Q7" s="645">
        <f t="shared" si="7"/>
        <v>0</v>
      </c>
      <c r="R7" s="33"/>
      <c r="S7" s="37"/>
      <c r="T7" s="60">
        <f t="shared" si="0"/>
        <v>0</v>
      </c>
      <c r="U7" s="61">
        <f t="shared" si="1"/>
        <v>0</v>
      </c>
      <c r="V7" s="60">
        <f t="shared" si="2"/>
        <v>0</v>
      </c>
      <c r="W7" s="28"/>
      <c r="X7" s="737">
        <f>IF(W7='References Assumptions'!$C$331,'References Assumptions'!$C$335,0)</f>
        <v>0</v>
      </c>
      <c r="Y7" s="646" t="s">
        <v>399</v>
      </c>
      <c r="Z7" s="647">
        <f t="shared" si="8"/>
        <v>0</v>
      </c>
      <c r="AA7" s="28"/>
      <c r="AB7" s="58" t="s">
        <v>444</v>
      </c>
      <c r="AC7" s="1278"/>
      <c r="AD7" s="1278"/>
      <c r="AE7" s="1278"/>
      <c r="AF7" s="54" t="s">
        <v>547</v>
      </c>
      <c r="AG7" s="55">
        <f t="shared" si="3"/>
        <v>0</v>
      </c>
      <c r="AH7" s="55">
        <f t="shared" si="4"/>
        <v>0</v>
      </c>
      <c r="AI7" s="49">
        <f t="shared" si="9"/>
        <v>0</v>
      </c>
      <c r="AM7" s="651"/>
    </row>
    <row r="8" spans="2:41" ht="15.75" customHeight="1" x14ac:dyDescent="0.25">
      <c r="B8" s="642">
        <v>5</v>
      </c>
      <c r="C8" s="38"/>
      <c r="D8" s="28"/>
      <c r="E8" s="29"/>
      <c r="F8" s="30"/>
      <c r="G8" s="31"/>
      <c r="H8" s="27"/>
      <c r="I8" s="32"/>
      <c r="J8" s="32"/>
      <c r="K8" s="32"/>
      <c r="L8" s="32"/>
      <c r="M8" s="32"/>
      <c r="N8" s="32"/>
      <c r="O8" s="643">
        <f t="shared" si="5"/>
        <v>0</v>
      </c>
      <c r="P8" s="644">
        <f t="shared" si="6"/>
        <v>0</v>
      </c>
      <c r="Q8" s="645">
        <f t="shared" si="7"/>
        <v>0</v>
      </c>
      <c r="R8" s="33"/>
      <c r="S8" s="37"/>
      <c r="T8" s="60">
        <f t="shared" si="0"/>
        <v>0</v>
      </c>
      <c r="U8" s="61">
        <f t="shared" si="1"/>
        <v>0</v>
      </c>
      <c r="V8" s="60">
        <f t="shared" si="2"/>
        <v>0</v>
      </c>
      <c r="W8" s="28"/>
      <c r="X8" s="737">
        <f>IF(W8='References Assumptions'!$C$331,'References Assumptions'!$C$335,0)</f>
        <v>0</v>
      </c>
      <c r="Y8" s="646" t="s">
        <v>399</v>
      </c>
      <c r="Z8" s="647">
        <f t="shared" si="8"/>
        <v>0</v>
      </c>
      <c r="AA8" s="28"/>
      <c r="AB8" s="58" t="s">
        <v>250</v>
      </c>
      <c r="AC8" s="648">
        <f>AD8*Mg_ton</f>
        <v>0</v>
      </c>
      <c r="AD8" s="648">
        <f>SUMIF($D$4:$D$28,AB8,$P$4:$P$28)</f>
        <v>0</v>
      </c>
      <c r="AE8" s="50">
        <f>AD8*(Mean_solids)</f>
        <v>0</v>
      </c>
      <c r="AF8" s="54" t="s">
        <v>487</v>
      </c>
      <c r="AG8" s="55">
        <f t="shared" si="3"/>
        <v>0</v>
      </c>
      <c r="AH8" s="55">
        <f t="shared" si="4"/>
        <v>0</v>
      </c>
      <c r="AI8" s="49">
        <f t="shared" si="9"/>
        <v>0</v>
      </c>
      <c r="AM8" s="651"/>
    </row>
    <row r="9" spans="2:41" ht="15.75" customHeight="1" x14ac:dyDescent="0.25">
      <c r="B9" s="642">
        <v>6</v>
      </c>
      <c r="C9" s="38"/>
      <c r="D9" s="28"/>
      <c r="E9" s="29"/>
      <c r="F9" s="30"/>
      <c r="G9" s="31"/>
      <c r="H9" s="27"/>
      <c r="I9" s="32"/>
      <c r="J9" s="32"/>
      <c r="K9" s="32"/>
      <c r="L9" s="32"/>
      <c r="M9" s="32"/>
      <c r="N9" s="32"/>
      <c r="O9" s="643">
        <f t="shared" si="5"/>
        <v>0</v>
      </c>
      <c r="P9" s="644">
        <f t="shared" si="6"/>
        <v>0</v>
      </c>
      <c r="Q9" s="645">
        <f t="shared" si="7"/>
        <v>0</v>
      </c>
      <c r="R9" s="33"/>
      <c r="S9" s="37"/>
      <c r="T9" s="60">
        <f t="shared" si="0"/>
        <v>0</v>
      </c>
      <c r="U9" s="61">
        <f t="shared" si="1"/>
        <v>0</v>
      </c>
      <c r="V9" s="60">
        <f t="shared" si="2"/>
        <v>0</v>
      </c>
      <c r="W9" s="28"/>
      <c r="X9" s="737">
        <f>IF(W9='References Assumptions'!$C$331,'References Assumptions'!$C$335,0)</f>
        <v>0</v>
      </c>
      <c r="Y9" s="646" t="s">
        <v>399</v>
      </c>
      <c r="Z9" s="647">
        <f t="shared" si="8"/>
        <v>0</v>
      </c>
      <c r="AA9" s="28"/>
      <c r="AB9" s="58" t="s">
        <v>250</v>
      </c>
      <c r="AC9" s="1278"/>
      <c r="AD9" s="1278"/>
      <c r="AE9" s="1278"/>
      <c r="AF9" s="54" t="s">
        <v>90</v>
      </c>
      <c r="AG9" s="55">
        <f t="shared" si="3"/>
        <v>0</v>
      </c>
      <c r="AH9" s="55">
        <f t="shared" si="4"/>
        <v>0</v>
      </c>
      <c r="AI9" s="49">
        <f t="shared" si="9"/>
        <v>0</v>
      </c>
      <c r="AM9" s="651"/>
    </row>
    <row r="10" spans="2:41" ht="15.75" customHeight="1" x14ac:dyDescent="0.25">
      <c r="B10" s="642">
        <v>7</v>
      </c>
      <c r="C10" s="38"/>
      <c r="D10" s="28"/>
      <c r="E10" s="29"/>
      <c r="F10" s="30"/>
      <c r="G10" s="31"/>
      <c r="H10" s="27"/>
      <c r="I10" s="32"/>
      <c r="J10" s="32"/>
      <c r="K10" s="32"/>
      <c r="L10" s="32"/>
      <c r="M10" s="32"/>
      <c r="N10" s="32"/>
      <c r="O10" s="643">
        <f t="shared" si="5"/>
        <v>0</v>
      </c>
      <c r="P10" s="644">
        <f t="shared" si="6"/>
        <v>0</v>
      </c>
      <c r="Q10" s="645">
        <f t="shared" si="7"/>
        <v>0</v>
      </c>
      <c r="R10" s="33"/>
      <c r="S10" s="37"/>
      <c r="T10" s="60">
        <f t="shared" si="0"/>
        <v>0</v>
      </c>
      <c r="U10" s="61">
        <f t="shared" si="1"/>
        <v>0</v>
      </c>
      <c r="V10" s="60">
        <f t="shared" si="2"/>
        <v>0</v>
      </c>
      <c r="W10" s="28"/>
      <c r="X10" s="737">
        <f>IF(W10='References Assumptions'!$C$331,'References Assumptions'!$C$335,0)</f>
        <v>0</v>
      </c>
      <c r="Y10" s="646" t="s">
        <v>399</v>
      </c>
      <c r="Z10" s="647">
        <f t="shared" si="8"/>
        <v>0</v>
      </c>
      <c r="AA10" s="28"/>
      <c r="AB10" s="58" t="s">
        <v>250</v>
      </c>
      <c r="AC10" s="1278"/>
      <c r="AD10" s="1278"/>
      <c r="AE10" s="1278"/>
      <c r="AF10" s="54" t="s">
        <v>176</v>
      </c>
      <c r="AG10" s="55">
        <f t="shared" si="3"/>
        <v>0</v>
      </c>
      <c r="AH10" s="55">
        <f t="shared" si="4"/>
        <v>0</v>
      </c>
      <c r="AI10" s="49">
        <f t="shared" si="9"/>
        <v>0</v>
      </c>
      <c r="AM10" s="651"/>
    </row>
    <row r="11" spans="2:41" ht="15.75" customHeight="1" x14ac:dyDescent="0.25">
      <c r="B11" s="642">
        <v>8</v>
      </c>
      <c r="C11" s="38"/>
      <c r="D11" s="28"/>
      <c r="E11" s="29"/>
      <c r="F11" s="30"/>
      <c r="G11" s="31"/>
      <c r="H11" s="27"/>
      <c r="I11" s="32"/>
      <c r="J11" s="32"/>
      <c r="K11" s="32"/>
      <c r="L11" s="32"/>
      <c r="M11" s="32"/>
      <c r="N11" s="32"/>
      <c r="O11" s="643">
        <f t="shared" si="5"/>
        <v>0</v>
      </c>
      <c r="P11" s="644">
        <f t="shared" si="6"/>
        <v>0</v>
      </c>
      <c r="Q11" s="645">
        <f t="shared" si="7"/>
        <v>0</v>
      </c>
      <c r="R11" s="33"/>
      <c r="S11" s="37"/>
      <c r="T11" s="60">
        <f t="shared" si="0"/>
        <v>0</v>
      </c>
      <c r="U11" s="61">
        <f t="shared" si="1"/>
        <v>0</v>
      </c>
      <c r="V11" s="60">
        <f t="shared" si="2"/>
        <v>0</v>
      </c>
      <c r="W11" s="28"/>
      <c r="X11" s="737">
        <f>IF(W11='References Assumptions'!$C$331,'References Assumptions'!$C$335,0)</f>
        <v>0</v>
      </c>
      <c r="Y11" s="646" t="s">
        <v>399</v>
      </c>
      <c r="Z11" s="647">
        <f t="shared" si="8"/>
        <v>0</v>
      </c>
      <c r="AA11" s="28"/>
      <c r="AB11" s="58" t="s">
        <v>548</v>
      </c>
      <c r="AC11" s="648">
        <f>AD11*Mg_ton</f>
        <v>0</v>
      </c>
      <c r="AD11" s="648">
        <f>SUMIF($D$4:$D$28,AB11,$P$4:$P$28)</f>
        <v>0</v>
      </c>
      <c r="AE11" s="51">
        <f>AD11*(Mean_solids)</f>
        <v>0</v>
      </c>
      <c r="AF11" s="56" t="s">
        <v>592</v>
      </c>
      <c r="AG11" s="55">
        <f>SUMIFS($O$4:$O$28,$D$4:$D$28,AB11,$E$4:$E$28,'References Assumptions'!$C$352)</f>
        <v>0</v>
      </c>
      <c r="AH11" s="55">
        <f>SUMIFS($P$4:$P$28,$D$4:$D$28,AB11,$E$4:$E$28,'References Assumptions'!$C$352)</f>
        <v>0</v>
      </c>
      <c r="AI11" s="49">
        <f>AH11*(Mean_solids)</f>
        <v>0</v>
      </c>
      <c r="AM11" s="652"/>
    </row>
    <row r="12" spans="2:41" ht="15.75" customHeight="1" x14ac:dyDescent="0.25">
      <c r="B12" s="642">
        <v>9</v>
      </c>
      <c r="C12" s="38"/>
      <c r="D12" s="28"/>
      <c r="E12" s="29"/>
      <c r="F12" s="30"/>
      <c r="G12" s="31"/>
      <c r="H12" s="27"/>
      <c r="I12" s="32"/>
      <c r="J12" s="32"/>
      <c r="K12" s="32"/>
      <c r="L12" s="32"/>
      <c r="M12" s="32"/>
      <c r="N12" s="32"/>
      <c r="O12" s="643">
        <f t="shared" si="5"/>
        <v>0</v>
      </c>
      <c r="P12" s="644">
        <f t="shared" si="6"/>
        <v>0</v>
      </c>
      <c r="Q12" s="645">
        <f t="shared" si="7"/>
        <v>0</v>
      </c>
      <c r="R12" s="33"/>
      <c r="S12" s="37"/>
      <c r="T12" s="60">
        <f t="shared" si="0"/>
        <v>0</v>
      </c>
      <c r="U12" s="61">
        <f t="shared" si="1"/>
        <v>0</v>
      </c>
      <c r="V12" s="60">
        <f t="shared" si="2"/>
        <v>0</v>
      </c>
      <c r="W12" s="28"/>
      <c r="X12" s="737">
        <f>IF(W12='References Assumptions'!$C$331,'References Assumptions'!$C$335,0)</f>
        <v>0</v>
      </c>
      <c r="Y12" s="646" t="s">
        <v>399</v>
      </c>
      <c r="Z12" s="647">
        <f t="shared" si="8"/>
        <v>0</v>
      </c>
      <c r="AA12" s="28"/>
      <c r="AB12" s="58" t="s">
        <v>548</v>
      </c>
      <c r="AC12" s="1240"/>
      <c r="AD12" s="1240"/>
      <c r="AE12" s="1280"/>
      <c r="AF12" s="56" t="s">
        <v>593</v>
      </c>
      <c r="AG12" s="55" t="e">
        <f>SUMIFS($O$4:$O$28,$D$4:$D$28,AB12,$E$4:$E$28,'References Assumptions'!$C$352)*'Thermal Drying'!$B$7/percent_solids_after_thermal_drying</f>
        <v>#DIV/0!</v>
      </c>
      <c r="AH12" s="55" t="e">
        <f>SUMIFS($P$4:$P$28,$D$4:$D$28,AB12,$E$4:$E$28,'References Assumptions'!$C$352)*'Thermal Drying'!$B$7/percent_solids_after_thermal_drying</f>
        <v>#DIV/0!</v>
      </c>
      <c r="AI12" s="49" t="e">
        <f>+AH12*percent_solids_after_thermal_drying</f>
        <v>#DIV/0!</v>
      </c>
      <c r="AL12" s="653"/>
      <c r="AO12" s="654"/>
    </row>
    <row r="13" spans="2:41" ht="15.75" customHeight="1" x14ac:dyDescent="0.25">
      <c r="B13" s="642">
        <v>10</v>
      </c>
      <c r="C13" s="38"/>
      <c r="D13" s="28"/>
      <c r="E13" s="29"/>
      <c r="F13" s="30"/>
      <c r="G13" s="31"/>
      <c r="H13" s="27"/>
      <c r="I13" s="32"/>
      <c r="J13" s="32"/>
      <c r="K13" s="32"/>
      <c r="L13" s="32"/>
      <c r="M13" s="32"/>
      <c r="N13" s="32"/>
      <c r="O13" s="643">
        <f t="shared" si="5"/>
        <v>0</v>
      </c>
      <c r="P13" s="644">
        <f t="shared" si="6"/>
        <v>0</v>
      </c>
      <c r="Q13" s="645">
        <f t="shared" si="7"/>
        <v>0</v>
      </c>
      <c r="R13" s="33"/>
      <c r="S13" s="37"/>
      <c r="T13" s="60">
        <f t="shared" si="0"/>
        <v>0</v>
      </c>
      <c r="U13" s="61">
        <f t="shared" si="1"/>
        <v>0</v>
      </c>
      <c r="V13" s="60">
        <f t="shared" si="2"/>
        <v>0</v>
      </c>
      <c r="W13" s="28"/>
      <c r="X13" s="737">
        <f>IF(W13='References Assumptions'!$C$331,'References Assumptions'!$C$335,0)</f>
        <v>0</v>
      </c>
      <c r="Y13" s="646" t="s">
        <v>399</v>
      </c>
      <c r="Z13" s="647">
        <f t="shared" si="8"/>
        <v>0</v>
      </c>
      <c r="AA13" s="28"/>
      <c r="AB13" s="58" t="s">
        <v>548</v>
      </c>
      <c r="AC13" s="1198"/>
      <c r="AD13" s="1198"/>
      <c r="AE13" s="1281"/>
      <c r="AF13" s="56" t="s">
        <v>608</v>
      </c>
      <c r="AG13" s="55">
        <f t="shared" ref="AG13" si="10">SUMIFS($O$4:$O$28,$D$4:$D$28,AB13,$E$4:$E$28,AF13)</f>
        <v>0</v>
      </c>
      <c r="AH13" s="55">
        <f t="shared" ref="AH13" si="11">SUMIFS($P$4:$P$28,$D$4:$D$28,AB13,$E$4:$E$28,AF13)</f>
        <v>0</v>
      </c>
      <c r="AI13" s="49">
        <f>AH13*(Mean_solids)</f>
        <v>0</v>
      </c>
      <c r="AK13" s="618"/>
      <c r="AL13" s="653"/>
      <c r="AO13" s="655"/>
    </row>
    <row r="14" spans="2:41" ht="15.75" customHeight="1" x14ac:dyDescent="0.25">
      <c r="B14" s="642">
        <v>11</v>
      </c>
      <c r="C14" s="38"/>
      <c r="D14" s="28"/>
      <c r="E14" s="29"/>
      <c r="F14" s="30"/>
      <c r="G14" s="31"/>
      <c r="H14" s="27"/>
      <c r="I14" s="32"/>
      <c r="J14" s="32"/>
      <c r="K14" s="32"/>
      <c r="L14" s="32"/>
      <c r="M14" s="32"/>
      <c r="N14" s="32"/>
      <c r="O14" s="643">
        <f t="shared" si="5"/>
        <v>0</v>
      </c>
      <c r="P14" s="644">
        <f t="shared" si="6"/>
        <v>0</v>
      </c>
      <c r="Q14" s="645">
        <f t="shared" si="7"/>
        <v>0</v>
      </c>
      <c r="R14" s="33"/>
      <c r="S14" s="37"/>
      <c r="T14" s="60">
        <f t="shared" si="0"/>
        <v>0</v>
      </c>
      <c r="U14" s="61">
        <f t="shared" si="1"/>
        <v>0</v>
      </c>
      <c r="V14" s="60">
        <f t="shared" si="2"/>
        <v>0</v>
      </c>
      <c r="W14" s="28"/>
      <c r="X14" s="737">
        <f>IF(W14='References Assumptions'!$C$331,'References Assumptions'!$C$335,0)</f>
        <v>0</v>
      </c>
      <c r="Y14" s="646" t="s">
        <v>399</v>
      </c>
      <c r="Z14" s="647">
        <f t="shared" si="8"/>
        <v>0</v>
      </c>
      <c r="AA14" s="28"/>
      <c r="AB14" s="58" t="s">
        <v>548</v>
      </c>
      <c r="AC14" s="1198"/>
      <c r="AD14" s="1198"/>
      <c r="AE14" s="1281"/>
      <c r="AF14" s="56" t="s">
        <v>609</v>
      </c>
      <c r="AG14" s="55">
        <f t="shared" ref="AG14:AG19" si="12">SUMIFS($O$4:$O$28,$D$4:$D$28,AB14,$E$4:$E$28,AF14)</f>
        <v>0</v>
      </c>
      <c r="AH14" s="55">
        <f t="shared" ref="AH14:AH19" si="13">SUMIFS($P$4:$P$28,$D$4:$D$28,AB14,$E$4:$E$28,AF14)</f>
        <v>0</v>
      </c>
      <c r="AI14" s="49">
        <f>AH14*(Mean_solids)</f>
        <v>0</v>
      </c>
      <c r="AK14" s="653"/>
      <c r="AL14" s="618"/>
      <c r="AM14" s="618"/>
      <c r="AO14" s="654"/>
    </row>
    <row r="15" spans="2:41" ht="15.75" customHeight="1" x14ac:dyDescent="0.25">
      <c r="B15" s="642">
        <v>12</v>
      </c>
      <c r="C15" s="38"/>
      <c r="D15" s="28"/>
      <c r="E15" s="29"/>
      <c r="F15" s="30"/>
      <c r="G15" s="31"/>
      <c r="H15" s="27"/>
      <c r="I15" s="32"/>
      <c r="J15" s="32"/>
      <c r="K15" s="32"/>
      <c r="L15" s="32"/>
      <c r="M15" s="32"/>
      <c r="N15" s="32"/>
      <c r="O15" s="643">
        <f t="shared" si="5"/>
        <v>0</v>
      </c>
      <c r="P15" s="644">
        <f t="shared" si="6"/>
        <v>0</v>
      </c>
      <c r="Q15" s="645">
        <f t="shared" si="7"/>
        <v>0</v>
      </c>
      <c r="R15" s="33"/>
      <c r="S15" s="37"/>
      <c r="T15" s="60">
        <f t="shared" si="0"/>
        <v>0</v>
      </c>
      <c r="U15" s="61">
        <f t="shared" si="1"/>
        <v>0</v>
      </c>
      <c r="V15" s="60">
        <f t="shared" si="2"/>
        <v>0</v>
      </c>
      <c r="W15" s="28"/>
      <c r="X15" s="737">
        <f>IF(W15='References Assumptions'!$C$331,'References Assumptions'!$C$335,0)</f>
        <v>0</v>
      </c>
      <c r="Y15" s="646" t="s">
        <v>399</v>
      </c>
      <c r="Z15" s="647">
        <f t="shared" si="8"/>
        <v>0</v>
      </c>
      <c r="AA15" s="28"/>
      <c r="AB15" s="58" t="s">
        <v>548</v>
      </c>
      <c r="AC15" s="1241"/>
      <c r="AD15" s="1241"/>
      <c r="AE15" s="1282"/>
      <c r="AF15" s="1190" t="s">
        <v>987</v>
      </c>
      <c r="AG15" s="55" t="e">
        <f>(SUMIFS($O$4:$O$28,$D$4:$D$28,AB15,$E$4:$E$28,AF15)*(Percent_Solids/percent_solids_after_biodrying)*(percent_solids_after_biodrying/Percent_Solids_After_Pyrolysis))*(1-Pyrolysis!$B$15)</f>
        <v>#DIV/0!</v>
      </c>
      <c r="AH15" s="55" t="e">
        <f>(SUMIFS($P$4:$P$28,$D$4:$D$28,AB15,$E$4:$E$28,AF15)*(Percent_Solids/percent_solids_after_biodrying)*(percent_solids_after_biodrying/Percent_Solids_After_Pyrolysis))*(1-Pyrolysis!$B$15)</f>
        <v>#DIV/0!</v>
      </c>
      <c r="AI15" s="598" t="e">
        <f>AH15*Percent_Solids_After_Pyrolysis</f>
        <v>#DIV/0!</v>
      </c>
      <c r="AK15" s="653"/>
      <c r="AL15" s="618"/>
      <c r="AM15" s="618"/>
    </row>
    <row r="16" spans="2:41" ht="15.75" customHeight="1" x14ac:dyDescent="0.25">
      <c r="B16" s="642">
        <v>13</v>
      </c>
      <c r="C16" s="38"/>
      <c r="D16" s="28"/>
      <c r="E16" s="29"/>
      <c r="F16" s="30"/>
      <c r="G16" s="31"/>
      <c r="H16" s="27"/>
      <c r="I16" s="32"/>
      <c r="J16" s="32"/>
      <c r="K16" s="32"/>
      <c r="L16" s="32"/>
      <c r="M16" s="32"/>
      <c r="N16" s="32"/>
      <c r="O16" s="643">
        <f t="shared" si="5"/>
        <v>0</v>
      </c>
      <c r="P16" s="644">
        <f t="shared" ref="P16:P28" si="14">+O16/Mg_ton</f>
        <v>0</v>
      </c>
      <c r="Q16" s="645">
        <f t="shared" si="7"/>
        <v>0</v>
      </c>
      <c r="R16" s="33"/>
      <c r="S16" s="37"/>
      <c r="T16" s="60">
        <f t="shared" si="0"/>
        <v>0</v>
      </c>
      <c r="U16" s="61">
        <f t="shared" si="1"/>
        <v>0</v>
      </c>
      <c r="V16" s="60">
        <f t="shared" si="2"/>
        <v>0</v>
      </c>
      <c r="W16" s="28"/>
      <c r="X16" s="737">
        <f>IF(W16='References Assumptions'!$C$331,'References Assumptions'!$C$335,0)</f>
        <v>0</v>
      </c>
      <c r="Y16" s="646" t="s">
        <v>399</v>
      </c>
      <c r="Z16" s="647">
        <f t="shared" si="8"/>
        <v>0</v>
      </c>
      <c r="AA16" s="1180"/>
      <c r="AB16" s="58" t="s">
        <v>222</v>
      </c>
      <c r="AC16" s="648">
        <f>AD16*Mg_ton</f>
        <v>0</v>
      </c>
      <c r="AD16" s="648">
        <f>SUMIF($D$4:$D$28,AB16,$P$4:$P$28)</f>
        <v>0</v>
      </c>
      <c r="AE16" s="51">
        <f>AD16*(Mean_solids)</f>
        <v>0</v>
      </c>
      <c r="AF16" s="56" t="s">
        <v>496</v>
      </c>
      <c r="AG16" s="55">
        <f t="shared" si="12"/>
        <v>0</v>
      </c>
      <c r="AH16" s="55">
        <f t="shared" si="13"/>
        <v>0</v>
      </c>
      <c r="AI16" s="49">
        <f t="shared" ref="AI16:AI19" si="15">AH16*(Mean_solids)</f>
        <v>0</v>
      </c>
    </row>
    <row r="17" spans="2:43" ht="15.75" customHeight="1" x14ac:dyDescent="0.25">
      <c r="B17" s="642">
        <v>14</v>
      </c>
      <c r="C17" s="38"/>
      <c r="D17" s="28"/>
      <c r="E17" s="29"/>
      <c r="F17" s="30"/>
      <c r="G17" s="31"/>
      <c r="H17" s="27"/>
      <c r="I17" s="32"/>
      <c r="J17" s="32"/>
      <c r="K17" s="32"/>
      <c r="L17" s="32"/>
      <c r="M17" s="32"/>
      <c r="N17" s="32"/>
      <c r="O17" s="643">
        <f t="shared" si="5"/>
        <v>0</v>
      </c>
      <c r="P17" s="644">
        <f t="shared" si="14"/>
        <v>0</v>
      </c>
      <c r="Q17" s="645">
        <f t="shared" si="7"/>
        <v>0</v>
      </c>
      <c r="R17" s="33"/>
      <c r="S17" s="37"/>
      <c r="T17" s="60">
        <f t="shared" si="0"/>
        <v>0</v>
      </c>
      <c r="U17" s="61">
        <f t="shared" si="1"/>
        <v>0</v>
      </c>
      <c r="V17" s="60">
        <f t="shared" si="2"/>
        <v>0</v>
      </c>
      <c r="W17" s="28"/>
      <c r="X17" s="737">
        <f>IF(W17='References Assumptions'!$C$331,'References Assumptions'!$C$335,0)</f>
        <v>0</v>
      </c>
      <c r="Y17" s="646" t="s">
        <v>399</v>
      </c>
      <c r="Z17" s="647">
        <f t="shared" si="8"/>
        <v>0</v>
      </c>
      <c r="AA17" s="28"/>
      <c r="AB17" s="58" t="s">
        <v>222</v>
      </c>
      <c r="AC17" s="1242"/>
      <c r="AD17" s="1243"/>
      <c r="AE17" s="1244"/>
      <c r="AF17" s="54" t="s">
        <v>497</v>
      </c>
      <c r="AG17" s="55">
        <f t="shared" si="12"/>
        <v>0</v>
      </c>
      <c r="AH17" s="55">
        <f t="shared" si="13"/>
        <v>0</v>
      </c>
      <c r="AI17" s="49">
        <f t="shared" si="15"/>
        <v>0</v>
      </c>
      <c r="AK17" s="618"/>
      <c r="AP17" s="654"/>
    </row>
    <row r="18" spans="2:43" ht="15.75" customHeight="1" x14ac:dyDescent="0.25">
      <c r="B18" s="642">
        <v>15</v>
      </c>
      <c r="C18" s="38"/>
      <c r="D18" s="28"/>
      <c r="E18" s="29"/>
      <c r="F18" s="30"/>
      <c r="G18" s="31"/>
      <c r="H18" s="27"/>
      <c r="I18" s="32"/>
      <c r="J18" s="32"/>
      <c r="K18" s="32"/>
      <c r="L18" s="32"/>
      <c r="M18" s="32"/>
      <c r="N18" s="32"/>
      <c r="O18" s="643">
        <f t="shared" si="5"/>
        <v>0</v>
      </c>
      <c r="P18" s="644">
        <f t="shared" si="14"/>
        <v>0</v>
      </c>
      <c r="Q18" s="645">
        <f t="shared" si="7"/>
        <v>0</v>
      </c>
      <c r="R18" s="33"/>
      <c r="S18" s="37"/>
      <c r="T18" s="60">
        <f t="shared" si="0"/>
        <v>0</v>
      </c>
      <c r="U18" s="61">
        <f t="shared" si="1"/>
        <v>0</v>
      </c>
      <c r="V18" s="60">
        <f t="shared" si="2"/>
        <v>0</v>
      </c>
      <c r="W18" s="28"/>
      <c r="X18" s="737">
        <f>IF(W18='References Assumptions'!$C$331,'References Assumptions'!$C$335,0)</f>
        <v>0</v>
      </c>
      <c r="Y18" s="646" t="s">
        <v>399</v>
      </c>
      <c r="Z18" s="647">
        <f t="shared" si="8"/>
        <v>0</v>
      </c>
      <c r="AA18" s="1180"/>
      <c r="AB18" s="58" t="s">
        <v>222</v>
      </c>
      <c r="AC18" s="1245"/>
      <c r="AD18" s="1246"/>
      <c r="AE18" s="1247"/>
      <c r="AF18" s="56" t="s">
        <v>544</v>
      </c>
      <c r="AG18" s="55">
        <f t="shared" si="12"/>
        <v>0</v>
      </c>
      <c r="AH18" s="55">
        <f t="shared" si="13"/>
        <v>0</v>
      </c>
      <c r="AI18" s="49">
        <f t="shared" si="15"/>
        <v>0</v>
      </c>
      <c r="AK18" s="618"/>
      <c r="AP18" s="654"/>
    </row>
    <row r="19" spans="2:43" ht="15.75" customHeight="1" thickBot="1" x14ac:dyDescent="0.3">
      <c r="B19" s="642">
        <v>16</v>
      </c>
      <c r="C19" s="38"/>
      <c r="D19" s="28"/>
      <c r="E19" s="29"/>
      <c r="F19" s="30"/>
      <c r="G19" s="31"/>
      <c r="H19" s="27"/>
      <c r="I19" s="32"/>
      <c r="J19" s="32"/>
      <c r="K19" s="32"/>
      <c r="L19" s="32"/>
      <c r="M19" s="32"/>
      <c r="N19" s="32"/>
      <c r="O19" s="643">
        <f t="shared" si="5"/>
        <v>0</v>
      </c>
      <c r="P19" s="644">
        <f t="shared" si="14"/>
        <v>0</v>
      </c>
      <c r="Q19" s="645">
        <f t="shared" si="7"/>
        <v>0</v>
      </c>
      <c r="R19" s="33"/>
      <c r="S19" s="37"/>
      <c r="T19" s="60">
        <f t="shared" si="0"/>
        <v>0</v>
      </c>
      <c r="U19" s="61">
        <f t="shared" si="1"/>
        <v>0</v>
      </c>
      <c r="V19" s="60">
        <f t="shared" si="2"/>
        <v>0</v>
      </c>
      <c r="W19" s="28"/>
      <c r="X19" s="737">
        <f>IF(W19='References Assumptions'!$C$331,'References Assumptions'!$C$335,0)</f>
        <v>0</v>
      </c>
      <c r="Y19" s="646" t="s">
        <v>399</v>
      </c>
      <c r="Z19" s="647">
        <f t="shared" si="8"/>
        <v>0</v>
      </c>
      <c r="AA19" s="1180"/>
      <c r="AB19" s="59" t="s">
        <v>222</v>
      </c>
      <c r="AC19" s="1263"/>
      <c r="AD19" s="1264"/>
      <c r="AE19" s="1265"/>
      <c r="AF19" s="608" t="s">
        <v>545</v>
      </c>
      <c r="AG19" s="609">
        <f t="shared" si="12"/>
        <v>0</v>
      </c>
      <c r="AH19" s="609">
        <f t="shared" si="13"/>
        <v>0</v>
      </c>
      <c r="AI19" s="596">
        <f t="shared" si="15"/>
        <v>0</v>
      </c>
      <c r="AP19" s="654"/>
    </row>
    <row r="20" spans="2:43" ht="15.75" customHeight="1" x14ac:dyDescent="0.25">
      <c r="B20" s="642">
        <v>17</v>
      </c>
      <c r="C20" s="38"/>
      <c r="D20" s="28"/>
      <c r="E20" s="29"/>
      <c r="F20" s="30"/>
      <c r="G20" s="31"/>
      <c r="H20" s="27"/>
      <c r="I20" s="32"/>
      <c r="J20" s="32"/>
      <c r="K20" s="32"/>
      <c r="L20" s="32"/>
      <c r="M20" s="32"/>
      <c r="N20" s="32"/>
      <c r="O20" s="643">
        <f t="shared" si="5"/>
        <v>0</v>
      </c>
      <c r="P20" s="644">
        <f t="shared" si="14"/>
        <v>0</v>
      </c>
      <c r="Q20" s="645">
        <f t="shared" si="7"/>
        <v>0</v>
      </c>
      <c r="R20" s="33"/>
      <c r="S20" s="37"/>
      <c r="T20" s="60">
        <f t="shared" si="0"/>
        <v>0</v>
      </c>
      <c r="U20" s="61">
        <f t="shared" si="1"/>
        <v>0</v>
      </c>
      <c r="V20" s="60">
        <f t="shared" si="2"/>
        <v>0</v>
      </c>
      <c r="W20" s="28"/>
      <c r="X20" s="737">
        <f>IF(W20='References Assumptions'!$C$331,'References Assumptions'!$C$335,0)</f>
        <v>0</v>
      </c>
      <c r="Y20" s="646" t="s">
        <v>399</v>
      </c>
      <c r="Z20" s="647">
        <f t="shared" si="8"/>
        <v>0</v>
      </c>
      <c r="AA20" s="1180"/>
      <c r="AB20" s="74"/>
      <c r="AP20" s="654"/>
    </row>
    <row r="21" spans="2:43" ht="15.75" customHeight="1" x14ac:dyDescent="0.25">
      <c r="B21" s="642">
        <v>18</v>
      </c>
      <c r="C21" s="38"/>
      <c r="D21" s="28"/>
      <c r="E21" s="29"/>
      <c r="F21" s="30"/>
      <c r="G21" s="31"/>
      <c r="H21" s="27"/>
      <c r="I21" s="32"/>
      <c r="J21" s="32"/>
      <c r="K21" s="32"/>
      <c r="L21" s="32"/>
      <c r="M21" s="32"/>
      <c r="N21" s="32"/>
      <c r="O21" s="643">
        <f t="shared" si="5"/>
        <v>0</v>
      </c>
      <c r="P21" s="644">
        <f t="shared" si="14"/>
        <v>0</v>
      </c>
      <c r="Q21" s="645">
        <f t="shared" si="7"/>
        <v>0</v>
      </c>
      <c r="R21" s="33"/>
      <c r="S21" s="37"/>
      <c r="T21" s="62">
        <f t="shared" si="0"/>
        <v>0</v>
      </c>
      <c r="U21" s="63">
        <f t="shared" si="1"/>
        <v>0</v>
      </c>
      <c r="V21" s="62">
        <f t="shared" si="2"/>
        <v>0</v>
      </c>
      <c r="W21" s="28"/>
      <c r="X21" s="737">
        <f>IF(W21='References Assumptions'!$C$331,'References Assumptions'!$C$335,0)</f>
        <v>0</v>
      </c>
      <c r="Y21" s="646" t="s">
        <v>399</v>
      </c>
      <c r="Z21" s="647">
        <f t="shared" si="8"/>
        <v>0</v>
      </c>
      <c r="AA21" s="1180"/>
      <c r="AB21" s="657"/>
      <c r="AC21" s="393" t="s">
        <v>399</v>
      </c>
      <c r="AD21" s="393" t="s">
        <v>376</v>
      </c>
      <c r="AF21" s="597" t="s">
        <v>646</v>
      </c>
      <c r="AG21" s="386" t="s">
        <v>399</v>
      </c>
      <c r="AH21" s="386" t="s">
        <v>484</v>
      </c>
      <c r="AI21" s="656" t="s">
        <v>549</v>
      </c>
      <c r="AK21" s="658"/>
      <c r="AQ21" s="654"/>
    </row>
    <row r="22" spans="2:43" ht="15.75" customHeight="1" x14ac:dyDescent="0.25">
      <c r="B22" s="642">
        <v>19</v>
      </c>
      <c r="C22" s="38"/>
      <c r="D22" s="28"/>
      <c r="E22" s="29"/>
      <c r="F22" s="30"/>
      <c r="G22" s="31"/>
      <c r="H22" s="27"/>
      <c r="I22" s="32"/>
      <c r="J22" s="32"/>
      <c r="K22" s="32"/>
      <c r="L22" s="32"/>
      <c r="M22" s="32"/>
      <c r="N22" s="32"/>
      <c r="O22" s="643">
        <f t="shared" si="5"/>
        <v>0</v>
      </c>
      <c r="P22" s="644">
        <f t="shared" si="14"/>
        <v>0</v>
      </c>
      <c r="Q22" s="645">
        <f t="shared" si="7"/>
        <v>0</v>
      </c>
      <c r="R22" s="33"/>
      <c r="S22" s="37"/>
      <c r="T22" s="62">
        <f t="shared" si="0"/>
        <v>0</v>
      </c>
      <c r="U22" s="63">
        <f t="shared" si="1"/>
        <v>0</v>
      </c>
      <c r="V22" s="62">
        <f t="shared" si="2"/>
        <v>0</v>
      </c>
      <c r="W22" s="28"/>
      <c r="X22" s="737">
        <f>IF(W22='References Assumptions'!$C$331,'References Assumptions'!$C$335,0)</f>
        <v>0</v>
      </c>
      <c r="Y22" s="646" t="s">
        <v>399</v>
      </c>
      <c r="Z22" s="647">
        <f t="shared" si="8"/>
        <v>0</v>
      </c>
      <c r="AA22" s="1180"/>
      <c r="AB22" s="659" t="s">
        <v>605</v>
      </c>
      <c r="AC22" s="660">
        <f>+AC4+AC8+AC11+AC16</f>
        <v>37585.096819999999</v>
      </c>
      <c r="AD22" s="661">
        <f>+AD4+AD8+AD11+AD16</f>
        <v>34106.258457350268</v>
      </c>
      <c r="AE22" s="662"/>
      <c r="AF22" s="56" t="s">
        <v>647</v>
      </c>
      <c r="AG22" s="55">
        <f>SUMIFS($O$4:$O$28,$D$4:$D$28,AB19,$E$4:$E$28,'References Assumptions'!$C$359)</f>
        <v>0</v>
      </c>
      <c r="AH22" s="55">
        <f>SUMIFS($P$4:$P$28,$D$4:$D$28,AB19,$E$4:$E$28,'References Assumptions'!$C$359)</f>
        <v>0</v>
      </c>
      <c r="AI22" s="599">
        <f>AH22*Percent_Solids</f>
        <v>0</v>
      </c>
      <c r="AK22" s="658"/>
    </row>
    <row r="23" spans="2:43" ht="15.75" customHeight="1" x14ac:dyDescent="0.25">
      <c r="B23" s="642">
        <v>20</v>
      </c>
      <c r="C23" s="38"/>
      <c r="D23" s="28"/>
      <c r="E23" s="29"/>
      <c r="F23" s="30"/>
      <c r="G23" s="31"/>
      <c r="H23" s="27"/>
      <c r="I23" s="32"/>
      <c r="J23" s="32"/>
      <c r="K23" s="32"/>
      <c r="L23" s="32"/>
      <c r="M23" s="32"/>
      <c r="N23" s="32"/>
      <c r="O23" s="643">
        <f t="shared" si="5"/>
        <v>0</v>
      </c>
      <c r="P23" s="644">
        <f t="shared" si="14"/>
        <v>0</v>
      </c>
      <c r="Q23" s="645">
        <f t="shared" si="7"/>
        <v>0</v>
      </c>
      <c r="R23" s="33"/>
      <c r="S23" s="37"/>
      <c r="T23" s="62">
        <f t="shared" si="0"/>
        <v>0</v>
      </c>
      <c r="U23" s="63">
        <f t="shared" si="1"/>
        <v>0</v>
      </c>
      <c r="V23" s="62">
        <f t="shared" si="2"/>
        <v>0</v>
      </c>
      <c r="W23" s="28"/>
      <c r="X23" s="737">
        <f>IF(W23='References Assumptions'!$C$331,'References Assumptions'!$C$335,0)</f>
        <v>0</v>
      </c>
      <c r="Y23" s="646" t="s">
        <v>399</v>
      </c>
      <c r="Z23" s="647">
        <f t="shared" si="8"/>
        <v>0</v>
      </c>
      <c r="AA23" s="1180"/>
      <c r="AB23" s="663" t="s">
        <v>444</v>
      </c>
      <c r="AC23" s="664">
        <f>+AC4/AC22</f>
        <v>1</v>
      </c>
      <c r="AD23" s="664">
        <f>+AD4/AD22</f>
        <v>1</v>
      </c>
      <c r="AF23" s="56" t="s">
        <v>648</v>
      </c>
      <c r="AG23" s="55" t="e">
        <f>SUMIFS($O$4:$O$28,$D$4:$D$28,AB19,$E$4:$E$28,'References Assumptions'!$C$359)*Percent_Solids/percent_solids_after_biodrying</f>
        <v>#DIV/0!</v>
      </c>
      <c r="AH23" s="55" t="e">
        <f>SUMIFS($P$4:$P$28,$D$4:$D$28,AB19,$E$4:$E$28,'References Assumptions'!$C$359)*Percent_Solids/percent_solids_after_biodrying</f>
        <v>#DIV/0!</v>
      </c>
      <c r="AI23" s="599" t="e">
        <f>AH23*percent_solids_after_biodrying</f>
        <v>#DIV/0!</v>
      </c>
      <c r="AK23" s="665"/>
      <c r="AL23" s="658"/>
      <c r="AM23" s="666"/>
    </row>
    <row r="24" spans="2:43" ht="15.75" customHeight="1" x14ac:dyDescent="0.25">
      <c r="B24" s="642">
        <v>21</v>
      </c>
      <c r="C24" s="38"/>
      <c r="D24" s="28"/>
      <c r="E24" s="29"/>
      <c r="F24" s="30"/>
      <c r="G24" s="31"/>
      <c r="H24" s="27"/>
      <c r="I24" s="32"/>
      <c r="J24" s="32"/>
      <c r="K24" s="32"/>
      <c r="L24" s="32"/>
      <c r="M24" s="32"/>
      <c r="N24" s="32"/>
      <c r="O24" s="643">
        <f t="shared" si="5"/>
        <v>0</v>
      </c>
      <c r="P24" s="644">
        <f t="shared" si="14"/>
        <v>0</v>
      </c>
      <c r="Q24" s="645">
        <f t="shared" si="7"/>
        <v>0</v>
      </c>
      <c r="R24" s="33"/>
      <c r="S24" s="37"/>
      <c r="T24" s="62">
        <f t="shared" si="0"/>
        <v>0</v>
      </c>
      <c r="U24" s="63">
        <f t="shared" si="1"/>
        <v>0</v>
      </c>
      <c r="V24" s="62">
        <f t="shared" si="2"/>
        <v>0</v>
      </c>
      <c r="W24" s="28"/>
      <c r="X24" s="737">
        <f>IF(W24='References Assumptions'!$C$331,'References Assumptions'!$C$335,0)</f>
        <v>0</v>
      </c>
      <c r="Y24" s="646" t="s">
        <v>399</v>
      </c>
      <c r="Z24" s="647">
        <f t="shared" si="8"/>
        <v>0</v>
      </c>
      <c r="AA24" s="1180"/>
      <c r="AB24" s="663" t="s">
        <v>250</v>
      </c>
      <c r="AC24" s="664">
        <f>+AC8/AC22</f>
        <v>0</v>
      </c>
      <c r="AD24" s="664">
        <f>+AD8/AD22</f>
        <v>0</v>
      </c>
      <c r="AF24" s="56" t="s">
        <v>649</v>
      </c>
      <c r="AG24" s="55" t="e">
        <f>(SUMIFS($O$4:$O$28,$D$4:$D$28,AB19,$E$4:$E$28,'References Assumptions'!$C$359)*(Percent_Solids/percent_solids_after_biodrying)*(percent_solids_after_biodrying/Percent_Solids_After_Pyrolysis))*(1-Pyrolysis!$B$15)</f>
        <v>#DIV/0!</v>
      </c>
      <c r="AH24" s="55" t="e">
        <f>(SUMIFS($P$4:$P$28,$D$4:$D$28,AB19,$E$4:$E$28,'References Assumptions'!$C$359)*(Percent_Solids/percent_solids_after_biodrying)*(percent_solids_after_biodrying/Percent_Solids_After_Pyrolysis))*(1-Pyrolysis!$B$15)</f>
        <v>#DIV/0!</v>
      </c>
      <c r="AI24" s="1184" t="e">
        <f>AH24*Percent_Solids_After_Pyrolysis</f>
        <v>#DIV/0!</v>
      </c>
    </row>
    <row r="25" spans="2:43" ht="15.75" customHeight="1" x14ac:dyDescent="0.25">
      <c r="B25" s="642">
        <v>22</v>
      </c>
      <c r="C25" s="38"/>
      <c r="D25" s="28"/>
      <c r="E25" s="29"/>
      <c r="F25" s="30"/>
      <c r="G25" s="31"/>
      <c r="H25" s="27"/>
      <c r="I25" s="32"/>
      <c r="J25" s="32"/>
      <c r="K25" s="32"/>
      <c r="L25" s="32"/>
      <c r="M25" s="32"/>
      <c r="N25" s="32"/>
      <c r="O25" s="643">
        <f t="shared" si="5"/>
        <v>0</v>
      </c>
      <c r="P25" s="644">
        <f t="shared" si="14"/>
        <v>0</v>
      </c>
      <c r="Q25" s="645">
        <f t="shared" si="7"/>
        <v>0</v>
      </c>
      <c r="R25" s="33"/>
      <c r="S25" s="37"/>
      <c r="T25" s="62">
        <f t="shared" si="0"/>
        <v>0</v>
      </c>
      <c r="U25" s="63">
        <f t="shared" si="1"/>
        <v>0</v>
      </c>
      <c r="V25" s="62">
        <f t="shared" si="2"/>
        <v>0</v>
      </c>
      <c r="W25" s="28"/>
      <c r="X25" s="737">
        <f>IF(W25='References Assumptions'!$C$331,'References Assumptions'!$C$335,0)</f>
        <v>0</v>
      </c>
      <c r="Y25" s="646" t="s">
        <v>399</v>
      </c>
      <c r="Z25" s="647">
        <f t="shared" si="8"/>
        <v>0</v>
      </c>
      <c r="AA25" s="1180"/>
      <c r="AB25" s="663" t="s">
        <v>182</v>
      </c>
      <c r="AC25" s="664">
        <f>+AC11/AC22</f>
        <v>0</v>
      </c>
      <c r="AD25" s="664">
        <f>+AD11/AD22</f>
        <v>0</v>
      </c>
      <c r="AF25" s="1253" t="s">
        <v>988</v>
      </c>
      <c r="AG25" s="1253"/>
      <c r="AH25" s="1253"/>
      <c r="AI25" s="75"/>
    </row>
    <row r="26" spans="2:43" ht="15.75" customHeight="1" x14ac:dyDescent="0.25">
      <c r="B26" s="642">
        <v>23</v>
      </c>
      <c r="C26" s="38"/>
      <c r="D26" s="28"/>
      <c r="E26" s="29"/>
      <c r="F26" s="30"/>
      <c r="G26" s="31"/>
      <c r="H26" s="27"/>
      <c r="I26" s="32"/>
      <c r="J26" s="32"/>
      <c r="K26" s="32"/>
      <c r="L26" s="32"/>
      <c r="M26" s="32"/>
      <c r="N26" s="32"/>
      <c r="O26" s="643">
        <f t="shared" si="5"/>
        <v>0</v>
      </c>
      <c r="P26" s="644">
        <f t="shared" si="14"/>
        <v>0</v>
      </c>
      <c r="Q26" s="645">
        <f t="shared" si="7"/>
        <v>0</v>
      </c>
      <c r="R26" s="33"/>
      <c r="S26" s="37"/>
      <c r="T26" s="62">
        <f t="shared" si="0"/>
        <v>0</v>
      </c>
      <c r="U26" s="63">
        <f t="shared" si="1"/>
        <v>0</v>
      </c>
      <c r="V26" s="62">
        <f t="shared" si="2"/>
        <v>0</v>
      </c>
      <c r="W26" s="28"/>
      <c r="X26" s="737">
        <f>IF(W26='References Assumptions'!$C$331,'References Assumptions'!$C$335,0)</f>
        <v>0</v>
      </c>
      <c r="Y26" s="646" t="s">
        <v>399</v>
      </c>
      <c r="Z26" s="647">
        <f t="shared" si="8"/>
        <v>0</v>
      </c>
      <c r="AA26" s="1180"/>
      <c r="AB26" s="663" t="s">
        <v>222</v>
      </c>
      <c r="AC26" s="664">
        <f>+AC16/AC22</f>
        <v>0</v>
      </c>
      <c r="AD26" s="664">
        <f>+AD16/AD22</f>
        <v>0</v>
      </c>
      <c r="AF26" s="1253"/>
      <c r="AG26" s="1253"/>
      <c r="AH26" s="1253"/>
      <c r="AI26" s="75"/>
    </row>
    <row r="27" spans="2:43" ht="15.75" customHeight="1" x14ac:dyDescent="0.25">
      <c r="B27" s="642">
        <v>24</v>
      </c>
      <c r="C27" s="38"/>
      <c r="D27" s="28"/>
      <c r="E27" s="29"/>
      <c r="F27" s="30"/>
      <c r="G27" s="31"/>
      <c r="H27" s="27"/>
      <c r="I27" s="32"/>
      <c r="J27" s="32"/>
      <c r="K27" s="32"/>
      <c r="L27" s="32"/>
      <c r="M27" s="32"/>
      <c r="N27" s="32"/>
      <c r="O27" s="643">
        <f t="shared" si="5"/>
        <v>0</v>
      </c>
      <c r="P27" s="644">
        <f t="shared" si="14"/>
        <v>0</v>
      </c>
      <c r="Q27" s="645">
        <f t="shared" si="7"/>
        <v>0</v>
      </c>
      <c r="R27" s="33"/>
      <c r="S27" s="37"/>
      <c r="T27" s="62">
        <f t="shared" si="0"/>
        <v>0</v>
      </c>
      <c r="U27" s="63">
        <f t="shared" si="1"/>
        <v>0</v>
      </c>
      <c r="V27" s="62">
        <f t="shared" si="2"/>
        <v>0</v>
      </c>
      <c r="W27" s="28"/>
      <c r="X27" s="737">
        <f>IF(W27='References Assumptions'!$C$331,'References Assumptions'!$C$335,0)</f>
        <v>0</v>
      </c>
      <c r="Y27" s="646" t="s">
        <v>399</v>
      </c>
      <c r="Z27" s="647">
        <f t="shared" si="8"/>
        <v>0</v>
      </c>
      <c r="AA27" s="1180"/>
      <c r="AB27" s="74"/>
      <c r="AC27" s="668"/>
      <c r="AD27" s="668"/>
      <c r="AI27" s="75"/>
    </row>
    <row r="28" spans="2:43" ht="15.75" customHeight="1" thickBot="1" x14ac:dyDescent="0.3">
      <c r="B28" s="669">
        <v>25</v>
      </c>
      <c r="C28" s="38"/>
      <c r="D28" s="28"/>
      <c r="E28" s="29"/>
      <c r="F28" s="30"/>
      <c r="G28" s="31"/>
      <c r="H28" s="27"/>
      <c r="I28" s="32"/>
      <c r="J28" s="35"/>
      <c r="K28" s="35"/>
      <c r="L28" s="35"/>
      <c r="M28" s="35"/>
      <c r="N28" s="35"/>
      <c r="O28" s="670">
        <f t="shared" si="5"/>
        <v>0</v>
      </c>
      <c r="P28" s="671">
        <f t="shared" si="14"/>
        <v>0</v>
      </c>
      <c r="Q28" s="645">
        <f t="shared" si="7"/>
        <v>0</v>
      </c>
      <c r="R28" s="33"/>
      <c r="S28" s="37"/>
      <c r="T28" s="64">
        <f t="shared" si="0"/>
        <v>0</v>
      </c>
      <c r="U28" s="65">
        <f t="shared" si="1"/>
        <v>0</v>
      </c>
      <c r="V28" s="66">
        <f t="shared" si="2"/>
        <v>0</v>
      </c>
      <c r="W28" s="28"/>
      <c r="X28" s="737">
        <f>IF(W28='References Assumptions'!$C$331,'References Assumptions'!$C$335,0)</f>
        <v>0</v>
      </c>
      <c r="Y28" s="672" t="s">
        <v>399</v>
      </c>
      <c r="Z28" s="673">
        <f t="shared" si="8"/>
        <v>0</v>
      </c>
      <c r="AA28" s="1180"/>
      <c r="AB28" s="141"/>
      <c r="AC28" s="133"/>
      <c r="AD28" s="133"/>
      <c r="AE28" s="133"/>
      <c r="AF28" s="133"/>
      <c r="AG28" s="133"/>
      <c r="AH28" s="133"/>
      <c r="AI28" s="134"/>
    </row>
    <row r="29" spans="2:43" ht="15.75" customHeight="1" thickBot="1" x14ac:dyDescent="0.3">
      <c r="B29" s="674"/>
      <c r="C29" s="675"/>
      <c r="D29" s="53"/>
      <c r="E29" s="641"/>
      <c r="F29" s="676"/>
      <c r="G29" s="53"/>
      <c r="H29" s="677" t="s">
        <v>371</v>
      </c>
      <c r="I29" s="678">
        <f t="shared" ref="I29:N29" si="16">+I30/$O30</f>
        <v>1</v>
      </c>
      <c r="J29" s="678">
        <f t="shared" si="16"/>
        <v>0</v>
      </c>
      <c r="K29" s="678">
        <f t="shared" si="16"/>
        <v>0</v>
      </c>
      <c r="L29" s="678">
        <f t="shared" si="16"/>
        <v>0</v>
      </c>
      <c r="M29" s="678">
        <f t="shared" si="16"/>
        <v>0</v>
      </c>
      <c r="N29" s="678">
        <f t="shared" si="16"/>
        <v>0</v>
      </c>
      <c r="O29" s="678"/>
      <c r="P29" s="53"/>
      <c r="Q29" s="679"/>
      <c r="R29" s="679"/>
      <c r="S29" s="53"/>
      <c r="T29" s="53"/>
      <c r="U29" s="680">
        <v>2</v>
      </c>
      <c r="V29" s="681" t="s">
        <v>395</v>
      </c>
      <c r="W29" s="53"/>
      <c r="X29" s="53"/>
      <c r="Y29" s="53"/>
      <c r="Z29" s="682"/>
      <c r="AA29" s="683"/>
      <c r="AB29" s="684"/>
      <c r="AC29" s="72"/>
      <c r="AD29" s="72"/>
      <c r="AE29" s="72"/>
      <c r="AF29" s="683"/>
      <c r="AG29" s="683"/>
      <c r="AH29" s="683"/>
      <c r="AI29" s="641"/>
    </row>
    <row r="30" spans="2:43" ht="15.75" customHeight="1" thickBot="1" x14ac:dyDescent="0.3">
      <c r="B30" s="685"/>
      <c r="C30" s="686"/>
      <c r="D30" s="687"/>
      <c r="E30" s="688"/>
      <c r="F30" s="689"/>
      <c r="G30" s="687"/>
      <c r="H30" s="690" t="s">
        <v>370</v>
      </c>
      <c r="I30" s="691">
        <f>SUM(I4:I28)</f>
        <v>37585.096819999999</v>
      </c>
      <c r="J30" s="691">
        <f>SUM(J4:J28)</f>
        <v>0</v>
      </c>
      <c r="K30" s="691">
        <f t="shared" ref="K30:P30" si="17">SUM(K4:K28)</f>
        <v>0</v>
      </c>
      <c r="L30" s="691">
        <f t="shared" si="17"/>
        <v>0</v>
      </c>
      <c r="M30" s="691">
        <f t="shared" si="17"/>
        <v>0</v>
      </c>
      <c r="N30" s="691">
        <f t="shared" si="17"/>
        <v>0</v>
      </c>
      <c r="O30" s="691">
        <f t="shared" si="17"/>
        <v>37585.096819999999</v>
      </c>
      <c r="P30" s="691">
        <f t="shared" si="17"/>
        <v>34106.258457350268</v>
      </c>
      <c r="Q30" s="692">
        <f>SUM(Q4:Q28)</f>
        <v>1</v>
      </c>
      <c r="R30" s="692"/>
      <c r="S30" s="691"/>
      <c r="T30" s="687"/>
      <c r="U30" s="687"/>
      <c r="V30" s="687"/>
      <c r="W30" s="693"/>
      <c r="X30" s="693"/>
      <c r="Y30" s="693"/>
      <c r="Z30" s="694"/>
      <c r="AA30" s="695"/>
      <c r="AB30" s="1269" t="str">
        <f>CONCATENATE(B2," - Total Dry Mg")</f>
        <v>Scenario 1 - Total Dry Mg</v>
      </c>
      <c r="AC30" s="1270"/>
      <c r="AD30" s="1271"/>
      <c r="AE30" s="696">
        <f>+AE4+AE8+AE11+AE16</f>
        <v>2455.6506089292193</v>
      </c>
      <c r="AF30" s="697"/>
      <c r="AG30" s="697"/>
      <c r="AH30" s="697"/>
      <c r="AI30" s="688"/>
      <c r="AJ30" s="698"/>
    </row>
    <row r="31" spans="2:43" ht="21.75" thickBot="1" x14ac:dyDescent="0.4">
      <c r="B31" s="623" t="s">
        <v>451</v>
      </c>
      <c r="C31" s="1021" t="str">
        <f>+'Scenarios Data'!B33</f>
        <v>Co-digestion</v>
      </c>
      <c r="D31" s="1275" t="str">
        <f>+'Scenarios Data'!D33:J33</f>
        <v>FOG diverted to Gresham WWTP for co-digestion, with additional biogas to boost CHP, and final Class B biosolids to farmland</v>
      </c>
      <c r="E31" s="1276"/>
      <c r="F31" s="1276"/>
      <c r="G31" s="1277"/>
      <c r="H31" s="624"/>
      <c r="I31" s="1251" t="s">
        <v>833</v>
      </c>
      <c r="J31" s="1251"/>
      <c r="K31" s="1251"/>
      <c r="L31" s="1251"/>
      <c r="M31" s="1251"/>
      <c r="N31" s="1251"/>
      <c r="O31" s="625"/>
      <c r="P31" s="626"/>
      <c r="Q31" s="699"/>
      <c r="R31" s="699"/>
      <c r="S31" s="1252"/>
      <c r="T31" s="1252"/>
      <c r="U31" s="1252"/>
      <c r="V31" s="1252"/>
      <c r="W31" s="626"/>
      <c r="X31" s="626"/>
      <c r="Y31" s="626"/>
      <c r="Z31" s="626"/>
      <c r="AA31" s="700"/>
      <c r="AB31" s="1237" t="str">
        <f>CONCATENATE(B31," - ",C31," - Totals")</f>
        <v>Scenario 2 - Co-digestion - Totals</v>
      </c>
      <c r="AC31" s="1238"/>
      <c r="AD31" s="1238"/>
      <c r="AE31" s="1238"/>
      <c r="AF31" s="1238"/>
      <c r="AG31" s="1238"/>
      <c r="AH31" s="1238"/>
      <c r="AI31" s="1239"/>
    </row>
    <row r="32" spans="2:43" ht="46.5" thickBot="1" x14ac:dyDescent="0.35">
      <c r="B32" s="627" t="s">
        <v>400</v>
      </c>
      <c r="C32" s="628" t="s">
        <v>539</v>
      </c>
      <c r="D32" s="629" t="s">
        <v>540</v>
      </c>
      <c r="E32" s="630" t="s">
        <v>489</v>
      </c>
      <c r="F32" s="631" t="s">
        <v>667</v>
      </c>
      <c r="G32" s="630" t="s">
        <v>401</v>
      </c>
      <c r="H32" s="632" t="s">
        <v>402</v>
      </c>
      <c r="I32" s="39">
        <v>1</v>
      </c>
      <c r="J32" s="39">
        <v>2</v>
      </c>
      <c r="K32" s="39">
        <v>3</v>
      </c>
      <c r="L32" s="39">
        <v>4</v>
      </c>
      <c r="M32" s="39">
        <v>5</v>
      </c>
      <c r="N32" s="39">
        <v>6</v>
      </c>
      <c r="O32" s="633" t="s">
        <v>397</v>
      </c>
      <c r="P32" s="633" t="s">
        <v>398</v>
      </c>
      <c r="Q32" s="630" t="s">
        <v>538</v>
      </c>
      <c r="R32" s="634" t="s">
        <v>488</v>
      </c>
      <c r="S32" s="635" t="s">
        <v>460</v>
      </c>
      <c r="T32" s="630" t="s">
        <v>461</v>
      </c>
      <c r="U32" s="636" t="s">
        <v>460</v>
      </c>
      <c r="V32" s="637" t="s">
        <v>461</v>
      </c>
      <c r="W32" s="701" t="s">
        <v>481</v>
      </c>
      <c r="X32" s="701" t="s">
        <v>480</v>
      </c>
      <c r="Y32" s="701" t="s">
        <v>482</v>
      </c>
      <c r="Z32" s="702" t="s">
        <v>483</v>
      </c>
      <c r="AA32" s="703" t="s">
        <v>556</v>
      </c>
      <c r="AB32" s="57" t="s">
        <v>546</v>
      </c>
      <c r="AC32" s="53" t="s">
        <v>399</v>
      </c>
      <c r="AD32" s="53" t="s">
        <v>484</v>
      </c>
      <c r="AE32" s="53" t="s">
        <v>549</v>
      </c>
      <c r="AF32" s="52" t="s">
        <v>555</v>
      </c>
      <c r="AG32" s="53" t="s">
        <v>399</v>
      </c>
      <c r="AH32" s="53" t="s">
        <v>484</v>
      </c>
      <c r="AI32" s="641" t="s">
        <v>549</v>
      </c>
      <c r="AL32" s="649"/>
      <c r="AM32" s="650"/>
      <c r="AN32" s="650"/>
      <c r="AO32" s="650"/>
      <c r="AP32" s="650"/>
      <c r="AQ32" s="650"/>
    </row>
    <row r="33" spans="2:43" ht="15.75" customHeight="1" x14ac:dyDescent="0.25">
      <c r="B33" s="642">
        <v>1</v>
      </c>
      <c r="C33" s="38" t="s">
        <v>995</v>
      </c>
      <c r="D33" s="28" t="s">
        <v>548</v>
      </c>
      <c r="E33" s="29" t="s">
        <v>609</v>
      </c>
      <c r="F33" s="30"/>
      <c r="G33" s="31"/>
      <c r="H33" s="27"/>
      <c r="I33" s="32">
        <f>I4</f>
        <v>37585.096819999999</v>
      </c>
      <c r="J33" s="32"/>
      <c r="K33" s="32"/>
      <c r="L33" s="32"/>
      <c r="M33" s="32"/>
      <c r="N33" s="32"/>
      <c r="O33" s="643">
        <f>SUM(I33:N33)</f>
        <v>37585.096819999999</v>
      </c>
      <c r="P33" s="644">
        <f t="shared" ref="P33:P44" si="18">+O33/Mg_ton</f>
        <v>34106.258457350268</v>
      </c>
      <c r="Q33" s="645">
        <f>P33/$P$59</f>
        <v>1</v>
      </c>
      <c r="R33" s="33"/>
      <c r="S33" s="37"/>
      <c r="T33" s="60">
        <f t="shared" ref="T33:T57" si="19">+S33/km_mile</f>
        <v>0</v>
      </c>
      <c r="U33" s="61">
        <f t="shared" ref="U33:U57" si="20">+S33*$U$29</f>
        <v>0</v>
      </c>
      <c r="V33" s="60">
        <f t="shared" ref="V33:V57" si="21">+U33/km_mile</f>
        <v>0</v>
      </c>
      <c r="W33" s="28"/>
      <c r="X33" s="738">
        <f>IF(W33='References Assumptions'!$C$331,'References Assumptions'!$C$335,0)</f>
        <v>0</v>
      </c>
      <c r="Y33" s="704" t="s">
        <v>399</v>
      </c>
      <c r="Z33" s="705">
        <f t="shared" ref="Z33:Z57" si="22">+X33/Mg_ton</f>
        <v>0</v>
      </c>
      <c r="AA33" s="1181"/>
      <c r="AB33" s="58" t="s">
        <v>444</v>
      </c>
      <c r="AC33" s="648">
        <f>AD33*Mg_ton</f>
        <v>0</v>
      </c>
      <c r="AD33" s="648">
        <f>SUMIF($D$33:$D$57,AB33,$P$33:$P$57)</f>
        <v>0</v>
      </c>
      <c r="AE33" s="50">
        <f>AD33*(Mean_solids)</f>
        <v>0</v>
      </c>
      <c r="AF33" s="706" t="s">
        <v>503</v>
      </c>
      <c r="AG33" s="648">
        <f>SUMIFS($O$33:$O$57,$D$33:$D$57,AB33,$E$33:$E$57,AF33)</f>
        <v>0</v>
      </c>
      <c r="AH33" s="648">
        <f t="shared" ref="AH33:AH39" si="23">SUMIFS($P$33:$P$57,$D$33:$D$57,AB33,$E$33:$E$57,AF33)</f>
        <v>0</v>
      </c>
      <c r="AI33" s="49">
        <f t="shared" ref="AI33:AI40" si="24">AH33*(Mean_solids)</f>
        <v>0</v>
      </c>
      <c r="AJ33" s="651"/>
      <c r="AK33" s="651"/>
      <c r="AL33" s="651"/>
      <c r="AM33" s="650"/>
      <c r="AN33" s="650"/>
      <c r="AO33" s="650"/>
      <c r="AP33" s="650"/>
      <c r="AQ33" s="650"/>
    </row>
    <row r="34" spans="2:43" ht="15.75" customHeight="1" x14ac:dyDescent="0.25">
      <c r="B34" s="642">
        <v>2</v>
      </c>
      <c r="C34" s="38"/>
      <c r="D34" s="28"/>
      <c r="E34" s="29"/>
      <c r="F34" s="30"/>
      <c r="G34" s="31"/>
      <c r="H34" s="27"/>
      <c r="I34" s="32"/>
      <c r="J34" s="36"/>
      <c r="K34" s="36"/>
      <c r="L34" s="36"/>
      <c r="M34" s="36"/>
      <c r="N34" s="36"/>
      <c r="O34" s="643">
        <f t="shared" ref="O34:O57" si="25">SUM(I34:N34)</f>
        <v>0</v>
      </c>
      <c r="P34" s="644">
        <f t="shared" si="18"/>
        <v>0</v>
      </c>
      <c r="Q34" s="645">
        <f t="shared" ref="Q34:Q57" si="26">P34/$P$59</f>
        <v>0</v>
      </c>
      <c r="R34" s="33"/>
      <c r="S34" s="37"/>
      <c r="T34" s="60">
        <f t="shared" si="19"/>
        <v>0</v>
      </c>
      <c r="U34" s="61">
        <f t="shared" si="20"/>
        <v>0</v>
      </c>
      <c r="V34" s="60">
        <f t="shared" si="21"/>
        <v>0</v>
      </c>
      <c r="W34" s="28"/>
      <c r="X34" s="737">
        <f>IF(W34='References Assumptions'!$C$331,'References Assumptions'!$C$335,0)</f>
        <v>0</v>
      </c>
      <c r="Y34" s="646" t="s">
        <v>399</v>
      </c>
      <c r="Z34" s="647">
        <f t="shared" si="22"/>
        <v>0</v>
      </c>
      <c r="AA34" s="29"/>
      <c r="AB34" s="58" t="s">
        <v>444</v>
      </c>
      <c r="AC34" s="1279"/>
      <c r="AD34" s="1279"/>
      <c r="AE34" s="1279"/>
      <c r="AF34" s="54" t="s">
        <v>504</v>
      </c>
      <c r="AG34" s="648">
        <f t="shared" ref="AG34:AG39" si="27">SUMIFS($O$33:$O$57,$D$33:$D$57,AB34,$E$33:$E$57,AF34)</f>
        <v>0</v>
      </c>
      <c r="AH34" s="648">
        <f t="shared" si="23"/>
        <v>0</v>
      </c>
      <c r="AI34" s="49">
        <f t="shared" si="24"/>
        <v>0</v>
      </c>
      <c r="AJ34" s="651"/>
      <c r="AK34" s="651"/>
      <c r="AL34" s="651"/>
    </row>
    <row r="35" spans="2:43" ht="15.75" customHeight="1" x14ac:dyDescent="0.25">
      <c r="B35" s="642">
        <v>3</v>
      </c>
      <c r="C35" s="38"/>
      <c r="D35" s="28"/>
      <c r="E35" s="29"/>
      <c r="F35" s="30"/>
      <c r="G35" s="31"/>
      <c r="H35" s="27"/>
      <c r="I35" s="32"/>
      <c r="J35" s="36"/>
      <c r="K35" s="36"/>
      <c r="L35" s="36"/>
      <c r="M35" s="36"/>
      <c r="N35" s="36"/>
      <c r="O35" s="643">
        <f t="shared" si="25"/>
        <v>0</v>
      </c>
      <c r="P35" s="644">
        <f t="shared" si="18"/>
        <v>0</v>
      </c>
      <c r="Q35" s="645">
        <f t="shared" si="26"/>
        <v>0</v>
      </c>
      <c r="R35" s="33"/>
      <c r="S35" s="37"/>
      <c r="T35" s="60">
        <f t="shared" si="19"/>
        <v>0</v>
      </c>
      <c r="U35" s="61">
        <f t="shared" si="20"/>
        <v>0</v>
      </c>
      <c r="V35" s="60">
        <f t="shared" si="21"/>
        <v>0</v>
      </c>
      <c r="W35" s="28"/>
      <c r="X35" s="737">
        <f>IF(W35='References Assumptions'!$C$331,'References Assumptions'!$C$335,0)</f>
        <v>0</v>
      </c>
      <c r="Y35" s="646" t="s">
        <v>399</v>
      </c>
      <c r="Z35" s="647">
        <f t="shared" si="22"/>
        <v>0</v>
      </c>
      <c r="AA35" s="29"/>
      <c r="AB35" s="58" t="s">
        <v>444</v>
      </c>
      <c r="AC35" s="1279"/>
      <c r="AD35" s="1279"/>
      <c r="AE35" s="1279"/>
      <c r="AF35" s="54" t="s">
        <v>505</v>
      </c>
      <c r="AG35" s="648">
        <f>SUMIFS($O$33:$O$57,$D$33:$D$57,AB35,$E$33:$E$57,AF35)</f>
        <v>0</v>
      </c>
      <c r="AH35" s="648">
        <f t="shared" si="23"/>
        <v>0</v>
      </c>
      <c r="AI35" s="49">
        <f t="shared" si="24"/>
        <v>0</v>
      </c>
      <c r="AJ35" s="651"/>
      <c r="AK35" s="651"/>
      <c r="AL35" s="651"/>
      <c r="AM35" s="651"/>
    </row>
    <row r="36" spans="2:43" ht="15.75" customHeight="1" x14ac:dyDescent="0.25">
      <c r="B36" s="642">
        <v>4</v>
      </c>
      <c r="C36" s="38"/>
      <c r="D36" s="28"/>
      <c r="E36" s="29"/>
      <c r="F36" s="30"/>
      <c r="G36" s="31"/>
      <c r="H36" s="27"/>
      <c r="I36" s="32"/>
      <c r="J36" s="36"/>
      <c r="K36" s="36"/>
      <c r="L36" s="36"/>
      <c r="M36" s="36"/>
      <c r="N36" s="36"/>
      <c r="O36" s="643">
        <f t="shared" si="25"/>
        <v>0</v>
      </c>
      <c r="P36" s="644">
        <f t="shared" si="18"/>
        <v>0</v>
      </c>
      <c r="Q36" s="645">
        <f t="shared" si="26"/>
        <v>0</v>
      </c>
      <c r="R36" s="33"/>
      <c r="S36" s="37"/>
      <c r="T36" s="60">
        <f t="shared" si="19"/>
        <v>0</v>
      </c>
      <c r="U36" s="61">
        <f t="shared" si="20"/>
        <v>0</v>
      </c>
      <c r="V36" s="60">
        <f t="shared" si="21"/>
        <v>0</v>
      </c>
      <c r="W36" s="28"/>
      <c r="X36" s="737">
        <f>IF(W36='References Assumptions'!$C$331,'References Assumptions'!$C$335,0)</f>
        <v>0</v>
      </c>
      <c r="Y36" s="646" t="s">
        <v>399</v>
      </c>
      <c r="Z36" s="647">
        <f t="shared" si="22"/>
        <v>0</v>
      </c>
      <c r="AA36" s="29"/>
      <c r="AB36" s="58" t="s">
        <v>444</v>
      </c>
      <c r="AC36" s="1279"/>
      <c r="AD36" s="1279"/>
      <c r="AE36" s="1279"/>
      <c r="AF36" s="54" t="s">
        <v>547</v>
      </c>
      <c r="AG36" s="648">
        <f t="shared" si="27"/>
        <v>0</v>
      </c>
      <c r="AH36" s="648">
        <f t="shared" si="23"/>
        <v>0</v>
      </c>
      <c r="AI36" s="49">
        <f t="shared" si="24"/>
        <v>0</v>
      </c>
      <c r="AJ36" s="651"/>
      <c r="AK36" s="651"/>
      <c r="AL36" s="651"/>
      <c r="AM36" s="651"/>
    </row>
    <row r="37" spans="2:43" ht="15.75" customHeight="1" x14ac:dyDescent="0.25">
      <c r="B37" s="642">
        <v>5</v>
      </c>
      <c r="C37" s="38"/>
      <c r="D37" s="28"/>
      <c r="E37" s="29"/>
      <c r="F37" s="30"/>
      <c r="G37" s="31"/>
      <c r="H37" s="27"/>
      <c r="I37" s="32"/>
      <c r="J37" s="36"/>
      <c r="K37" s="36"/>
      <c r="L37" s="36"/>
      <c r="M37" s="36"/>
      <c r="N37" s="36"/>
      <c r="O37" s="643">
        <f t="shared" si="25"/>
        <v>0</v>
      </c>
      <c r="P37" s="644">
        <f t="shared" si="18"/>
        <v>0</v>
      </c>
      <c r="Q37" s="645">
        <f t="shared" si="26"/>
        <v>0</v>
      </c>
      <c r="R37" s="33"/>
      <c r="S37" s="37"/>
      <c r="T37" s="60">
        <f t="shared" si="19"/>
        <v>0</v>
      </c>
      <c r="U37" s="61">
        <f t="shared" si="20"/>
        <v>0</v>
      </c>
      <c r="V37" s="60">
        <f t="shared" si="21"/>
        <v>0</v>
      </c>
      <c r="W37" s="28"/>
      <c r="X37" s="737">
        <f>IF(W37='References Assumptions'!$C$331,'References Assumptions'!$C$335,0)</f>
        <v>0</v>
      </c>
      <c r="Y37" s="646" t="s">
        <v>399</v>
      </c>
      <c r="Z37" s="647">
        <f t="shared" si="22"/>
        <v>0</v>
      </c>
      <c r="AA37" s="29"/>
      <c r="AB37" s="58" t="s">
        <v>250</v>
      </c>
      <c r="AC37" s="648">
        <f>AD37*Mg_ton</f>
        <v>0</v>
      </c>
      <c r="AD37" s="648">
        <f>SUMIF($D$33:$D$57,AB37,$P$33:$P$57)</f>
        <v>0</v>
      </c>
      <c r="AE37" s="50">
        <f>AD37*(Mean_solids)</f>
        <v>0</v>
      </c>
      <c r="AF37" s="56" t="s">
        <v>487</v>
      </c>
      <c r="AG37" s="648">
        <f t="shared" si="27"/>
        <v>0</v>
      </c>
      <c r="AH37" s="648">
        <f t="shared" si="23"/>
        <v>0</v>
      </c>
      <c r="AI37" s="49">
        <f t="shared" si="24"/>
        <v>0</v>
      </c>
      <c r="AJ37" s="651"/>
      <c r="AK37" s="651"/>
      <c r="AL37" s="651"/>
      <c r="AM37" s="651"/>
    </row>
    <row r="38" spans="2:43" ht="15.75" customHeight="1" x14ac:dyDescent="0.25">
      <c r="B38" s="642">
        <v>6</v>
      </c>
      <c r="C38" s="38"/>
      <c r="D38" s="28"/>
      <c r="E38" s="29"/>
      <c r="F38" s="30"/>
      <c r="G38" s="31"/>
      <c r="H38" s="27"/>
      <c r="I38" s="32"/>
      <c r="J38" s="36"/>
      <c r="K38" s="36"/>
      <c r="L38" s="36"/>
      <c r="M38" s="36"/>
      <c r="N38" s="36"/>
      <c r="O38" s="643">
        <f t="shared" si="25"/>
        <v>0</v>
      </c>
      <c r="P38" s="644">
        <f t="shared" si="18"/>
        <v>0</v>
      </c>
      <c r="Q38" s="645">
        <f t="shared" si="26"/>
        <v>0</v>
      </c>
      <c r="R38" s="33"/>
      <c r="S38" s="37"/>
      <c r="T38" s="60">
        <f t="shared" si="19"/>
        <v>0</v>
      </c>
      <c r="U38" s="61">
        <f t="shared" si="20"/>
        <v>0</v>
      </c>
      <c r="V38" s="60">
        <f t="shared" si="21"/>
        <v>0</v>
      </c>
      <c r="W38" s="28"/>
      <c r="X38" s="737">
        <f>IF(W38='References Assumptions'!$C$331,'References Assumptions'!$C$335,0)</f>
        <v>0</v>
      </c>
      <c r="Y38" s="646" t="s">
        <v>399</v>
      </c>
      <c r="Z38" s="647">
        <f t="shared" si="22"/>
        <v>0</v>
      </c>
      <c r="AA38" s="29"/>
      <c r="AB38" s="58" t="s">
        <v>250</v>
      </c>
      <c r="AC38" s="1279"/>
      <c r="AD38" s="1279"/>
      <c r="AE38" s="1279"/>
      <c r="AF38" s="56" t="s">
        <v>90</v>
      </c>
      <c r="AG38" s="648">
        <f t="shared" si="27"/>
        <v>0</v>
      </c>
      <c r="AH38" s="648">
        <f t="shared" si="23"/>
        <v>0</v>
      </c>
      <c r="AI38" s="49">
        <f t="shared" si="24"/>
        <v>0</v>
      </c>
      <c r="AJ38" s="651"/>
      <c r="AK38" s="707"/>
      <c r="AL38" s="651"/>
      <c r="AM38" s="651"/>
    </row>
    <row r="39" spans="2:43" ht="15.75" customHeight="1" x14ac:dyDescent="0.25">
      <c r="B39" s="642">
        <v>7</v>
      </c>
      <c r="C39" s="38"/>
      <c r="D39" s="28"/>
      <c r="E39" s="29"/>
      <c r="F39" s="30"/>
      <c r="G39" s="31"/>
      <c r="H39" s="27"/>
      <c r="I39" s="32"/>
      <c r="J39" s="36"/>
      <c r="K39" s="36"/>
      <c r="L39" s="36"/>
      <c r="M39" s="36"/>
      <c r="N39" s="36"/>
      <c r="O39" s="643">
        <f t="shared" si="25"/>
        <v>0</v>
      </c>
      <c r="P39" s="644">
        <f t="shared" si="18"/>
        <v>0</v>
      </c>
      <c r="Q39" s="645">
        <f t="shared" si="26"/>
        <v>0</v>
      </c>
      <c r="R39" s="33"/>
      <c r="S39" s="37"/>
      <c r="T39" s="60">
        <f t="shared" si="19"/>
        <v>0</v>
      </c>
      <c r="U39" s="61">
        <f t="shared" si="20"/>
        <v>0</v>
      </c>
      <c r="V39" s="60">
        <f t="shared" si="21"/>
        <v>0</v>
      </c>
      <c r="W39" s="28"/>
      <c r="X39" s="737">
        <f>IF(W39='References Assumptions'!$C$331,'References Assumptions'!$C$335,0)</f>
        <v>0</v>
      </c>
      <c r="Y39" s="646" t="s">
        <v>399</v>
      </c>
      <c r="Z39" s="647">
        <f t="shared" si="22"/>
        <v>0</v>
      </c>
      <c r="AA39" s="29"/>
      <c r="AB39" s="58" t="s">
        <v>250</v>
      </c>
      <c r="AC39" s="1279"/>
      <c r="AD39" s="1279"/>
      <c r="AE39" s="1279"/>
      <c r="AF39" s="56" t="s">
        <v>176</v>
      </c>
      <c r="AG39" s="648">
        <f t="shared" si="27"/>
        <v>0</v>
      </c>
      <c r="AH39" s="648">
        <f t="shared" si="23"/>
        <v>0</v>
      </c>
      <c r="AI39" s="49">
        <f t="shared" si="24"/>
        <v>0</v>
      </c>
      <c r="AJ39" s="651"/>
      <c r="AK39" s="651"/>
      <c r="AL39" s="651"/>
      <c r="AM39" s="652"/>
    </row>
    <row r="40" spans="2:43" ht="15.75" customHeight="1" x14ac:dyDescent="0.25">
      <c r="B40" s="642">
        <v>8</v>
      </c>
      <c r="C40" s="38"/>
      <c r="D40" s="28"/>
      <c r="E40" s="29"/>
      <c r="F40" s="30"/>
      <c r="G40" s="31"/>
      <c r="H40" s="27"/>
      <c r="I40" s="32"/>
      <c r="J40" s="36"/>
      <c r="K40" s="36"/>
      <c r="L40" s="36"/>
      <c r="M40" s="36"/>
      <c r="N40" s="36"/>
      <c r="O40" s="643">
        <f t="shared" si="25"/>
        <v>0</v>
      </c>
      <c r="P40" s="644">
        <f t="shared" si="18"/>
        <v>0</v>
      </c>
      <c r="Q40" s="645">
        <f t="shared" si="26"/>
        <v>0</v>
      </c>
      <c r="R40" s="33"/>
      <c r="S40" s="37"/>
      <c r="T40" s="60">
        <f t="shared" si="19"/>
        <v>0</v>
      </c>
      <c r="U40" s="61">
        <f t="shared" si="20"/>
        <v>0</v>
      </c>
      <c r="V40" s="60">
        <f t="shared" si="21"/>
        <v>0</v>
      </c>
      <c r="W40" s="28"/>
      <c r="X40" s="737">
        <f>IF(W40='References Assumptions'!$C$331,'References Assumptions'!$C$335,0)</f>
        <v>0</v>
      </c>
      <c r="Y40" s="646" t="s">
        <v>399</v>
      </c>
      <c r="Z40" s="647">
        <f t="shared" si="22"/>
        <v>0</v>
      </c>
      <c r="AA40" s="29"/>
      <c r="AB40" s="58" t="s">
        <v>548</v>
      </c>
      <c r="AC40" s="648">
        <f>AD40*Mg_ton</f>
        <v>37585.096819999999</v>
      </c>
      <c r="AD40" s="648">
        <f>SUMIF($D$33:$D$57,AB40,$P$33:$P$57)</f>
        <v>34106.258457350268</v>
      </c>
      <c r="AE40" s="50">
        <f>AD40*(Mean_solids)</f>
        <v>2455.6506089292193</v>
      </c>
      <c r="AF40" s="56" t="s">
        <v>592</v>
      </c>
      <c r="AG40" s="648">
        <f>SUMIFS($O$33:$O$57,$D$33:$D$57,AB40,$E$33:$E$57,'References Assumptions'!$C$352)</f>
        <v>0</v>
      </c>
      <c r="AH40" s="648">
        <f>SUMIFS($P$33:$P$57,$D$33:$D$57,AB40,$E$33:$E$57,'References Assumptions'!$C$352)</f>
        <v>0</v>
      </c>
      <c r="AI40" s="49">
        <f t="shared" si="24"/>
        <v>0</v>
      </c>
      <c r="AJ40" s="651"/>
      <c r="AK40" s="708"/>
      <c r="AL40" s="708"/>
      <c r="AO40" s="654"/>
    </row>
    <row r="41" spans="2:43" ht="15.75" customHeight="1" x14ac:dyDescent="0.25">
      <c r="B41" s="642">
        <v>9</v>
      </c>
      <c r="C41" s="38"/>
      <c r="D41" s="28"/>
      <c r="E41" s="29"/>
      <c r="F41" s="30"/>
      <c r="G41" s="31"/>
      <c r="H41" s="27"/>
      <c r="I41" s="32"/>
      <c r="J41" s="36"/>
      <c r="K41" s="36"/>
      <c r="L41" s="36"/>
      <c r="M41" s="36"/>
      <c r="N41" s="36"/>
      <c r="O41" s="643">
        <f t="shared" si="25"/>
        <v>0</v>
      </c>
      <c r="P41" s="644">
        <f t="shared" si="18"/>
        <v>0</v>
      </c>
      <c r="Q41" s="645">
        <f t="shared" si="26"/>
        <v>0</v>
      </c>
      <c r="R41" s="33"/>
      <c r="S41" s="37"/>
      <c r="T41" s="60">
        <f t="shared" si="19"/>
        <v>0</v>
      </c>
      <c r="U41" s="61">
        <f t="shared" si="20"/>
        <v>0</v>
      </c>
      <c r="V41" s="60">
        <f t="shared" si="21"/>
        <v>0</v>
      </c>
      <c r="W41" s="28"/>
      <c r="X41" s="737">
        <f>IF(W41='References Assumptions'!$C$331,'References Assumptions'!$C$335,0)</f>
        <v>0</v>
      </c>
      <c r="Y41" s="646" t="s">
        <v>399</v>
      </c>
      <c r="Z41" s="647">
        <f t="shared" si="22"/>
        <v>0</v>
      </c>
      <c r="AA41" s="29"/>
      <c r="AB41" s="58" t="s">
        <v>548</v>
      </c>
      <c r="AC41" s="1240"/>
      <c r="AD41" s="1240"/>
      <c r="AE41" s="1240"/>
      <c r="AF41" s="56" t="s">
        <v>593</v>
      </c>
      <c r="AG41" s="648" t="e">
        <f>SUMIFS($O$33:$O$57,$D$33:$D$57,AB41,$E$33:$E$57,'References Assumptions'!$C$352)*'Thermal Drying'!$D$7/percent_solids_after_thermal_drying</f>
        <v>#DIV/0!</v>
      </c>
      <c r="AH41" s="648" t="e">
        <f>SUMIFS($P$33:$P$57,$D$33:$D$57,AB41,$E$33:$E$57,'References Assumptions'!$C$352)*'Thermal Drying'!$D$7/percent_solids_after_thermal_drying</f>
        <v>#DIV/0!</v>
      </c>
      <c r="AI41" s="49" t="e">
        <f>+AH41*percent_solids_after_thermal_drying</f>
        <v>#DIV/0!</v>
      </c>
      <c r="AJ41" s="651"/>
      <c r="AK41" s="708"/>
      <c r="AL41" s="708"/>
    </row>
    <row r="42" spans="2:43" ht="15.75" customHeight="1" x14ac:dyDescent="0.25">
      <c r="B42" s="642">
        <v>10</v>
      </c>
      <c r="C42" s="38"/>
      <c r="D42" s="28"/>
      <c r="E42" s="29"/>
      <c r="F42" s="30"/>
      <c r="G42" s="31"/>
      <c r="H42" s="27"/>
      <c r="I42" s="32"/>
      <c r="J42" s="36"/>
      <c r="K42" s="36"/>
      <c r="L42" s="36"/>
      <c r="M42" s="36"/>
      <c r="N42" s="36"/>
      <c r="O42" s="643">
        <f t="shared" si="25"/>
        <v>0</v>
      </c>
      <c r="P42" s="644">
        <f t="shared" si="18"/>
        <v>0</v>
      </c>
      <c r="Q42" s="645">
        <f t="shared" si="26"/>
        <v>0</v>
      </c>
      <c r="R42" s="33"/>
      <c r="S42" s="37"/>
      <c r="T42" s="60">
        <f t="shared" si="19"/>
        <v>0</v>
      </c>
      <c r="U42" s="61">
        <f t="shared" si="20"/>
        <v>0</v>
      </c>
      <c r="V42" s="60">
        <f t="shared" si="21"/>
        <v>0</v>
      </c>
      <c r="W42" s="28"/>
      <c r="X42" s="737">
        <f>IF(W42='References Assumptions'!$C$331,'References Assumptions'!$C$335,0)</f>
        <v>0</v>
      </c>
      <c r="Y42" s="646" t="s">
        <v>399</v>
      </c>
      <c r="Z42" s="647">
        <f t="shared" si="22"/>
        <v>0</v>
      </c>
      <c r="AA42" s="29"/>
      <c r="AB42" s="58" t="s">
        <v>548</v>
      </c>
      <c r="AC42" s="1198"/>
      <c r="AD42" s="1198"/>
      <c r="AE42" s="1198"/>
      <c r="AF42" s="56" t="s">
        <v>608</v>
      </c>
      <c r="AG42" s="648">
        <f t="shared" ref="AG42:AG43" si="28">SUMIFS($O$33:$O$57,$D$33:$D$57,AB42,$E$33:$E$57,AF42)</f>
        <v>0</v>
      </c>
      <c r="AH42" s="648">
        <f t="shared" ref="AH42:AH43" si="29">SUMIFS($P$33:$P$57,$D$33:$D$57,AB42,$E$33:$E$57,AF42)</f>
        <v>0</v>
      </c>
      <c r="AI42" s="49">
        <f t="shared" ref="AI42:AI43" si="30">AH42*(Mean_solids)</f>
        <v>0</v>
      </c>
      <c r="AK42" s="655"/>
      <c r="AL42" s="655"/>
    </row>
    <row r="43" spans="2:43" ht="15.75" customHeight="1" x14ac:dyDescent="0.25">
      <c r="B43" s="642">
        <v>11</v>
      </c>
      <c r="C43" s="38"/>
      <c r="D43" s="28"/>
      <c r="E43" s="29"/>
      <c r="F43" s="30"/>
      <c r="G43" s="31"/>
      <c r="H43" s="27"/>
      <c r="I43" s="32"/>
      <c r="J43" s="36"/>
      <c r="K43" s="36"/>
      <c r="L43" s="36"/>
      <c r="M43" s="36"/>
      <c r="N43" s="36"/>
      <c r="O43" s="643">
        <f t="shared" si="25"/>
        <v>0</v>
      </c>
      <c r="P43" s="644">
        <f t="shared" si="18"/>
        <v>0</v>
      </c>
      <c r="Q43" s="645">
        <f t="shared" si="26"/>
        <v>0</v>
      </c>
      <c r="R43" s="33"/>
      <c r="S43" s="37"/>
      <c r="T43" s="60">
        <f t="shared" si="19"/>
        <v>0</v>
      </c>
      <c r="U43" s="61">
        <f t="shared" si="20"/>
        <v>0</v>
      </c>
      <c r="V43" s="60">
        <f t="shared" si="21"/>
        <v>0</v>
      </c>
      <c r="W43" s="28"/>
      <c r="X43" s="737">
        <f>IF(W43='References Assumptions'!$C$331,'References Assumptions'!$C$335,0)</f>
        <v>0</v>
      </c>
      <c r="Y43" s="646" t="s">
        <v>399</v>
      </c>
      <c r="Z43" s="647">
        <f t="shared" si="22"/>
        <v>0</v>
      </c>
      <c r="AA43" s="29"/>
      <c r="AB43" s="58" t="s">
        <v>548</v>
      </c>
      <c r="AC43" s="1198"/>
      <c r="AD43" s="1198"/>
      <c r="AE43" s="1198"/>
      <c r="AF43" s="56" t="s">
        <v>609</v>
      </c>
      <c r="AG43" s="648">
        <f t="shared" si="28"/>
        <v>37585.096819999999</v>
      </c>
      <c r="AH43" s="648">
        <f t="shared" si="29"/>
        <v>34106.258457350268</v>
      </c>
      <c r="AI43" s="49">
        <f t="shared" si="30"/>
        <v>2455.6506089292193</v>
      </c>
    </row>
    <row r="44" spans="2:43" ht="15.75" customHeight="1" x14ac:dyDescent="0.25">
      <c r="B44" s="642">
        <v>12</v>
      </c>
      <c r="C44" s="38"/>
      <c r="D44" s="28"/>
      <c r="E44" s="29"/>
      <c r="F44" s="30"/>
      <c r="G44" s="31"/>
      <c r="H44" s="27"/>
      <c r="I44" s="32"/>
      <c r="J44" s="36"/>
      <c r="K44" s="36"/>
      <c r="L44" s="36"/>
      <c r="M44" s="36"/>
      <c r="N44" s="36"/>
      <c r="O44" s="643">
        <f t="shared" si="25"/>
        <v>0</v>
      </c>
      <c r="P44" s="644">
        <f t="shared" si="18"/>
        <v>0</v>
      </c>
      <c r="Q44" s="645">
        <f t="shared" si="26"/>
        <v>0</v>
      </c>
      <c r="R44" s="33"/>
      <c r="S44" s="37"/>
      <c r="T44" s="60">
        <f t="shared" si="19"/>
        <v>0</v>
      </c>
      <c r="U44" s="61">
        <f t="shared" si="20"/>
        <v>0</v>
      </c>
      <c r="V44" s="60">
        <f t="shared" si="21"/>
        <v>0</v>
      </c>
      <c r="W44" s="28"/>
      <c r="X44" s="737">
        <f>IF(W44='References Assumptions'!$C$331,'References Assumptions'!$C$335,0)</f>
        <v>0</v>
      </c>
      <c r="Y44" s="646" t="s">
        <v>399</v>
      </c>
      <c r="Z44" s="647">
        <f t="shared" si="22"/>
        <v>0</v>
      </c>
      <c r="AA44" s="29"/>
      <c r="AB44" s="58" t="s">
        <v>548</v>
      </c>
      <c r="AC44" s="1241"/>
      <c r="AD44" s="1241"/>
      <c r="AE44" s="1241"/>
      <c r="AF44" s="1190" t="s">
        <v>987</v>
      </c>
      <c r="AG44" s="648" t="e">
        <f>(SUMIFS($O$33:$O$57,$D$33:$D$57,AB44,$E$33:$E$57,AF44)*(Percent_Solids/percent_solids_after_biodrying)*(percent_solids_after_biodrying/Percent_Solids_After_Pyrolysis))*(1-Pyrolysis!$D$15)</f>
        <v>#DIV/0!</v>
      </c>
      <c r="AH44" s="648" t="e">
        <f>(SUMIFS($P$33:$P$57,$D$33:$D$57,AB44,$E$33:$E$57,AF44)*(Percent_Solids/percent_solids_after_biodrying)*(percent_solids_after_biodrying/Percent_Solids_After_Pyrolysis))*(1-Pyrolysis!$D$15)</f>
        <v>#DIV/0!</v>
      </c>
      <c r="AI44" s="598" t="e">
        <f>AH44*Percent_Solids_After_Pyrolysis</f>
        <v>#DIV/0!</v>
      </c>
    </row>
    <row r="45" spans="2:43" ht="15.75" customHeight="1" x14ac:dyDescent="0.25">
      <c r="B45" s="642">
        <v>13</v>
      </c>
      <c r="C45" s="38"/>
      <c r="D45" s="28"/>
      <c r="E45" s="29"/>
      <c r="F45" s="30"/>
      <c r="G45" s="31"/>
      <c r="H45" s="27"/>
      <c r="I45" s="32"/>
      <c r="J45" s="36"/>
      <c r="K45" s="36"/>
      <c r="L45" s="36"/>
      <c r="M45" s="36"/>
      <c r="N45" s="36"/>
      <c r="O45" s="643">
        <f t="shared" si="25"/>
        <v>0</v>
      </c>
      <c r="P45" s="644">
        <f t="shared" ref="P45:P57" si="31">+O45/Mg_ton</f>
        <v>0</v>
      </c>
      <c r="Q45" s="645">
        <f t="shared" si="26"/>
        <v>0</v>
      </c>
      <c r="R45" s="33"/>
      <c r="S45" s="37"/>
      <c r="T45" s="60">
        <f t="shared" si="19"/>
        <v>0</v>
      </c>
      <c r="U45" s="61">
        <f t="shared" si="20"/>
        <v>0</v>
      </c>
      <c r="V45" s="60">
        <f t="shared" si="21"/>
        <v>0</v>
      </c>
      <c r="W45" s="28"/>
      <c r="X45" s="737">
        <f>IF(W45='References Assumptions'!$C$331,'References Assumptions'!$C$335,0)</f>
        <v>0</v>
      </c>
      <c r="Y45" s="646" t="s">
        <v>399</v>
      </c>
      <c r="Z45" s="647">
        <f t="shared" si="22"/>
        <v>0</v>
      </c>
      <c r="AA45" s="29"/>
      <c r="AB45" s="58" t="s">
        <v>222</v>
      </c>
      <c r="AC45" s="648">
        <f>AD45*Mg_ton</f>
        <v>0</v>
      </c>
      <c r="AD45" s="648">
        <f>SUMIF($D$33:$D$57,AB45,$P$33:$P$57)</f>
        <v>0</v>
      </c>
      <c r="AE45" s="50">
        <f>AD45*(Mean_solids)</f>
        <v>0</v>
      </c>
      <c r="AF45" s="56" t="s">
        <v>496</v>
      </c>
      <c r="AG45" s="648">
        <f>SUMIFS($O$33:$O$57,$D$33:$D$57,AB45,$E$33:$E$57,AF45)</f>
        <v>0</v>
      </c>
      <c r="AH45" s="648">
        <f>SUMIFS($P$33:$P$57,$D$33:$D$57,AB45,$E$33:$E$57,AF45)</f>
        <v>0</v>
      </c>
      <c r="AI45" s="49">
        <f>AH45*(Mean_solids)</f>
        <v>0</v>
      </c>
      <c r="AP45" s="654"/>
    </row>
    <row r="46" spans="2:43" ht="15.75" customHeight="1" x14ac:dyDescent="0.25">
      <c r="B46" s="642">
        <v>14</v>
      </c>
      <c r="C46" s="38"/>
      <c r="D46" s="28"/>
      <c r="E46" s="29"/>
      <c r="F46" s="30"/>
      <c r="G46" s="31"/>
      <c r="H46" s="27"/>
      <c r="I46" s="32"/>
      <c r="J46" s="36"/>
      <c r="K46" s="36"/>
      <c r="L46" s="36"/>
      <c r="M46" s="36"/>
      <c r="N46" s="36"/>
      <c r="O46" s="643">
        <f t="shared" si="25"/>
        <v>0</v>
      </c>
      <c r="P46" s="644">
        <f t="shared" si="31"/>
        <v>0</v>
      </c>
      <c r="Q46" s="645">
        <f t="shared" si="26"/>
        <v>0</v>
      </c>
      <c r="R46" s="33"/>
      <c r="S46" s="37"/>
      <c r="T46" s="60">
        <f t="shared" si="19"/>
        <v>0</v>
      </c>
      <c r="U46" s="61">
        <f t="shared" si="20"/>
        <v>0</v>
      </c>
      <c r="V46" s="60">
        <f t="shared" si="21"/>
        <v>0</v>
      </c>
      <c r="W46" s="28"/>
      <c r="X46" s="737">
        <f>IF(W46='References Assumptions'!$C$331,'References Assumptions'!$C$335,0)</f>
        <v>0</v>
      </c>
      <c r="Y46" s="646" t="s">
        <v>399</v>
      </c>
      <c r="Z46" s="647">
        <f t="shared" si="22"/>
        <v>0</v>
      </c>
      <c r="AA46" s="29"/>
      <c r="AB46" s="58" t="s">
        <v>222</v>
      </c>
      <c r="AC46" s="1254"/>
      <c r="AD46" s="1255"/>
      <c r="AE46" s="1256"/>
      <c r="AF46" s="56" t="s">
        <v>497</v>
      </c>
      <c r="AG46" s="648">
        <f>SUMIFS($O$33:$O$57,$D$33:$D$57,AB46,$E$33:$E$57,AF46)</f>
        <v>0</v>
      </c>
      <c r="AH46" s="648">
        <f>SUMIFS($P$33:$P$57,$D$33:$D$57,AB46,$E$33:$E$57,AF46)</f>
        <v>0</v>
      </c>
      <c r="AI46" s="49">
        <f>AH46*(Mean_solids)</f>
        <v>0</v>
      </c>
      <c r="AP46" s="654"/>
    </row>
    <row r="47" spans="2:43" ht="15.75" customHeight="1" x14ac:dyDescent="0.25">
      <c r="B47" s="642">
        <v>15</v>
      </c>
      <c r="C47" s="38"/>
      <c r="D47" s="28"/>
      <c r="E47" s="29"/>
      <c r="F47" s="30"/>
      <c r="G47" s="31"/>
      <c r="H47" s="27"/>
      <c r="I47" s="32"/>
      <c r="J47" s="36"/>
      <c r="K47" s="36"/>
      <c r="L47" s="36"/>
      <c r="M47" s="36"/>
      <c r="N47" s="36"/>
      <c r="O47" s="643">
        <f t="shared" si="25"/>
        <v>0</v>
      </c>
      <c r="P47" s="644">
        <f t="shared" si="31"/>
        <v>0</v>
      </c>
      <c r="Q47" s="645">
        <f t="shared" si="26"/>
        <v>0</v>
      </c>
      <c r="R47" s="33"/>
      <c r="S47" s="37"/>
      <c r="T47" s="60">
        <f t="shared" si="19"/>
        <v>0</v>
      </c>
      <c r="U47" s="61">
        <f t="shared" si="20"/>
        <v>0</v>
      </c>
      <c r="V47" s="60">
        <f t="shared" si="21"/>
        <v>0</v>
      </c>
      <c r="W47" s="28"/>
      <c r="X47" s="737">
        <f>IF(W47='References Assumptions'!$C$331,'References Assumptions'!$C$335,0)</f>
        <v>0</v>
      </c>
      <c r="Y47" s="646" t="s">
        <v>399</v>
      </c>
      <c r="Z47" s="647">
        <f t="shared" si="22"/>
        <v>0</v>
      </c>
      <c r="AA47" s="29"/>
      <c r="AB47" s="58" t="s">
        <v>222</v>
      </c>
      <c r="AC47" s="1257"/>
      <c r="AD47" s="1258"/>
      <c r="AE47" s="1259"/>
      <c r="AF47" s="56" t="s">
        <v>544</v>
      </c>
      <c r="AG47" s="648">
        <f>SUMIFS($O$33:$O$57,$D$33:$D$57,AB47,$E$33:$E$57,AF47)</f>
        <v>0</v>
      </c>
      <c r="AH47" s="648">
        <f>SUMIFS($P$33:$P$57,$D$33:$D$57,AB47,$E$33:$E$57,AF47)</f>
        <v>0</v>
      </c>
      <c r="AI47" s="49">
        <f>AH47*(Mean_solids)</f>
        <v>0</v>
      </c>
      <c r="AP47" s="654"/>
    </row>
    <row r="48" spans="2:43" ht="15.75" customHeight="1" thickBot="1" x14ac:dyDescent="0.3">
      <c r="B48" s="642">
        <v>16</v>
      </c>
      <c r="C48" s="38"/>
      <c r="D48" s="28"/>
      <c r="E48" s="29"/>
      <c r="F48" s="30"/>
      <c r="G48" s="31"/>
      <c r="H48" s="27"/>
      <c r="I48" s="32"/>
      <c r="J48" s="36"/>
      <c r="K48" s="36"/>
      <c r="L48" s="36"/>
      <c r="M48" s="36"/>
      <c r="N48" s="36"/>
      <c r="O48" s="643">
        <f t="shared" si="25"/>
        <v>0</v>
      </c>
      <c r="P48" s="644">
        <f t="shared" si="31"/>
        <v>0</v>
      </c>
      <c r="Q48" s="645">
        <f t="shared" si="26"/>
        <v>0</v>
      </c>
      <c r="R48" s="33"/>
      <c r="S48" s="37"/>
      <c r="T48" s="60">
        <f t="shared" si="19"/>
        <v>0</v>
      </c>
      <c r="U48" s="61">
        <f t="shared" si="20"/>
        <v>0</v>
      </c>
      <c r="V48" s="60">
        <f t="shared" si="21"/>
        <v>0</v>
      </c>
      <c r="W48" s="28"/>
      <c r="X48" s="737">
        <f>IF(W48='References Assumptions'!$C$331,'References Assumptions'!$C$335,0)</f>
        <v>0</v>
      </c>
      <c r="Y48" s="646" t="s">
        <v>399</v>
      </c>
      <c r="Z48" s="647">
        <f t="shared" si="22"/>
        <v>0</v>
      </c>
      <c r="AA48" s="29"/>
      <c r="AB48" s="59" t="s">
        <v>222</v>
      </c>
      <c r="AC48" s="1260"/>
      <c r="AD48" s="1261"/>
      <c r="AE48" s="1262"/>
      <c r="AF48" s="608" t="s">
        <v>545</v>
      </c>
      <c r="AG48" s="710">
        <f>SUMIFS($O$33:$O$57,$D$33:$D$57,AB48,$E$33:$E$57,AF48)</f>
        <v>0</v>
      </c>
      <c r="AH48" s="710">
        <f>SUMIFS($P$33:$P$57,$D$33:$D$57,AB48,$E$33:$E$57,AF48)</f>
        <v>0</v>
      </c>
      <c r="AI48" s="596">
        <f>AH48*(Mean_solids)</f>
        <v>0</v>
      </c>
      <c r="AP48" s="654"/>
    </row>
    <row r="49" spans="2:43" ht="15.75" customHeight="1" x14ac:dyDescent="0.25">
      <c r="B49" s="642">
        <v>17</v>
      </c>
      <c r="C49" s="38"/>
      <c r="D49" s="28"/>
      <c r="E49" s="29"/>
      <c r="F49" s="30"/>
      <c r="G49" s="31"/>
      <c r="H49" s="27"/>
      <c r="I49" s="32"/>
      <c r="J49" s="36"/>
      <c r="K49" s="36"/>
      <c r="L49" s="36"/>
      <c r="M49" s="36"/>
      <c r="N49" s="36"/>
      <c r="O49" s="643">
        <f t="shared" si="25"/>
        <v>0</v>
      </c>
      <c r="P49" s="644">
        <f t="shared" si="31"/>
        <v>0</v>
      </c>
      <c r="Q49" s="645">
        <f t="shared" si="26"/>
        <v>0</v>
      </c>
      <c r="R49" s="33"/>
      <c r="S49" s="37"/>
      <c r="T49" s="60">
        <f t="shared" si="19"/>
        <v>0</v>
      </c>
      <c r="U49" s="61">
        <f t="shared" si="20"/>
        <v>0</v>
      </c>
      <c r="V49" s="60">
        <f t="shared" si="21"/>
        <v>0</v>
      </c>
      <c r="W49" s="28"/>
      <c r="X49" s="737">
        <f>IF(W49='References Assumptions'!$C$331,'References Assumptions'!$C$335,0)</f>
        <v>0</v>
      </c>
      <c r="Y49" s="646" t="s">
        <v>399</v>
      </c>
      <c r="Z49" s="647">
        <f t="shared" si="22"/>
        <v>0</v>
      </c>
      <c r="AA49" s="29"/>
      <c r="AB49"/>
      <c r="AQ49" s="654"/>
    </row>
    <row r="50" spans="2:43" ht="15.75" customHeight="1" x14ac:dyDescent="0.25">
      <c r="B50" s="642">
        <v>18</v>
      </c>
      <c r="C50" s="38"/>
      <c r="D50" s="28"/>
      <c r="E50" s="29"/>
      <c r="F50" s="30"/>
      <c r="G50" s="31"/>
      <c r="H50" s="27"/>
      <c r="I50" s="32"/>
      <c r="J50" s="36"/>
      <c r="K50" s="36"/>
      <c r="L50" s="36"/>
      <c r="M50" s="36"/>
      <c r="N50" s="36"/>
      <c r="O50" s="643">
        <f t="shared" si="25"/>
        <v>0</v>
      </c>
      <c r="P50" s="644">
        <f t="shared" si="31"/>
        <v>0</v>
      </c>
      <c r="Q50" s="645">
        <f t="shared" si="26"/>
        <v>0</v>
      </c>
      <c r="R50" s="33"/>
      <c r="S50" s="37"/>
      <c r="T50" s="62">
        <f t="shared" si="19"/>
        <v>0</v>
      </c>
      <c r="U50" s="63">
        <f t="shared" si="20"/>
        <v>0</v>
      </c>
      <c r="V50" s="62">
        <f t="shared" si="21"/>
        <v>0</v>
      </c>
      <c r="W50" s="28"/>
      <c r="X50" s="737">
        <f>IF(W50='References Assumptions'!$C$331,'References Assumptions'!$C$335,0)</f>
        <v>0</v>
      </c>
      <c r="Y50" s="646" t="s">
        <v>399</v>
      </c>
      <c r="Z50" s="647">
        <f t="shared" si="22"/>
        <v>0</v>
      </c>
      <c r="AA50" s="29"/>
      <c r="AC50" s="393" t="s">
        <v>399</v>
      </c>
      <c r="AD50" s="393" t="s">
        <v>376</v>
      </c>
      <c r="AF50" s="597" t="s">
        <v>646</v>
      </c>
      <c r="AG50" s="386" t="s">
        <v>399</v>
      </c>
      <c r="AH50" s="386" t="s">
        <v>484</v>
      </c>
      <c r="AI50" s="656" t="s">
        <v>549</v>
      </c>
    </row>
    <row r="51" spans="2:43" ht="15.75" customHeight="1" x14ac:dyDescent="0.25">
      <c r="B51" s="642">
        <v>19</v>
      </c>
      <c r="C51" s="38"/>
      <c r="D51" s="28"/>
      <c r="E51" s="29"/>
      <c r="F51" s="30"/>
      <c r="G51" s="31"/>
      <c r="H51" s="27"/>
      <c r="I51" s="32"/>
      <c r="J51" s="30"/>
      <c r="K51" s="30"/>
      <c r="L51" s="30"/>
      <c r="M51" s="30"/>
      <c r="N51" s="30"/>
      <c r="O51" s="643">
        <f t="shared" si="25"/>
        <v>0</v>
      </c>
      <c r="P51" s="644">
        <f t="shared" si="31"/>
        <v>0</v>
      </c>
      <c r="Q51" s="645">
        <f t="shared" si="26"/>
        <v>0</v>
      </c>
      <c r="R51" s="33"/>
      <c r="S51" s="37"/>
      <c r="T51" s="62">
        <f t="shared" si="19"/>
        <v>0</v>
      </c>
      <c r="U51" s="63">
        <f t="shared" si="20"/>
        <v>0</v>
      </c>
      <c r="V51" s="62">
        <f t="shared" si="21"/>
        <v>0</v>
      </c>
      <c r="W51" s="28"/>
      <c r="X51" s="737">
        <f>IF(W51='References Assumptions'!$C$331,'References Assumptions'!$C$335,0)</f>
        <v>0</v>
      </c>
      <c r="Y51" s="646" t="s">
        <v>399</v>
      </c>
      <c r="Z51" s="647">
        <f t="shared" si="22"/>
        <v>0</v>
      </c>
      <c r="AA51" s="29"/>
      <c r="AB51" s="711" t="s">
        <v>605</v>
      </c>
      <c r="AC51" s="660">
        <f>+AC33+AC37+AC40+AC45</f>
        <v>37585.096819999999</v>
      </c>
      <c r="AD51" s="661">
        <f>+AD33+AD37+AD40+AD45</f>
        <v>34106.258457350268</v>
      </c>
      <c r="AE51" s="662"/>
      <c r="AF51" s="56" t="s">
        <v>647</v>
      </c>
      <c r="AG51" s="55">
        <f>SUMIFS($O$33:$O$57,$D$33:$D$57,AB48,$E$33:$E$57,'References Assumptions'!$C$359)</f>
        <v>0</v>
      </c>
      <c r="AH51" s="55">
        <f>SUMIFS($P$33:$P$57,$D$33:$D$57,AB48,$E$33:$E$57,'References Assumptions'!$C$359)</f>
        <v>0</v>
      </c>
      <c r="AI51" s="599">
        <f>AH51*Percent_Solids</f>
        <v>0</v>
      </c>
    </row>
    <row r="52" spans="2:43" ht="15.75" customHeight="1" x14ac:dyDescent="0.25">
      <c r="B52" s="642">
        <v>20</v>
      </c>
      <c r="C52" s="38"/>
      <c r="D52" s="28"/>
      <c r="E52" s="29"/>
      <c r="F52" s="30"/>
      <c r="G52" s="31"/>
      <c r="H52" s="27"/>
      <c r="I52" s="32"/>
      <c r="J52" s="30"/>
      <c r="K52" s="30"/>
      <c r="L52" s="30"/>
      <c r="M52" s="30"/>
      <c r="N52" s="30"/>
      <c r="O52" s="643">
        <f t="shared" si="25"/>
        <v>0</v>
      </c>
      <c r="P52" s="644">
        <f t="shared" si="31"/>
        <v>0</v>
      </c>
      <c r="Q52" s="645">
        <f t="shared" si="26"/>
        <v>0</v>
      </c>
      <c r="R52" s="33"/>
      <c r="S52" s="37"/>
      <c r="T52" s="62">
        <f t="shared" si="19"/>
        <v>0</v>
      </c>
      <c r="U52" s="63">
        <f t="shared" si="20"/>
        <v>0</v>
      </c>
      <c r="V52" s="62">
        <f t="shared" si="21"/>
        <v>0</v>
      </c>
      <c r="W52" s="28"/>
      <c r="X52" s="737">
        <f>IF(W52='References Assumptions'!$C$331,'References Assumptions'!$C$335,0)</f>
        <v>0</v>
      </c>
      <c r="Y52" s="646" t="s">
        <v>399</v>
      </c>
      <c r="Z52" s="647">
        <f t="shared" si="22"/>
        <v>0</v>
      </c>
      <c r="AA52" s="29"/>
      <c r="AB52" s="712" t="s">
        <v>444</v>
      </c>
      <c r="AC52" s="664">
        <f>+AC33/AC51</f>
        <v>0</v>
      </c>
      <c r="AD52" s="664">
        <f>+AD33/AD51</f>
        <v>0</v>
      </c>
      <c r="AF52" s="56" t="s">
        <v>648</v>
      </c>
      <c r="AG52" s="55" t="e">
        <f>SUMIFS($O$33:$O$57,$D$33:$D$57,AB48,$E$33:$E$57,'References Assumptions'!$C$359)*Percent_Solids/percent_solids_after_biodrying</f>
        <v>#DIV/0!</v>
      </c>
      <c r="AH52" s="55" t="e">
        <f>SUMIFS($P$33:$P$57,$D$33:$D$57,AB48,$E$33:$E$57,'References Assumptions'!$C$359)*Percent_Solids/percent_solids_after_biodrying</f>
        <v>#DIV/0!</v>
      </c>
      <c r="AI52" s="599" t="e">
        <f>AH52*percent_solids_after_biodrying</f>
        <v>#DIV/0!</v>
      </c>
    </row>
    <row r="53" spans="2:43" ht="15.75" customHeight="1" x14ac:dyDescent="0.25">
      <c r="B53" s="642">
        <v>21</v>
      </c>
      <c r="C53" s="38"/>
      <c r="D53" s="28"/>
      <c r="E53" s="29"/>
      <c r="F53" s="30"/>
      <c r="G53" s="31"/>
      <c r="H53" s="27"/>
      <c r="I53" s="32"/>
      <c r="J53" s="30"/>
      <c r="K53" s="30"/>
      <c r="L53" s="30"/>
      <c r="M53" s="30"/>
      <c r="N53" s="30"/>
      <c r="O53" s="643">
        <f t="shared" si="25"/>
        <v>0</v>
      </c>
      <c r="P53" s="644">
        <f t="shared" si="31"/>
        <v>0</v>
      </c>
      <c r="Q53" s="645">
        <f t="shared" si="26"/>
        <v>0</v>
      </c>
      <c r="R53" s="33"/>
      <c r="S53" s="37"/>
      <c r="T53" s="62">
        <f t="shared" si="19"/>
        <v>0</v>
      </c>
      <c r="U53" s="63">
        <f t="shared" si="20"/>
        <v>0</v>
      </c>
      <c r="V53" s="62">
        <f t="shared" si="21"/>
        <v>0</v>
      </c>
      <c r="W53" s="28"/>
      <c r="X53" s="737">
        <f>IF(W53='References Assumptions'!$C$331,'References Assumptions'!$C$335,0)</f>
        <v>0</v>
      </c>
      <c r="Y53" s="646" t="s">
        <v>399</v>
      </c>
      <c r="Z53" s="647">
        <f t="shared" si="22"/>
        <v>0</v>
      </c>
      <c r="AA53" s="29"/>
      <c r="AB53" s="712" t="s">
        <v>250</v>
      </c>
      <c r="AC53" s="664">
        <f>+AC37/AC51</f>
        <v>0</v>
      </c>
      <c r="AD53" s="664">
        <f>+AD37/AD51</f>
        <v>0</v>
      </c>
      <c r="AF53" s="56" t="s">
        <v>649</v>
      </c>
      <c r="AG53" s="55" t="e">
        <f>(SUMIFS($O$33:$O$57,$D$33:$D$57,AB48,$E$33:$E$57,'References Assumptions'!$C$359)*(Percent_Solids/percent_solids_after_biodrying)*(percent_solids_after_biodrying/Percent_Solids_After_Pyrolysis))*(1-Pyrolysis!$D$15)</f>
        <v>#DIV/0!</v>
      </c>
      <c r="AH53" s="55" t="e">
        <f>(SUMIFS($P$33:$P$57,$D$33:$D$57,AB48,$E$33:$E$57,'References Assumptions'!$C$359)*(Percent_Solids/percent_solids_after_biodrying)*(percent_solids_after_biodrying/Percent_Solids_After_Pyrolysis))*(1-Pyrolysis!$D$15)</f>
        <v>#DIV/0!</v>
      </c>
      <c r="AI53" s="598" t="e">
        <f>AH53*Percent_Solids_After_Pyrolysis</f>
        <v>#DIV/0!</v>
      </c>
      <c r="AO53" s="654"/>
    </row>
    <row r="54" spans="2:43" ht="15.75" customHeight="1" x14ac:dyDescent="0.25">
      <c r="B54" s="642">
        <v>22</v>
      </c>
      <c r="C54" s="38"/>
      <c r="D54" s="28"/>
      <c r="E54" s="29"/>
      <c r="F54" s="30"/>
      <c r="G54" s="31"/>
      <c r="H54" s="27"/>
      <c r="I54" s="32"/>
      <c r="J54" s="30"/>
      <c r="K54" s="30"/>
      <c r="L54" s="30"/>
      <c r="M54" s="30"/>
      <c r="N54" s="30"/>
      <c r="O54" s="643">
        <f t="shared" si="25"/>
        <v>0</v>
      </c>
      <c r="P54" s="644">
        <f t="shared" si="31"/>
        <v>0</v>
      </c>
      <c r="Q54" s="645">
        <f t="shared" si="26"/>
        <v>0</v>
      </c>
      <c r="R54" s="33"/>
      <c r="S54" s="37"/>
      <c r="T54" s="62">
        <f t="shared" si="19"/>
        <v>0</v>
      </c>
      <c r="U54" s="63">
        <f t="shared" si="20"/>
        <v>0</v>
      </c>
      <c r="V54" s="62">
        <f t="shared" si="21"/>
        <v>0</v>
      </c>
      <c r="W54" s="28"/>
      <c r="X54" s="737">
        <f>IF(W54='References Assumptions'!$C$331,'References Assumptions'!$C$335,0)</f>
        <v>0</v>
      </c>
      <c r="Y54" s="646" t="s">
        <v>399</v>
      </c>
      <c r="Z54" s="647">
        <f t="shared" si="22"/>
        <v>0</v>
      </c>
      <c r="AA54" s="29"/>
      <c r="AB54" s="712" t="s">
        <v>182</v>
      </c>
      <c r="AC54" s="664">
        <f>+AC40/AC51</f>
        <v>1</v>
      </c>
      <c r="AD54" s="664">
        <f>+AD40/AD51</f>
        <v>1</v>
      </c>
      <c r="AF54" s="1253" t="s">
        <v>988</v>
      </c>
      <c r="AG54" s="1253"/>
      <c r="AH54" s="1253"/>
      <c r="AI54" s="75"/>
    </row>
    <row r="55" spans="2:43" ht="15.75" customHeight="1" x14ac:dyDescent="0.25">
      <c r="B55" s="642">
        <v>23</v>
      </c>
      <c r="C55" s="38"/>
      <c r="D55" s="28"/>
      <c r="E55" s="29"/>
      <c r="F55" s="30"/>
      <c r="G55" s="31"/>
      <c r="H55" s="27"/>
      <c r="I55" s="32"/>
      <c r="J55" s="30"/>
      <c r="K55" s="30"/>
      <c r="L55" s="30"/>
      <c r="M55" s="30"/>
      <c r="N55" s="30"/>
      <c r="O55" s="643">
        <f t="shared" si="25"/>
        <v>0</v>
      </c>
      <c r="P55" s="644">
        <f t="shared" si="31"/>
        <v>0</v>
      </c>
      <c r="Q55" s="645">
        <f t="shared" si="26"/>
        <v>0</v>
      </c>
      <c r="R55" s="33"/>
      <c r="S55" s="37"/>
      <c r="T55" s="62">
        <f t="shared" si="19"/>
        <v>0</v>
      </c>
      <c r="U55" s="63">
        <f t="shared" si="20"/>
        <v>0</v>
      </c>
      <c r="V55" s="62">
        <f t="shared" si="21"/>
        <v>0</v>
      </c>
      <c r="W55" s="28"/>
      <c r="X55" s="737">
        <f>IF(W55='References Assumptions'!$C$331,'References Assumptions'!$C$335,0)</f>
        <v>0</v>
      </c>
      <c r="Y55" s="646" t="s">
        <v>399</v>
      </c>
      <c r="Z55" s="647">
        <f t="shared" si="22"/>
        <v>0</v>
      </c>
      <c r="AA55" s="29"/>
      <c r="AB55" s="712" t="s">
        <v>222</v>
      </c>
      <c r="AC55" s="664">
        <f>+AC45/AC51</f>
        <v>0</v>
      </c>
      <c r="AD55" s="664">
        <f>+AD45/AD51</f>
        <v>0</v>
      </c>
      <c r="AF55" s="1253"/>
      <c r="AG55" s="1253"/>
      <c r="AH55" s="1253"/>
      <c r="AI55" s="75"/>
    </row>
    <row r="56" spans="2:43" ht="15.75" customHeight="1" x14ac:dyDescent="0.25">
      <c r="B56" s="642">
        <v>24</v>
      </c>
      <c r="C56" s="38"/>
      <c r="D56" s="28"/>
      <c r="E56" s="29"/>
      <c r="F56" s="30"/>
      <c r="G56" s="31"/>
      <c r="H56" s="27"/>
      <c r="I56" s="32"/>
      <c r="J56" s="30"/>
      <c r="K56" s="30"/>
      <c r="L56" s="30"/>
      <c r="M56" s="30"/>
      <c r="N56" s="30"/>
      <c r="O56" s="643">
        <f t="shared" si="25"/>
        <v>0</v>
      </c>
      <c r="P56" s="644">
        <f t="shared" si="31"/>
        <v>0</v>
      </c>
      <c r="Q56" s="645">
        <f t="shared" si="26"/>
        <v>0</v>
      </c>
      <c r="R56" s="33"/>
      <c r="S56" s="37"/>
      <c r="T56" s="62">
        <f t="shared" si="19"/>
        <v>0</v>
      </c>
      <c r="U56" s="63">
        <f t="shared" si="20"/>
        <v>0</v>
      </c>
      <c r="V56" s="62">
        <f t="shared" si="21"/>
        <v>0</v>
      </c>
      <c r="W56" s="28"/>
      <c r="X56" s="737">
        <f>IF(W56='References Assumptions'!$C$331,'References Assumptions'!$C$335,0)</f>
        <v>0</v>
      </c>
      <c r="Y56" s="646" t="s">
        <v>399</v>
      </c>
      <c r="Z56" s="647">
        <f t="shared" si="22"/>
        <v>0</v>
      </c>
      <c r="AA56" s="29"/>
      <c r="AB56"/>
      <c r="AC56" s="668"/>
      <c r="AD56" s="668"/>
      <c r="AI56" s="75"/>
    </row>
    <row r="57" spans="2:43" ht="15.75" customHeight="1" thickBot="1" x14ac:dyDescent="0.3">
      <c r="B57" s="669">
        <v>25</v>
      </c>
      <c r="C57" s="38"/>
      <c r="D57" s="28"/>
      <c r="E57" s="29"/>
      <c r="F57" s="30"/>
      <c r="G57" s="31"/>
      <c r="H57" s="27"/>
      <c r="I57" s="32"/>
      <c r="J57" s="34"/>
      <c r="K57" s="34"/>
      <c r="L57" s="34"/>
      <c r="M57" s="34"/>
      <c r="N57" s="34"/>
      <c r="O57" s="670">
        <f t="shared" si="25"/>
        <v>0</v>
      </c>
      <c r="P57" s="671">
        <f t="shared" si="31"/>
        <v>0</v>
      </c>
      <c r="Q57" s="645">
        <f t="shared" si="26"/>
        <v>0</v>
      </c>
      <c r="R57" s="33"/>
      <c r="S57" s="37"/>
      <c r="T57" s="64">
        <f t="shared" si="19"/>
        <v>0</v>
      </c>
      <c r="U57" s="65">
        <f t="shared" si="20"/>
        <v>0</v>
      </c>
      <c r="V57" s="66">
        <f t="shared" si="21"/>
        <v>0</v>
      </c>
      <c r="W57" s="28"/>
      <c r="X57" s="739">
        <f>IF(W57='References Assumptions'!$C$331,'References Assumptions'!$C$335,0)</f>
        <v>0</v>
      </c>
      <c r="Y57" s="713" t="s">
        <v>399</v>
      </c>
      <c r="Z57" s="714">
        <f t="shared" si="22"/>
        <v>0</v>
      </c>
      <c r="AA57" s="587"/>
      <c r="AB57" s="133"/>
      <c r="AC57" s="133"/>
      <c r="AD57" s="133"/>
      <c r="AE57" s="133"/>
      <c r="AF57" s="133"/>
      <c r="AG57" s="133"/>
      <c r="AH57" s="133"/>
      <c r="AI57" s="134"/>
    </row>
    <row r="58" spans="2:43" ht="15.75" customHeight="1" thickBot="1" x14ac:dyDescent="0.3">
      <c r="B58" s="715"/>
      <c r="C58" s="716"/>
      <c r="D58" s="53"/>
      <c r="E58" s="53"/>
      <c r="F58" s="53"/>
      <c r="G58" s="53"/>
      <c r="H58" s="677" t="s">
        <v>371</v>
      </c>
      <c r="I58" s="678">
        <f t="shared" ref="I58:N58" si="32">+I59/$O59</f>
        <v>1</v>
      </c>
      <c r="J58" s="678">
        <f t="shared" si="32"/>
        <v>0</v>
      </c>
      <c r="K58" s="678">
        <f t="shared" si="32"/>
        <v>0</v>
      </c>
      <c r="L58" s="678">
        <f t="shared" si="32"/>
        <v>0</v>
      </c>
      <c r="M58" s="678">
        <f t="shared" si="32"/>
        <v>0</v>
      </c>
      <c r="N58" s="678">
        <f t="shared" si="32"/>
        <v>0</v>
      </c>
      <c r="O58" s="678"/>
      <c r="P58" s="53"/>
      <c r="Q58" s="679"/>
      <c r="R58" s="679"/>
      <c r="S58" s="53"/>
      <c r="T58" s="53"/>
      <c r="U58" s="680">
        <v>2</v>
      </c>
      <c r="V58" s="681" t="s">
        <v>395</v>
      </c>
      <c r="W58" s="53"/>
      <c r="X58" s="53"/>
      <c r="Y58" s="53"/>
      <c r="Z58" s="682"/>
      <c r="AA58" s="717"/>
      <c r="AB58" s="657"/>
      <c r="AI58" s="75"/>
    </row>
    <row r="59" spans="2:43" ht="15.75" customHeight="1" thickBot="1" x14ac:dyDescent="0.3">
      <c r="B59" s="718"/>
      <c r="C59" s="719"/>
      <c r="D59" s="687"/>
      <c r="E59" s="687"/>
      <c r="F59" s="687"/>
      <c r="G59" s="687"/>
      <c r="H59" s="690" t="s">
        <v>370</v>
      </c>
      <c r="I59" s="691">
        <f>SUM(I33:I57)</f>
        <v>37585.096819999999</v>
      </c>
      <c r="J59" s="691">
        <f>SUM(J33:J57)</f>
        <v>0</v>
      </c>
      <c r="K59" s="691">
        <f t="shared" ref="K59:P59" si="33">SUM(K33:K57)</f>
        <v>0</v>
      </c>
      <c r="L59" s="691">
        <f t="shared" si="33"/>
        <v>0</v>
      </c>
      <c r="M59" s="691">
        <f t="shared" si="33"/>
        <v>0</v>
      </c>
      <c r="N59" s="691">
        <f t="shared" si="33"/>
        <v>0</v>
      </c>
      <c r="O59" s="691">
        <f t="shared" si="33"/>
        <v>37585.096819999999</v>
      </c>
      <c r="P59" s="691">
        <f t="shared" si="33"/>
        <v>34106.258457350268</v>
      </c>
      <c r="Q59" s="692">
        <f>SUM(Q33:Q57)</f>
        <v>1</v>
      </c>
      <c r="R59" s="692"/>
      <c r="S59" s="691"/>
      <c r="T59" s="687"/>
      <c r="U59" s="687"/>
      <c r="V59" s="687"/>
      <c r="W59" s="693"/>
      <c r="X59" s="693"/>
      <c r="Y59" s="693"/>
      <c r="Z59" s="694"/>
      <c r="AA59" s="695"/>
      <c r="AB59" s="1269" t="str">
        <f>CONCATENATE(B31," - Total Dry Mg")</f>
        <v>Scenario 2 - Total Dry Mg</v>
      </c>
      <c r="AC59" s="1270"/>
      <c r="AD59" s="1271"/>
      <c r="AE59" s="696">
        <f>+AE33+AE37+AE40+AE45</f>
        <v>2455.6506089292193</v>
      </c>
      <c r="AF59" s="133"/>
      <c r="AG59" s="133"/>
      <c r="AH59" s="133"/>
      <c r="AI59" s="134"/>
    </row>
    <row r="60" spans="2:43" ht="21.75" thickBot="1" x14ac:dyDescent="0.4">
      <c r="B60" s="623" t="s">
        <v>452</v>
      </c>
      <c r="C60" s="1021">
        <f>+'Scenarios Data'!B65</f>
        <v>0</v>
      </c>
      <c r="D60" s="1275">
        <f>+'Scenarios Data'!D65:J65</f>
        <v>0</v>
      </c>
      <c r="E60" s="1276"/>
      <c r="F60" s="1276"/>
      <c r="G60" s="1277"/>
      <c r="H60" s="624"/>
      <c r="I60" s="1251" t="s">
        <v>833</v>
      </c>
      <c r="J60" s="1251"/>
      <c r="K60" s="1251"/>
      <c r="L60" s="1251"/>
      <c r="M60" s="1251"/>
      <c r="N60" s="1251"/>
      <c r="O60" s="625"/>
      <c r="P60" s="626"/>
      <c r="Q60" s="624"/>
      <c r="R60" s="624"/>
      <c r="S60" s="1252"/>
      <c r="T60" s="1252"/>
      <c r="U60" s="1252"/>
      <c r="V60" s="1252"/>
      <c r="W60" s="626"/>
      <c r="X60" s="626"/>
      <c r="Y60" s="626"/>
      <c r="Z60" s="626"/>
      <c r="AA60" s="700"/>
      <c r="AB60" s="1237" t="str">
        <f>CONCATENATE(B60," - ",C60," - Totals")</f>
        <v>Scenario 3 - 0 - Totals</v>
      </c>
      <c r="AC60" s="1238"/>
      <c r="AD60" s="1238"/>
      <c r="AE60" s="1238"/>
      <c r="AF60" s="1238"/>
      <c r="AG60" s="1238"/>
      <c r="AH60" s="1238"/>
      <c r="AI60" s="1239"/>
    </row>
    <row r="61" spans="2:43" ht="45.75" x14ac:dyDescent="0.3">
      <c r="B61" s="627" t="s">
        <v>400</v>
      </c>
      <c r="C61" s="628" t="s">
        <v>539</v>
      </c>
      <c r="D61" s="629" t="s">
        <v>540</v>
      </c>
      <c r="E61" s="630" t="s">
        <v>489</v>
      </c>
      <c r="F61" s="631" t="s">
        <v>667</v>
      </c>
      <c r="G61" s="630" t="s">
        <v>401</v>
      </c>
      <c r="H61" s="632" t="s">
        <v>402</v>
      </c>
      <c r="I61" s="39">
        <v>1</v>
      </c>
      <c r="J61" s="39">
        <v>2</v>
      </c>
      <c r="K61" s="39">
        <v>3</v>
      </c>
      <c r="L61" s="39">
        <v>4</v>
      </c>
      <c r="M61" s="39">
        <v>5</v>
      </c>
      <c r="N61" s="39">
        <v>6</v>
      </c>
      <c r="O61" s="633" t="s">
        <v>397</v>
      </c>
      <c r="P61" s="633" t="s">
        <v>398</v>
      </c>
      <c r="Q61" s="630" t="s">
        <v>538</v>
      </c>
      <c r="R61" s="634" t="s">
        <v>488</v>
      </c>
      <c r="S61" s="635" t="s">
        <v>460</v>
      </c>
      <c r="T61" s="630" t="s">
        <v>461</v>
      </c>
      <c r="U61" s="636" t="s">
        <v>460</v>
      </c>
      <c r="V61" s="637" t="s">
        <v>461</v>
      </c>
      <c r="W61" s="730" t="s">
        <v>481</v>
      </c>
      <c r="X61" s="633" t="s">
        <v>480</v>
      </c>
      <c r="Y61" s="633" t="s">
        <v>482</v>
      </c>
      <c r="Z61" s="731" t="s">
        <v>483</v>
      </c>
      <c r="AA61" s="640" t="s">
        <v>556</v>
      </c>
      <c r="AB61" s="732" t="s">
        <v>546</v>
      </c>
      <c r="AC61" s="53" t="s">
        <v>399</v>
      </c>
      <c r="AD61" s="53" t="s">
        <v>484</v>
      </c>
      <c r="AE61" s="53" t="s">
        <v>549</v>
      </c>
      <c r="AF61" s="52" t="s">
        <v>555</v>
      </c>
      <c r="AG61" s="53" t="s">
        <v>399</v>
      </c>
      <c r="AH61" s="53" t="s">
        <v>484</v>
      </c>
      <c r="AI61" s="641" t="s">
        <v>549</v>
      </c>
    </row>
    <row r="62" spans="2:43" ht="15.75" customHeight="1" x14ac:dyDescent="0.25">
      <c r="B62" s="720">
        <v>1</v>
      </c>
      <c r="C62" s="38"/>
      <c r="D62" s="28"/>
      <c r="E62" s="29"/>
      <c r="F62" s="30"/>
      <c r="G62" s="31"/>
      <c r="H62" s="27"/>
      <c r="I62" s="32"/>
      <c r="J62" s="32"/>
      <c r="K62" s="32"/>
      <c r="L62" s="32"/>
      <c r="M62" s="32"/>
      <c r="N62" s="32"/>
      <c r="O62" s="721">
        <f>SUM(I62:N62)</f>
        <v>0</v>
      </c>
      <c r="P62" s="644">
        <f t="shared" ref="P62:P73" si="34">+O62/Mg_ton</f>
        <v>0</v>
      </c>
      <c r="Q62" s="645" t="e">
        <f>P62/$P$88</f>
        <v>#DIV/0!</v>
      </c>
      <c r="R62" s="33"/>
      <c r="S62" s="37"/>
      <c r="T62" s="722">
        <f t="shared" ref="T62:T86" si="35">+S62/km_mile</f>
        <v>0</v>
      </c>
      <c r="U62" s="723">
        <f t="shared" ref="U62:U86" si="36">+S62*$U$29</f>
        <v>0</v>
      </c>
      <c r="V62" s="722">
        <f t="shared" ref="V62:V86" si="37">+U62/km_mile</f>
        <v>0</v>
      </c>
      <c r="W62" s="27"/>
      <c r="X62" s="737">
        <f>IF(W62='References Assumptions'!$C$331,'References Assumptions'!$C$335,0)</f>
        <v>0</v>
      </c>
      <c r="Y62" s="724" t="s">
        <v>399</v>
      </c>
      <c r="Z62" s="725">
        <f t="shared" ref="Z62:Z86" si="38">+X62/Mg_ton</f>
        <v>0</v>
      </c>
      <c r="AA62" s="1146"/>
      <c r="AB62" s="54" t="s">
        <v>444</v>
      </c>
      <c r="AC62" s="648">
        <f>AD62*Mg_ton</f>
        <v>0</v>
      </c>
      <c r="AD62" s="648">
        <f>SUMIF($D$62:$D$86,AB62,$P$62:$P$86)</f>
        <v>0</v>
      </c>
      <c r="AE62" s="50">
        <f>AD62*(Mean_solids)</f>
        <v>0</v>
      </c>
      <c r="AF62" s="56" t="s">
        <v>503</v>
      </c>
      <c r="AG62" s="648">
        <f>SUMIFS($O$62:$O$86,$D$62:$D$86,AB62,$E$62:$E$86,AF62)</f>
        <v>0</v>
      </c>
      <c r="AH62" s="648">
        <f t="shared" ref="AH62:AH68" si="39">SUMIFS($P$62:$P$86,$D$62:$D$86,AB62,$E$62:$E$86,AF62)</f>
        <v>0</v>
      </c>
      <c r="AI62" s="49">
        <f t="shared" ref="AI62:AI69" si="40">AH62*(Mean_solids)</f>
        <v>0</v>
      </c>
    </row>
    <row r="63" spans="2:43" ht="15.75" customHeight="1" x14ac:dyDescent="0.25">
      <c r="B63" s="642">
        <v>2</v>
      </c>
      <c r="C63" s="38"/>
      <c r="D63" s="28"/>
      <c r="E63" s="29"/>
      <c r="F63" s="30"/>
      <c r="G63" s="31"/>
      <c r="H63" s="27"/>
      <c r="I63" s="32"/>
      <c r="J63" s="32"/>
      <c r="K63" s="32"/>
      <c r="L63" s="32"/>
      <c r="M63" s="32"/>
      <c r="N63" s="32"/>
      <c r="O63" s="643">
        <f t="shared" ref="O63:O86" si="41">SUM(I63:N63)</f>
        <v>0</v>
      </c>
      <c r="P63" s="644">
        <f t="shared" si="34"/>
        <v>0</v>
      </c>
      <c r="Q63" s="645" t="e">
        <f t="shared" ref="Q63:Q86" si="42">P63/$P$88</f>
        <v>#DIV/0!</v>
      </c>
      <c r="R63" s="33"/>
      <c r="S63" s="37"/>
      <c r="T63" s="60">
        <f t="shared" si="35"/>
        <v>0</v>
      </c>
      <c r="U63" s="61">
        <f t="shared" si="36"/>
        <v>0</v>
      </c>
      <c r="V63" s="60">
        <f t="shared" si="37"/>
        <v>0</v>
      </c>
      <c r="W63" s="27"/>
      <c r="X63" s="737">
        <f>IF(W63='References Assumptions'!$C$331,'References Assumptions'!$C$335,0)</f>
        <v>0</v>
      </c>
      <c r="Y63" s="646" t="s">
        <v>399</v>
      </c>
      <c r="Z63" s="647">
        <f t="shared" si="38"/>
        <v>0</v>
      </c>
      <c r="AA63" s="29"/>
      <c r="AB63" s="54" t="s">
        <v>444</v>
      </c>
      <c r="AC63" s="1254"/>
      <c r="AD63" s="1255"/>
      <c r="AE63" s="1256"/>
      <c r="AF63" s="56" t="s">
        <v>504</v>
      </c>
      <c r="AG63" s="648">
        <f t="shared" ref="AG63:AG68" si="43">SUMIFS($O$62:$O$86,$D$62:$D$86,AB63,$E$62:$E$86,AF63)</f>
        <v>0</v>
      </c>
      <c r="AH63" s="648">
        <f t="shared" si="39"/>
        <v>0</v>
      </c>
      <c r="AI63" s="49">
        <f t="shared" si="40"/>
        <v>0</v>
      </c>
    </row>
    <row r="64" spans="2:43" ht="15.75" customHeight="1" x14ac:dyDescent="0.25">
      <c r="B64" s="642">
        <v>3</v>
      </c>
      <c r="C64" s="38"/>
      <c r="D64" s="28"/>
      <c r="E64" s="29"/>
      <c r="F64" s="30"/>
      <c r="G64" s="31"/>
      <c r="H64" s="27"/>
      <c r="I64" s="32"/>
      <c r="J64" s="32"/>
      <c r="K64" s="32"/>
      <c r="L64" s="32"/>
      <c r="M64" s="32"/>
      <c r="N64" s="32"/>
      <c r="O64" s="643">
        <f t="shared" si="41"/>
        <v>0</v>
      </c>
      <c r="P64" s="644">
        <f t="shared" si="34"/>
        <v>0</v>
      </c>
      <c r="Q64" s="645" t="e">
        <f t="shared" si="42"/>
        <v>#DIV/0!</v>
      </c>
      <c r="R64" s="33"/>
      <c r="S64" s="37"/>
      <c r="T64" s="60">
        <f t="shared" si="35"/>
        <v>0</v>
      </c>
      <c r="U64" s="61">
        <f t="shared" si="36"/>
        <v>0</v>
      </c>
      <c r="V64" s="60">
        <f t="shared" si="37"/>
        <v>0</v>
      </c>
      <c r="W64" s="27"/>
      <c r="X64" s="737">
        <f>IF(W64='References Assumptions'!$C$331,'References Assumptions'!$C$335,0)</f>
        <v>0</v>
      </c>
      <c r="Y64" s="646" t="s">
        <v>399</v>
      </c>
      <c r="Z64" s="647">
        <f t="shared" si="38"/>
        <v>0</v>
      </c>
      <c r="AA64" s="29"/>
      <c r="AB64" s="54" t="s">
        <v>444</v>
      </c>
      <c r="AC64" s="1257"/>
      <c r="AD64" s="1258"/>
      <c r="AE64" s="1259"/>
      <c r="AF64" s="56" t="s">
        <v>505</v>
      </c>
      <c r="AG64" s="648">
        <f t="shared" si="43"/>
        <v>0</v>
      </c>
      <c r="AH64" s="648">
        <f t="shared" si="39"/>
        <v>0</v>
      </c>
      <c r="AI64" s="49">
        <f t="shared" si="40"/>
        <v>0</v>
      </c>
    </row>
    <row r="65" spans="2:35" ht="15.75" customHeight="1" x14ac:dyDescent="0.25">
      <c r="B65" s="642">
        <v>4</v>
      </c>
      <c r="C65" s="38"/>
      <c r="D65" s="28"/>
      <c r="E65" s="29"/>
      <c r="F65" s="30"/>
      <c r="G65" s="31"/>
      <c r="H65" s="27"/>
      <c r="I65" s="32"/>
      <c r="J65" s="32"/>
      <c r="K65" s="32"/>
      <c r="L65" s="32"/>
      <c r="M65" s="32"/>
      <c r="N65" s="32"/>
      <c r="O65" s="643">
        <f t="shared" si="41"/>
        <v>0</v>
      </c>
      <c r="P65" s="644">
        <f t="shared" si="34"/>
        <v>0</v>
      </c>
      <c r="Q65" s="645" t="e">
        <f t="shared" si="42"/>
        <v>#DIV/0!</v>
      </c>
      <c r="R65" s="33"/>
      <c r="S65" s="37"/>
      <c r="T65" s="60">
        <f t="shared" si="35"/>
        <v>0</v>
      </c>
      <c r="U65" s="61">
        <f t="shared" si="36"/>
        <v>0</v>
      </c>
      <c r="V65" s="60">
        <f t="shared" si="37"/>
        <v>0</v>
      </c>
      <c r="W65" s="27"/>
      <c r="X65" s="737">
        <f>IF(W65='References Assumptions'!$C$331,'References Assumptions'!$C$335,0)</f>
        <v>0</v>
      </c>
      <c r="Y65" s="646" t="s">
        <v>399</v>
      </c>
      <c r="Z65" s="647">
        <f t="shared" si="38"/>
        <v>0</v>
      </c>
      <c r="AA65" s="29"/>
      <c r="AB65" s="54" t="s">
        <v>444</v>
      </c>
      <c r="AC65" s="1266"/>
      <c r="AD65" s="1267"/>
      <c r="AE65" s="1268"/>
      <c r="AF65" s="56" t="s">
        <v>547</v>
      </c>
      <c r="AG65" s="648">
        <f t="shared" si="43"/>
        <v>0</v>
      </c>
      <c r="AH65" s="648">
        <f t="shared" si="39"/>
        <v>0</v>
      </c>
      <c r="AI65" s="49">
        <f t="shared" si="40"/>
        <v>0</v>
      </c>
    </row>
    <row r="66" spans="2:35" ht="15.75" customHeight="1" x14ac:dyDescent="0.25">
      <c r="B66" s="642">
        <v>5</v>
      </c>
      <c r="C66" s="38"/>
      <c r="D66" s="28"/>
      <c r="E66" s="29"/>
      <c r="F66" s="30"/>
      <c r="G66" s="31"/>
      <c r="H66" s="27"/>
      <c r="I66" s="32"/>
      <c r="J66" s="32"/>
      <c r="K66" s="32"/>
      <c r="L66" s="32"/>
      <c r="M66" s="32"/>
      <c r="N66" s="32"/>
      <c r="O66" s="643">
        <f t="shared" si="41"/>
        <v>0</v>
      </c>
      <c r="P66" s="644">
        <f t="shared" si="34"/>
        <v>0</v>
      </c>
      <c r="Q66" s="645" t="e">
        <f t="shared" si="42"/>
        <v>#DIV/0!</v>
      </c>
      <c r="R66" s="33"/>
      <c r="S66" s="37"/>
      <c r="T66" s="60">
        <f t="shared" si="35"/>
        <v>0</v>
      </c>
      <c r="U66" s="61">
        <f t="shared" si="36"/>
        <v>0</v>
      </c>
      <c r="V66" s="60">
        <f t="shared" si="37"/>
        <v>0</v>
      </c>
      <c r="W66" s="27"/>
      <c r="X66" s="737">
        <f>IF(W66='References Assumptions'!$C$331,'References Assumptions'!$C$335,0)</f>
        <v>0</v>
      </c>
      <c r="Y66" s="646" t="s">
        <v>399</v>
      </c>
      <c r="Z66" s="647">
        <f t="shared" si="38"/>
        <v>0</v>
      </c>
      <c r="AA66" s="29"/>
      <c r="AB66" s="54" t="s">
        <v>250</v>
      </c>
      <c r="AC66" s="648">
        <f>AD66*Mg_ton</f>
        <v>0</v>
      </c>
      <c r="AD66" s="648">
        <f>SUMIF($D$62:$D$86,AB66,$P$62:$P$86)</f>
        <v>0</v>
      </c>
      <c r="AE66" s="50">
        <f>AD66*(Mean_solids)</f>
        <v>0</v>
      </c>
      <c r="AF66" s="56" t="s">
        <v>487</v>
      </c>
      <c r="AG66" s="648">
        <f>SUMIFS($O$62:$O$86,$D$62:$D$86,AB66,$E$62:$E$86,AF66)</f>
        <v>0</v>
      </c>
      <c r="AH66" s="648">
        <f t="shared" si="39"/>
        <v>0</v>
      </c>
      <c r="AI66" s="49">
        <f t="shared" si="40"/>
        <v>0</v>
      </c>
    </row>
    <row r="67" spans="2:35" ht="15.75" customHeight="1" x14ac:dyDescent="0.25">
      <c r="B67" s="642">
        <v>6</v>
      </c>
      <c r="C67" s="38"/>
      <c r="D67" s="28"/>
      <c r="E67" s="29"/>
      <c r="F67" s="30"/>
      <c r="G67" s="31"/>
      <c r="H67" s="27"/>
      <c r="I67" s="32"/>
      <c r="J67" s="32"/>
      <c r="K67" s="32"/>
      <c r="L67" s="32"/>
      <c r="M67" s="32"/>
      <c r="N67" s="32"/>
      <c r="O67" s="643">
        <f t="shared" si="41"/>
        <v>0</v>
      </c>
      <c r="P67" s="644">
        <f t="shared" si="34"/>
        <v>0</v>
      </c>
      <c r="Q67" s="645" t="e">
        <f t="shared" si="42"/>
        <v>#DIV/0!</v>
      </c>
      <c r="R67" s="33"/>
      <c r="S67" s="37"/>
      <c r="T67" s="60">
        <f t="shared" si="35"/>
        <v>0</v>
      </c>
      <c r="U67" s="61">
        <f t="shared" si="36"/>
        <v>0</v>
      </c>
      <c r="V67" s="60">
        <f t="shared" si="37"/>
        <v>0</v>
      </c>
      <c r="W67" s="27"/>
      <c r="X67" s="737">
        <f>IF(W67='References Assumptions'!$C$331,'References Assumptions'!$C$335,0)</f>
        <v>0</v>
      </c>
      <c r="Y67" s="646" t="s">
        <v>399</v>
      </c>
      <c r="Z67" s="647">
        <f t="shared" si="38"/>
        <v>0</v>
      </c>
      <c r="AA67" s="29"/>
      <c r="AB67" s="54" t="s">
        <v>250</v>
      </c>
      <c r="AC67" s="1254"/>
      <c r="AD67" s="1255"/>
      <c r="AE67" s="1256"/>
      <c r="AF67" s="56" t="s">
        <v>90</v>
      </c>
      <c r="AG67" s="648">
        <f t="shared" si="43"/>
        <v>0</v>
      </c>
      <c r="AH67" s="648">
        <f t="shared" si="39"/>
        <v>0</v>
      </c>
      <c r="AI67" s="49">
        <f t="shared" si="40"/>
        <v>0</v>
      </c>
    </row>
    <row r="68" spans="2:35" ht="15.75" customHeight="1" x14ac:dyDescent="0.25">
      <c r="B68" s="642">
        <v>7</v>
      </c>
      <c r="C68" s="38"/>
      <c r="D68" s="28"/>
      <c r="E68" s="29"/>
      <c r="F68" s="30"/>
      <c r="G68" s="31"/>
      <c r="H68" s="27"/>
      <c r="I68" s="32"/>
      <c r="J68" s="32"/>
      <c r="K68" s="32"/>
      <c r="L68" s="32"/>
      <c r="M68" s="32"/>
      <c r="N68" s="32"/>
      <c r="O68" s="643">
        <f t="shared" si="41"/>
        <v>0</v>
      </c>
      <c r="P68" s="644">
        <f t="shared" si="34"/>
        <v>0</v>
      </c>
      <c r="Q68" s="645" t="e">
        <f t="shared" si="42"/>
        <v>#DIV/0!</v>
      </c>
      <c r="R68" s="33"/>
      <c r="S68" s="37"/>
      <c r="T68" s="60">
        <f t="shared" si="35"/>
        <v>0</v>
      </c>
      <c r="U68" s="61">
        <f t="shared" si="36"/>
        <v>0</v>
      </c>
      <c r="V68" s="60">
        <f t="shared" si="37"/>
        <v>0</v>
      </c>
      <c r="W68" s="27"/>
      <c r="X68" s="737">
        <f>IF(W68='References Assumptions'!$C$331,'References Assumptions'!$C$335,0)</f>
        <v>0</v>
      </c>
      <c r="Y68" s="646" t="s">
        <v>399</v>
      </c>
      <c r="Z68" s="647">
        <f t="shared" si="38"/>
        <v>0</v>
      </c>
      <c r="AA68" s="29"/>
      <c r="AB68" s="54" t="s">
        <v>250</v>
      </c>
      <c r="AC68" s="1266"/>
      <c r="AD68" s="1267"/>
      <c r="AE68" s="1268"/>
      <c r="AF68" s="56" t="s">
        <v>176</v>
      </c>
      <c r="AG68" s="648">
        <f t="shared" si="43"/>
        <v>0</v>
      </c>
      <c r="AH68" s="648">
        <f t="shared" si="39"/>
        <v>0</v>
      </c>
      <c r="AI68" s="49">
        <f t="shared" si="40"/>
        <v>0</v>
      </c>
    </row>
    <row r="69" spans="2:35" ht="15.75" customHeight="1" x14ac:dyDescent="0.25">
      <c r="B69" s="642">
        <v>8</v>
      </c>
      <c r="C69" s="38"/>
      <c r="D69" s="28"/>
      <c r="E69" s="29"/>
      <c r="F69" s="30"/>
      <c r="G69" s="31"/>
      <c r="H69" s="27"/>
      <c r="I69" s="32"/>
      <c r="J69" s="32"/>
      <c r="K69" s="32"/>
      <c r="L69" s="32"/>
      <c r="M69" s="32"/>
      <c r="N69" s="32"/>
      <c r="O69" s="643">
        <f t="shared" si="41"/>
        <v>0</v>
      </c>
      <c r="P69" s="644">
        <f t="shared" si="34"/>
        <v>0</v>
      </c>
      <c r="Q69" s="645" t="e">
        <f t="shared" si="42"/>
        <v>#DIV/0!</v>
      </c>
      <c r="R69" s="33"/>
      <c r="S69" s="37"/>
      <c r="T69" s="60">
        <f t="shared" si="35"/>
        <v>0</v>
      </c>
      <c r="U69" s="61">
        <f t="shared" si="36"/>
        <v>0</v>
      </c>
      <c r="V69" s="60">
        <f t="shared" si="37"/>
        <v>0</v>
      </c>
      <c r="W69" s="27"/>
      <c r="X69" s="737">
        <f>IF(W69='References Assumptions'!$C$331,'References Assumptions'!$C$335,0)</f>
        <v>0</v>
      </c>
      <c r="Y69" s="646" t="s">
        <v>399</v>
      </c>
      <c r="Z69" s="647">
        <f t="shared" si="38"/>
        <v>0</v>
      </c>
      <c r="AA69" s="29"/>
      <c r="AB69" s="54" t="s">
        <v>548</v>
      </c>
      <c r="AC69" s="648">
        <f>AD69*Mg_ton</f>
        <v>0</v>
      </c>
      <c r="AD69" s="648">
        <f>SUMIF($D$62:$D$86,AB69,$P$62:$P$86)</f>
        <v>0</v>
      </c>
      <c r="AE69" s="50">
        <f>AD69*(Mean_solids)</f>
        <v>0</v>
      </c>
      <c r="AF69" s="56" t="s">
        <v>592</v>
      </c>
      <c r="AG69" s="648">
        <f>SUMIFS($O$62:$O$86,$D$62:$D$86,AB69,$E$62:$E$86,'References Assumptions'!$C$352)</f>
        <v>0</v>
      </c>
      <c r="AH69" s="648">
        <f>SUMIFS($P$62:$P$86,$D$62:$D$86,AB69,$E$62:$E$86,'References Assumptions'!$C$352)</f>
        <v>0</v>
      </c>
      <c r="AI69" s="49">
        <f t="shared" si="40"/>
        <v>0</v>
      </c>
    </row>
    <row r="70" spans="2:35" ht="15.75" customHeight="1" x14ac:dyDescent="0.25">
      <c r="B70" s="642">
        <v>9</v>
      </c>
      <c r="C70" s="38"/>
      <c r="D70" s="28"/>
      <c r="E70" s="29"/>
      <c r="F70" s="30"/>
      <c r="G70" s="31"/>
      <c r="H70" s="27"/>
      <c r="I70" s="32"/>
      <c r="J70" s="32"/>
      <c r="K70" s="32"/>
      <c r="L70" s="32"/>
      <c r="M70" s="32"/>
      <c r="N70" s="32"/>
      <c r="O70" s="643">
        <f t="shared" si="41"/>
        <v>0</v>
      </c>
      <c r="P70" s="644">
        <f t="shared" si="34"/>
        <v>0</v>
      </c>
      <c r="Q70" s="645" t="e">
        <f t="shared" si="42"/>
        <v>#DIV/0!</v>
      </c>
      <c r="R70" s="33"/>
      <c r="S70" s="37"/>
      <c r="T70" s="60">
        <f t="shared" si="35"/>
        <v>0</v>
      </c>
      <c r="U70" s="61">
        <f t="shared" si="36"/>
        <v>0</v>
      </c>
      <c r="V70" s="60">
        <f t="shared" si="37"/>
        <v>0</v>
      </c>
      <c r="W70" s="27"/>
      <c r="X70" s="737">
        <f>IF(W70='References Assumptions'!$C$331,'References Assumptions'!$C$335,0)</f>
        <v>0</v>
      </c>
      <c r="Y70" s="646" t="s">
        <v>399</v>
      </c>
      <c r="Z70" s="647">
        <f t="shared" si="38"/>
        <v>0</v>
      </c>
      <c r="AA70" s="29"/>
      <c r="AB70" s="54" t="s">
        <v>548</v>
      </c>
      <c r="AC70" s="1240"/>
      <c r="AD70" s="1240"/>
      <c r="AE70" s="1240"/>
      <c r="AF70" s="56" t="s">
        <v>593</v>
      </c>
      <c r="AG70" s="648" t="e">
        <f>SUMIFS($O$62:$O$86,$D$62:$D$86,AB70,$E$62:$E$86,'References Assumptions'!$C$352)*'Thermal Drying'!$F$7/percent_solids_after_thermal_drying</f>
        <v>#DIV/0!</v>
      </c>
      <c r="AH70" s="648" t="e">
        <f>SUMIFS($P$62:$P$86,$D$62:$D$86,AB70,$E$62:$E$86,'References Assumptions'!$C$352)*'Thermal Drying'!$F$7/percent_solids_after_thermal_drying</f>
        <v>#DIV/0!</v>
      </c>
      <c r="AI70" s="49" t="e">
        <f>+AH70*percent_solids_after_thermal_drying</f>
        <v>#DIV/0!</v>
      </c>
    </row>
    <row r="71" spans="2:35" ht="15.75" customHeight="1" x14ac:dyDescent="0.25">
      <c r="B71" s="642">
        <v>10</v>
      </c>
      <c r="C71" s="38"/>
      <c r="D71" s="28"/>
      <c r="E71" s="29"/>
      <c r="F71" s="30"/>
      <c r="G71" s="31"/>
      <c r="H71" s="27"/>
      <c r="I71" s="32"/>
      <c r="J71" s="32"/>
      <c r="K71" s="32"/>
      <c r="L71" s="32"/>
      <c r="M71" s="32"/>
      <c r="N71" s="32"/>
      <c r="O71" s="643">
        <f t="shared" si="41"/>
        <v>0</v>
      </c>
      <c r="P71" s="644">
        <f t="shared" si="34"/>
        <v>0</v>
      </c>
      <c r="Q71" s="645" t="e">
        <f t="shared" si="42"/>
        <v>#DIV/0!</v>
      </c>
      <c r="R71" s="33"/>
      <c r="S71" s="37"/>
      <c r="T71" s="60">
        <f t="shared" si="35"/>
        <v>0</v>
      </c>
      <c r="U71" s="61">
        <f t="shared" si="36"/>
        <v>0</v>
      </c>
      <c r="V71" s="60">
        <f t="shared" si="37"/>
        <v>0</v>
      </c>
      <c r="W71" s="27"/>
      <c r="X71" s="737">
        <f>IF(W71='References Assumptions'!$C$331,'References Assumptions'!$C$335,0)</f>
        <v>0</v>
      </c>
      <c r="Y71" s="646" t="s">
        <v>399</v>
      </c>
      <c r="Z71" s="647">
        <f t="shared" si="38"/>
        <v>0</v>
      </c>
      <c r="AA71" s="29"/>
      <c r="AB71" s="54" t="s">
        <v>548</v>
      </c>
      <c r="AC71" s="1198"/>
      <c r="AD71" s="1198"/>
      <c r="AE71" s="1198"/>
      <c r="AF71" s="56" t="s">
        <v>608</v>
      </c>
      <c r="AG71" s="648">
        <f t="shared" ref="AG71:AG72" si="44">SUMIFS($O$62:$O$86,$D$62:$D$86,AB71,$E$62:$E$86,AF71)</f>
        <v>0</v>
      </c>
      <c r="AH71" s="648">
        <f t="shared" ref="AH71:AH72" si="45">SUMIFS($P$62:$P$86,$D$62:$D$86,AB71,$E$62:$E$86,AF71)</f>
        <v>0</v>
      </c>
      <c r="AI71" s="49">
        <f t="shared" ref="AI71:AI72" si="46">AH71*(Mean_solids)</f>
        <v>0</v>
      </c>
    </row>
    <row r="72" spans="2:35" ht="15.75" customHeight="1" x14ac:dyDescent="0.25">
      <c r="B72" s="642">
        <v>11</v>
      </c>
      <c r="C72" s="38"/>
      <c r="D72" s="28"/>
      <c r="E72" s="29"/>
      <c r="F72" s="30"/>
      <c r="G72" s="31"/>
      <c r="H72" s="27"/>
      <c r="I72" s="32"/>
      <c r="J72" s="32"/>
      <c r="K72" s="32"/>
      <c r="L72" s="32"/>
      <c r="M72" s="32"/>
      <c r="N72" s="32"/>
      <c r="O72" s="643">
        <f t="shared" si="41"/>
        <v>0</v>
      </c>
      <c r="P72" s="644">
        <f t="shared" si="34"/>
        <v>0</v>
      </c>
      <c r="Q72" s="645" t="e">
        <f t="shared" si="42"/>
        <v>#DIV/0!</v>
      </c>
      <c r="R72" s="33"/>
      <c r="S72" s="37"/>
      <c r="T72" s="60">
        <f t="shared" si="35"/>
        <v>0</v>
      </c>
      <c r="U72" s="61">
        <f t="shared" si="36"/>
        <v>0</v>
      </c>
      <c r="V72" s="60">
        <f t="shared" si="37"/>
        <v>0</v>
      </c>
      <c r="W72" s="27"/>
      <c r="X72" s="737">
        <f>IF(W72='References Assumptions'!$C$331,'References Assumptions'!$C$335,0)</f>
        <v>0</v>
      </c>
      <c r="Y72" s="646" t="s">
        <v>399</v>
      </c>
      <c r="Z72" s="647">
        <f t="shared" si="38"/>
        <v>0</v>
      </c>
      <c r="AA72" s="29"/>
      <c r="AB72" s="54" t="s">
        <v>548</v>
      </c>
      <c r="AC72" s="1198"/>
      <c r="AD72" s="1198"/>
      <c r="AE72" s="1198"/>
      <c r="AF72" s="56" t="s">
        <v>609</v>
      </c>
      <c r="AG72" s="648">
        <f t="shared" si="44"/>
        <v>0</v>
      </c>
      <c r="AH72" s="648">
        <f t="shared" si="45"/>
        <v>0</v>
      </c>
      <c r="AI72" s="49">
        <f t="shared" si="46"/>
        <v>0</v>
      </c>
    </row>
    <row r="73" spans="2:35" ht="15.75" customHeight="1" x14ac:dyDescent="0.25">
      <c r="B73" s="642">
        <v>12</v>
      </c>
      <c r="C73" s="38"/>
      <c r="D73" s="28"/>
      <c r="E73" s="29"/>
      <c r="F73" s="30"/>
      <c r="G73" s="31"/>
      <c r="H73" s="27"/>
      <c r="I73" s="32"/>
      <c r="J73" s="32"/>
      <c r="K73" s="32"/>
      <c r="L73" s="32"/>
      <c r="M73" s="32"/>
      <c r="N73" s="32"/>
      <c r="O73" s="643">
        <f t="shared" si="41"/>
        <v>0</v>
      </c>
      <c r="P73" s="644">
        <f t="shared" si="34"/>
        <v>0</v>
      </c>
      <c r="Q73" s="645" t="e">
        <f t="shared" si="42"/>
        <v>#DIV/0!</v>
      </c>
      <c r="R73" s="33"/>
      <c r="S73" s="37"/>
      <c r="T73" s="60">
        <f t="shared" si="35"/>
        <v>0</v>
      </c>
      <c r="U73" s="61">
        <f t="shared" si="36"/>
        <v>0</v>
      </c>
      <c r="V73" s="60">
        <f t="shared" si="37"/>
        <v>0</v>
      </c>
      <c r="W73" s="27"/>
      <c r="X73" s="737">
        <f>IF(W73='References Assumptions'!$C$331,'References Assumptions'!$C$335,0)</f>
        <v>0</v>
      </c>
      <c r="Y73" s="646" t="s">
        <v>399</v>
      </c>
      <c r="Z73" s="647">
        <f t="shared" si="38"/>
        <v>0</v>
      </c>
      <c r="AA73" s="29"/>
      <c r="AB73" s="54" t="s">
        <v>548</v>
      </c>
      <c r="AC73" s="1241"/>
      <c r="AD73" s="1241"/>
      <c r="AE73" s="1241"/>
      <c r="AF73" s="1190" t="s">
        <v>987</v>
      </c>
      <c r="AG73" s="648" t="e">
        <f>(SUMIFS($O$62:$O$86,$D$62:$D$86,AB73,$E$62:$E$86,AF73)*(Percent_Solids/percent_solids_after_biodrying)*(percent_solids_after_biodrying/Percent_Solids_After_Pyrolysis))*(1-Pyrolysis!$F$15)</f>
        <v>#DIV/0!</v>
      </c>
      <c r="AH73" s="648" t="e">
        <f>(SUMIFS($P$62:$P$86,$D$62:$D$86,AB73,$E$62:$E$86,AF73)*(Percent_Solids/percent_solids_after_biodrying)*(percent_solids_after_biodrying/Percent_Solids_After_Pyrolysis))*(1-Pyrolysis!$F$15)</f>
        <v>#DIV/0!</v>
      </c>
      <c r="AI73" s="598" t="e">
        <f>AH73*Percent_Solids_After_Pyrolysis</f>
        <v>#DIV/0!</v>
      </c>
    </row>
    <row r="74" spans="2:35" ht="15.75" customHeight="1" x14ac:dyDescent="0.25">
      <c r="B74" s="642">
        <v>13</v>
      </c>
      <c r="C74" s="38"/>
      <c r="D74" s="28"/>
      <c r="E74" s="29"/>
      <c r="F74" s="30"/>
      <c r="G74" s="31"/>
      <c r="H74" s="27"/>
      <c r="I74" s="32"/>
      <c r="J74" s="32"/>
      <c r="K74" s="32"/>
      <c r="L74" s="32"/>
      <c r="M74" s="32"/>
      <c r="N74" s="32"/>
      <c r="O74" s="643">
        <f t="shared" si="41"/>
        <v>0</v>
      </c>
      <c r="P74" s="644">
        <f t="shared" ref="P74:P86" si="47">+O74/Mg_ton</f>
        <v>0</v>
      </c>
      <c r="Q74" s="645" t="e">
        <f t="shared" si="42"/>
        <v>#DIV/0!</v>
      </c>
      <c r="R74" s="33"/>
      <c r="S74" s="37"/>
      <c r="T74" s="60">
        <f t="shared" si="35"/>
        <v>0</v>
      </c>
      <c r="U74" s="61">
        <f t="shared" si="36"/>
        <v>0</v>
      </c>
      <c r="V74" s="60">
        <f t="shared" si="37"/>
        <v>0</v>
      </c>
      <c r="W74" s="27"/>
      <c r="X74" s="737">
        <f>IF(W74='References Assumptions'!$C$331,'References Assumptions'!$C$335,0)</f>
        <v>0</v>
      </c>
      <c r="Y74" s="646" t="s">
        <v>399</v>
      </c>
      <c r="Z74" s="647">
        <f t="shared" si="38"/>
        <v>0</v>
      </c>
      <c r="AA74" s="29"/>
      <c r="AB74" s="54" t="s">
        <v>222</v>
      </c>
      <c r="AC74" s="648">
        <f>AD74*Mg_ton</f>
        <v>0</v>
      </c>
      <c r="AD74" s="648">
        <f>SUMIF($D$62:$D$86,AB74,$P$62:$P$86)</f>
        <v>0</v>
      </c>
      <c r="AE74" s="50">
        <f>AD74*(Mean_solids)</f>
        <v>0</v>
      </c>
      <c r="AF74" s="56" t="s">
        <v>496</v>
      </c>
      <c r="AG74" s="648">
        <f>SUMIFS($O$62:$O$86,$D$62:$D$86,AB74,$E$62:$E$86,AF74)</f>
        <v>0</v>
      </c>
      <c r="AH74" s="648">
        <f>SUMIFS($P$62:$P$86,$D$62:$D$86,AB74,$E$62:$E$86,AF74)</f>
        <v>0</v>
      </c>
      <c r="AI74" s="49">
        <f>AH74*(Mean_solids)</f>
        <v>0</v>
      </c>
    </row>
    <row r="75" spans="2:35" ht="15.75" customHeight="1" x14ac:dyDescent="0.25">
      <c r="B75" s="642">
        <v>14</v>
      </c>
      <c r="C75" s="38"/>
      <c r="D75" s="28"/>
      <c r="E75" s="29"/>
      <c r="F75" s="30"/>
      <c r="G75" s="31"/>
      <c r="H75" s="27"/>
      <c r="I75" s="32"/>
      <c r="J75" s="32"/>
      <c r="K75" s="32"/>
      <c r="L75" s="32"/>
      <c r="M75" s="32"/>
      <c r="N75" s="32"/>
      <c r="O75" s="643">
        <f t="shared" si="41"/>
        <v>0</v>
      </c>
      <c r="P75" s="644">
        <f t="shared" si="47"/>
        <v>0</v>
      </c>
      <c r="Q75" s="645" t="e">
        <f t="shared" si="42"/>
        <v>#DIV/0!</v>
      </c>
      <c r="R75" s="33"/>
      <c r="S75" s="37"/>
      <c r="T75" s="60">
        <f t="shared" si="35"/>
        <v>0</v>
      </c>
      <c r="U75" s="61">
        <f t="shared" si="36"/>
        <v>0</v>
      </c>
      <c r="V75" s="60">
        <f t="shared" si="37"/>
        <v>0</v>
      </c>
      <c r="W75" s="27"/>
      <c r="X75" s="737">
        <f>IF(W75='References Assumptions'!$C$331,'References Assumptions'!$C$335,0)</f>
        <v>0</v>
      </c>
      <c r="Y75" s="646" t="s">
        <v>399</v>
      </c>
      <c r="Z75" s="647">
        <f t="shared" si="38"/>
        <v>0</v>
      </c>
      <c r="AA75" s="29"/>
      <c r="AB75" s="54" t="s">
        <v>222</v>
      </c>
      <c r="AC75" s="1254"/>
      <c r="AD75" s="1255"/>
      <c r="AE75" s="1256"/>
      <c r="AF75" s="56" t="s">
        <v>497</v>
      </c>
      <c r="AG75" s="648">
        <f>SUMIFS($O$62:$O$86,$D$62:$D$86,AB75,$E$62:$E$86,AF75)</f>
        <v>0</v>
      </c>
      <c r="AH75" s="648">
        <f>SUMIFS($P$62:$P$86,$D$62:$D$86,AB75,$E$62:$E$86,AF75)</f>
        <v>0</v>
      </c>
      <c r="AI75" s="49">
        <f>AH75*(Mean_solids)</f>
        <v>0</v>
      </c>
    </row>
    <row r="76" spans="2:35" ht="15.75" customHeight="1" x14ac:dyDescent="0.25">
      <c r="B76" s="642">
        <v>15</v>
      </c>
      <c r="C76" s="38"/>
      <c r="D76" s="28"/>
      <c r="E76" s="29"/>
      <c r="F76" s="30"/>
      <c r="G76" s="31"/>
      <c r="H76" s="27"/>
      <c r="I76" s="32"/>
      <c r="J76" s="32"/>
      <c r="K76" s="32"/>
      <c r="L76" s="32"/>
      <c r="M76" s="32"/>
      <c r="N76" s="32"/>
      <c r="O76" s="643">
        <f t="shared" si="41"/>
        <v>0</v>
      </c>
      <c r="P76" s="644">
        <f t="shared" si="47"/>
        <v>0</v>
      </c>
      <c r="Q76" s="645" t="e">
        <f t="shared" si="42"/>
        <v>#DIV/0!</v>
      </c>
      <c r="R76" s="33"/>
      <c r="S76" s="37"/>
      <c r="T76" s="60">
        <f t="shared" si="35"/>
        <v>0</v>
      </c>
      <c r="U76" s="61">
        <f t="shared" si="36"/>
        <v>0</v>
      </c>
      <c r="V76" s="60">
        <f t="shared" si="37"/>
        <v>0</v>
      </c>
      <c r="W76" s="27"/>
      <c r="X76" s="737">
        <f>IF(W76='References Assumptions'!$C$331,'References Assumptions'!$C$335,0)</f>
        <v>0</v>
      </c>
      <c r="Y76" s="646" t="s">
        <v>399</v>
      </c>
      <c r="Z76" s="647">
        <f t="shared" si="38"/>
        <v>0</v>
      </c>
      <c r="AA76" s="29"/>
      <c r="AB76" s="54" t="s">
        <v>222</v>
      </c>
      <c r="AC76" s="1257"/>
      <c r="AD76" s="1258"/>
      <c r="AE76" s="1259"/>
      <c r="AF76" s="56" t="s">
        <v>544</v>
      </c>
      <c r="AG76" s="648">
        <f>SUMIFS($O$62:$O$86,$D$62:$D$86,AB76,$E$62:$E$86,AF76)</f>
        <v>0</v>
      </c>
      <c r="AH76" s="648">
        <f>SUMIFS($P$62:$P$86,$D$62:$D$86,AB76,$E$62:$E$86,AF76)</f>
        <v>0</v>
      </c>
      <c r="AI76" s="49">
        <f>AH76*(Mean_solids)</f>
        <v>0</v>
      </c>
    </row>
    <row r="77" spans="2:35" ht="15.75" customHeight="1" thickBot="1" x14ac:dyDescent="0.3">
      <c r="B77" s="642">
        <v>16</v>
      </c>
      <c r="C77" s="38"/>
      <c r="D77" s="28"/>
      <c r="E77" s="29"/>
      <c r="F77" s="30"/>
      <c r="G77" s="31"/>
      <c r="H77" s="27"/>
      <c r="I77" s="32"/>
      <c r="J77" s="32"/>
      <c r="K77" s="32"/>
      <c r="L77" s="32"/>
      <c r="M77" s="32"/>
      <c r="N77" s="32"/>
      <c r="O77" s="643">
        <f t="shared" si="41"/>
        <v>0</v>
      </c>
      <c r="P77" s="644">
        <f t="shared" si="47"/>
        <v>0</v>
      </c>
      <c r="Q77" s="645" t="e">
        <f t="shared" si="42"/>
        <v>#DIV/0!</v>
      </c>
      <c r="R77" s="33"/>
      <c r="S77" s="37"/>
      <c r="T77" s="60">
        <f t="shared" si="35"/>
        <v>0</v>
      </c>
      <c r="U77" s="61">
        <f t="shared" si="36"/>
        <v>0</v>
      </c>
      <c r="V77" s="60">
        <f t="shared" si="37"/>
        <v>0</v>
      </c>
      <c r="W77" s="27"/>
      <c r="X77" s="737">
        <f>IF(W77='References Assumptions'!$C$331,'References Assumptions'!$C$335,0)</f>
        <v>0</v>
      </c>
      <c r="Y77" s="646" t="s">
        <v>399</v>
      </c>
      <c r="Z77" s="647">
        <f t="shared" si="38"/>
        <v>0</v>
      </c>
      <c r="AA77" s="29"/>
      <c r="AB77" s="709" t="s">
        <v>222</v>
      </c>
      <c r="AC77" s="1260"/>
      <c r="AD77" s="1261"/>
      <c r="AE77" s="1262"/>
      <c r="AF77" s="608" t="s">
        <v>545</v>
      </c>
      <c r="AG77" s="710">
        <f>SUMIFS($O$62:$O$86,$D$62:$D$86,AB77,$E$62:$E$86,AF77)</f>
        <v>0</v>
      </c>
      <c r="AH77" s="710">
        <f>SUMIFS($P$62:$P$86,$D$62:$D$86,AB77,$E$62:$E$86,AF77)</f>
        <v>0</v>
      </c>
      <c r="AI77" s="49">
        <f>AH77*(Mean_solids)</f>
        <v>0</v>
      </c>
    </row>
    <row r="78" spans="2:35" ht="15.75" customHeight="1" x14ac:dyDescent="0.25">
      <c r="B78" s="642">
        <v>17</v>
      </c>
      <c r="C78" s="38"/>
      <c r="D78" s="28"/>
      <c r="E78" s="29"/>
      <c r="F78" s="30"/>
      <c r="G78" s="31"/>
      <c r="H78" s="27"/>
      <c r="I78" s="32"/>
      <c r="J78" s="32"/>
      <c r="K78" s="32"/>
      <c r="L78" s="32"/>
      <c r="M78" s="32"/>
      <c r="N78" s="32"/>
      <c r="O78" s="643">
        <f t="shared" si="41"/>
        <v>0</v>
      </c>
      <c r="P78" s="644">
        <f t="shared" si="47"/>
        <v>0</v>
      </c>
      <c r="Q78" s="645" t="e">
        <f t="shared" si="42"/>
        <v>#DIV/0!</v>
      </c>
      <c r="R78" s="33"/>
      <c r="S78" s="37"/>
      <c r="T78" s="60">
        <f t="shared" si="35"/>
        <v>0</v>
      </c>
      <c r="U78" s="61">
        <f t="shared" si="36"/>
        <v>0</v>
      </c>
      <c r="V78" s="60">
        <f t="shared" si="37"/>
        <v>0</v>
      </c>
      <c r="W78" s="27"/>
      <c r="X78" s="737">
        <f>IF(W78='References Assumptions'!$C$331,'References Assumptions'!$C$335,0)</f>
        <v>0</v>
      </c>
      <c r="Y78" s="646" t="s">
        <v>399</v>
      </c>
      <c r="Z78" s="647">
        <f t="shared" si="38"/>
        <v>0</v>
      </c>
      <c r="AA78" s="29"/>
      <c r="AB78"/>
    </row>
    <row r="79" spans="2:35" ht="15.75" customHeight="1" x14ac:dyDescent="0.25">
      <c r="B79" s="642">
        <v>18</v>
      </c>
      <c r="C79" s="38"/>
      <c r="D79" s="28"/>
      <c r="E79" s="29"/>
      <c r="F79" s="30"/>
      <c r="G79" s="31"/>
      <c r="H79" s="27"/>
      <c r="I79" s="32"/>
      <c r="J79" s="36"/>
      <c r="K79" s="36"/>
      <c r="L79" s="36"/>
      <c r="M79" s="36"/>
      <c r="N79" s="36"/>
      <c r="O79" s="643">
        <f t="shared" si="41"/>
        <v>0</v>
      </c>
      <c r="P79" s="644">
        <f>+O79/Mg_ton</f>
        <v>0</v>
      </c>
      <c r="Q79" s="645" t="e">
        <f t="shared" si="42"/>
        <v>#DIV/0!</v>
      </c>
      <c r="R79" s="33"/>
      <c r="S79" s="37"/>
      <c r="T79" s="62">
        <f t="shared" si="35"/>
        <v>0</v>
      </c>
      <c r="U79" s="63">
        <f t="shared" si="36"/>
        <v>0</v>
      </c>
      <c r="V79" s="62">
        <f t="shared" si="37"/>
        <v>0</v>
      </c>
      <c r="W79" s="27"/>
      <c r="X79" s="737">
        <f>IF(W79='References Assumptions'!$C$331,'References Assumptions'!$C$335,0)</f>
        <v>0</v>
      </c>
      <c r="Y79" s="646" t="s">
        <v>399</v>
      </c>
      <c r="Z79" s="647">
        <f t="shared" si="38"/>
        <v>0</v>
      </c>
      <c r="AA79" s="29"/>
      <c r="AC79" s="393" t="s">
        <v>399</v>
      </c>
      <c r="AD79" s="393" t="s">
        <v>376</v>
      </c>
      <c r="AF79" s="597" t="s">
        <v>646</v>
      </c>
      <c r="AG79" s="386" t="s">
        <v>399</v>
      </c>
      <c r="AH79" s="386" t="s">
        <v>484</v>
      </c>
      <c r="AI79" s="656" t="s">
        <v>549</v>
      </c>
    </row>
    <row r="80" spans="2:35" ht="15.75" customHeight="1" x14ac:dyDescent="0.25">
      <c r="B80" s="642">
        <v>19</v>
      </c>
      <c r="C80" s="38"/>
      <c r="D80" s="28"/>
      <c r="E80" s="29"/>
      <c r="F80" s="30"/>
      <c r="G80" s="31"/>
      <c r="H80" s="27"/>
      <c r="I80" s="32"/>
      <c r="J80" s="30"/>
      <c r="K80" s="30"/>
      <c r="L80" s="30"/>
      <c r="M80" s="30"/>
      <c r="N80" s="30"/>
      <c r="O80" s="643">
        <f t="shared" si="41"/>
        <v>0</v>
      </c>
      <c r="P80" s="644">
        <f t="shared" si="47"/>
        <v>0</v>
      </c>
      <c r="Q80" s="645" t="e">
        <f t="shared" si="42"/>
        <v>#DIV/0!</v>
      </c>
      <c r="R80" s="33"/>
      <c r="S80" s="37"/>
      <c r="T80" s="62">
        <f t="shared" si="35"/>
        <v>0</v>
      </c>
      <c r="U80" s="63">
        <f t="shared" si="36"/>
        <v>0</v>
      </c>
      <c r="V80" s="62">
        <f t="shared" si="37"/>
        <v>0</v>
      </c>
      <c r="W80" s="27"/>
      <c r="X80" s="737">
        <f>IF(W80='References Assumptions'!$C$331,'References Assumptions'!$C$335,0)</f>
        <v>0</v>
      </c>
      <c r="Y80" s="646" t="s">
        <v>399</v>
      </c>
      <c r="Z80" s="647">
        <f t="shared" si="38"/>
        <v>0</v>
      </c>
      <c r="AA80" s="29"/>
      <c r="AB80" s="711" t="s">
        <v>605</v>
      </c>
      <c r="AC80" s="660">
        <f>+AC62+AC66+AC69+AC74</f>
        <v>0</v>
      </c>
      <c r="AD80" s="661">
        <f>+AD62+AD66+AD69+AD74</f>
        <v>0</v>
      </c>
      <c r="AE80" s="662"/>
      <c r="AF80" s="56" t="s">
        <v>647</v>
      </c>
      <c r="AG80" s="55">
        <f>SUMIFS($O$62:$O$86,$D$62:$D$86,AB77,$E$62:$E$86,'References Assumptions'!$C$359)</f>
        <v>0</v>
      </c>
      <c r="AH80" s="55">
        <f>SUMIFS($P$62:$P$86,$D$62:$D$86,AB77,$E$62:$E$86,'References Assumptions'!$C$359)</f>
        <v>0</v>
      </c>
      <c r="AI80" s="599">
        <f>AH80*Percent_Solids</f>
        <v>0</v>
      </c>
    </row>
    <row r="81" spans="2:35" ht="15.75" customHeight="1" x14ac:dyDescent="0.25">
      <c r="B81" s="642">
        <v>20</v>
      </c>
      <c r="C81" s="38"/>
      <c r="D81" s="28"/>
      <c r="E81" s="29"/>
      <c r="F81" s="30"/>
      <c r="G81" s="31"/>
      <c r="H81" s="27"/>
      <c r="I81" s="32"/>
      <c r="J81" s="30"/>
      <c r="K81" s="30"/>
      <c r="L81" s="30"/>
      <c r="M81" s="30"/>
      <c r="N81" s="30"/>
      <c r="O81" s="643">
        <f t="shared" si="41"/>
        <v>0</v>
      </c>
      <c r="P81" s="644">
        <f t="shared" si="47"/>
        <v>0</v>
      </c>
      <c r="Q81" s="645" t="e">
        <f t="shared" si="42"/>
        <v>#DIV/0!</v>
      </c>
      <c r="R81" s="33"/>
      <c r="S81" s="37"/>
      <c r="T81" s="62">
        <f t="shared" si="35"/>
        <v>0</v>
      </c>
      <c r="U81" s="63">
        <f t="shared" si="36"/>
        <v>0</v>
      </c>
      <c r="V81" s="62">
        <f t="shared" si="37"/>
        <v>0</v>
      </c>
      <c r="W81" s="27"/>
      <c r="X81" s="737">
        <f>IF(W81='References Assumptions'!$C$331,'References Assumptions'!$C$335,0)</f>
        <v>0</v>
      </c>
      <c r="Y81" s="646" t="s">
        <v>399</v>
      </c>
      <c r="Z81" s="647">
        <f t="shared" si="38"/>
        <v>0</v>
      </c>
      <c r="AA81" s="29"/>
      <c r="AB81" s="712" t="s">
        <v>444</v>
      </c>
      <c r="AC81" s="664" t="e">
        <f>+AC62/AC80</f>
        <v>#DIV/0!</v>
      </c>
      <c r="AD81" s="664" t="e">
        <f>+AD62/AD80</f>
        <v>#DIV/0!</v>
      </c>
      <c r="AF81" s="56" t="s">
        <v>648</v>
      </c>
      <c r="AG81" s="55" t="e">
        <f>SUMIFS($O$62:$O$86,$D$62:$D$86,AB77,$E$62:$E$86,'References Assumptions'!$C$359)*Percent_Solids/percent_solids_after_biodrying</f>
        <v>#DIV/0!</v>
      </c>
      <c r="AH81" s="55" t="e">
        <f>SUMIFS($P$62:$P$86,$D$62:$D$86,AB77,$E$62:$E$86,'References Assumptions'!$C$359)*Percent_Solids/percent_solids_after_biodrying</f>
        <v>#DIV/0!</v>
      </c>
      <c r="AI81" s="599" t="e">
        <f>AH81*percent_solids_after_biodrying</f>
        <v>#DIV/0!</v>
      </c>
    </row>
    <row r="82" spans="2:35" ht="15.75" customHeight="1" x14ac:dyDescent="0.25">
      <c r="B82" s="642">
        <v>21</v>
      </c>
      <c r="C82" s="38"/>
      <c r="D82" s="28"/>
      <c r="E82" s="29"/>
      <c r="F82" s="30"/>
      <c r="G82" s="31"/>
      <c r="H82" s="27"/>
      <c r="I82" s="32"/>
      <c r="J82" s="30"/>
      <c r="K82" s="30"/>
      <c r="L82" s="30"/>
      <c r="M82" s="30"/>
      <c r="N82" s="30"/>
      <c r="O82" s="643">
        <f t="shared" si="41"/>
        <v>0</v>
      </c>
      <c r="P82" s="644">
        <f t="shared" si="47"/>
        <v>0</v>
      </c>
      <c r="Q82" s="645" t="e">
        <f t="shared" si="42"/>
        <v>#DIV/0!</v>
      </c>
      <c r="R82" s="33"/>
      <c r="S82" s="37"/>
      <c r="T82" s="62">
        <f t="shared" si="35"/>
        <v>0</v>
      </c>
      <c r="U82" s="63">
        <f t="shared" si="36"/>
        <v>0</v>
      </c>
      <c r="V82" s="62">
        <f t="shared" si="37"/>
        <v>0</v>
      </c>
      <c r="W82" s="27"/>
      <c r="X82" s="737">
        <f>IF(W82='References Assumptions'!$C$331,'References Assumptions'!$C$335,0)</f>
        <v>0</v>
      </c>
      <c r="Y82" s="646" t="s">
        <v>399</v>
      </c>
      <c r="Z82" s="647">
        <f t="shared" si="38"/>
        <v>0</v>
      </c>
      <c r="AA82" s="29"/>
      <c r="AB82" s="712" t="s">
        <v>250</v>
      </c>
      <c r="AC82" s="664" t="e">
        <f>+AC66/AC80</f>
        <v>#DIV/0!</v>
      </c>
      <c r="AD82" s="664" t="e">
        <f>+AD66/AD80</f>
        <v>#DIV/0!</v>
      </c>
      <c r="AF82" s="56" t="s">
        <v>649</v>
      </c>
      <c r="AG82" s="55" t="e">
        <f>(SUMIFS($O$62:$O$86,$D$62:$D$86,AB77,$E$62:$E$86,'References Assumptions'!$C$359)*(Percent_Solids/percent_solids_after_biodrying)*(percent_solids_after_biodrying/Percent_Solids_After_Pyrolysis))*(1-Pyrolysis!$F$15)</f>
        <v>#DIV/0!</v>
      </c>
      <c r="AH82" s="55" t="e">
        <f>(SUMIFS($P$62:$P$86,$D$62:$D$86,AB77,$E$62:$E$86,'References Assumptions'!$C$359)*(Percent_Solids/percent_solids_after_biodrying)*(percent_solids_after_biodrying/Percent_Solids_After_Pyrolysis))*(1-Pyrolysis!$F$15)</f>
        <v>#DIV/0!</v>
      </c>
      <c r="AI82" s="599" t="e">
        <f>AH82*Percent_Solids_After_Pyrolysis</f>
        <v>#DIV/0!</v>
      </c>
    </row>
    <row r="83" spans="2:35" ht="15.75" customHeight="1" x14ac:dyDescent="0.25">
      <c r="B83" s="642">
        <v>22</v>
      </c>
      <c r="C83" s="38"/>
      <c r="D83" s="28"/>
      <c r="E83" s="29"/>
      <c r="F83" s="30"/>
      <c r="G83" s="31"/>
      <c r="H83" s="27"/>
      <c r="I83" s="32"/>
      <c r="J83" s="30"/>
      <c r="K83" s="30"/>
      <c r="L83" s="30"/>
      <c r="M83" s="30"/>
      <c r="N83" s="30"/>
      <c r="O83" s="643">
        <f t="shared" si="41"/>
        <v>0</v>
      </c>
      <c r="P83" s="644">
        <f t="shared" si="47"/>
        <v>0</v>
      </c>
      <c r="Q83" s="645" t="e">
        <f t="shared" si="42"/>
        <v>#DIV/0!</v>
      </c>
      <c r="R83" s="33"/>
      <c r="S83" s="37"/>
      <c r="T83" s="62">
        <f t="shared" si="35"/>
        <v>0</v>
      </c>
      <c r="U83" s="63">
        <f t="shared" si="36"/>
        <v>0</v>
      </c>
      <c r="V83" s="62">
        <f t="shared" si="37"/>
        <v>0</v>
      </c>
      <c r="W83" s="27"/>
      <c r="X83" s="737">
        <f>IF(W83='References Assumptions'!$C$331,'References Assumptions'!$C$335,0)</f>
        <v>0</v>
      </c>
      <c r="Y83" s="646" t="s">
        <v>399</v>
      </c>
      <c r="Z83" s="647">
        <f t="shared" si="38"/>
        <v>0</v>
      </c>
      <c r="AA83" s="29"/>
      <c r="AB83" s="712" t="s">
        <v>182</v>
      </c>
      <c r="AC83" s="664" t="e">
        <f>+AC69/AC80</f>
        <v>#DIV/0!</v>
      </c>
      <c r="AD83" s="664" t="e">
        <f>+AD69/AD80</f>
        <v>#DIV/0!</v>
      </c>
      <c r="AF83" s="1253" t="s">
        <v>988</v>
      </c>
      <c r="AG83" s="1253"/>
      <c r="AH83" s="1253"/>
      <c r="AI83" s="75"/>
    </row>
    <row r="84" spans="2:35" ht="15.75" customHeight="1" x14ac:dyDescent="0.25">
      <c r="B84" s="642">
        <v>23</v>
      </c>
      <c r="C84" s="38"/>
      <c r="D84" s="28"/>
      <c r="E84" s="29"/>
      <c r="F84" s="30"/>
      <c r="G84" s="31"/>
      <c r="H84" s="27"/>
      <c r="I84" s="32"/>
      <c r="J84" s="30"/>
      <c r="K84" s="30"/>
      <c r="L84" s="30"/>
      <c r="M84" s="30"/>
      <c r="N84" s="30"/>
      <c r="O84" s="643">
        <f t="shared" si="41"/>
        <v>0</v>
      </c>
      <c r="P84" s="644">
        <f t="shared" si="47"/>
        <v>0</v>
      </c>
      <c r="Q84" s="645" t="e">
        <f t="shared" si="42"/>
        <v>#DIV/0!</v>
      </c>
      <c r="R84" s="33"/>
      <c r="S84" s="37"/>
      <c r="T84" s="62">
        <f t="shared" si="35"/>
        <v>0</v>
      </c>
      <c r="U84" s="63">
        <f t="shared" si="36"/>
        <v>0</v>
      </c>
      <c r="V84" s="62">
        <f t="shared" si="37"/>
        <v>0</v>
      </c>
      <c r="W84" s="27"/>
      <c r="X84" s="737">
        <f>IF(W84='References Assumptions'!$C$331,'References Assumptions'!$C$335,0)</f>
        <v>0</v>
      </c>
      <c r="Y84" s="646" t="s">
        <v>399</v>
      </c>
      <c r="Z84" s="647">
        <f t="shared" si="38"/>
        <v>0</v>
      </c>
      <c r="AA84" s="29"/>
      <c r="AB84" s="712" t="s">
        <v>222</v>
      </c>
      <c r="AC84" s="664" t="e">
        <f>+AC74/AC80</f>
        <v>#DIV/0!</v>
      </c>
      <c r="AD84" s="664" t="e">
        <f>+AD74/AD80</f>
        <v>#DIV/0!</v>
      </c>
      <c r="AF84" s="1253"/>
      <c r="AG84" s="1253"/>
      <c r="AH84" s="1253"/>
      <c r="AI84" s="75"/>
    </row>
    <row r="85" spans="2:35" ht="15.75" customHeight="1" x14ac:dyDescent="0.25">
      <c r="B85" s="642">
        <v>24</v>
      </c>
      <c r="C85" s="38"/>
      <c r="D85" s="28"/>
      <c r="E85" s="29"/>
      <c r="F85" s="30"/>
      <c r="G85" s="31"/>
      <c r="H85" s="27"/>
      <c r="I85" s="32"/>
      <c r="J85" s="30"/>
      <c r="K85" s="30"/>
      <c r="L85" s="30"/>
      <c r="M85" s="30"/>
      <c r="N85" s="30"/>
      <c r="O85" s="643">
        <f t="shared" si="41"/>
        <v>0</v>
      </c>
      <c r="P85" s="644">
        <f t="shared" si="47"/>
        <v>0</v>
      </c>
      <c r="Q85" s="645" t="e">
        <f t="shared" si="42"/>
        <v>#DIV/0!</v>
      </c>
      <c r="R85" s="33"/>
      <c r="S85" s="37"/>
      <c r="T85" s="62">
        <f t="shared" si="35"/>
        <v>0</v>
      </c>
      <c r="U85" s="63">
        <f t="shared" si="36"/>
        <v>0</v>
      </c>
      <c r="V85" s="62">
        <f t="shared" si="37"/>
        <v>0</v>
      </c>
      <c r="W85" s="27"/>
      <c r="X85" s="737">
        <f>IF(W85='References Assumptions'!$C$331,'References Assumptions'!$C$335,0)</f>
        <v>0</v>
      </c>
      <c r="Y85" s="646" t="s">
        <v>399</v>
      </c>
      <c r="Z85" s="647">
        <f t="shared" si="38"/>
        <v>0</v>
      </c>
      <c r="AA85" s="29"/>
      <c r="AB85"/>
      <c r="AC85" s="668"/>
      <c r="AD85" s="668"/>
      <c r="AI85" s="75"/>
    </row>
    <row r="86" spans="2:35" ht="15.75" customHeight="1" thickBot="1" x14ac:dyDescent="0.3">
      <c r="B86" s="669">
        <v>25</v>
      </c>
      <c r="C86" s="38"/>
      <c r="D86" s="28"/>
      <c r="E86" s="29"/>
      <c r="F86" s="30"/>
      <c r="G86" s="31"/>
      <c r="H86" s="27"/>
      <c r="I86" s="32"/>
      <c r="J86" s="34"/>
      <c r="K86" s="34"/>
      <c r="L86" s="34"/>
      <c r="M86" s="34"/>
      <c r="N86" s="34"/>
      <c r="O86" s="670">
        <f t="shared" si="41"/>
        <v>0</v>
      </c>
      <c r="P86" s="671">
        <f t="shared" si="47"/>
        <v>0</v>
      </c>
      <c r="Q86" s="645" t="e">
        <f t="shared" si="42"/>
        <v>#DIV/0!</v>
      </c>
      <c r="R86" s="33"/>
      <c r="S86" s="37"/>
      <c r="T86" s="64">
        <f t="shared" si="35"/>
        <v>0</v>
      </c>
      <c r="U86" s="65">
        <f t="shared" si="36"/>
        <v>0</v>
      </c>
      <c r="V86" s="66">
        <f t="shared" si="37"/>
        <v>0</v>
      </c>
      <c r="W86" s="1145"/>
      <c r="X86" s="739">
        <f>IF(W86='References Assumptions'!$C$331,'References Assumptions'!$C$335,0)</f>
        <v>0</v>
      </c>
      <c r="Y86" s="713" t="s">
        <v>399</v>
      </c>
      <c r="Z86" s="714">
        <f t="shared" si="38"/>
        <v>0</v>
      </c>
      <c r="AA86" s="587"/>
      <c r="AB86" s="133"/>
      <c r="AC86" s="133"/>
      <c r="AD86" s="133"/>
      <c r="AE86" s="133"/>
      <c r="AF86" s="133"/>
      <c r="AG86" s="133"/>
      <c r="AH86" s="133"/>
      <c r="AI86" s="134"/>
    </row>
    <row r="87" spans="2:35" ht="15.75" customHeight="1" thickBot="1" x14ac:dyDescent="0.3">
      <c r="B87" s="674"/>
      <c r="C87" s="675"/>
      <c r="D87" s="53"/>
      <c r="E87" s="641"/>
      <c r="F87" s="676"/>
      <c r="G87" s="53"/>
      <c r="H87" s="677" t="s">
        <v>371</v>
      </c>
      <c r="I87" s="678" t="e">
        <f t="shared" ref="I87:N87" si="48">+I88/$O88</f>
        <v>#DIV/0!</v>
      </c>
      <c r="J87" s="678" t="e">
        <f t="shared" si="48"/>
        <v>#DIV/0!</v>
      </c>
      <c r="K87" s="678" t="e">
        <f t="shared" si="48"/>
        <v>#DIV/0!</v>
      </c>
      <c r="L87" s="678" t="e">
        <f t="shared" si="48"/>
        <v>#DIV/0!</v>
      </c>
      <c r="M87" s="678" t="e">
        <f t="shared" si="48"/>
        <v>#DIV/0!</v>
      </c>
      <c r="N87" s="678" t="e">
        <f t="shared" si="48"/>
        <v>#DIV/0!</v>
      </c>
      <c r="O87" s="678"/>
      <c r="P87" s="53"/>
      <c r="Q87" s="679"/>
      <c r="R87" s="679"/>
      <c r="S87" s="53"/>
      <c r="T87" s="53"/>
      <c r="U87" s="680">
        <v>2</v>
      </c>
      <c r="V87" s="681" t="s">
        <v>395</v>
      </c>
      <c r="W87" s="53"/>
      <c r="X87" s="53"/>
      <c r="Y87" s="53"/>
      <c r="Z87" s="682"/>
      <c r="AA87" s="683"/>
      <c r="AB87" s="657"/>
      <c r="AI87" s="75"/>
    </row>
    <row r="88" spans="2:35" ht="15.75" customHeight="1" thickBot="1" x14ac:dyDescent="0.3">
      <c r="B88" s="685"/>
      <c r="C88" s="686"/>
      <c r="D88" s="687"/>
      <c r="E88" s="688"/>
      <c r="F88" s="689"/>
      <c r="G88" s="687"/>
      <c r="H88" s="690" t="s">
        <v>370</v>
      </c>
      <c r="I88" s="691">
        <f>SUM(I62:I86)</f>
        <v>0</v>
      </c>
      <c r="J88" s="691">
        <f>SUM(J62:J86)</f>
        <v>0</v>
      </c>
      <c r="K88" s="691">
        <f t="shared" ref="K88:P88" si="49">SUM(K62:K86)</f>
        <v>0</v>
      </c>
      <c r="L88" s="691">
        <f t="shared" si="49"/>
        <v>0</v>
      </c>
      <c r="M88" s="691">
        <f t="shared" si="49"/>
        <v>0</v>
      </c>
      <c r="N88" s="691">
        <f t="shared" si="49"/>
        <v>0</v>
      </c>
      <c r="O88" s="691">
        <f t="shared" si="49"/>
        <v>0</v>
      </c>
      <c r="P88" s="691">
        <f t="shared" si="49"/>
        <v>0</v>
      </c>
      <c r="Q88" s="692" t="e">
        <f>SUM(Q62:Q78)</f>
        <v>#DIV/0!</v>
      </c>
      <c r="R88" s="692"/>
      <c r="S88" s="691"/>
      <c r="T88" s="687"/>
      <c r="U88" s="687"/>
      <c r="V88" s="687"/>
      <c r="W88" s="693"/>
      <c r="X88" s="693"/>
      <c r="Y88" s="693"/>
      <c r="Z88" s="694"/>
      <c r="AA88" s="726"/>
      <c r="AB88" s="1269" t="str">
        <f>CONCATENATE(B60," - Total Dry Mg")</f>
        <v>Scenario 3 - Total Dry Mg</v>
      </c>
      <c r="AC88" s="1270"/>
      <c r="AD88" s="1271"/>
      <c r="AE88" s="696">
        <f>+AE62+AE66+AE69+AE74</f>
        <v>0</v>
      </c>
      <c r="AF88" s="697"/>
      <c r="AG88" s="697"/>
      <c r="AH88" s="697"/>
      <c r="AI88" s="727"/>
    </row>
    <row r="89" spans="2:35" ht="21.75" thickBot="1" x14ac:dyDescent="0.4">
      <c r="B89" s="623" t="s">
        <v>453</v>
      </c>
      <c r="C89" s="1021">
        <f>+'Scenarios Data'!B97</f>
        <v>0</v>
      </c>
      <c r="D89" s="1275">
        <f>+'Scenarios Data'!D97:J97</f>
        <v>0</v>
      </c>
      <c r="E89" s="1276"/>
      <c r="F89" s="1276"/>
      <c r="G89" s="1277"/>
      <c r="H89" s="624"/>
      <c r="I89" s="1251" t="s">
        <v>833</v>
      </c>
      <c r="J89" s="1251"/>
      <c r="K89" s="1251"/>
      <c r="L89" s="1251"/>
      <c r="M89" s="1251"/>
      <c r="N89" s="1251"/>
      <c r="O89" s="625"/>
      <c r="P89" s="626"/>
      <c r="Q89" s="624"/>
      <c r="R89" s="624"/>
      <c r="S89" s="1252"/>
      <c r="T89" s="1252"/>
      <c r="U89" s="1252"/>
      <c r="V89" s="1252"/>
      <c r="W89" s="626"/>
      <c r="X89" s="626"/>
      <c r="Y89" s="626"/>
      <c r="Z89" s="626"/>
      <c r="AA89" s="700"/>
      <c r="AB89" s="1237" t="str">
        <f>CONCATENATE(B89," - ",C89," - Totals")</f>
        <v>Scenario 4 - 0 - Totals</v>
      </c>
      <c r="AC89" s="1238"/>
      <c r="AD89" s="1238"/>
      <c r="AE89" s="1238"/>
      <c r="AF89" s="1238"/>
      <c r="AG89" s="1238"/>
      <c r="AH89" s="1238"/>
      <c r="AI89" s="1239"/>
    </row>
    <row r="90" spans="2:35" ht="45.75" x14ac:dyDescent="0.3">
      <c r="B90" s="627" t="s">
        <v>400</v>
      </c>
      <c r="C90" s="628" t="s">
        <v>539</v>
      </c>
      <c r="D90" s="629" t="s">
        <v>540</v>
      </c>
      <c r="E90" s="630" t="s">
        <v>489</v>
      </c>
      <c r="F90" s="631" t="s">
        <v>667</v>
      </c>
      <c r="G90" s="630" t="s">
        <v>401</v>
      </c>
      <c r="H90" s="632" t="s">
        <v>402</v>
      </c>
      <c r="I90" s="39">
        <v>1</v>
      </c>
      <c r="J90" s="39">
        <v>2</v>
      </c>
      <c r="K90" s="39">
        <v>3</v>
      </c>
      <c r="L90" s="39">
        <v>4</v>
      </c>
      <c r="M90" s="39">
        <v>5</v>
      </c>
      <c r="N90" s="39">
        <v>6</v>
      </c>
      <c r="O90" s="633" t="s">
        <v>397</v>
      </c>
      <c r="P90" s="633" t="s">
        <v>398</v>
      </c>
      <c r="Q90" s="630" t="s">
        <v>538</v>
      </c>
      <c r="R90" s="634" t="s">
        <v>488</v>
      </c>
      <c r="S90" s="635" t="s">
        <v>460</v>
      </c>
      <c r="T90" s="630" t="s">
        <v>461</v>
      </c>
      <c r="U90" s="636" t="s">
        <v>460</v>
      </c>
      <c r="V90" s="637" t="s">
        <v>461</v>
      </c>
      <c r="W90" s="730" t="s">
        <v>481</v>
      </c>
      <c r="X90" s="633" t="s">
        <v>480</v>
      </c>
      <c r="Y90" s="633" t="s">
        <v>482</v>
      </c>
      <c r="Z90" s="731" t="s">
        <v>483</v>
      </c>
      <c r="AA90" s="640" t="s">
        <v>556</v>
      </c>
      <c r="AB90" s="57" t="s">
        <v>546</v>
      </c>
      <c r="AC90" s="728" t="s">
        <v>399</v>
      </c>
      <c r="AD90" s="728" t="s">
        <v>484</v>
      </c>
      <c r="AE90" s="728" t="s">
        <v>549</v>
      </c>
      <c r="AF90" s="52" t="s">
        <v>555</v>
      </c>
      <c r="AG90" s="53" t="s">
        <v>399</v>
      </c>
      <c r="AH90" s="53" t="s">
        <v>484</v>
      </c>
      <c r="AI90" s="641" t="s">
        <v>549</v>
      </c>
    </row>
    <row r="91" spans="2:35" ht="15.75" customHeight="1" x14ac:dyDescent="0.25">
      <c r="B91" s="642">
        <v>1</v>
      </c>
      <c r="C91" s="38"/>
      <c r="D91" s="28"/>
      <c r="E91" s="29"/>
      <c r="F91" s="30"/>
      <c r="G91" s="31"/>
      <c r="H91" s="27"/>
      <c r="I91" s="32"/>
      <c r="J91" s="32"/>
      <c r="K91" s="32"/>
      <c r="L91" s="32"/>
      <c r="M91" s="32"/>
      <c r="N91" s="32"/>
      <c r="O91" s="643">
        <f>SUM(I91:N91)</f>
        <v>0</v>
      </c>
      <c r="P91" s="644">
        <f t="shared" ref="P91:P115" si="50">+O91/Mg_ton</f>
        <v>0</v>
      </c>
      <c r="Q91" s="729" t="e">
        <f>P91/$P$117</f>
        <v>#DIV/0!</v>
      </c>
      <c r="R91" s="33"/>
      <c r="S91" s="37"/>
      <c r="T91" s="60">
        <f t="shared" ref="T91:T115" si="51">+S91/km_mile</f>
        <v>0</v>
      </c>
      <c r="U91" s="61">
        <f t="shared" ref="U91:U115" si="52">+S91*$U$29</f>
        <v>0</v>
      </c>
      <c r="V91" s="60">
        <f t="shared" ref="V91:V115" si="53">+U91/km_mile</f>
        <v>0</v>
      </c>
      <c r="W91" s="27"/>
      <c r="X91" s="737">
        <f>IF(W91='References Assumptions'!$C$331,'References Assumptions'!$C$335,0)</f>
        <v>0</v>
      </c>
      <c r="Y91" s="646" t="s">
        <v>399</v>
      </c>
      <c r="Z91" s="647">
        <f t="shared" ref="Z91:Z115" si="54">+X91/Mg_ton</f>
        <v>0</v>
      </c>
      <c r="AA91" s="29"/>
      <c r="AB91" s="58" t="s">
        <v>444</v>
      </c>
      <c r="AC91" s="648">
        <f>SUMIF($D$91:$D$115,AB91,$O$91:$O$115)</f>
        <v>0</v>
      </c>
      <c r="AD91" s="648">
        <f>SUMIF($D$91:$D$115,AB91,$P$91:$P$115)</f>
        <v>0</v>
      </c>
      <c r="AE91" s="50">
        <f>AD91*(Mean_solids)</f>
        <v>0</v>
      </c>
      <c r="AF91" s="56" t="s">
        <v>503</v>
      </c>
      <c r="AG91" s="648">
        <f t="shared" ref="AG91:AG97" si="55">SUMIFS($O$91:$O$115,$D$91:$D$115,AB91,$E$91:$E$115,AF91)</f>
        <v>0</v>
      </c>
      <c r="AH91" s="648">
        <f t="shared" ref="AH91:AH97" si="56">SUMIFS($P$91:$P$115,$D$91:$D$115,AB91,$E$91:$E$115,AF91)</f>
        <v>0</v>
      </c>
      <c r="AI91" s="49">
        <f t="shared" ref="AI91:AI98" si="57">AH91*(Mean_solids)</f>
        <v>0</v>
      </c>
    </row>
    <row r="92" spans="2:35" ht="15.75" customHeight="1" x14ac:dyDescent="0.25">
      <c r="B92" s="642">
        <v>2</v>
      </c>
      <c r="C92" s="38"/>
      <c r="D92" s="28"/>
      <c r="E92" s="29"/>
      <c r="F92" s="30"/>
      <c r="G92" s="31"/>
      <c r="H92" s="27"/>
      <c r="I92" s="32"/>
      <c r="J92" s="32"/>
      <c r="K92" s="32"/>
      <c r="L92" s="32"/>
      <c r="M92" s="32"/>
      <c r="N92" s="32"/>
      <c r="O92" s="643">
        <f t="shared" ref="O92:O115" si="58">SUM(I92:N92)</f>
        <v>0</v>
      </c>
      <c r="P92" s="644">
        <f t="shared" si="50"/>
        <v>0</v>
      </c>
      <c r="Q92" s="729" t="e">
        <f>P92/$P$117</f>
        <v>#DIV/0!</v>
      </c>
      <c r="R92" s="33"/>
      <c r="S92" s="37"/>
      <c r="T92" s="60">
        <f t="shared" si="51"/>
        <v>0</v>
      </c>
      <c r="U92" s="61">
        <f t="shared" si="52"/>
        <v>0</v>
      </c>
      <c r="V92" s="60">
        <f t="shared" si="53"/>
        <v>0</v>
      </c>
      <c r="W92" s="27"/>
      <c r="X92" s="737">
        <f>IF(W92='References Assumptions'!$C$331,'References Assumptions'!$C$335,0)</f>
        <v>0</v>
      </c>
      <c r="Y92" s="646" t="s">
        <v>399</v>
      </c>
      <c r="Z92" s="647">
        <f t="shared" si="54"/>
        <v>0</v>
      </c>
      <c r="AA92" s="29"/>
      <c r="AB92" s="58" t="s">
        <v>444</v>
      </c>
      <c r="AC92" s="1254"/>
      <c r="AD92" s="1255"/>
      <c r="AE92" s="1256"/>
      <c r="AF92" s="56" t="s">
        <v>504</v>
      </c>
      <c r="AG92" s="648">
        <f t="shared" si="55"/>
        <v>0</v>
      </c>
      <c r="AH92" s="648">
        <f t="shared" si="56"/>
        <v>0</v>
      </c>
      <c r="AI92" s="49">
        <f t="shared" si="57"/>
        <v>0</v>
      </c>
    </row>
    <row r="93" spans="2:35" ht="15.75" customHeight="1" x14ac:dyDescent="0.25">
      <c r="B93" s="642">
        <v>3</v>
      </c>
      <c r="C93" s="38"/>
      <c r="D93" s="28"/>
      <c r="E93" s="29"/>
      <c r="F93" s="30"/>
      <c r="G93" s="31"/>
      <c r="H93" s="27"/>
      <c r="I93" s="32"/>
      <c r="J93" s="32"/>
      <c r="K93" s="32"/>
      <c r="L93" s="32"/>
      <c r="M93" s="32"/>
      <c r="N93" s="32"/>
      <c r="O93" s="643">
        <f t="shared" si="58"/>
        <v>0</v>
      </c>
      <c r="P93" s="644">
        <f t="shared" si="50"/>
        <v>0</v>
      </c>
      <c r="Q93" s="729" t="e">
        <f t="shared" ref="Q93:Q115" si="59">P93/$P$117</f>
        <v>#DIV/0!</v>
      </c>
      <c r="R93" s="33"/>
      <c r="S93" s="37"/>
      <c r="T93" s="60">
        <f t="shared" si="51"/>
        <v>0</v>
      </c>
      <c r="U93" s="61">
        <f t="shared" si="52"/>
        <v>0</v>
      </c>
      <c r="V93" s="60">
        <f t="shared" si="53"/>
        <v>0</v>
      </c>
      <c r="W93" s="27"/>
      <c r="X93" s="737">
        <f>IF(W93='References Assumptions'!$C$331,'References Assumptions'!$C$335,0)</f>
        <v>0</v>
      </c>
      <c r="Y93" s="646" t="s">
        <v>399</v>
      </c>
      <c r="Z93" s="647">
        <f t="shared" si="54"/>
        <v>0</v>
      </c>
      <c r="AA93" s="29"/>
      <c r="AB93" s="58" t="s">
        <v>444</v>
      </c>
      <c r="AC93" s="1257"/>
      <c r="AD93" s="1258"/>
      <c r="AE93" s="1259"/>
      <c r="AF93" s="56" t="s">
        <v>505</v>
      </c>
      <c r="AG93" s="648">
        <f t="shared" si="55"/>
        <v>0</v>
      </c>
      <c r="AH93" s="648">
        <f t="shared" si="56"/>
        <v>0</v>
      </c>
      <c r="AI93" s="49">
        <f t="shared" si="57"/>
        <v>0</v>
      </c>
    </row>
    <row r="94" spans="2:35" ht="15.75" customHeight="1" x14ac:dyDescent="0.25">
      <c r="B94" s="642">
        <v>4</v>
      </c>
      <c r="C94" s="38"/>
      <c r="D94" s="28"/>
      <c r="E94" s="29"/>
      <c r="F94" s="30"/>
      <c r="G94" s="31"/>
      <c r="H94" s="27"/>
      <c r="I94" s="32"/>
      <c r="J94" s="32"/>
      <c r="K94" s="32"/>
      <c r="L94" s="32"/>
      <c r="M94" s="32"/>
      <c r="N94" s="32"/>
      <c r="O94" s="643">
        <f t="shared" si="58"/>
        <v>0</v>
      </c>
      <c r="P94" s="644">
        <f t="shared" si="50"/>
        <v>0</v>
      </c>
      <c r="Q94" s="729" t="e">
        <f t="shared" si="59"/>
        <v>#DIV/0!</v>
      </c>
      <c r="R94" s="33"/>
      <c r="S94" s="37"/>
      <c r="T94" s="60">
        <f t="shared" si="51"/>
        <v>0</v>
      </c>
      <c r="U94" s="61">
        <f t="shared" si="52"/>
        <v>0</v>
      </c>
      <c r="V94" s="60">
        <f t="shared" si="53"/>
        <v>0</v>
      </c>
      <c r="W94" s="27"/>
      <c r="X94" s="737">
        <f>IF(W94='References Assumptions'!$C$331,'References Assumptions'!$C$335,0)</f>
        <v>0</v>
      </c>
      <c r="Y94" s="646" t="s">
        <v>399</v>
      </c>
      <c r="Z94" s="647">
        <f t="shared" si="54"/>
        <v>0</v>
      </c>
      <c r="AA94" s="29"/>
      <c r="AB94" s="58" t="s">
        <v>444</v>
      </c>
      <c r="AC94" s="1266"/>
      <c r="AD94" s="1267"/>
      <c r="AE94" s="1268"/>
      <c r="AF94" s="56" t="s">
        <v>547</v>
      </c>
      <c r="AG94" s="648">
        <f t="shared" si="55"/>
        <v>0</v>
      </c>
      <c r="AH94" s="648">
        <f t="shared" si="56"/>
        <v>0</v>
      </c>
      <c r="AI94" s="49">
        <f t="shared" si="57"/>
        <v>0</v>
      </c>
    </row>
    <row r="95" spans="2:35" ht="15.75" customHeight="1" x14ac:dyDescent="0.25">
      <c r="B95" s="642">
        <v>5</v>
      </c>
      <c r="C95" s="38"/>
      <c r="D95" s="28"/>
      <c r="E95" s="29"/>
      <c r="F95" s="30"/>
      <c r="G95" s="31"/>
      <c r="H95" s="27"/>
      <c r="I95" s="32"/>
      <c r="J95" s="32"/>
      <c r="K95" s="32"/>
      <c r="L95" s="32"/>
      <c r="M95" s="32"/>
      <c r="N95" s="32"/>
      <c r="O95" s="643">
        <f t="shared" si="58"/>
        <v>0</v>
      </c>
      <c r="P95" s="644">
        <f t="shared" si="50"/>
        <v>0</v>
      </c>
      <c r="Q95" s="729" t="e">
        <f t="shared" si="59"/>
        <v>#DIV/0!</v>
      </c>
      <c r="R95" s="33"/>
      <c r="S95" s="37"/>
      <c r="T95" s="60">
        <f t="shared" si="51"/>
        <v>0</v>
      </c>
      <c r="U95" s="61">
        <f t="shared" si="52"/>
        <v>0</v>
      </c>
      <c r="V95" s="60">
        <f t="shared" si="53"/>
        <v>0</v>
      </c>
      <c r="W95" s="27"/>
      <c r="X95" s="737">
        <f>IF(W95='References Assumptions'!$C$331,'References Assumptions'!$C$335,0)</f>
        <v>0</v>
      </c>
      <c r="Y95" s="646" t="s">
        <v>399</v>
      </c>
      <c r="Z95" s="647">
        <f t="shared" si="54"/>
        <v>0</v>
      </c>
      <c r="AA95" s="29"/>
      <c r="AB95" s="58" t="s">
        <v>250</v>
      </c>
      <c r="AC95" s="648">
        <f>SUMIF($D$91:$D$115,AB95,$O$91:$O$115)</f>
        <v>0</v>
      </c>
      <c r="AD95" s="648">
        <f>SUMIF($D$91:$D$115,AB95,$P$91:$P$115)</f>
        <v>0</v>
      </c>
      <c r="AE95" s="50">
        <f>AD95*(Mean_solids)</f>
        <v>0</v>
      </c>
      <c r="AF95" s="56" t="s">
        <v>487</v>
      </c>
      <c r="AG95" s="648">
        <f t="shared" si="55"/>
        <v>0</v>
      </c>
      <c r="AH95" s="648">
        <f t="shared" si="56"/>
        <v>0</v>
      </c>
      <c r="AI95" s="49">
        <f t="shared" si="57"/>
        <v>0</v>
      </c>
    </row>
    <row r="96" spans="2:35" ht="15.75" customHeight="1" x14ac:dyDescent="0.25">
      <c r="B96" s="642">
        <v>6</v>
      </c>
      <c r="C96" s="38"/>
      <c r="D96" s="28"/>
      <c r="E96" s="29"/>
      <c r="F96" s="30"/>
      <c r="G96" s="31"/>
      <c r="H96" s="27"/>
      <c r="I96" s="32"/>
      <c r="J96" s="32"/>
      <c r="K96" s="32"/>
      <c r="L96" s="32"/>
      <c r="M96" s="32"/>
      <c r="N96" s="32"/>
      <c r="O96" s="643">
        <f t="shared" si="58"/>
        <v>0</v>
      </c>
      <c r="P96" s="644">
        <f t="shared" si="50"/>
        <v>0</v>
      </c>
      <c r="Q96" s="729" t="e">
        <f t="shared" si="59"/>
        <v>#DIV/0!</v>
      </c>
      <c r="R96" s="33"/>
      <c r="S96" s="37"/>
      <c r="T96" s="60">
        <f t="shared" si="51"/>
        <v>0</v>
      </c>
      <c r="U96" s="61">
        <f t="shared" si="52"/>
        <v>0</v>
      </c>
      <c r="V96" s="60">
        <f t="shared" si="53"/>
        <v>0</v>
      </c>
      <c r="W96" s="27"/>
      <c r="X96" s="737">
        <f>IF(W96='References Assumptions'!$C$331,'References Assumptions'!$C$335,0)</f>
        <v>0</v>
      </c>
      <c r="Y96" s="646" t="s">
        <v>399</v>
      </c>
      <c r="Z96" s="647">
        <f t="shared" si="54"/>
        <v>0</v>
      </c>
      <c r="AA96" s="29"/>
      <c r="AB96" s="58" t="s">
        <v>250</v>
      </c>
      <c r="AC96" s="1254"/>
      <c r="AD96" s="1255"/>
      <c r="AE96" s="1256"/>
      <c r="AF96" s="56" t="s">
        <v>90</v>
      </c>
      <c r="AG96" s="648">
        <f t="shared" si="55"/>
        <v>0</v>
      </c>
      <c r="AH96" s="648">
        <f t="shared" si="56"/>
        <v>0</v>
      </c>
      <c r="AI96" s="49">
        <f t="shared" si="57"/>
        <v>0</v>
      </c>
    </row>
    <row r="97" spans="2:35" ht="15.75" customHeight="1" x14ac:dyDescent="0.25">
      <c r="B97" s="642">
        <v>7</v>
      </c>
      <c r="C97" s="38"/>
      <c r="D97" s="28"/>
      <c r="E97" s="29"/>
      <c r="F97" s="30"/>
      <c r="G97" s="31"/>
      <c r="H97" s="27"/>
      <c r="I97" s="32"/>
      <c r="J97" s="32"/>
      <c r="K97" s="32"/>
      <c r="L97" s="32"/>
      <c r="M97" s="32"/>
      <c r="N97" s="32"/>
      <c r="O97" s="643">
        <f t="shared" si="58"/>
        <v>0</v>
      </c>
      <c r="P97" s="644">
        <f t="shared" si="50"/>
        <v>0</v>
      </c>
      <c r="Q97" s="729" t="e">
        <f t="shared" si="59"/>
        <v>#DIV/0!</v>
      </c>
      <c r="R97" s="33"/>
      <c r="S97" s="37"/>
      <c r="T97" s="60">
        <f t="shared" si="51"/>
        <v>0</v>
      </c>
      <c r="U97" s="61">
        <f t="shared" si="52"/>
        <v>0</v>
      </c>
      <c r="V97" s="60">
        <f t="shared" si="53"/>
        <v>0</v>
      </c>
      <c r="W97" s="27"/>
      <c r="X97" s="737">
        <f>IF(W97='References Assumptions'!$C$331,'References Assumptions'!$C$335,0)</f>
        <v>0</v>
      </c>
      <c r="Y97" s="646" t="s">
        <v>399</v>
      </c>
      <c r="Z97" s="647">
        <f t="shared" si="54"/>
        <v>0</v>
      </c>
      <c r="AA97" s="29"/>
      <c r="AB97" s="58" t="s">
        <v>250</v>
      </c>
      <c r="AC97" s="1266"/>
      <c r="AD97" s="1267"/>
      <c r="AE97" s="1268"/>
      <c r="AF97" s="56" t="s">
        <v>176</v>
      </c>
      <c r="AG97" s="648">
        <f t="shared" si="55"/>
        <v>0</v>
      </c>
      <c r="AH97" s="648">
        <f t="shared" si="56"/>
        <v>0</v>
      </c>
      <c r="AI97" s="49">
        <f t="shared" si="57"/>
        <v>0</v>
      </c>
    </row>
    <row r="98" spans="2:35" ht="15.75" customHeight="1" x14ac:dyDescent="0.25">
      <c r="B98" s="642">
        <v>8</v>
      </c>
      <c r="C98" s="38"/>
      <c r="D98" s="28"/>
      <c r="E98" s="29"/>
      <c r="F98" s="30"/>
      <c r="G98" s="31"/>
      <c r="H98" s="27"/>
      <c r="I98" s="32"/>
      <c r="J98" s="32"/>
      <c r="K98" s="32"/>
      <c r="L98" s="32"/>
      <c r="M98" s="32"/>
      <c r="N98" s="32"/>
      <c r="O98" s="643">
        <f t="shared" si="58"/>
        <v>0</v>
      </c>
      <c r="P98" s="644">
        <f t="shared" si="50"/>
        <v>0</v>
      </c>
      <c r="Q98" s="729" t="e">
        <f t="shared" si="59"/>
        <v>#DIV/0!</v>
      </c>
      <c r="R98" s="33"/>
      <c r="S98" s="37"/>
      <c r="T98" s="60">
        <f t="shared" si="51"/>
        <v>0</v>
      </c>
      <c r="U98" s="61">
        <f t="shared" si="52"/>
        <v>0</v>
      </c>
      <c r="V98" s="60">
        <f t="shared" si="53"/>
        <v>0</v>
      </c>
      <c r="W98" s="27"/>
      <c r="X98" s="737">
        <f>IF(W98='References Assumptions'!$C$331,'References Assumptions'!$C$335,0)</f>
        <v>0</v>
      </c>
      <c r="Y98" s="646" t="s">
        <v>399</v>
      </c>
      <c r="Z98" s="647">
        <f t="shared" si="54"/>
        <v>0</v>
      </c>
      <c r="AA98" s="29"/>
      <c r="AB98" s="58" t="s">
        <v>548</v>
      </c>
      <c r="AC98" s="648">
        <f>SUMIF($D$91:$D$115,AB98,$O$91:$O$115)</f>
        <v>0</v>
      </c>
      <c r="AD98" s="648">
        <f>SUMIF($D$91:$D$115,AB98,$P$91:$P$115)</f>
        <v>0</v>
      </c>
      <c r="AE98" s="50">
        <f>AD98*(Mean_solids)</f>
        <v>0</v>
      </c>
      <c r="AF98" s="56" t="s">
        <v>592</v>
      </c>
      <c r="AG98" s="648">
        <f>SUMIFS($O$91:$O$115,$D$91:$D$115,AB98,$E$91:$E$115,'References Assumptions'!$C$352)</f>
        <v>0</v>
      </c>
      <c r="AH98" s="648">
        <f>SUMIFS($P$91:$P$115,$D$91:$D$115,AB98,$E$91:$E$115,'References Assumptions'!$C$352)</f>
        <v>0</v>
      </c>
      <c r="AI98" s="49">
        <f t="shared" si="57"/>
        <v>0</v>
      </c>
    </row>
    <row r="99" spans="2:35" ht="15.75" customHeight="1" x14ac:dyDescent="0.25">
      <c r="B99" s="642">
        <v>9</v>
      </c>
      <c r="C99" s="38"/>
      <c r="D99" s="28"/>
      <c r="E99" s="29"/>
      <c r="F99" s="30"/>
      <c r="G99" s="31"/>
      <c r="H99" s="27"/>
      <c r="I99" s="32"/>
      <c r="J99" s="32"/>
      <c r="K99" s="32"/>
      <c r="L99" s="32"/>
      <c r="M99" s="32"/>
      <c r="N99" s="32"/>
      <c r="O99" s="643">
        <f t="shared" si="58"/>
        <v>0</v>
      </c>
      <c r="P99" s="644">
        <f t="shared" si="50"/>
        <v>0</v>
      </c>
      <c r="Q99" s="729" t="e">
        <f t="shared" si="59"/>
        <v>#DIV/0!</v>
      </c>
      <c r="R99" s="33"/>
      <c r="S99" s="37"/>
      <c r="T99" s="60">
        <f t="shared" si="51"/>
        <v>0</v>
      </c>
      <c r="U99" s="61">
        <f t="shared" si="52"/>
        <v>0</v>
      </c>
      <c r="V99" s="60">
        <f t="shared" si="53"/>
        <v>0</v>
      </c>
      <c r="W99" s="27"/>
      <c r="X99" s="737">
        <f>IF(W99='References Assumptions'!$C$331,'References Assumptions'!$C$335,0)</f>
        <v>0</v>
      </c>
      <c r="Y99" s="646" t="s">
        <v>399</v>
      </c>
      <c r="Z99" s="647">
        <f t="shared" si="54"/>
        <v>0</v>
      </c>
      <c r="AA99" s="29"/>
      <c r="AB99" s="58" t="s">
        <v>548</v>
      </c>
      <c r="AC99" s="1240"/>
      <c r="AD99" s="1240"/>
      <c r="AE99" s="1240"/>
      <c r="AF99" s="56" t="s">
        <v>593</v>
      </c>
      <c r="AG99" s="648" t="e">
        <f>SUMIFS($O$91:$O$115,$D$91:$D$115,AB99,$E$91:$E$115,'References Assumptions'!$C$352)*'Thermal Drying'!$H$7/percent_solids_after_thermal_drying</f>
        <v>#DIV/0!</v>
      </c>
      <c r="AH99" s="648" t="e">
        <f>SUMIFS($P$91:$P$115,$D$91:$D$115,AB99,$E$91:$E$115,'References Assumptions'!$C$352)*'Thermal Drying'!$H$7/percent_solids_after_thermal_drying</f>
        <v>#DIV/0!</v>
      </c>
      <c r="AI99" s="49" t="e">
        <f>+AH99*percent_solids_after_thermal_drying</f>
        <v>#DIV/0!</v>
      </c>
    </row>
    <row r="100" spans="2:35" ht="15.75" customHeight="1" x14ac:dyDescent="0.25">
      <c r="B100" s="642">
        <v>10</v>
      </c>
      <c r="C100" s="38"/>
      <c r="D100" s="28"/>
      <c r="E100" s="29"/>
      <c r="F100" s="30"/>
      <c r="G100" s="31"/>
      <c r="H100" s="27"/>
      <c r="I100" s="32"/>
      <c r="J100" s="32"/>
      <c r="K100" s="32"/>
      <c r="L100" s="32"/>
      <c r="M100" s="32"/>
      <c r="N100" s="32"/>
      <c r="O100" s="643">
        <f t="shared" si="58"/>
        <v>0</v>
      </c>
      <c r="P100" s="644">
        <f t="shared" si="50"/>
        <v>0</v>
      </c>
      <c r="Q100" s="729" t="e">
        <f t="shared" si="59"/>
        <v>#DIV/0!</v>
      </c>
      <c r="R100" s="33"/>
      <c r="S100" s="37"/>
      <c r="T100" s="60">
        <f t="shared" si="51"/>
        <v>0</v>
      </c>
      <c r="U100" s="61">
        <f t="shared" si="52"/>
        <v>0</v>
      </c>
      <c r="V100" s="60">
        <f t="shared" si="53"/>
        <v>0</v>
      </c>
      <c r="W100" s="27"/>
      <c r="X100" s="737">
        <f>IF(W100='References Assumptions'!$C$331,'References Assumptions'!$C$335,0)</f>
        <v>0</v>
      </c>
      <c r="Y100" s="646" t="s">
        <v>399</v>
      </c>
      <c r="Z100" s="647">
        <f t="shared" si="54"/>
        <v>0</v>
      </c>
      <c r="AA100" s="29"/>
      <c r="AB100" s="58" t="s">
        <v>548</v>
      </c>
      <c r="AC100" s="1198"/>
      <c r="AD100" s="1198"/>
      <c r="AE100" s="1198"/>
      <c r="AF100" s="56" t="s">
        <v>608</v>
      </c>
      <c r="AG100" s="648">
        <f t="shared" ref="AG100:AG101" si="60">SUMIFS($O$91:$O$115,$D$91:$D$115,AB100,$E$91:$E$115,AF100)</f>
        <v>0</v>
      </c>
      <c r="AH100" s="648">
        <f t="shared" ref="AH100:AH101" si="61">SUMIFS($P$91:$P$115,$D$91:$D$115,AB100,$E$91:$E$115,AF100)</f>
        <v>0</v>
      </c>
      <c r="AI100" s="49">
        <f t="shared" ref="AI100:AI101" si="62">AH100*(Mean_solids)</f>
        <v>0</v>
      </c>
    </row>
    <row r="101" spans="2:35" ht="15.75" customHeight="1" x14ac:dyDescent="0.25">
      <c r="B101" s="642">
        <v>11</v>
      </c>
      <c r="C101" s="38"/>
      <c r="D101" s="28"/>
      <c r="E101" s="29"/>
      <c r="F101" s="30"/>
      <c r="G101" s="31"/>
      <c r="H101" s="27"/>
      <c r="I101" s="32"/>
      <c r="J101" s="32"/>
      <c r="K101" s="32"/>
      <c r="L101" s="32"/>
      <c r="M101" s="32"/>
      <c r="N101" s="32"/>
      <c r="O101" s="643">
        <f t="shared" si="58"/>
        <v>0</v>
      </c>
      <c r="P101" s="644">
        <f t="shared" si="50"/>
        <v>0</v>
      </c>
      <c r="Q101" s="729" t="e">
        <f t="shared" si="59"/>
        <v>#DIV/0!</v>
      </c>
      <c r="R101" s="33"/>
      <c r="S101" s="37"/>
      <c r="T101" s="60">
        <f t="shared" si="51"/>
        <v>0</v>
      </c>
      <c r="U101" s="61">
        <f t="shared" si="52"/>
        <v>0</v>
      </c>
      <c r="V101" s="60">
        <f t="shared" si="53"/>
        <v>0</v>
      </c>
      <c r="W101" s="27"/>
      <c r="X101" s="737">
        <f>IF(W101='References Assumptions'!$C$331,'References Assumptions'!$C$335,0)</f>
        <v>0</v>
      </c>
      <c r="Y101" s="646" t="s">
        <v>399</v>
      </c>
      <c r="Z101" s="647">
        <f t="shared" si="54"/>
        <v>0</v>
      </c>
      <c r="AA101" s="29"/>
      <c r="AB101" s="58" t="s">
        <v>548</v>
      </c>
      <c r="AC101" s="1198"/>
      <c r="AD101" s="1198"/>
      <c r="AE101" s="1198"/>
      <c r="AF101" s="56" t="s">
        <v>609</v>
      </c>
      <c r="AG101" s="648">
        <f t="shared" si="60"/>
        <v>0</v>
      </c>
      <c r="AH101" s="648">
        <f t="shared" si="61"/>
        <v>0</v>
      </c>
      <c r="AI101" s="49">
        <f t="shared" si="62"/>
        <v>0</v>
      </c>
    </row>
    <row r="102" spans="2:35" ht="15.75" customHeight="1" x14ac:dyDescent="0.25">
      <c r="B102" s="642">
        <v>12</v>
      </c>
      <c r="C102" s="38"/>
      <c r="D102" s="28"/>
      <c r="E102" s="29"/>
      <c r="F102" s="30"/>
      <c r="G102" s="31"/>
      <c r="H102" s="27"/>
      <c r="I102" s="32"/>
      <c r="J102" s="32"/>
      <c r="K102" s="32"/>
      <c r="L102" s="32"/>
      <c r="M102" s="32"/>
      <c r="N102" s="32"/>
      <c r="O102" s="643">
        <f t="shared" si="58"/>
        <v>0</v>
      </c>
      <c r="P102" s="644">
        <f t="shared" si="50"/>
        <v>0</v>
      </c>
      <c r="Q102" s="729" t="e">
        <f t="shared" si="59"/>
        <v>#DIV/0!</v>
      </c>
      <c r="R102" s="33"/>
      <c r="S102" s="37"/>
      <c r="T102" s="60">
        <f t="shared" si="51"/>
        <v>0</v>
      </c>
      <c r="U102" s="61">
        <f t="shared" si="52"/>
        <v>0</v>
      </c>
      <c r="V102" s="60">
        <f t="shared" si="53"/>
        <v>0</v>
      </c>
      <c r="W102" s="27"/>
      <c r="X102" s="737">
        <f>IF(W102='References Assumptions'!$C$331,'References Assumptions'!$C$335,0)</f>
        <v>0</v>
      </c>
      <c r="Y102" s="646" t="s">
        <v>399</v>
      </c>
      <c r="Z102" s="647">
        <f t="shared" si="54"/>
        <v>0</v>
      </c>
      <c r="AA102" s="29"/>
      <c r="AB102" s="58" t="s">
        <v>548</v>
      </c>
      <c r="AC102" s="1241"/>
      <c r="AD102" s="1241"/>
      <c r="AE102" s="1241"/>
      <c r="AF102" s="1190" t="s">
        <v>987</v>
      </c>
      <c r="AG102" s="648" t="e">
        <f>(SUMIFS($O$91:$O$115,$D$91:$D$115,AB102,$E$91:$E$115,AF102)*(Percent_Solids/percent_solids_after_biodrying)*(percent_solids_after_biodrying/Percent_Solids_After_Pyrolysis))*(1-Pyrolysis!$H$15)</f>
        <v>#DIV/0!</v>
      </c>
      <c r="AH102" s="648" t="e">
        <f>(SUMIFS($P$91:$P$115,$D$91:$D$115,AB102,$E$91:$E$115,AF102)*(Percent_Solids/percent_solids_after_biodrying)*(percent_solids_after_biodrying/Percent_Solids_After_Pyrolysis))*(1-Pyrolysis!$H$15)</f>
        <v>#DIV/0!</v>
      </c>
      <c r="AI102" s="598" t="e">
        <f>AH102*Percent_Solids_After_Pyrolysis</f>
        <v>#DIV/0!</v>
      </c>
    </row>
    <row r="103" spans="2:35" ht="15.75" customHeight="1" x14ac:dyDescent="0.25">
      <c r="B103" s="642">
        <v>13</v>
      </c>
      <c r="C103" s="38"/>
      <c r="D103" s="28"/>
      <c r="E103" s="29"/>
      <c r="F103" s="30"/>
      <c r="G103" s="31"/>
      <c r="H103" s="27"/>
      <c r="I103" s="32"/>
      <c r="J103" s="32"/>
      <c r="K103" s="32"/>
      <c r="L103" s="32"/>
      <c r="M103" s="32"/>
      <c r="N103" s="32"/>
      <c r="O103" s="643">
        <f t="shared" si="58"/>
        <v>0</v>
      </c>
      <c r="P103" s="644">
        <f t="shared" si="50"/>
        <v>0</v>
      </c>
      <c r="Q103" s="729" t="e">
        <f t="shared" si="59"/>
        <v>#DIV/0!</v>
      </c>
      <c r="R103" s="33"/>
      <c r="S103" s="37"/>
      <c r="T103" s="60">
        <f t="shared" si="51"/>
        <v>0</v>
      </c>
      <c r="U103" s="61">
        <f t="shared" si="52"/>
        <v>0</v>
      </c>
      <c r="V103" s="60">
        <f t="shared" si="53"/>
        <v>0</v>
      </c>
      <c r="W103" s="27"/>
      <c r="X103" s="737">
        <f>IF(W103='References Assumptions'!$C$331,'References Assumptions'!$C$335,0)</f>
        <v>0</v>
      </c>
      <c r="Y103" s="646" t="s">
        <v>399</v>
      </c>
      <c r="Z103" s="647">
        <f t="shared" si="54"/>
        <v>0</v>
      </c>
      <c r="AA103" s="29"/>
      <c r="AB103" s="58" t="s">
        <v>222</v>
      </c>
      <c r="AC103" s="648">
        <f>SUMIF($D$91:$D$115,AB103,$O$91:$O$115)</f>
        <v>0</v>
      </c>
      <c r="AD103" s="648">
        <f>SUMIF($D$91:$D$115,AB103,$P$91:$P$115)</f>
        <v>0</v>
      </c>
      <c r="AE103" s="50">
        <f>AD103*(Mean_solids)</f>
        <v>0</v>
      </c>
      <c r="AF103" s="56" t="s">
        <v>496</v>
      </c>
      <c r="AG103" s="648">
        <f>SUMIFS($O$91:$O$115,$D$91:$D$115,AB103,$E$91:$E$115,AF103)</f>
        <v>0</v>
      </c>
      <c r="AH103" s="648">
        <f>SUMIFS($P$91:$P$115,$D$91:$D$115,AB103,$E$91:$E$115,AF103)</f>
        <v>0</v>
      </c>
      <c r="AI103" s="49">
        <f>AH103*(Mean_solids)</f>
        <v>0</v>
      </c>
    </row>
    <row r="104" spans="2:35" ht="15.75" customHeight="1" x14ac:dyDescent="0.25">
      <c r="B104" s="642">
        <v>14</v>
      </c>
      <c r="C104" s="38"/>
      <c r="D104" s="28"/>
      <c r="E104" s="29"/>
      <c r="F104" s="30"/>
      <c r="G104" s="31"/>
      <c r="H104" s="27"/>
      <c r="I104" s="32"/>
      <c r="J104" s="32"/>
      <c r="K104" s="32"/>
      <c r="L104" s="32"/>
      <c r="M104" s="32"/>
      <c r="N104" s="32"/>
      <c r="O104" s="643">
        <f t="shared" si="58"/>
        <v>0</v>
      </c>
      <c r="P104" s="644">
        <f t="shared" si="50"/>
        <v>0</v>
      </c>
      <c r="Q104" s="729" t="e">
        <f t="shared" si="59"/>
        <v>#DIV/0!</v>
      </c>
      <c r="R104" s="33"/>
      <c r="S104" s="37"/>
      <c r="T104" s="60">
        <f t="shared" si="51"/>
        <v>0</v>
      </c>
      <c r="U104" s="61">
        <f t="shared" si="52"/>
        <v>0</v>
      </c>
      <c r="V104" s="60">
        <f t="shared" si="53"/>
        <v>0</v>
      </c>
      <c r="W104" s="27"/>
      <c r="X104" s="737">
        <f>IF(W104='References Assumptions'!$C$331,'References Assumptions'!$C$335,0)</f>
        <v>0</v>
      </c>
      <c r="Y104" s="646" t="s">
        <v>399</v>
      </c>
      <c r="Z104" s="647">
        <f t="shared" si="54"/>
        <v>0</v>
      </c>
      <c r="AA104" s="29"/>
      <c r="AB104" s="58" t="s">
        <v>222</v>
      </c>
      <c r="AC104" s="1254"/>
      <c r="AD104" s="1255"/>
      <c r="AE104" s="1256"/>
      <c r="AF104" s="56" t="s">
        <v>497</v>
      </c>
      <c r="AG104" s="648">
        <f>SUMIFS($O$91:$O$115,$D$91:$D$115,AB104,$E$91:$E$115,AF104)</f>
        <v>0</v>
      </c>
      <c r="AH104" s="648">
        <f>SUMIFS($P$91:$P$115,$D$91:$D$115,AB104,$E$91:$E$115,AF104)</f>
        <v>0</v>
      </c>
      <c r="AI104" s="49">
        <f>AH104*(Mean_solids)</f>
        <v>0</v>
      </c>
    </row>
    <row r="105" spans="2:35" ht="15.75" customHeight="1" x14ac:dyDescent="0.25">
      <c r="B105" s="642">
        <v>15</v>
      </c>
      <c r="C105" s="38"/>
      <c r="D105" s="28"/>
      <c r="E105" s="29"/>
      <c r="F105" s="30"/>
      <c r="G105" s="31"/>
      <c r="H105" s="27"/>
      <c r="I105" s="32"/>
      <c r="J105" s="32"/>
      <c r="K105" s="32"/>
      <c r="L105" s="32"/>
      <c r="M105" s="32"/>
      <c r="N105" s="32"/>
      <c r="O105" s="643">
        <f t="shared" si="58"/>
        <v>0</v>
      </c>
      <c r="P105" s="644">
        <f t="shared" si="50"/>
        <v>0</v>
      </c>
      <c r="Q105" s="729" t="e">
        <f t="shared" si="59"/>
        <v>#DIV/0!</v>
      </c>
      <c r="R105" s="33"/>
      <c r="S105" s="37"/>
      <c r="T105" s="60">
        <f t="shared" si="51"/>
        <v>0</v>
      </c>
      <c r="U105" s="61">
        <f t="shared" si="52"/>
        <v>0</v>
      </c>
      <c r="V105" s="60">
        <f t="shared" si="53"/>
        <v>0</v>
      </c>
      <c r="W105" s="27"/>
      <c r="X105" s="737">
        <f>IF(W105='References Assumptions'!$C$331,'References Assumptions'!$C$335,0)</f>
        <v>0</v>
      </c>
      <c r="Y105" s="646" t="s">
        <v>399</v>
      </c>
      <c r="Z105" s="647">
        <f t="shared" si="54"/>
        <v>0</v>
      </c>
      <c r="AA105" s="29"/>
      <c r="AB105" s="58" t="s">
        <v>222</v>
      </c>
      <c r="AC105" s="1257"/>
      <c r="AD105" s="1258"/>
      <c r="AE105" s="1259"/>
      <c r="AF105" s="56" t="s">
        <v>544</v>
      </c>
      <c r="AG105" s="648">
        <f>SUMIFS($O$91:$O$115,$D$91:$D$115,AB105,$E$91:$E$115,AF105)</f>
        <v>0</v>
      </c>
      <c r="AH105" s="648">
        <f>SUMIFS($P$91:$P$115,$D$91:$D$115,AB105,$E$91:$E$115,AF105)</f>
        <v>0</v>
      </c>
      <c r="AI105" s="49">
        <f>AH105*(Mean_solids)</f>
        <v>0</v>
      </c>
    </row>
    <row r="106" spans="2:35" ht="15.75" customHeight="1" thickBot="1" x14ac:dyDescent="0.3">
      <c r="B106" s="642">
        <v>16</v>
      </c>
      <c r="C106" s="38"/>
      <c r="D106" s="28"/>
      <c r="E106" s="29"/>
      <c r="F106" s="30"/>
      <c r="G106" s="31"/>
      <c r="H106" s="27"/>
      <c r="I106" s="32"/>
      <c r="J106" s="32"/>
      <c r="K106" s="32"/>
      <c r="L106" s="32"/>
      <c r="M106" s="32"/>
      <c r="N106" s="32"/>
      <c r="O106" s="643">
        <f t="shared" si="58"/>
        <v>0</v>
      </c>
      <c r="P106" s="644">
        <f t="shared" si="50"/>
        <v>0</v>
      </c>
      <c r="Q106" s="729" t="e">
        <f t="shared" si="59"/>
        <v>#DIV/0!</v>
      </c>
      <c r="R106" s="33"/>
      <c r="S106" s="37"/>
      <c r="T106" s="60">
        <f t="shared" si="51"/>
        <v>0</v>
      </c>
      <c r="U106" s="61">
        <f t="shared" si="52"/>
        <v>0</v>
      </c>
      <c r="V106" s="60">
        <f t="shared" si="53"/>
        <v>0</v>
      </c>
      <c r="W106" s="27"/>
      <c r="X106" s="737">
        <f>IF(W106='References Assumptions'!$C$331,'References Assumptions'!$C$335,0)</f>
        <v>0</v>
      </c>
      <c r="Y106" s="646" t="s">
        <v>399</v>
      </c>
      <c r="Z106" s="647">
        <f t="shared" si="54"/>
        <v>0</v>
      </c>
      <c r="AA106" s="29"/>
      <c r="AB106" s="59" t="s">
        <v>222</v>
      </c>
      <c r="AC106" s="1260"/>
      <c r="AD106" s="1261"/>
      <c r="AE106" s="1262"/>
      <c r="AF106" s="608" t="s">
        <v>545</v>
      </c>
      <c r="AG106" s="710">
        <f>SUMIFS($O$91:$O$115,$D$91:$D$115,AB106,$E$91:$E$115,AF106)</f>
        <v>0</v>
      </c>
      <c r="AH106" s="710">
        <f>SUMIFS($P$91:$P$115,$D$91:$D$115,AB106,$E$91:$E$115,AF106)</f>
        <v>0</v>
      </c>
      <c r="AI106" s="596">
        <f>AH106*(Mean_solids)</f>
        <v>0</v>
      </c>
    </row>
    <row r="107" spans="2:35" ht="15.75" customHeight="1" x14ac:dyDescent="0.25">
      <c r="B107" s="642">
        <v>17</v>
      </c>
      <c r="C107" s="38"/>
      <c r="D107" s="28"/>
      <c r="E107" s="29"/>
      <c r="F107" s="30"/>
      <c r="G107" s="31"/>
      <c r="H107" s="27"/>
      <c r="I107" s="32"/>
      <c r="J107" s="32"/>
      <c r="K107" s="32"/>
      <c r="L107" s="32"/>
      <c r="M107" s="32"/>
      <c r="N107" s="32"/>
      <c r="O107" s="643">
        <f t="shared" si="58"/>
        <v>0</v>
      </c>
      <c r="P107" s="644">
        <f t="shared" si="50"/>
        <v>0</v>
      </c>
      <c r="Q107" s="729" t="e">
        <f t="shared" si="59"/>
        <v>#DIV/0!</v>
      </c>
      <c r="R107" s="33"/>
      <c r="S107" s="37"/>
      <c r="T107" s="60">
        <f t="shared" si="51"/>
        <v>0</v>
      </c>
      <c r="U107" s="61">
        <f t="shared" si="52"/>
        <v>0</v>
      </c>
      <c r="V107" s="60">
        <f t="shared" si="53"/>
        <v>0</v>
      </c>
      <c r="W107" s="27"/>
      <c r="X107" s="737">
        <f>IF(W107='References Assumptions'!$C$331,'References Assumptions'!$C$335,0)</f>
        <v>0</v>
      </c>
      <c r="Y107" s="646" t="s">
        <v>399</v>
      </c>
      <c r="Z107" s="647">
        <f t="shared" si="54"/>
        <v>0</v>
      </c>
      <c r="AA107" s="29"/>
      <c r="AB107"/>
    </row>
    <row r="108" spans="2:35" ht="15.75" customHeight="1" x14ac:dyDescent="0.25">
      <c r="B108" s="642">
        <v>18</v>
      </c>
      <c r="C108" s="38"/>
      <c r="D108" s="28"/>
      <c r="E108" s="29"/>
      <c r="F108" s="30"/>
      <c r="G108" s="31"/>
      <c r="H108" s="27"/>
      <c r="I108" s="32"/>
      <c r="J108" s="36"/>
      <c r="K108" s="36"/>
      <c r="L108" s="36"/>
      <c r="M108" s="36"/>
      <c r="N108" s="36"/>
      <c r="O108" s="643">
        <f t="shared" si="58"/>
        <v>0</v>
      </c>
      <c r="P108" s="644">
        <f>+O108/Mg_ton</f>
        <v>0</v>
      </c>
      <c r="Q108" s="729" t="e">
        <f t="shared" si="59"/>
        <v>#DIV/0!</v>
      </c>
      <c r="R108" s="33"/>
      <c r="S108" s="37"/>
      <c r="T108" s="62">
        <f t="shared" si="51"/>
        <v>0</v>
      </c>
      <c r="U108" s="63">
        <f t="shared" si="52"/>
        <v>0</v>
      </c>
      <c r="V108" s="62">
        <f t="shared" si="53"/>
        <v>0</v>
      </c>
      <c r="W108" s="27"/>
      <c r="X108" s="737">
        <f>IF(W108='References Assumptions'!$C$331,'References Assumptions'!$C$335,0)</f>
        <v>0</v>
      </c>
      <c r="Y108" s="646" t="s">
        <v>399</v>
      </c>
      <c r="Z108" s="647">
        <f t="shared" si="54"/>
        <v>0</v>
      </c>
      <c r="AA108" s="29"/>
      <c r="AC108" s="393" t="s">
        <v>399</v>
      </c>
      <c r="AD108" s="393" t="s">
        <v>376</v>
      </c>
      <c r="AF108" s="597" t="s">
        <v>646</v>
      </c>
      <c r="AG108" s="386" t="s">
        <v>399</v>
      </c>
      <c r="AH108" s="386" t="s">
        <v>484</v>
      </c>
      <c r="AI108" s="656" t="s">
        <v>549</v>
      </c>
    </row>
    <row r="109" spans="2:35" ht="15.75" customHeight="1" x14ac:dyDescent="0.25">
      <c r="B109" s="642">
        <v>19</v>
      </c>
      <c r="C109" s="38"/>
      <c r="D109" s="28"/>
      <c r="E109" s="29"/>
      <c r="F109" s="30"/>
      <c r="G109" s="31"/>
      <c r="H109" s="27"/>
      <c r="I109" s="32"/>
      <c r="J109" s="30"/>
      <c r="K109" s="30"/>
      <c r="L109" s="30"/>
      <c r="M109" s="30"/>
      <c r="N109" s="30"/>
      <c r="O109" s="643">
        <f t="shared" si="58"/>
        <v>0</v>
      </c>
      <c r="P109" s="644">
        <f t="shared" si="50"/>
        <v>0</v>
      </c>
      <c r="Q109" s="729" t="e">
        <f t="shared" si="59"/>
        <v>#DIV/0!</v>
      </c>
      <c r="R109" s="33"/>
      <c r="S109" s="37"/>
      <c r="T109" s="62">
        <f t="shared" si="51"/>
        <v>0</v>
      </c>
      <c r="U109" s="63">
        <f t="shared" si="52"/>
        <v>0</v>
      </c>
      <c r="V109" s="62">
        <f t="shared" si="53"/>
        <v>0</v>
      </c>
      <c r="W109" s="27"/>
      <c r="X109" s="737">
        <f>IF(W109='References Assumptions'!$C$331,'References Assumptions'!$C$335,0)</f>
        <v>0</v>
      </c>
      <c r="Y109" s="646" t="s">
        <v>399</v>
      </c>
      <c r="Z109" s="647">
        <f t="shared" si="54"/>
        <v>0</v>
      </c>
      <c r="AA109" s="29"/>
      <c r="AB109" s="711" t="s">
        <v>605</v>
      </c>
      <c r="AC109" s="660">
        <f>+AC91+AC95+AC98+AC103</f>
        <v>0</v>
      </c>
      <c r="AD109" s="661">
        <f>+AD91+AD95+AD98+AD103</f>
        <v>0</v>
      </c>
      <c r="AE109" s="662"/>
      <c r="AF109" s="56" t="s">
        <v>647</v>
      </c>
      <c r="AG109" s="55">
        <f>SUMIFS($O$91:$O$115,$D$91:$D$115,AB106,$E$91:$E$115,'References Assumptions'!$C$359)</f>
        <v>0</v>
      </c>
      <c r="AH109" s="55">
        <f>SUMIFS($P$91:$P$115,$D$91:$D$115,AB106,$E$91:$E$115,'References Assumptions'!$C$359)</f>
        <v>0</v>
      </c>
      <c r="AI109" s="599">
        <f>AH109*Percent_Solids</f>
        <v>0</v>
      </c>
    </row>
    <row r="110" spans="2:35" ht="15.75" customHeight="1" x14ac:dyDescent="0.25">
      <c r="B110" s="642">
        <v>20</v>
      </c>
      <c r="C110" s="38"/>
      <c r="D110" s="28"/>
      <c r="E110" s="29"/>
      <c r="F110" s="30"/>
      <c r="G110" s="31"/>
      <c r="H110" s="27"/>
      <c r="I110" s="32"/>
      <c r="J110" s="30"/>
      <c r="K110" s="30"/>
      <c r="L110" s="30"/>
      <c r="M110" s="30"/>
      <c r="N110" s="30"/>
      <c r="O110" s="643">
        <f t="shared" si="58"/>
        <v>0</v>
      </c>
      <c r="P110" s="644">
        <f t="shared" si="50"/>
        <v>0</v>
      </c>
      <c r="Q110" s="729" t="e">
        <f t="shared" si="59"/>
        <v>#DIV/0!</v>
      </c>
      <c r="R110" s="33"/>
      <c r="S110" s="37"/>
      <c r="T110" s="62">
        <f t="shared" si="51"/>
        <v>0</v>
      </c>
      <c r="U110" s="63">
        <f t="shared" si="52"/>
        <v>0</v>
      </c>
      <c r="V110" s="62">
        <f t="shared" si="53"/>
        <v>0</v>
      </c>
      <c r="W110" s="27"/>
      <c r="X110" s="737">
        <f>IF(W110='References Assumptions'!$C$331,'References Assumptions'!$C$335,0)</f>
        <v>0</v>
      </c>
      <c r="Y110" s="646" t="s">
        <v>399</v>
      </c>
      <c r="Z110" s="647">
        <f t="shared" si="54"/>
        <v>0</v>
      </c>
      <c r="AA110" s="29"/>
      <c r="AB110" s="712" t="s">
        <v>444</v>
      </c>
      <c r="AC110" s="664" t="e">
        <f>+AC91/AC109</f>
        <v>#DIV/0!</v>
      </c>
      <c r="AD110" s="664" t="e">
        <f>+AD91/AD109</f>
        <v>#DIV/0!</v>
      </c>
      <c r="AF110" s="56" t="s">
        <v>648</v>
      </c>
      <c r="AG110" s="55" t="e">
        <f>SUMIFS($O$91:$O$115,$D$91:$D$115,AB106,$E$91:$E$115,'References Assumptions'!$C$359)*Percent_Solids/percent_solids_after_biodrying</f>
        <v>#DIV/0!</v>
      </c>
      <c r="AH110" s="55" t="e">
        <f>SUMIFS($P$91:$P$115,$D$91:$D$115,AB106,$E$91:$E$115,'References Assumptions'!$C$359)*Percent_Solids/percent_solids_after_biodrying</f>
        <v>#DIV/0!</v>
      </c>
      <c r="AI110" s="599" t="e">
        <f>AH110*percent_solids_after_biodrying</f>
        <v>#DIV/0!</v>
      </c>
    </row>
    <row r="111" spans="2:35" ht="15.75" customHeight="1" x14ac:dyDescent="0.25">
      <c r="B111" s="642">
        <v>21</v>
      </c>
      <c r="C111" s="38"/>
      <c r="D111" s="28"/>
      <c r="E111" s="29"/>
      <c r="F111" s="30"/>
      <c r="G111" s="31"/>
      <c r="H111" s="27"/>
      <c r="I111" s="32"/>
      <c r="J111" s="30"/>
      <c r="K111" s="30"/>
      <c r="L111" s="30"/>
      <c r="M111" s="30"/>
      <c r="N111" s="30"/>
      <c r="O111" s="643">
        <f t="shared" si="58"/>
        <v>0</v>
      </c>
      <c r="P111" s="644">
        <f t="shared" si="50"/>
        <v>0</v>
      </c>
      <c r="Q111" s="729" t="e">
        <f t="shared" si="59"/>
        <v>#DIV/0!</v>
      </c>
      <c r="R111" s="33"/>
      <c r="S111" s="37"/>
      <c r="T111" s="62">
        <f t="shared" si="51"/>
        <v>0</v>
      </c>
      <c r="U111" s="63">
        <f t="shared" si="52"/>
        <v>0</v>
      </c>
      <c r="V111" s="62">
        <f t="shared" si="53"/>
        <v>0</v>
      </c>
      <c r="W111" s="27"/>
      <c r="X111" s="737">
        <f>IF(W111='References Assumptions'!$C$331,'References Assumptions'!$C$335,0)</f>
        <v>0</v>
      </c>
      <c r="Y111" s="646" t="s">
        <v>399</v>
      </c>
      <c r="Z111" s="647">
        <f t="shared" si="54"/>
        <v>0</v>
      </c>
      <c r="AA111" s="29"/>
      <c r="AB111" s="712" t="s">
        <v>250</v>
      </c>
      <c r="AC111" s="664" t="e">
        <f>+AC95/AC109</f>
        <v>#DIV/0!</v>
      </c>
      <c r="AD111" s="664" t="e">
        <f>+AD95/AD109</f>
        <v>#DIV/0!</v>
      </c>
      <c r="AF111" s="56" t="s">
        <v>649</v>
      </c>
      <c r="AG111" s="55" t="e">
        <f>(SUMIFS($O$91:$O$115,$D$91:$D$115,AB106,$E$91:$E$115,'References Assumptions'!$C$359)*(Percent_Solids/percent_solids_after_biodrying)*(percent_solids_after_biodrying/Percent_Solids_After_Pyrolysis))*(1-Pyrolysis!$H$15)</f>
        <v>#DIV/0!</v>
      </c>
      <c r="AH111" s="55" t="e">
        <f>(SUMIFS($P$91:$P$115,$D$91:$D$115,AB106,$E$91:$E$115,'References Assumptions'!$C$359)*(Percent_Solids/percent_solids_after_biodrying)*(percent_solids_after_biodrying/Percent_Solids_After_Pyrolysis))*(1-Pyrolysis!$H$15)</f>
        <v>#DIV/0!</v>
      </c>
      <c r="AI111" s="598" t="e">
        <f>AH111*Percent_Solids_After_Pyrolysis</f>
        <v>#DIV/0!</v>
      </c>
    </row>
    <row r="112" spans="2:35" ht="15.75" customHeight="1" x14ac:dyDescent="0.25">
      <c r="B112" s="642">
        <v>22</v>
      </c>
      <c r="C112" s="38"/>
      <c r="D112" s="28"/>
      <c r="E112" s="29"/>
      <c r="F112" s="30"/>
      <c r="G112" s="31"/>
      <c r="H112" s="27"/>
      <c r="I112" s="32"/>
      <c r="J112" s="30"/>
      <c r="K112" s="30"/>
      <c r="L112" s="30"/>
      <c r="M112" s="30"/>
      <c r="N112" s="30"/>
      <c r="O112" s="643">
        <f t="shared" si="58"/>
        <v>0</v>
      </c>
      <c r="P112" s="644">
        <f t="shared" si="50"/>
        <v>0</v>
      </c>
      <c r="Q112" s="729" t="e">
        <f t="shared" si="59"/>
        <v>#DIV/0!</v>
      </c>
      <c r="R112" s="33"/>
      <c r="S112" s="37"/>
      <c r="T112" s="62">
        <f t="shared" si="51"/>
        <v>0</v>
      </c>
      <c r="U112" s="63">
        <f t="shared" si="52"/>
        <v>0</v>
      </c>
      <c r="V112" s="62">
        <f t="shared" si="53"/>
        <v>0</v>
      </c>
      <c r="W112" s="27"/>
      <c r="X112" s="737">
        <f>IF(W112='References Assumptions'!$C$331,'References Assumptions'!$C$335,0)</f>
        <v>0</v>
      </c>
      <c r="Y112" s="646" t="s">
        <v>399</v>
      </c>
      <c r="Z112" s="647">
        <f t="shared" si="54"/>
        <v>0</v>
      </c>
      <c r="AA112" s="29"/>
      <c r="AB112" s="712" t="s">
        <v>182</v>
      </c>
      <c r="AC112" s="664" t="e">
        <f>+AC98/AC109</f>
        <v>#DIV/0!</v>
      </c>
      <c r="AD112" s="664" t="e">
        <f>+AD98/AD109</f>
        <v>#DIV/0!</v>
      </c>
      <c r="AF112" s="1253" t="s">
        <v>988</v>
      </c>
      <c r="AG112" s="1253"/>
      <c r="AH112" s="1253"/>
      <c r="AI112" s="75"/>
    </row>
    <row r="113" spans="2:35" ht="15.75" customHeight="1" x14ac:dyDescent="0.25">
      <c r="B113" s="642">
        <v>23</v>
      </c>
      <c r="C113" s="38"/>
      <c r="D113" s="28"/>
      <c r="E113" s="29"/>
      <c r="F113" s="30"/>
      <c r="G113" s="31"/>
      <c r="H113" s="27"/>
      <c r="I113" s="32"/>
      <c r="J113" s="30"/>
      <c r="K113" s="30"/>
      <c r="L113" s="30"/>
      <c r="M113" s="30"/>
      <c r="N113" s="30"/>
      <c r="O113" s="643">
        <f t="shared" si="58"/>
        <v>0</v>
      </c>
      <c r="P113" s="644">
        <f t="shared" si="50"/>
        <v>0</v>
      </c>
      <c r="Q113" s="729" t="e">
        <f t="shared" si="59"/>
        <v>#DIV/0!</v>
      </c>
      <c r="R113" s="33"/>
      <c r="S113" s="37"/>
      <c r="T113" s="62">
        <f t="shared" si="51"/>
        <v>0</v>
      </c>
      <c r="U113" s="63">
        <f t="shared" si="52"/>
        <v>0</v>
      </c>
      <c r="V113" s="62">
        <f t="shared" si="53"/>
        <v>0</v>
      </c>
      <c r="W113" s="27"/>
      <c r="X113" s="737">
        <f>IF(W113='References Assumptions'!$C$331,'References Assumptions'!$C$335,0)</f>
        <v>0</v>
      </c>
      <c r="Y113" s="646" t="s">
        <v>399</v>
      </c>
      <c r="Z113" s="647">
        <f t="shared" si="54"/>
        <v>0</v>
      </c>
      <c r="AA113" s="29"/>
      <c r="AB113" s="712" t="s">
        <v>222</v>
      </c>
      <c r="AC113" s="664" t="e">
        <f>+AC103/AC109</f>
        <v>#DIV/0!</v>
      </c>
      <c r="AD113" s="664" t="e">
        <f>+AD103/AD109</f>
        <v>#DIV/0!</v>
      </c>
      <c r="AF113" s="1253"/>
      <c r="AG113" s="1253"/>
      <c r="AH113" s="1253"/>
      <c r="AI113" s="75"/>
    </row>
    <row r="114" spans="2:35" ht="15.75" customHeight="1" x14ac:dyDescent="0.25">
      <c r="B114" s="642">
        <v>24</v>
      </c>
      <c r="C114" s="38"/>
      <c r="D114" s="28"/>
      <c r="E114" s="29"/>
      <c r="F114" s="30"/>
      <c r="G114" s="31"/>
      <c r="H114" s="27"/>
      <c r="I114" s="32"/>
      <c r="J114" s="30"/>
      <c r="K114" s="30"/>
      <c r="L114" s="30"/>
      <c r="M114" s="30"/>
      <c r="N114" s="30"/>
      <c r="O114" s="643">
        <f t="shared" si="58"/>
        <v>0</v>
      </c>
      <c r="P114" s="644">
        <f t="shared" si="50"/>
        <v>0</v>
      </c>
      <c r="Q114" s="729" t="e">
        <f t="shared" si="59"/>
        <v>#DIV/0!</v>
      </c>
      <c r="R114" s="33"/>
      <c r="S114" s="37"/>
      <c r="T114" s="62">
        <f t="shared" si="51"/>
        <v>0</v>
      </c>
      <c r="U114" s="63">
        <f t="shared" si="52"/>
        <v>0</v>
      </c>
      <c r="V114" s="62">
        <f t="shared" si="53"/>
        <v>0</v>
      </c>
      <c r="W114" s="27"/>
      <c r="X114" s="737">
        <f>IF(W114='References Assumptions'!$C$331,'References Assumptions'!$C$335,0)</f>
        <v>0</v>
      </c>
      <c r="Y114" s="646" t="s">
        <v>399</v>
      </c>
      <c r="Z114" s="647">
        <f t="shared" si="54"/>
        <v>0</v>
      </c>
      <c r="AA114" s="29"/>
      <c r="AB114"/>
      <c r="AC114" s="668"/>
      <c r="AD114" s="668"/>
      <c r="AI114" s="75"/>
    </row>
    <row r="115" spans="2:35" ht="15.75" customHeight="1" thickBot="1" x14ac:dyDescent="0.3">
      <c r="B115" s="669">
        <v>25</v>
      </c>
      <c r="C115" s="38"/>
      <c r="D115" s="28"/>
      <c r="E115" s="29"/>
      <c r="F115" s="30"/>
      <c r="G115" s="31"/>
      <c r="H115" s="27"/>
      <c r="I115" s="32"/>
      <c r="J115" s="34"/>
      <c r="K115" s="34"/>
      <c r="L115" s="34"/>
      <c r="M115" s="34"/>
      <c r="N115" s="34"/>
      <c r="O115" s="670">
        <f t="shared" si="58"/>
        <v>0</v>
      </c>
      <c r="P115" s="671">
        <f t="shared" si="50"/>
        <v>0</v>
      </c>
      <c r="Q115" s="729" t="e">
        <f t="shared" si="59"/>
        <v>#DIV/0!</v>
      </c>
      <c r="R115" s="33"/>
      <c r="S115" s="37"/>
      <c r="T115" s="64">
        <f t="shared" si="51"/>
        <v>0</v>
      </c>
      <c r="U115" s="65">
        <f t="shared" si="52"/>
        <v>0</v>
      </c>
      <c r="V115" s="66">
        <f t="shared" si="53"/>
        <v>0</v>
      </c>
      <c r="W115" s="1145"/>
      <c r="X115" s="739">
        <f>IF(W115='References Assumptions'!$C$331,'References Assumptions'!$C$335,0)</f>
        <v>0</v>
      </c>
      <c r="Y115" s="713" t="s">
        <v>399</v>
      </c>
      <c r="Z115" s="714">
        <f t="shared" si="54"/>
        <v>0</v>
      </c>
      <c r="AA115" s="587"/>
      <c r="AB115" s="133"/>
      <c r="AC115" s="133"/>
      <c r="AD115" s="133"/>
      <c r="AE115" s="133"/>
      <c r="AF115" s="133"/>
      <c r="AG115" s="133"/>
      <c r="AH115" s="133"/>
      <c r="AI115" s="134"/>
    </row>
    <row r="116" spans="2:35" ht="15.75" customHeight="1" thickBot="1" x14ac:dyDescent="0.3">
      <c r="B116" s="674"/>
      <c r="C116" s="675"/>
      <c r="D116" s="53"/>
      <c r="E116" s="641"/>
      <c r="F116" s="676"/>
      <c r="G116" s="53"/>
      <c r="H116" s="677" t="s">
        <v>371</v>
      </c>
      <c r="I116" s="678" t="e">
        <f t="shared" ref="I116:N116" si="63">+I117/$O117</f>
        <v>#DIV/0!</v>
      </c>
      <c r="J116" s="678" t="e">
        <f t="shared" si="63"/>
        <v>#DIV/0!</v>
      </c>
      <c r="K116" s="678" t="e">
        <f t="shared" si="63"/>
        <v>#DIV/0!</v>
      </c>
      <c r="L116" s="678" t="e">
        <f t="shared" si="63"/>
        <v>#DIV/0!</v>
      </c>
      <c r="M116" s="678" t="e">
        <f t="shared" si="63"/>
        <v>#DIV/0!</v>
      </c>
      <c r="N116" s="678" t="e">
        <f t="shared" si="63"/>
        <v>#DIV/0!</v>
      </c>
      <c r="O116" s="678"/>
      <c r="P116" s="53"/>
      <c r="Q116" s="679"/>
      <c r="R116" s="679"/>
      <c r="S116" s="53"/>
      <c r="T116" s="53"/>
      <c r="U116" s="680">
        <v>2</v>
      </c>
      <c r="V116" s="681" t="s">
        <v>395</v>
      </c>
      <c r="W116" s="53"/>
      <c r="X116" s="53"/>
      <c r="Y116" s="53"/>
      <c r="Z116" s="682"/>
      <c r="AA116" s="683"/>
      <c r="AB116" s="657"/>
      <c r="AI116" s="75"/>
    </row>
    <row r="117" spans="2:35" ht="15.75" customHeight="1" thickBot="1" x14ac:dyDescent="0.3">
      <c r="B117" s="685"/>
      <c r="C117" s="686"/>
      <c r="D117" s="687"/>
      <c r="E117" s="688"/>
      <c r="F117" s="689"/>
      <c r="G117" s="687"/>
      <c r="H117" s="690" t="s">
        <v>370</v>
      </c>
      <c r="I117" s="691">
        <f>SUM(I91:I115)</f>
        <v>0</v>
      </c>
      <c r="J117" s="691">
        <f>SUM(J91:J115)</f>
        <v>0</v>
      </c>
      <c r="K117" s="691">
        <f t="shared" ref="K117:P117" si="64">SUM(K91:K115)</f>
        <v>0</v>
      </c>
      <c r="L117" s="691">
        <f t="shared" si="64"/>
        <v>0</v>
      </c>
      <c r="M117" s="691">
        <f t="shared" si="64"/>
        <v>0</v>
      </c>
      <c r="N117" s="691">
        <f t="shared" si="64"/>
        <v>0</v>
      </c>
      <c r="O117" s="691">
        <f t="shared" si="64"/>
        <v>0</v>
      </c>
      <c r="P117" s="691">
        <f t="shared" si="64"/>
        <v>0</v>
      </c>
      <c r="Q117" s="692" t="e">
        <f>SUM(Q91:Q115)</f>
        <v>#DIV/0!</v>
      </c>
      <c r="R117" s="692"/>
      <c r="S117" s="691"/>
      <c r="T117" s="687"/>
      <c r="U117" s="687"/>
      <c r="V117" s="687"/>
      <c r="W117" s="693"/>
      <c r="X117" s="693"/>
      <c r="Y117" s="693"/>
      <c r="Z117" s="694"/>
      <c r="AA117" s="726"/>
      <c r="AB117" s="1269" t="str">
        <f>CONCATENATE(B89," - Total Dry Mg")</f>
        <v>Scenario 4 - Total Dry Mg</v>
      </c>
      <c r="AC117" s="1270"/>
      <c r="AD117" s="1271"/>
      <c r="AE117" s="696">
        <f>+AE91+AE95+AE98+AE103</f>
        <v>0</v>
      </c>
      <c r="AF117" s="133"/>
      <c r="AG117" s="133"/>
      <c r="AH117" s="133"/>
      <c r="AI117" s="134"/>
    </row>
    <row r="118" spans="2:35" ht="21.75" thickBot="1" x14ac:dyDescent="0.4">
      <c r="B118" s="623" t="s">
        <v>454</v>
      </c>
      <c r="C118" s="1021">
        <f>+'Scenarios Data'!B129</f>
        <v>0</v>
      </c>
      <c r="D118" s="1275">
        <f>+'Scenarios Data'!D129:J129</f>
        <v>0</v>
      </c>
      <c r="E118" s="1276"/>
      <c r="F118" s="1276"/>
      <c r="G118" s="1277"/>
      <c r="H118" s="624"/>
      <c r="I118" s="1251" t="s">
        <v>833</v>
      </c>
      <c r="J118" s="1251"/>
      <c r="K118" s="1251"/>
      <c r="L118" s="1251"/>
      <c r="M118" s="1251"/>
      <c r="N118" s="1251"/>
      <c r="O118" s="625"/>
      <c r="P118" s="626"/>
      <c r="Q118" s="624"/>
      <c r="R118" s="624"/>
      <c r="S118" s="1252"/>
      <c r="T118" s="1252"/>
      <c r="U118" s="1252"/>
      <c r="V118" s="1252"/>
      <c r="W118" s="626"/>
      <c r="X118" s="626"/>
      <c r="Y118" s="626"/>
      <c r="Z118" s="626"/>
      <c r="AA118" s="700"/>
      <c r="AB118" s="1237" t="str">
        <f>CONCATENATE(B118," - ",C118," - Totals")</f>
        <v>Scenario 5 - 0 - Totals</v>
      </c>
      <c r="AC118" s="1238"/>
      <c r="AD118" s="1238"/>
      <c r="AE118" s="1238"/>
      <c r="AF118" s="1238"/>
      <c r="AG118" s="1238"/>
      <c r="AH118" s="1238"/>
      <c r="AI118" s="1239"/>
    </row>
    <row r="119" spans="2:35" ht="45.75" x14ac:dyDescent="0.3">
      <c r="B119" s="627" t="s">
        <v>400</v>
      </c>
      <c r="C119" s="628" t="s">
        <v>539</v>
      </c>
      <c r="D119" s="629" t="s">
        <v>540</v>
      </c>
      <c r="E119" s="630" t="s">
        <v>489</v>
      </c>
      <c r="F119" s="631" t="s">
        <v>667</v>
      </c>
      <c r="G119" s="630" t="s">
        <v>401</v>
      </c>
      <c r="H119" s="632" t="s">
        <v>402</v>
      </c>
      <c r="I119" s="39">
        <v>1</v>
      </c>
      <c r="J119" s="39">
        <v>2</v>
      </c>
      <c r="K119" s="39">
        <v>3</v>
      </c>
      <c r="L119" s="39">
        <v>4</v>
      </c>
      <c r="M119" s="39">
        <v>5</v>
      </c>
      <c r="N119" s="39">
        <v>6</v>
      </c>
      <c r="O119" s="633" t="s">
        <v>397</v>
      </c>
      <c r="P119" s="633" t="s">
        <v>398</v>
      </c>
      <c r="Q119" s="630" t="s">
        <v>538</v>
      </c>
      <c r="R119" s="634" t="s">
        <v>488</v>
      </c>
      <c r="S119" s="635" t="s">
        <v>460</v>
      </c>
      <c r="T119" s="630" t="s">
        <v>461</v>
      </c>
      <c r="U119" s="636" t="s">
        <v>460</v>
      </c>
      <c r="V119" s="637" t="s">
        <v>461</v>
      </c>
      <c r="W119" s="730" t="s">
        <v>481</v>
      </c>
      <c r="X119" s="633" t="s">
        <v>480</v>
      </c>
      <c r="Y119" s="633" t="s">
        <v>482</v>
      </c>
      <c r="Z119" s="731" t="s">
        <v>483</v>
      </c>
      <c r="AA119" s="640" t="s">
        <v>556</v>
      </c>
      <c r="AB119" s="732" t="s">
        <v>546</v>
      </c>
      <c r="AC119" s="53" t="s">
        <v>399</v>
      </c>
      <c r="AD119" s="53" t="s">
        <v>484</v>
      </c>
      <c r="AE119" s="53" t="s">
        <v>549</v>
      </c>
      <c r="AF119" s="52" t="s">
        <v>555</v>
      </c>
      <c r="AG119" s="53" t="s">
        <v>399</v>
      </c>
      <c r="AH119" s="53" t="s">
        <v>484</v>
      </c>
      <c r="AI119" s="641" t="s">
        <v>549</v>
      </c>
    </row>
    <row r="120" spans="2:35" ht="15.75" customHeight="1" x14ac:dyDescent="0.25">
      <c r="B120" s="642">
        <v>1</v>
      </c>
      <c r="C120" s="38"/>
      <c r="D120" s="28"/>
      <c r="E120" s="29"/>
      <c r="F120" s="30"/>
      <c r="G120" s="31"/>
      <c r="H120" s="27"/>
      <c r="I120" s="32"/>
      <c r="J120" s="32"/>
      <c r="K120" s="32"/>
      <c r="L120" s="32"/>
      <c r="M120" s="32"/>
      <c r="N120" s="32"/>
      <c r="O120" s="643">
        <f t="shared" ref="O120:O144" si="65">SUM(I120:N120)</f>
        <v>0</v>
      </c>
      <c r="P120" s="644">
        <f t="shared" ref="P120:P144" si="66">+O120/Mg_ton</f>
        <v>0</v>
      </c>
      <c r="Q120" s="729" t="e">
        <f>P120/$P$146</f>
        <v>#DIV/0!</v>
      </c>
      <c r="R120" s="33"/>
      <c r="S120" s="37"/>
      <c r="T120" s="60">
        <f t="shared" ref="T120:T144" si="67">+S120/km_mile</f>
        <v>0</v>
      </c>
      <c r="U120" s="61">
        <f t="shared" ref="U120:U144" si="68">+S120*$U$29</f>
        <v>0</v>
      </c>
      <c r="V120" s="60">
        <f t="shared" ref="V120:V144" si="69">+U120/km_mile</f>
        <v>0</v>
      </c>
      <c r="W120" s="28"/>
      <c r="X120" s="737">
        <f>IF(W120='References Assumptions'!$C$331,'References Assumptions'!$C$335,0)</f>
        <v>0</v>
      </c>
      <c r="Y120" s="646" t="s">
        <v>399</v>
      </c>
      <c r="Z120" s="647">
        <f t="shared" ref="Z120:Z144" si="70">+X120/Mg_ton</f>
        <v>0</v>
      </c>
      <c r="AA120" s="29"/>
      <c r="AB120" s="54" t="s">
        <v>444</v>
      </c>
      <c r="AC120" s="648">
        <f>SUMIF($D$120:$D$144,AB120,$O$120:$O$144)</f>
        <v>0</v>
      </c>
      <c r="AD120" s="648">
        <f>SUMIF($D$120:$D$144,AB120,$P$120:$P$144)</f>
        <v>0</v>
      </c>
      <c r="AE120" s="50">
        <f>AD120*(Mean_solids)</f>
        <v>0</v>
      </c>
      <c r="AF120" s="56" t="s">
        <v>503</v>
      </c>
      <c r="AG120" s="648">
        <f>SUMIFS($O$120:$O$144,$D$120:$D$144,AB120,$E$120:$E$144,AF120)</f>
        <v>0</v>
      </c>
      <c r="AH120" s="648">
        <f t="shared" ref="AH120:AH126" si="71">SUMIFS($P$120:$P$144,$D$120:$D$144,AB120,$E$120:$E$144,AF120)</f>
        <v>0</v>
      </c>
      <c r="AI120" s="49">
        <f t="shared" ref="AI120:AI127" si="72">AH120*(Mean_solids)</f>
        <v>0</v>
      </c>
    </row>
    <row r="121" spans="2:35" ht="15.75" customHeight="1" x14ac:dyDescent="0.25">
      <c r="B121" s="642">
        <v>2</v>
      </c>
      <c r="C121" s="38"/>
      <c r="D121" s="28"/>
      <c r="E121" s="29"/>
      <c r="F121" s="30"/>
      <c r="G121" s="31"/>
      <c r="H121" s="27"/>
      <c r="I121" s="32"/>
      <c r="J121" s="36"/>
      <c r="K121" s="36"/>
      <c r="L121" s="36"/>
      <c r="M121" s="36"/>
      <c r="N121" s="36"/>
      <c r="O121" s="643">
        <f t="shared" si="65"/>
        <v>0</v>
      </c>
      <c r="P121" s="644">
        <f t="shared" si="66"/>
        <v>0</v>
      </c>
      <c r="Q121" s="729" t="e">
        <f t="shared" ref="Q121:Q144" si="73">P121/$P$146</f>
        <v>#DIV/0!</v>
      </c>
      <c r="R121" s="33"/>
      <c r="S121" s="37"/>
      <c r="T121" s="60">
        <f t="shared" si="67"/>
        <v>0</v>
      </c>
      <c r="U121" s="61">
        <f t="shared" si="68"/>
        <v>0</v>
      </c>
      <c r="V121" s="60">
        <f t="shared" si="69"/>
        <v>0</v>
      </c>
      <c r="W121" s="28"/>
      <c r="X121" s="737">
        <f>IF(W121='References Assumptions'!$C$331,'References Assumptions'!$C$335,0)</f>
        <v>0</v>
      </c>
      <c r="Y121" s="646" t="s">
        <v>399</v>
      </c>
      <c r="Z121" s="647">
        <f t="shared" si="70"/>
        <v>0</v>
      </c>
      <c r="AA121" s="29"/>
      <c r="AB121" s="54" t="s">
        <v>444</v>
      </c>
      <c r="AC121" s="1242"/>
      <c r="AD121" s="1243"/>
      <c r="AE121" s="1244"/>
      <c r="AF121" s="56" t="s">
        <v>504</v>
      </c>
      <c r="AG121" s="648">
        <f t="shared" ref="AG121:AG126" si="74">SUMIFS($O$120:$O$144,$D$120:$D$144,AB121,$E$120:$E$144,AF121)</f>
        <v>0</v>
      </c>
      <c r="AH121" s="648">
        <f t="shared" si="71"/>
        <v>0</v>
      </c>
      <c r="AI121" s="49">
        <f t="shared" si="72"/>
        <v>0</v>
      </c>
    </row>
    <row r="122" spans="2:35" ht="15.75" customHeight="1" x14ac:dyDescent="0.25">
      <c r="B122" s="642">
        <v>3</v>
      </c>
      <c r="C122" s="38"/>
      <c r="D122" s="28"/>
      <c r="E122" s="29"/>
      <c r="F122" s="30"/>
      <c r="G122" s="31"/>
      <c r="H122" s="27"/>
      <c r="I122" s="32"/>
      <c r="J122" s="36"/>
      <c r="K122" s="36"/>
      <c r="L122" s="36"/>
      <c r="M122" s="36"/>
      <c r="N122" s="36"/>
      <c r="O122" s="643">
        <f t="shared" si="65"/>
        <v>0</v>
      </c>
      <c r="P122" s="644">
        <f t="shared" si="66"/>
        <v>0</v>
      </c>
      <c r="Q122" s="729" t="e">
        <f t="shared" si="73"/>
        <v>#DIV/0!</v>
      </c>
      <c r="R122" s="33"/>
      <c r="S122" s="37"/>
      <c r="T122" s="60">
        <f t="shared" si="67"/>
        <v>0</v>
      </c>
      <c r="U122" s="61">
        <f t="shared" si="68"/>
        <v>0</v>
      </c>
      <c r="V122" s="60">
        <f t="shared" si="69"/>
        <v>0</v>
      </c>
      <c r="W122" s="28"/>
      <c r="X122" s="737">
        <f>IF(W122='References Assumptions'!$C$331,'References Assumptions'!$C$335,0)</f>
        <v>0</v>
      </c>
      <c r="Y122" s="646" t="s">
        <v>399</v>
      </c>
      <c r="Z122" s="647">
        <f t="shared" si="70"/>
        <v>0</v>
      </c>
      <c r="AA122" s="29"/>
      <c r="AB122" s="54" t="s">
        <v>444</v>
      </c>
      <c r="AC122" s="1245"/>
      <c r="AD122" s="1246"/>
      <c r="AE122" s="1247"/>
      <c r="AF122" s="56" t="s">
        <v>505</v>
      </c>
      <c r="AG122" s="648">
        <f t="shared" si="74"/>
        <v>0</v>
      </c>
      <c r="AH122" s="648">
        <f t="shared" si="71"/>
        <v>0</v>
      </c>
      <c r="AI122" s="49">
        <f t="shared" si="72"/>
        <v>0</v>
      </c>
    </row>
    <row r="123" spans="2:35" ht="15.75" customHeight="1" x14ac:dyDescent="0.25">
      <c r="B123" s="642">
        <v>4</v>
      </c>
      <c r="C123" s="38"/>
      <c r="D123" s="28"/>
      <c r="E123" s="29"/>
      <c r="F123" s="30"/>
      <c r="G123" s="31"/>
      <c r="H123" s="27"/>
      <c r="I123" s="32"/>
      <c r="J123" s="36"/>
      <c r="K123" s="36"/>
      <c r="L123" s="36"/>
      <c r="M123" s="36"/>
      <c r="N123" s="36"/>
      <c r="O123" s="643">
        <f t="shared" si="65"/>
        <v>0</v>
      </c>
      <c r="P123" s="644">
        <f t="shared" si="66"/>
        <v>0</v>
      </c>
      <c r="Q123" s="729" t="e">
        <f t="shared" si="73"/>
        <v>#DIV/0!</v>
      </c>
      <c r="R123" s="33"/>
      <c r="S123" s="37"/>
      <c r="T123" s="60">
        <f t="shared" si="67"/>
        <v>0</v>
      </c>
      <c r="U123" s="61">
        <f t="shared" si="68"/>
        <v>0</v>
      </c>
      <c r="V123" s="60">
        <f t="shared" si="69"/>
        <v>0</v>
      </c>
      <c r="W123" s="28"/>
      <c r="X123" s="737">
        <f>IF(W123='References Assumptions'!$C$331,'References Assumptions'!$C$335,0)</f>
        <v>0</v>
      </c>
      <c r="Y123" s="646" t="s">
        <v>399</v>
      </c>
      <c r="Z123" s="647">
        <f t="shared" si="70"/>
        <v>0</v>
      </c>
      <c r="AA123" s="29"/>
      <c r="AB123" s="54" t="s">
        <v>444</v>
      </c>
      <c r="AC123" s="1248"/>
      <c r="AD123" s="1249"/>
      <c r="AE123" s="1250"/>
      <c r="AF123" s="56" t="s">
        <v>547</v>
      </c>
      <c r="AG123" s="648">
        <f t="shared" si="74"/>
        <v>0</v>
      </c>
      <c r="AH123" s="648">
        <f t="shared" si="71"/>
        <v>0</v>
      </c>
      <c r="AI123" s="49">
        <f t="shared" si="72"/>
        <v>0</v>
      </c>
    </row>
    <row r="124" spans="2:35" ht="15.75" customHeight="1" x14ac:dyDescent="0.25">
      <c r="B124" s="642">
        <v>5</v>
      </c>
      <c r="C124" s="38"/>
      <c r="D124" s="28"/>
      <c r="E124" s="29"/>
      <c r="F124" s="30"/>
      <c r="G124" s="31"/>
      <c r="H124" s="27"/>
      <c r="I124" s="32"/>
      <c r="J124" s="36"/>
      <c r="K124" s="36"/>
      <c r="L124" s="36"/>
      <c r="M124" s="36"/>
      <c r="N124" s="36"/>
      <c r="O124" s="643">
        <f t="shared" si="65"/>
        <v>0</v>
      </c>
      <c r="P124" s="644">
        <f t="shared" si="66"/>
        <v>0</v>
      </c>
      <c r="Q124" s="729" t="e">
        <f t="shared" si="73"/>
        <v>#DIV/0!</v>
      </c>
      <c r="R124" s="33"/>
      <c r="S124" s="37"/>
      <c r="T124" s="60">
        <f t="shared" si="67"/>
        <v>0</v>
      </c>
      <c r="U124" s="61">
        <f t="shared" si="68"/>
        <v>0</v>
      </c>
      <c r="V124" s="60">
        <f t="shared" si="69"/>
        <v>0</v>
      </c>
      <c r="W124" s="28"/>
      <c r="X124" s="737">
        <f>IF(W124='References Assumptions'!$C$331,'References Assumptions'!$C$335,0)</f>
        <v>0</v>
      </c>
      <c r="Y124" s="646" t="s">
        <v>399</v>
      </c>
      <c r="Z124" s="647">
        <f t="shared" si="70"/>
        <v>0</v>
      </c>
      <c r="AA124" s="29"/>
      <c r="AB124" s="54" t="s">
        <v>250</v>
      </c>
      <c r="AC124" s="648">
        <f>SUMIF($D$120:$D$144,AB124,$O$120:$O$144)</f>
        <v>0</v>
      </c>
      <c r="AD124" s="648">
        <f>SUMIF($D$120:$D$144,AB124,$P$120:$P$144)</f>
        <v>0</v>
      </c>
      <c r="AE124" s="50">
        <f>AD124*(Mean_solids)</f>
        <v>0</v>
      </c>
      <c r="AF124" s="56" t="s">
        <v>487</v>
      </c>
      <c r="AG124" s="648">
        <f>SUMIFS($O$120:$O$144,$D$120:$D$144,AB124,$E$120:$E$144,AF124)</f>
        <v>0</v>
      </c>
      <c r="AH124" s="648">
        <f t="shared" si="71"/>
        <v>0</v>
      </c>
      <c r="AI124" s="49">
        <f t="shared" si="72"/>
        <v>0</v>
      </c>
    </row>
    <row r="125" spans="2:35" ht="15.75" customHeight="1" x14ac:dyDescent="0.25">
      <c r="B125" s="642">
        <v>6</v>
      </c>
      <c r="C125" s="38"/>
      <c r="D125" s="28"/>
      <c r="E125" s="29"/>
      <c r="F125" s="30"/>
      <c r="G125" s="31"/>
      <c r="H125" s="27"/>
      <c r="I125" s="32"/>
      <c r="J125" s="36"/>
      <c r="K125" s="36"/>
      <c r="L125" s="36"/>
      <c r="M125" s="36"/>
      <c r="N125" s="36"/>
      <c r="O125" s="643">
        <f t="shared" si="65"/>
        <v>0</v>
      </c>
      <c r="P125" s="644">
        <f t="shared" si="66"/>
        <v>0</v>
      </c>
      <c r="Q125" s="729" t="e">
        <f t="shared" si="73"/>
        <v>#DIV/0!</v>
      </c>
      <c r="R125" s="33"/>
      <c r="S125" s="37"/>
      <c r="T125" s="60">
        <f t="shared" si="67"/>
        <v>0</v>
      </c>
      <c r="U125" s="61">
        <f t="shared" si="68"/>
        <v>0</v>
      </c>
      <c r="V125" s="60">
        <f t="shared" si="69"/>
        <v>0</v>
      </c>
      <c r="W125" s="28"/>
      <c r="X125" s="737">
        <f>IF(W125='References Assumptions'!$C$331,'References Assumptions'!$C$335,0)</f>
        <v>0</v>
      </c>
      <c r="Y125" s="646" t="s">
        <v>399</v>
      </c>
      <c r="Z125" s="647">
        <f t="shared" si="70"/>
        <v>0</v>
      </c>
      <c r="AA125" s="29"/>
      <c r="AB125" s="54" t="s">
        <v>250</v>
      </c>
      <c r="AC125" s="1242"/>
      <c r="AD125" s="1243"/>
      <c r="AE125" s="1244"/>
      <c r="AF125" s="56" t="s">
        <v>90</v>
      </c>
      <c r="AG125" s="648">
        <f>SUMIFS($O$120:$O$144,$D$120:$D$144,AB125,$E$120:$E$144,AF125)</f>
        <v>0</v>
      </c>
      <c r="AH125" s="648">
        <f t="shared" si="71"/>
        <v>0</v>
      </c>
      <c r="AI125" s="49">
        <f t="shared" si="72"/>
        <v>0</v>
      </c>
    </row>
    <row r="126" spans="2:35" ht="15.75" customHeight="1" x14ac:dyDescent="0.25">
      <c r="B126" s="642">
        <v>7</v>
      </c>
      <c r="C126" s="38"/>
      <c r="D126" s="28"/>
      <c r="E126" s="29"/>
      <c r="F126" s="30"/>
      <c r="G126" s="31"/>
      <c r="H126" s="27"/>
      <c r="I126" s="32"/>
      <c r="J126" s="36"/>
      <c r="K126" s="36"/>
      <c r="L126" s="36"/>
      <c r="M126" s="36"/>
      <c r="N126" s="36"/>
      <c r="O126" s="643">
        <f t="shared" si="65"/>
        <v>0</v>
      </c>
      <c r="P126" s="644">
        <f t="shared" si="66"/>
        <v>0</v>
      </c>
      <c r="Q126" s="729" t="e">
        <f t="shared" si="73"/>
        <v>#DIV/0!</v>
      </c>
      <c r="R126" s="33"/>
      <c r="S126" s="37"/>
      <c r="T126" s="60">
        <f t="shared" si="67"/>
        <v>0</v>
      </c>
      <c r="U126" s="61">
        <f t="shared" si="68"/>
        <v>0</v>
      </c>
      <c r="V126" s="60">
        <f t="shared" si="69"/>
        <v>0</v>
      </c>
      <c r="W126" s="28"/>
      <c r="X126" s="737">
        <f>IF(W126='References Assumptions'!$C$331,'References Assumptions'!$C$335,0)</f>
        <v>0</v>
      </c>
      <c r="Y126" s="646" t="s">
        <v>399</v>
      </c>
      <c r="Z126" s="647">
        <f t="shared" si="70"/>
        <v>0</v>
      </c>
      <c r="AA126" s="29"/>
      <c r="AB126" s="54" t="s">
        <v>250</v>
      </c>
      <c r="AC126" s="1248"/>
      <c r="AD126" s="1249"/>
      <c r="AE126" s="1250"/>
      <c r="AF126" s="56" t="s">
        <v>176</v>
      </c>
      <c r="AG126" s="648">
        <f t="shared" si="74"/>
        <v>0</v>
      </c>
      <c r="AH126" s="648">
        <f t="shared" si="71"/>
        <v>0</v>
      </c>
      <c r="AI126" s="49">
        <f t="shared" si="72"/>
        <v>0</v>
      </c>
    </row>
    <row r="127" spans="2:35" ht="15.75" customHeight="1" x14ac:dyDescent="0.25">
      <c r="B127" s="642">
        <v>8</v>
      </c>
      <c r="C127" s="38"/>
      <c r="D127" s="28"/>
      <c r="E127" s="29"/>
      <c r="F127" s="30"/>
      <c r="G127" s="31"/>
      <c r="H127" s="27"/>
      <c r="I127" s="32"/>
      <c r="J127" s="36"/>
      <c r="K127" s="36"/>
      <c r="L127" s="36"/>
      <c r="M127" s="36"/>
      <c r="N127" s="36"/>
      <c r="O127" s="643">
        <f t="shared" si="65"/>
        <v>0</v>
      </c>
      <c r="P127" s="644">
        <f t="shared" si="66"/>
        <v>0</v>
      </c>
      <c r="Q127" s="729" t="e">
        <f t="shared" si="73"/>
        <v>#DIV/0!</v>
      </c>
      <c r="R127" s="33"/>
      <c r="S127" s="37"/>
      <c r="T127" s="60">
        <f t="shared" si="67"/>
        <v>0</v>
      </c>
      <c r="U127" s="61">
        <f t="shared" si="68"/>
        <v>0</v>
      </c>
      <c r="V127" s="60">
        <f t="shared" si="69"/>
        <v>0</v>
      </c>
      <c r="W127" s="28"/>
      <c r="X127" s="737">
        <f>IF(W127='References Assumptions'!$C$331,'References Assumptions'!$C$335,0)</f>
        <v>0</v>
      </c>
      <c r="Y127" s="646" t="s">
        <v>399</v>
      </c>
      <c r="Z127" s="647">
        <f t="shared" si="70"/>
        <v>0</v>
      </c>
      <c r="AA127" s="29"/>
      <c r="AB127" s="54" t="s">
        <v>548</v>
      </c>
      <c r="AC127" s="648">
        <f>SUMIF($D$120:$D$144,AB127,$O$120:$O$144)</f>
        <v>0</v>
      </c>
      <c r="AD127" s="648">
        <f>SUMIF($D$120:$D$144,AB127,$P$120:$P$144)</f>
        <v>0</v>
      </c>
      <c r="AE127" s="50">
        <f>AD127*(Mean_solids)</f>
        <v>0</v>
      </c>
      <c r="AF127" s="56" t="s">
        <v>592</v>
      </c>
      <c r="AG127" s="648">
        <f>SUMIFS($O$120:$O$144,$D$120:$D$144,AB127,$E$120:$E$144,'References Assumptions'!$C$352)</f>
        <v>0</v>
      </c>
      <c r="AH127" s="648">
        <f>SUMIFS($P$120:$P$144,$D$120:$D$144,AB127,$E$120:$E$144,'References Assumptions'!$C$352)</f>
        <v>0</v>
      </c>
      <c r="AI127" s="49">
        <f t="shared" si="72"/>
        <v>0</v>
      </c>
    </row>
    <row r="128" spans="2:35" ht="15.75" customHeight="1" x14ac:dyDescent="0.25">
      <c r="B128" s="642">
        <v>9</v>
      </c>
      <c r="C128" s="38"/>
      <c r="D128" s="28"/>
      <c r="E128" s="29"/>
      <c r="F128" s="30"/>
      <c r="G128" s="31"/>
      <c r="H128" s="27"/>
      <c r="I128" s="32"/>
      <c r="J128" s="36"/>
      <c r="K128" s="36"/>
      <c r="L128" s="36"/>
      <c r="M128" s="36"/>
      <c r="N128" s="36"/>
      <c r="O128" s="643">
        <f t="shared" si="65"/>
        <v>0</v>
      </c>
      <c r="P128" s="644">
        <f t="shared" si="66"/>
        <v>0</v>
      </c>
      <c r="Q128" s="729" t="e">
        <f t="shared" si="73"/>
        <v>#DIV/0!</v>
      </c>
      <c r="R128" s="33"/>
      <c r="S128" s="37"/>
      <c r="T128" s="60">
        <f t="shared" si="67"/>
        <v>0</v>
      </c>
      <c r="U128" s="61">
        <f t="shared" si="68"/>
        <v>0</v>
      </c>
      <c r="V128" s="60">
        <f t="shared" si="69"/>
        <v>0</v>
      </c>
      <c r="W128" s="28"/>
      <c r="X128" s="737">
        <f>IF(W128='References Assumptions'!$C$331,'References Assumptions'!$C$335,0)</f>
        <v>0</v>
      </c>
      <c r="Y128" s="646" t="s">
        <v>399</v>
      </c>
      <c r="Z128" s="647">
        <f t="shared" si="70"/>
        <v>0</v>
      </c>
      <c r="AA128" s="29"/>
      <c r="AB128" s="54" t="s">
        <v>548</v>
      </c>
      <c r="AC128" s="1240"/>
      <c r="AD128" s="1240"/>
      <c r="AE128" s="1240"/>
      <c r="AF128" s="56" t="s">
        <v>593</v>
      </c>
      <c r="AG128" s="648" t="e">
        <f>SUMIFS($O$120:$O$144,$D$120:$D$144,AB128,$E$120:$E$144,'References Assumptions'!$C$352)*'Thermal Drying'!$J$7/percent_solids_after_thermal_drying</f>
        <v>#DIV/0!</v>
      </c>
      <c r="AH128" s="648" t="e">
        <f>SUMIFS($P$120:$P$144,$D$120:$D$144,AB128,$E$120:$E$144,'References Assumptions'!$C$352)*'Thermal Drying'!$J$7/percent_solids_after_thermal_drying</f>
        <v>#DIV/0!</v>
      </c>
      <c r="AI128" s="49" t="e">
        <f>+AH128*percent_solids_after_thermal_drying</f>
        <v>#DIV/0!</v>
      </c>
    </row>
    <row r="129" spans="2:35" ht="15.75" customHeight="1" x14ac:dyDescent="0.25">
      <c r="B129" s="642">
        <v>10</v>
      </c>
      <c r="C129" s="38"/>
      <c r="D129" s="28"/>
      <c r="E129" s="29"/>
      <c r="F129" s="30"/>
      <c r="G129" s="31"/>
      <c r="H129" s="27"/>
      <c r="I129" s="32"/>
      <c r="J129" s="36"/>
      <c r="K129" s="36"/>
      <c r="L129" s="36"/>
      <c r="M129" s="36"/>
      <c r="N129" s="36"/>
      <c r="O129" s="643">
        <f t="shared" si="65"/>
        <v>0</v>
      </c>
      <c r="P129" s="644">
        <f t="shared" si="66"/>
        <v>0</v>
      </c>
      <c r="Q129" s="729" t="e">
        <f t="shared" si="73"/>
        <v>#DIV/0!</v>
      </c>
      <c r="R129" s="33"/>
      <c r="S129" s="37"/>
      <c r="T129" s="60">
        <f t="shared" si="67"/>
        <v>0</v>
      </c>
      <c r="U129" s="61">
        <f t="shared" si="68"/>
        <v>0</v>
      </c>
      <c r="V129" s="60">
        <f t="shared" si="69"/>
        <v>0</v>
      </c>
      <c r="W129" s="28"/>
      <c r="X129" s="737">
        <f>IF(W129='References Assumptions'!$C$331,'References Assumptions'!$C$335,0)</f>
        <v>0</v>
      </c>
      <c r="Y129" s="646" t="s">
        <v>399</v>
      </c>
      <c r="Z129" s="647">
        <f t="shared" si="70"/>
        <v>0</v>
      </c>
      <c r="AA129" s="29"/>
      <c r="AB129" s="54" t="s">
        <v>548</v>
      </c>
      <c r="AC129" s="1198"/>
      <c r="AD129" s="1198"/>
      <c r="AE129" s="1198"/>
      <c r="AF129" s="56" t="s">
        <v>608</v>
      </c>
      <c r="AG129" s="648">
        <f t="shared" ref="AG129:AG130" si="75">SUMIFS($O$120:$O$144,$D$120:$D$144,AB129,$E$120:$E$144,AF129)</f>
        <v>0</v>
      </c>
      <c r="AH129" s="648">
        <f t="shared" ref="AH129:AH130" si="76">SUMIFS($P$120:$P$144,$D$120:$D$144,AB129,$E$120:$E$144,AF129)</f>
        <v>0</v>
      </c>
      <c r="AI129" s="49">
        <f t="shared" ref="AI129:AI130" si="77">AH129*(Mean_solids)</f>
        <v>0</v>
      </c>
    </row>
    <row r="130" spans="2:35" ht="15.75" customHeight="1" x14ac:dyDescent="0.25">
      <c r="B130" s="642">
        <v>11</v>
      </c>
      <c r="C130" s="38"/>
      <c r="D130" s="28"/>
      <c r="E130" s="29"/>
      <c r="F130" s="30"/>
      <c r="G130" s="31"/>
      <c r="H130" s="27"/>
      <c r="I130" s="32"/>
      <c r="J130" s="36"/>
      <c r="K130" s="36"/>
      <c r="L130" s="36"/>
      <c r="M130" s="36"/>
      <c r="N130" s="36"/>
      <c r="O130" s="643">
        <f t="shared" si="65"/>
        <v>0</v>
      </c>
      <c r="P130" s="644">
        <f t="shared" si="66"/>
        <v>0</v>
      </c>
      <c r="Q130" s="729" t="e">
        <f t="shared" si="73"/>
        <v>#DIV/0!</v>
      </c>
      <c r="R130" s="33"/>
      <c r="S130" s="37"/>
      <c r="T130" s="60">
        <f t="shared" si="67"/>
        <v>0</v>
      </c>
      <c r="U130" s="61">
        <f t="shared" si="68"/>
        <v>0</v>
      </c>
      <c r="V130" s="60">
        <f t="shared" si="69"/>
        <v>0</v>
      </c>
      <c r="W130" s="28"/>
      <c r="X130" s="737">
        <f>IF(W130='References Assumptions'!$C$331,'References Assumptions'!$C$335,0)</f>
        <v>0</v>
      </c>
      <c r="Y130" s="646" t="s">
        <v>399</v>
      </c>
      <c r="Z130" s="647">
        <f t="shared" si="70"/>
        <v>0</v>
      </c>
      <c r="AA130" s="29"/>
      <c r="AB130" s="54" t="s">
        <v>548</v>
      </c>
      <c r="AC130" s="1198"/>
      <c r="AD130" s="1198"/>
      <c r="AE130" s="1198"/>
      <c r="AF130" s="56" t="s">
        <v>609</v>
      </c>
      <c r="AG130" s="648">
        <f t="shared" si="75"/>
        <v>0</v>
      </c>
      <c r="AH130" s="648">
        <f t="shared" si="76"/>
        <v>0</v>
      </c>
      <c r="AI130" s="49">
        <f t="shared" si="77"/>
        <v>0</v>
      </c>
    </row>
    <row r="131" spans="2:35" ht="15.75" customHeight="1" x14ac:dyDescent="0.25">
      <c r="B131" s="642">
        <v>12</v>
      </c>
      <c r="C131" s="38"/>
      <c r="D131" s="28"/>
      <c r="E131" s="29"/>
      <c r="F131" s="30"/>
      <c r="G131" s="31"/>
      <c r="H131" s="27"/>
      <c r="I131" s="32"/>
      <c r="J131" s="36"/>
      <c r="K131" s="36"/>
      <c r="L131" s="36"/>
      <c r="M131" s="36"/>
      <c r="N131" s="36"/>
      <c r="O131" s="643">
        <f t="shared" si="65"/>
        <v>0</v>
      </c>
      <c r="P131" s="644">
        <f t="shared" si="66"/>
        <v>0</v>
      </c>
      <c r="Q131" s="729" t="e">
        <f t="shared" si="73"/>
        <v>#DIV/0!</v>
      </c>
      <c r="R131" s="33"/>
      <c r="S131" s="37"/>
      <c r="T131" s="60">
        <f t="shared" si="67"/>
        <v>0</v>
      </c>
      <c r="U131" s="61">
        <f t="shared" si="68"/>
        <v>0</v>
      </c>
      <c r="V131" s="60">
        <f t="shared" si="69"/>
        <v>0</v>
      </c>
      <c r="W131" s="28"/>
      <c r="X131" s="737">
        <f>IF(W131='References Assumptions'!$C$331,'References Assumptions'!$C$335,0)</f>
        <v>0</v>
      </c>
      <c r="Y131" s="646" t="s">
        <v>399</v>
      </c>
      <c r="Z131" s="647">
        <f t="shared" si="70"/>
        <v>0</v>
      </c>
      <c r="AA131" s="29"/>
      <c r="AB131" s="54" t="s">
        <v>548</v>
      </c>
      <c r="AC131" s="1241"/>
      <c r="AD131" s="1241"/>
      <c r="AE131" s="1241"/>
      <c r="AF131" s="1190" t="s">
        <v>987</v>
      </c>
      <c r="AG131" s="648" t="e">
        <f>(SUMIFS($O$120:$O$144,$D$120:$D$144,AB131,$E$120:$E$144,AF131)*(Percent_Solids/percent_solids_after_biodrying)*(percent_solids_after_biodrying/Percent_Solids_After_Pyrolysis))*(1-Pyrolysis!$J$15)</f>
        <v>#DIV/0!</v>
      </c>
      <c r="AH131" s="648" t="e">
        <f>(SUMIFS($P$120:$P$144,$D$120:$D$144,AB131,$E$120:$E$144,AF131)*(Percent_Solids/percent_solids_after_biodrying)*(percent_solids_after_biodrying/Percent_Solids_After_Pyrolysis))*(1-Pyrolysis!$J$15)</f>
        <v>#DIV/0!</v>
      </c>
      <c r="AI131" s="598" t="e">
        <f>AH131*Percent_Solids_After_Pyrolysis</f>
        <v>#DIV/0!</v>
      </c>
    </row>
    <row r="132" spans="2:35" ht="15.75" customHeight="1" x14ac:dyDescent="0.25">
      <c r="B132" s="642">
        <v>13</v>
      </c>
      <c r="C132" s="38"/>
      <c r="D132" s="28"/>
      <c r="E132" s="29"/>
      <c r="F132" s="30"/>
      <c r="G132" s="31"/>
      <c r="H132" s="27"/>
      <c r="I132" s="32"/>
      <c r="J132" s="36"/>
      <c r="K132" s="36"/>
      <c r="L132" s="36"/>
      <c r="M132" s="36"/>
      <c r="N132" s="36"/>
      <c r="O132" s="643">
        <f t="shared" si="65"/>
        <v>0</v>
      </c>
      <c r="P132" s="644">
        <f t="shared" si="66"/>
        <v>0</v>
      </c>
      <c r="Q132" s="729" t="e">
        <f t="shared" si="73"/>
        <v>#DIV/0!</v>
      </c>
      <c r="R132" s="33"/>
      <c r="S132" s="37"/>
      <c r="T132" s="60">
        <f t="shared" si="67"/>
        <v>0</v>
      </c>
      <c r="U132" s="61">
        <f t="shared" si="68"/>
        <v>0</v>
      </c>
      <c r="V132" s="60">
        <f t="shared" si="69"/>
        <v>0</v>
      </c>
      <c r="W132" s="28"/>
      <c r="X132" s="737">
        <f>IF(W132='References Assumptions'!$C$331,'References Assumptions'!$C$335,0)</f>
        <v>0</v>
      </c>
      <c r="Y132" s="646" t="s">
        <v>399</v>
      </c>
      <c r="Z132" s="647">
        <f t="shared" si="70"/>
        <v>0</v>
      </c>
      <c r="AA132" s="29"/>
      <c r="AB132" s="54" t="s">
        <v>222</v>
      </c>
      <c r="AC132" s="648">
        <f>SUMIF($D$120:$D$144,AB132,$O$120:$O$144)</f>
        <v>0</v>
      </c>
      <c r="AD132" s="648">
        <f>SUMIF($D$120:$D$144,AB132,$P$120:$P$144)</f>
        <v>0</v>
      </c>
      <c r="AE132" s="50">
        <f>AD132*(Mean_solids)</f>
        <v>0</v>
      </c>
      <c r="AF132" s="56" t="s">
        <v>496</v>
      </c>
      <c r="AG132" s="648">
        <f>SUMIFS($O$120:$O$144,$D$120:$D$144,AB132,$E$120:$E$144,AF132)</f>
        <v>0</v>
      </c>
      <c r="AH132" s="648">
        <f>SUMIFS($P$120:$P$144,$D$120:$D$144,AB132,$E$120:$E$144,AF132)</f>
        <v>0</v>
      </c>
      <c r="AI132" s="49">
        <f>AH132*(Mean_solids)</f>
        <v>0</v>
      </c>
    </row>
    <row r="133" spans="2:35" ht="15.75" customHeight="1" x14ac:dyDescent="0.25">
      <c r="B133" s="642">
        <v>14</v>
      </c>
      <c r="C133" s="38"/>
      <c r="D133" s="28"/>
      <c r="E133" s="29"/>
      <c r="F133" s="30"/>
      <c r="G133" s="31"/>
      <c r="H133" s="27"/>
      <c r="I133" s="32"/>
      <c r="J133" s="36"/>
      <c r="K133" s="36"/>
      <c r="L133" s="36"/>
      <c r="M133" s="36"/>
      <c r="N133" s="36"/>
      <c r="O133" s="643">
        <f t="shared" si="65"/>
        <v>0</v>
      </c>
      <c r="P133" s="644">
        <f t="shared" si="66"/>
        <v>0</v>
      </c>
      <c r="Q133" s="729" t="e">
        <f t="shared" si="73"/>
        <v>#DIV/0!</v>
      </c>
      <c r="R133" s="33"/>
      <c r="S133" s="37"/>
      <c r="T133" s="60">
        <f t="shared" si="67"/>
        <v>0</v>
      </c>
      <c r="U133" s="61">
        <f t="shared" si="68"/>
        <v>0</v>
      </c>
      <c r="V133" s="60">
        <f t="shared" si="69"/>
        <v>0</v>
      </c>
      <c r="W133" s="28"/>
      <c r="X133" s="737">
        <f>IF(W133='References Assumptions'!$C$331,'References Assumptions'!$C$335,0)</f>
        <v>0</v>
      </c>
      <c r="Y133" s="646" t="s">
        <v>399</v>
      </c>
      <c r="Z133" s="647">
        <f t="shared" si="70"/>
        <v>0</v>
      </c>
      <c r="AA133" s="29"/>
      <c r="AB133" s="54" t="s">
        <v>222</v>
      </c>
      <c r="AC133" s="1242"/>
      <c r="AD133" s="1243"/>
      <c r="AE133" s="1244"/>
      <c r="AF133" s="56" t="s">
        <v>497</v>
      </c>
      <c r="AG133" s="648">
        <f>SUMIFS($O$120:$O$144,$D$120:$D$144,AB133,$E$120:$E$144,AF133)</f>
        <v>0</v>
      </c>
      <c r="AH133" s="648">
        <f>SUMIFS($P$120:$P$144,$D$120:$D$144,AB133,$E$120:$E$144,AF133)</f>
        <v>0</v>
      </c>
      <c r="AI133" s="49">
        <f>AH133*(Mean_solids)</f>
        <v>0</v>
      </c>
    </row>
    <row r="134" spans="2:35" ht="15.75" customHeight="1" x14ac:dyDescent="0.25">
      <c r="B134" s="642">
        <v>15</v>
      </c>
      <c r="C134" s="38"/>
      <c r="D134" s="28"/>
      <c r="E134" s="29"/>
      <c r="F134" s="30"/>
      <c r="G134" s="31"/>
      <c r="H134" s="27"/>
      <c r="I134" s="32"/>
      <c r="J134" s="36"/>
      <c r="K134" s="36"/>
      <c r="L134" s="36"/>
      <c r="M134" s="36"/>
      <c r="N134" s="36"/>
      <c r="O134" s="643">
        <f t="shared" si="65"/>
        <v>0</v>
      </c>
      <c r="P134" s="644">
        <f t="shared" si="66"/>
        <v>0</v>
      </c>
      <c r="Q134" s="729" t="e">
        <f t="shared" si="73"/>
        <v>#DIV/0!</v>
      </c>
      <c r="R134" s="33"/>
      <c r="S134" s="37"/>
      <c r="T134" s="60">
        <f t="shared" si="67"/>
        <v>0</v>
      </c>
      <c r="U134" s="61">
        <f t="shared" si="68"/>
        <v>0</v>
      </c>
      <c r="V134" s="60">
        <f t="shared" si="69"/>
        <v>0</v>
      </c>
      <c r="W134" s="28"/>
      <c r="X134" s="737">
        <f>IF(W134='References Assumptions'!$C$331,'References Assumptions'!$C$335,0)</f>
        <v>0</v>
      </c>
      <c r="Y134" s="646" t="s">
        <v>399</v>
      </c>
      <c r="Z134" s="647">
        <f t="shared" si="70"/>
        <v>0</v>
      </c>
      <c r="AA134" s="29"/>
      <c r="AB134" s="54" t="s">
        <v>222</v>
      </c>
      <c r="AC134" s="1245"/>
      <c r="AD134" s="1246"/>
      <c r="AE134" s="1247"/>
      <c r="AF134" s="56" t="s">
        <v>544</v>
      </c>
      <c r="AG134" s="648">
        <f>SUMIFS($O$120:$O$144,$D$120:$D$144,AB134,$E$120:$E$144,AF134)</f>
        <v>0</v>
      </c>
      <c r="AH134" s="648">
        <f>SUMIFS($P$120:$P$144,$D$120:$D$144,AB134,$E$120:$E$144,AF134)</f>
        <v>0</v>
      </c>
      <c r="AI134" s="49">
        <f>AH134*(Mean_solids)</f>
        <v>0</v>
      </c>
    </row>
    <row r="135" spans="2:35" ht="15.75" customHeight="1" thickBot="1" x14ac:dyDescent="0.3">
      <c r="B135" s="642">
        <v>16</v>
      </c>
      <c r="C135" s="38"/>
      <c r="D135" s="28"/>
      <c r="E135" s="29"/>
      <c r="F135" s="30"/>
      <c r="G135" s="31"/>
      <c r="H135" s="27"/>
      <c r="I135" s="32"/>
      <c r="J135" s="36"/>
      <c r="K135" s="36"/>
      <c r="L135" s="36"/>
      <c r="M135" s="36"/>
      <c r="N135" s="36"/>
      <c r="O135" s="643">
        <f t="shared" si="65"/>
        <v>0</v>
      </c>
      <c r="P135" s="644">
        <f t="shared" si="66"/>
        <v>0</v>
      </c>
      <c r="Q135" s="729" t="e">
        <f t="shared" si="73"/>
        <v>#DIV/0!</v>
      </c>
      <c r="R135" s="33"/>
      <c r="S135" s="37"/>
      <c r="T135" s="60">
        <f t="shared" si="67"/>
        <v>0</v>
      </c>
      <c r="U135" s="61">
        <f t="shared" si="68"/>
        <v>0</v>
      </c>
      <c r="V135" s="60">
        <f t="shared" si="69"/>
        <v>0</v>
      </c>
      <c r="W135" s="28"/>
      <c r="X135" s="737">
        <f>IF(W135='References Assumptions'!$C$331,'References Assumptions'!$C$335,0)</f>
        <v>0</v>
      </c>
      <c r="Y135" s="646" t="s">
        <v>399</v>
      </c>
      <c r="Z135" s="647">
        <f t="shared" si="70"/>
        <v>0</v>
      </c>
      <c r="AA135" s="29"/>
      <c r="AB135" s="709" t="s">
        <v>222</v>
      </c>
      <c r="AC135" s="1263"/>
      <c r="AD135" s="1264"/>
      <c r="AE135" s="1265"/>
      <c r="AF135" s="608" t="s">
        <v>545</v>
      </c>
      <c r="AG135" s="710">
        <f>SUMIFS($O$120:$O$144,$D$120:$D$144,AB135,$E$120:$E$144,AF135)</f>
        <v>0</v>
      </c>
      <c r="AH135" s="710">
        <f>SUMIFS($P$120:$P$144,$D$120:$D$144,AB135,$E$120:$E$144,AF135)</f>
        <v>0</v>
      </c>
      <c r="AI135" s="49">
        <f>AH135*(Mean_solids)</f>
        <v>0</v>
      </c>
    </row>
    <row r="136" spans="2:35" ht="15.75" customHeight="1" x14ac:dyDescent="0.25">
      <c r="B136" s="642">
        <v>17</v>
      </c>
      <c r="C136" s="38"/>
      <c r="D136" s="28"/>
      <c r="E136" s="29"/>
      <c r="F136" s="30"/>
      <c r="G136" s="31"/>
      <c r="H136" s="27"/>
      <c r="I136" s="32"/>
      <c r="J136" s="36"/>
      <c r="K136" s="36"/>
      <c r="L136" s="36"/>
      <c r="M136" s="36"/>
      <c r="N136" s="36"/>
      <c r="O136" s="643">
        <f t="shared" si="65"/>
        <v>0</v>
      </c>
      <c r="P136" s="644">
        <f t="shared" si="66"/>
        <v>0</v>
      </c>
      <c r="Q136" s="729" t="e">
        <f t="shared" si="73"/>
        <v>#DIV/0!</v>
      </c>
      <c r="R136" s="33"/>
      <c r="S136" s="37"/>
      <c r="T136" s="60">
        <f t="shared" si="67"/>
        <v>0</v>
      </c>
      <c r="U136" s="61">
        <f t="shared" si="68"/>
        <v>0</v>
      </c>
      <c r="V136" s="60">
        <f t="shared" si="69"/>
        <v>0</v>
      </c>
      <c r="W136" s="28"/>
      <c r="X136" s="737">
        <f>IF(W136='References Assumptions'!$C$331,'References Assumptions'!$C$335,0)</f>
        <v>0</v>
      </c>
      <c r="Y136" s="646" t="s">
        <v>399</v>
      </c>
      <c r="Z136" s="647">
        <f t="shared" si="70"/>
        <v>0</v>
      </c>
      <c r="AA136" s="29"/>
      <c r="AB136"/>
    </row>
    <row r="137" spans="2:35" ht="15.75" customHeight="1" x14ac:dyDescent="0.25">
      <c r="B137" s="642">
        <v>18</v>
      </c>
      <c r="C137" s="38"/>
      <c r="D137" s="28"/>
      <c r="E137" s="29"/>
      <c r="F137" s="30"/>
      <c r="G137" s="31"/>
      <c r="H137" s="27"/>
      <c r="I137" s="32"/>
      <c r="J137" s="36"/>
      <c r="K137" s="36"/>
      <c r="L137" s="36"/>
      <c r="M137" s="36"/>
      <c r="N137" s="36"/>
      <c r="O137" s="643">
        <f t="shared" si="65"/>
        <v>0</v>
      </c>
      <c r="P137" s="644">
        <f t="shared" si="66"/>
        <v>0</v>
      </c>
      <c r="Q137" s="729" t="e">
        <f t="shared" si="73"/>
        <v>#DIV/0!</v>
      </c>
      <c r="R137" s="33"/>
      <c r="S137" s="37"/>
      <c r="T137" s="62">
        <f t="shared" si="67"/>
        <v>0</v>
      </c>
      <c r="U137" s="63">
        <f t="shared" si="68"/>
        <v>0</v>
      </c>
      <c r="V137" s="62">
        <f t="shared" si="69"/>
        <v>0</v>
      </c>
      <c r="W137" s="28"/>
      <c r="X137" s="737">
        <f>IF(W137='References Assumptions'!$C$331,'References Assumptions'!$C$335,0)</f>
        <v>0</v>
      </c>
      <c r="Y137" s="646" t="s">
        <v>399</v>
      </c>
      <c r="Z137" s="647">
        <f t="shared" si="70"/>
        <v>0</v>
      </c>
      <c r="AA137" s="29"/>
      <c r="AC137" s="393" t="s">
        <v>399</v>
      </c>
      <c r="AD137" s="393" t="s">
        <v>376</v>
      </c>
      <c r="AF137" s="597" t="s">
        <v>646</v>
      </c>
      <c r="AG137" s="386" t="s">
        <v>399</v>
      </c>
      <c r="AH137" s="386" t="s">
        <v>484</v>
      </c>
      <c r="AI137" s="656" t="s">
        <v>549</v>
      </c>
    </row>
    <row r="138" spans="2:35" ht="15.75" customHeight="1" x14ac:dyDescent="0.25">
      <c r="B138" s="642">
        <v>19</v>
      </c>
      <c r="C138" s="38"/>
      <c r="D138" s="28"/>
      <c r="E138" s="29"/>
      <c r="F138" s="30"/>
      <c r="G138" s="31"/>
      <c r="H138" s="27"/>
      <c r="I138" s="32"/>
      <c r="J138" s="30"/>
      <c r="K138" s="30"/>
      <c r="L138" s="30"/>
      <c r="M138" s="30"/>
      <c r="N138" s="30"/>
      <c r="O138" s="643">
        <f t="shared" si="65"/>
        <v>0</v>
      </c>
      <c r="P138" s="644">
        <f t="shared" si="66"/>
        <v>0</v>
      </c>
      <c r="Q138" s="729" t="e">
        <f t="shared" si="73"/>
        <v>#DIV/0!</v>
      </c>
      <c r="R138" s="33"/>
      <c r="S138" s="37"/>
      <c r="T138" s="62">
        <f t="shared" si="67"/>
        <v>0</v>
      </c>
      <c r="U138" s="63">
        <f t="shared" si="68"/>
        <v>0</v>
      </c>
      <c r="V138" s="62">
        <f t="shared" si="69"/>
        <v>0</v>
      </c>
      <c r="W138" s="28"/>
      <c r="X138" s="737">
        <f>IF(W138='References Assumptions'!$C$331,'References Assumptions'!$C$335,0)</f>
        <v>0</v>
      </c>
      <c r="Y138" s="646" t="s">
        <v>399</v>
      </c>
      <c r="Z138" s="647">
        <f t="shared" si="70"/>
        <v>0</v>
      </c>
      <c r="AA138" s="29"/>
      <c r="AB138" s="711" t="s">
        <v>605</v>
      </c>
      <c r="AC138" s="660">
        <f>+AC120+AC124+AC127+AC132</f>
        <v>0</v>
      </c>
      <c r="AD138" s="661">
        <f>+AD120+AD124+AD127+AD132</f>
        <v>0</v>
      </c>
      <c r="AE138" s="662"/>
      <c r="AF138" s="56" t="s">
        <v>647</v>
      </c>
      <c r="AG138" s="55">
        <f>SUMIFS($O$120:$O$144,$D$120:$D$144,AB135,$E$120:$E$144,'References Assumptions'!$C$359)</f>
        <v>0</v>
      </c>
      <c r="AH138" s="55">
        <f>SUMIFS($P$120:$P$144,$D$120:$D$144,AB135,$E$120:$E$144,'References Assumptions'!$C$359)</f>
        <v>0</v>
      </c>
      <c r="AI138" s="599">
        <f>AH138*Percent_Solids</f>
        <v>0</v>
      </c>
    </row>
    <row r="139" spans="2:35" ht="15.75" customHeight="1" x14ac:dyDescent="0.25">
      <c r="B139" s="642">
        <v>20</v>
      </c>
      <c r="C139" s="38"/>
      <c r="D139" s="28"/>
      <c r="E139" s="29"/>
      <c r="F139" s="30"/>
      <c r="G139" s="31"/>
      <c r="H139" s="27"/>
      <c r="I139" s="32"/>
      <c r="J139" s="30"/>
      <c r="K139" s="30"/>
      <c r="L139" s="30"/>
      <c r="M139" s="30"/>
      <c r="N139" s="30"/>
      <c r="O139" s="643">
        <f t="shared" si="65"/>
        <v>0</v>
      </c>
      <c r="P139" s="644">
        <f t="shared" si="66"/>
        <v>0</v>
      </c>
      <c r="Q139" s="729" t="e">
        <f t="shared" si="73"/>
        <v>#DIV/0!</v>
      </c>
      <c r="R139" s="33"/>
      <c r="S139" s="37"/>
      <c r="T139" s="62">
        <f t="shared" si="67"/>
        <v>0</v>
      </c>
      <c r="U139" s="63">
        <f t="shared" si="68"/>
        <v>0</v>
      </c>
      <c r="V139" s="62">
        <f t="shared" si="69"/>
        <v>0</v>
      </c>
      <c r="W139" s="28"/>
      <c r="X139" s="737">
        <f>IF(W139='References Assumptions'!$C$331,'References Assumptions'!$C$335,0)</f>
        <v>0</v>
      </c>
      <c r="Y139" s="646" t="s">
        <v>399</v>
      </c>
      <c r="Z139" s="647">
        <f t="shared" si="70"/>
        <v>0</v>
      </c>
      <c r="AA139" s="29"/>
      <c r="AB139" s="712" t="s">
        <v>444</v>
      </c>
      <c r="AC139" s="664" t="e">
        <f>+AC120/AC138</f>
        <v>#DIV/0!</v>
      </c>
      <c r="AD139" s="664" t="e">
        <f>+AD120/AD138</f>
        <v>#DIV/0!</v>
      </c>
      <c r="AF139" s="56" t="s">
        <v>648</v>
      </c>
      <c r="AG139" s="55" t="e">
        <f>SUMIFS($O$120:$O$144,$D$120:$D$144,AB135,$E$120:$E$144,'References Assumptions'!$C$359)*Percent_Solids/percent_solids_after_biodrying</f>
        <v>#DIV/0!</v>
      </c>
      <c r="AH139" s="55" t="e">
        <f>SUMIFS($P$120:$P$144,$D$120:$D$144,AB135,$E$120:$E$144,'References Assumptions'!$C$359)*Percent_Solids/percent_solids_after_biodrying</f>
        <v>#DIV/0!</v>
      </c>
      <c r="AI139" s="599" t="e">
        <f>AH139*percent_solids_after_biodrying</f>
        <v>#DIV/0!</v>
      </c>
    </row>
    <row r="140" spans="2:35" ht="15.75" customHeight="1" x14ac:dyDescent="0.25">
      <c r="B140" s="642">
        <v>21</v>
      </c>
      <c r="C140" s="38"/>
      <c r="D140" s="28"/>
      <c r="E140" s="29"/>
      <c r="F140" s="30"/>
      <c r="G140" s="31"/>
      <c r="H140" s="27"/>
      <c r="I140" s="32"/>
      <c r="J140" s="30"/>
      <c r="K140" s="30"/>
      <c r="L140" s="30"/>
      <c r="M140" s="30"/>
      <c r="N140" s="30"/>
      <c r="O140" s="643">
        <f t="shared" si="65"/>
        <v>0</v>
      </c>
      <c r="P140" s="644">
        <f t="shared" si="66"/>
        <v>0</v>
      </c>
      <c r="Q140" s="729" t="e">
        <f t="shared" si="73"/>
        <v>#DIV/0!</v>
      </c>
      <c r="R140" s="33"/>
      <c r="S140" s="37"/>
      <c r="T140" s="62">
        <f t="shared" si="67"/>
        <v>0</v>
      </c>
      <c r="U140" s="63">
        <f t="shared" si="68"/>
        <v>0</v>
      </c>
      <c r="V140" s="62">
        <f t="shared" si="69"/>
        <v>0</v>
      </c>
      <c r="W140" s="28"/>
      <c r="X140" s="737">
        <f>IF(W140='References Assumptions'!$C$331,'References Assumptions'!$C$335,0)</f>
        <v>0</v>
      </c>
      <c r="Y140" s="646" t="s">
        <v>399</v>
      </c>
      <c r="Z140" s="647">
        <f t="shared" si="70"/>
        <v>0</v>
      </c>
      <c r="AA140" s="29"/>
      <c r="AB140" s="712" t="s">
        <v>250</v>
      </c>
      <c r="AC140" s="664" t="e">
        <f>+AC124/AC138</f>
        <v>#DIV/0!</v>
      </c>
      <c r="AD140" s="664" t="e">
        <f>+AD124/AD138</f>
        <v>#DIV/0!</v>
      </c>
      <c r="AF140" s="56" t="s">
        <v>649</v>
      </c>
      <c r="AG140" s="55" t="e">
        <f>(SUMIFS($O$120:$O$144,$D$120:$D$144,AB135,$E$120:$E$144,'References Assumptions'!$C$359)*(Percent_Solids/percent_solids_after_biodrying)*(percent_solids_after_biodrying/Percent_Solids_After_Pyrolysis))*(1-Pyrolysis!$J$15)</f>
        <v>#DIV/0!</v>
      </c>
      <c r="AH140" s="55" t="e">
        <f>(SUMIFS($P$120:$P$144,$D$120:$D$144,AB135,$E$120:$E$144,'References Assumptions'!$C$359)*(Percent_Solids/percent_solids_after_biodrying)*(percent_solids_after_biodrying/Percent_Solids_After_Pyrolysis))*(1-Pyrolysis!$J$15)</f>
        <v>#DIV/0!</v>
      </c>
      <c r="AI140" s="598" t="e">
        <f>AH140*Percent_Solids_After_Pyrolysis</f>
        <v>#DIV/0!</v>
      </c>
    </row>
    <row r="141" spans="2:35" ht="15.75" customHeight="1" x14ac:dyDescent="0.25">
      <c r="B141" s="642">
        <v>22</v>
      </c>
      <c r="C141" s="38"/>
      <c r="D141" s="28"/>
      <c r="E141" s="29"/>
      <c r="F141" s="30"/>
      <c r="G141" s="31"/>
      <c r="H141" s="27"/>
      <c r="I141" s="32"/>
      <c r="J141" s="30"/>
      <c r="K141" s="30"/>
      <c r="L141" s="30"/>
      <c r="M141" s="30"/>
      <c r="N141" s="30"/>
      <c r="O141" s="643">
        <f t="shared" si="65"/>
        <v>0</v>
      </c>
      <c r="P141" s="644">
        <f t="shared" si="66"/>
        <v>0</v>
      </c>
      <c r="Q141" s="729" t="e">
        <f t="shared" si="73"/>
        <v>#DIV/0!</v>
      </c>
      <c r="R141" s="33"/>
      <c r="S141" s="37"/>
      <c r="T141" s="62">
        <f t="shared" si="67"/>
        <v>0</v>
      </c>
      <c r="U141" s="63">
        <f t="shared" si="68"/>
        <v>0</v>
      </c>
      <c r="V141" s="62">
        <f t="shared" si="69"/>
        <v>0</v>
      </c>
      <c r="W141" s="28"/>
      <c r="X141" s="737">
        <f>IF(W141='References Assumptions'!$C$331,'References Assumptions'!$C$335,0)</f>
        <v>0</v>
      </c>
      <c r="Y141" s="646" t="s">
        <v>399</v>
      </c>
      <c r="Z141" s="647">
        <f t="shared" si="70"/>
        <v>0</v>
      </c>
      <c r="AA141" s="29"/>
      <c r="AB141" s="712" t="s">
        <v>182</v>
      </c>
      <c r="AC141" s="664" t="e">
        <f>+AC127/AC138</f>
        <v>#DIV/0!</v>
      </c>
      <c r="AD141" s="664" t="e">
        <f>+AD127/AD138</f>
        <v>#DIV/0!</v>
      </c>
      <c r="AF141" s="1253" t="s">
        <v>988</v>
      </c>
      <c r="AG141" s="1253"/>
      <c r="AH141" s="1253"/>
      <c r="AI141" s="75"/>
    </row>
    <row r="142" spans="2:35" ht="15.75" customHeight="1" x14ac:dyDescent="0.25">
      <c r="B142" s="642">
        <v>23</v>
      </c>
      <c r="C142" s="38"/>
      <c r="D142" s="28"/>
      <c r="E142" s="29"/>
      <c r="F142" s="30"/>
      <c r="G142" s="31"/>
      <c r="H142" s="27"/>
      <c r="I142" s="32"/>
      <c r="J142" s="30"/>
      <c r="K142" s="30"/>
      <c r="L142" s="30"/>
      <c r="M142" s="30"/>
      <c r="N142" s="30"/>
      <c r="O142" s="643">
        <f t="shared" si="65"/>
        <v>0</v>
      </c>
      <c r="P142" s="644">
        <f t="shared" si="66"/>
        <v>0</v>
      </c>
      <c r="Q142" s="729" t="e">
        <f t="shared" si="73"/>
        <v>#DIV/0!</v>
      </c>
      <c r="R142" s="33"/>
      <c r="S142" s="37"/>
      <c r="T142" s="62">
        <f t="shared" si="67"/>
        <v>0</v>
      </c>
      <c r="U142" s="63">
        <f t="shared" si="68"/>
        <v>0</v>
      </c>
      <c r="V142" s="62">
        <f t="shared" si="69"/>
        <v>0</v>
      </c>
      <c r="W142" s="28"/>
      <c r="X142" s="737">
        <f>IF(W142='References Assumptions'!$C$331,'References Assumptions'!$C$335,0)</f>
        <v>0</v>
      </c>
      <c r="Y142" s="646" t="s">
        <v>399</v>
      </c>
      <c r="Z142" s="647">
        <f t="shared" si="70"/>
        <v>0</v>
      </c>
      <c r="AA142" s="29"/>
      <c r="AB142" s="712" t="s">
        <v>222</v>
      </c>
      <c r="AC142" s="664" t="e">
        <f>+AC132/AC138</f>
        <v>#DIV/0!</v>
      </c>
      <c r="AD142" s="664" t="e">
        <f>+AD132/AD138</f>
        <v>#DIV/0!</v>
      </c>
      <c r="AF142" s="1253"/>
      <c r="AG142" s="1253"/>
      <c r="AH142" s="1253"/>
      <c r="AI142" s="75"/>
    </row>
    <row r="143" spans="2:35" ht="15.75" customHeight="1" x14ac:dyDescent="0.25">
      <c r="B143" s="642">
        <v>24</v>
      </c>
      <c r="C143" s="38"/>
      <c r="D143" s="28"/>
      <c r="E143" s="29"/>
      <c r="F143" s="30"/>
      <c r="G143" s="31"/>
      <c r="H143" s="27"/>
      <c r="I143" s="32"/>
      <c r="J143" s="30"/>
      <c r="K143" s="30"/>
      <c r="L143" s="30"/>
      <c r="M143" s="30"/>
      <c r="N143" s="30"/>
      <c r="O143" s="643">
        <f t="shared" si="65"/>
        <v>0</v>
      </c>
      <c r="P143" s="644">
        <f t="shared" si="66"/>
        <v>0</v>
      </c>
      <c r="Q143" s="729" t="e">
        <f t="shared" si="73"/>
        <v>#DIV/0!</v>
      </c>
      <c r="R143" s="33"/>
      <c r="S143" s="37"/>
      <c r="T143" s="62">
        <f t="shared" si="67"/>
        <v>0</v>
      </c>
      <c r="U143" s="63">
        <f t="shared" si="68"/>
        <v>0</v>
      </c>
      <c r="V143" s="62">
        <f t="shared" si="69"/>
        <v>0</v>
      </c>
      <c r="W143" s="28"/>
      <c r="X143" s="737">
        <f>IF(W143='References Assumptions'!$C$331,'References Assumptions'!$C$335,0)</f>
        <v>0</v>
      </c>
      <c r="Y143" s="646" t="s">
        <v>399</v>
      </c>
      <c r="Z143" s="647">
        <f t="shared" si="70"/>
        <v>0</v>
      </c>
      <c r="AA143" s="29"/>
      <c r="AB143"/>
      <c r="AC143" s="668"/>
      <c r="AD143" s="668"/>
      <c r="AI143" s="75"/>
    </row>
    <row r="144" spans="2:35" ht="15.75" customHeight="1" thickBot="1" x14ac:dyDescent="0.3">
      <c r="B144" s="669">
        <v>25</v>
      </c>
      <c r="C144" s="38"/>
      <c r="D144" s="28"/>
      <c r="E144" s="29"/>
      <c r="F144" s="30"/>
      <c r="G144" s="31"/>
      <c r="H144" s="27"/>
      <c r="I144" s="32"/>
      <c r="J144" s="34"/>
      <c r="K144" s="34"/>
      <c r="L144" s="34"/>
      <c r="M144" s="34"/>
      <c r="N144" s="34"/>
      <c r="O144" s="643">
        <f t="shared" si="65"/>
        <v>0</v>
      </c>
      <c r="P144" s="644">
        <f t="shared" si="66"/>
        <v>0</v>
      </c>
      <c r="Q144" s="729" t="e">
        <f t="shared" si="73"/>
        <v>#DIV/0!</v>
      </c>
      <c r="R144" s="33"/>
      <c r="S144" s="37"/>
      <c r="T144" s="64">
        <f t="shared" si="67"/>
        <v>0</v>
      </c>
      <c r="U144" s="65">
        <f t="shared" si="68"/>
        <v>0</v>
      </c>
      <c r="V144" s="66">
        <f t="shared" si="69"/>
        <v>0</v>
      </c>
      <c r="W144" s="28"/>
      <c r="X144" s="739">
        <f>IF(W144='References Assumptions'!$C$331,'References Assumptions'!$C$335,0)</f>
        <v>0</v>
      </c>
      <c r="Y144" s="713" t="s">
        <v>399</v>
      </c>
      <c r="Z144" s="714">
        <f t="shared" si="70"/>
        <v>0</v>
      </c>
      <c r="AA144" s="587"/>
      <c r="AB144" s="133"/>
      <c r="AC144" s="133"/>
      <c r="AD144" s="133"/>
      <c r="AE144" s="133"/>
      <c r="AF144" s="133"/>
      <c r="AG144" s="133"/>
      <c r="AH144" s="133"/>
      <c r="AI144" s="134"/>
    </row>
    <row r="145" spans="2:35" ht="15.75" customHeight="1" thickBot="1" x14ac:dyDescent="0.3">
      <c r="B145" s="674"/>
      <c r="C145" s="675"/>
      <c r="D145" s="53"/>
      <c r="E145" s="641"/>
      <c r="F145" s="676"/>
      <c r="G145" s="53"/>
      <c r="H145" s="677" t="s">
        <v>371</v>
      </c>
      <c r="I145" s="678" t="e">
        <f t="shared" ref="I145:N145" si="78">+I146/$O146</f>
        <v>#DIV/0!</v>
      </c>
      <c r="J145" s="678" t="e">
        <f t="shared" si="78"/>
        <v>#DIV/0!</v>
      </c>
      <c r="K145" s="678" t="e">
        <f t="shared" si="78"/>
        <v>#DIV/0!</v>
      </c>
      <c r="L145" s="678" t="e">
        <f t="shared" si="78"/>
        <v>#DIV/0!</v>
      </c>
      <c r="M145" s="678" t="e">
        <f t="shared" si="78"/>
        <v>#DIV/0!</v>
      </c>
      <c r="N145" s="678" t="e">
        <f t="shared" si="78"/>
        <v>#DIV/0!</v>
      </c>
      <c r="O145" s="678"/>
      <c r="P145" s="53"/>
      <c r="Q145" s="679"/>
      <c r="R145" s="679"/>
      <c r="S145" s="53"/>
      <c r="T145" s="53"/>
      <c r="U145" s="680">
        <v>2</v>
      </c>
      <c r="V145" s="681" t="s">
        <v>395</v>
      </c>
      <c r="W145" s="53"/>
      <c r="X145" s="53"/>
      <c r="Y145" s="53"/>
      <c r="Z145" s="682"/>
      <c r="AA145" s="683"/>
      <c r="AB145" s="657"/>
      <c r="AI145" s="75"/>
    </row>
    <row r="146" spans="2:35" ht="15.75" customHeight="1" thickBot="1" x14ac:dyDescent="0.3">
      <c r="B146" s="685"/>
      <c r="C146" s="686"/>
      <c r="D146" s="687"/>
      <c r="E146" s="688"/>
      <c r="F146" s="689"/>
      <c r="G146" s="687"/>
      <c r="H146" s="690" t="s">
        <v>370</v>
      </c>
      <c r="I146" s="691">
        <f>SUM(I120:I144)</f>
        <v>0</v>
      </c>
      <c r="J146" s="691">
        <f>SUM(J120:J144)</f>
        <v>0</v>
      </c>
      <c r="K146" s="691">
        <f t="shared" ref="K146:P146" si="79">SUM(K120:K144)</f>
        <v>0</v>
      </c>
      <c r="L146" s="691">
        <f t="shared" si="79"/>
        <v>0</v>
      </c>
      <c r="M146" s="691">
        <f t="shared" si="79"/>
        <v>0</v>
      </c>
      <c r="N146" s="691">
        <f t="shared" si="79"/>
        <v>0</v>
      </c>
      <c r="O146" s="691">
        <f t="shared" si="79"/>
        <v>0</v>
      </c>
      <c r="P146" s="691">
        <f t="shared" si="79"/>
        <v>0</v>
      </c>
      <c r="Q146" s="692" t="e">
        <f>SUM(Q120:Q136)</f>
        <v>#DIV/0!</v>
      </c>
      <c r="R146" s="692"/>
      <c r="S146" s="691"/>
      <c r="T146" s="687"/>
      <c r="U146" s="687"/>
      <c r="V146" s="687"/>
      <c r="W146" s="693"/>
      <c r="X146" s="693"/>
      <c r="Y146" s="693"/>
      <c r="Z146" s="694"/>
      <c r="AA146" s="726"/>
      <c r="AB146" s="1269" t="str">
        <f>CONCATENATE(B118," - Total Dry Mg")</f>
        <v>Scenario 5 - Total Dry Mg</v>
      </c>
      <c r="AC146" s="1270"/>
      <c r="AD146" s="1271"/>
      <c r="AE146" s="696">
        <f>+AE120+AE124+AE127+AE132</f>
        <v>0</v>
      </c>
      <c r="AF146" s="133"/>
      <c r="AG146" s="133"/>
      <c r="AH146" s="133"/>
      <c r="AI146" s="134"/>
    </row>
    <row r="147" spans="2:35" ht="21.75" thickBot="1" x14ac:dyDescent="0.4">
      <c r="B147" s="623" t="s">
        <v>455</v>
      </c>
      <c r="C147" s="1021">
        <f>+'Scenarios Data'!B161</f>
        <v>0</v>
      </c>
      <c r="D147" s="1275">
        <f>+'Scenarios Data'!D161:J161</f>
        <v>0</v>
      </c>
      <c r="E147" s="1276"/>
      <c r="F147" s="1276"/>
      <c r="G147" s="1277"/>
      <c r="H147" s="624"/>
      <c r="I147" s="1251" t="s">
        <v>833</v>
      </c>
      <c r="J147" s="1251"/>
      <c r="K147" s="1251"/>
      <c r="L147" s="1251"/>
      <c r="M147" s="1251"/>
      <c r="N147" s="1251"/>
      <c r="O147" s="625"/>
      <c r="P147" s="626"/>
      <c r="Q147" s="624"/>
      <c r="R147" s="624"/>
      <c r="S147" s="1252"/>
      <c r="T147" s="1252"/>
      <c r="U147" s="1252"/>
      <c r="V147" s="1252"/>
      <c r="W147" s="626"/>
      <c r="X147" s="626"/>
      <c r="Y147" s="626"/>
      <c r="Z147" s="626"/>
      <c r="AA147" s="700"/>
      <c r="AB147" s="1237" t="str">
        <f>CONCATENATE(B147," - ",C147," - Totals")</f>
        <v>Scenario 6 - 0 - Totals</v>
      </c>
      <c r="AC147" s="1238"/>
      <c r="AD147" s="1238"/>
      <c r="AE147" s="1238"/>
      <c r="AF147" s="1238"/>
      <c r="AG147" s="1238"/>
      <c r="AH147" s="1238"/>
      <c r="AI147" s="1239"/>
    </row>
    <row r="148" spans="2:35" ht="45.75" x14ac:dyDescent="0.3">
      <c r="B148" s="627" t="s">
        <v>400</v>
      </c>
      <c r="C148" s="628" t="s">
        <v>539</v>
      </c>
      <c r="D148" s="629" t="s">
        <v>540</v>
      </c>
      <c r="E148" s="630" t="s">
        <v>489</v>
      </c>
      <c r="F148" s="631" t="s">
        <v>667</v>
      </c>
      <c r="G148" s="630" t="s">
        <v>401</v>
      </c>
      <c r="H148" s="632" t="s">
        <v>402</v>
      </c>
      <c r="I148" s="39">
        <v>1</v>
      </c>
      <c r="J148" s="39">
        <v>2</v>
      </c>
      <c r="K148" s="39">
        <v>3</v>
      </c>
      <c r="L148" s="39">
        <v>4</v>
      </c>
      <c r="M148" s="39">
        <v>5</v>
      </c>
      <c r="N148" s="39">
        <v>6</v>
      </c>
      <c r="O148" s="633" t="s">
        <v>397</v>
      </c>
      <c r="P148" s="633" t="s">
        <v>398</v>
      </c>
      <c r="Q148" s="630" t="s">
        <v>538</v>
      </c>
      <c r="R148" s="634" t="s">
        <v>488</v>
      </c>
      <c r="S148" s="635" t="s">
        <v>460</v>
      </c>
      <c r="T148" s="630" t="s">
        <v>461</v>
      </c>
      <c r="U148" s="636" t="s">
        <v>460</v>
      </c>
      <c r="V148" s="637" t="s">
        <v>461</v>
      </c>
      <c r="W148" s="730" t="s">
        <v>481</v>
      </c>
      <c r="X148" s="633" t="s">
        <v>480</v>
      </c>
      <c r="Y148" s="633" t="s">
        <v>482</v>
      </c>
      <c r="Z148" s="731" t="s">
        <v>483</v>
      </c>
      <c r="AA148" s="640" t="s">
        <v>556</v>
      </c>
      <c r="AB148" s="57" t="s">
        <v>546</v>
      </c>
      <c r="AC148" s="53" t="s">
        <v>399</v>
      </c>
      <c r="AD148" s="53" t="s">
        <v>484</v>
      </c>
      <c r="AE148" s="53" t="s">
        <v>549</v>
      </c>
      <c r="AF148" s="52" t="s">
        <v>555</v>
      </c>
      <c r="AG148" s="53" t="s">
        <v>399</v>
      </c>
      <c r="AH148" s="53" t="s">
        <v>484</v>
      </c>
      <c r="AI148" s="641" t="s">
        <v>549</v>
      </c>
    </row>
    <row r="149" spans="2:35" ht="15.75" customHeight="1" x14ac:dyDescent="0.25">
      <c r="B149" s="642">
        <v>1</v>
      </c>
      <c r="C149" s="38"/>
      <c r="D149" s="28"/>
      <c r="E149" s="29"/>
      <c r="F149" s="30"/>
      <c r="G149" s="31"/>
      <c r="H149" s="27"/>
      <c r="I149" s="32"/>
      <c r="J149" s="32"/>
      <c r="K149" s="32"/>
      <c r="L149" s="32"/>
      <c r="M149" s="32"/>
      <c r="N149" s="32"/>
      <c r="O149" s="643">
        <f t="shared" ref="O149:O173" si="80">SUM(I149:N149)</f>
        <v>0</v>
      </c>
      <c r="P149" s="644">
        <f t="shared" ref="P149:P173" si="81">+O149/Mg_ton</f>
        <v>0</v>
      </c>
      <c r="Q149" s="729" t="e">
        <f>P149/$P$175</f>
        <v>#DIV/0!</v>
      </c>
      <c r="R149" s="33"/>
      <c r="S149" s="37"/>
      <c r="T149" s="60">
        <f t="shared" ref="T149:T173" si="82">+S149/km_mile</f>
        <v>0</v>
      </c>
      <c r="U149" s="61">
        <f t="shared" ref="U149:U173" si="83">+S149*$U$29</f>
        <v>0</v>
      </c>
      <c r="V149" s="60">
        <f t="shared" ref="V149:V173" si="84">+U149/km_mile</f>
        <v>0</v>
      </c>
      <c r="W149" s="27"/>
      <c r="X149" s="737">
        <f>IF(W149='References Assumptions'!$C$331,'References Assumptions'!$C$335,0)</f>
        <v>0</v>
      </c>
      <c r="Y149" s="646" t="s">
        <v>399</v>
      </c>
      <c r="Z149" s="647">
        <f t="shared" ref="Z149:Z173" si="85">+X149/Mg_ton</f>
        <v>0</v>
      </c>
      <c r="AA149" s="29"/>
      <c r="AB149" s="58" t="s">
        <v>444</v>
      </c>
      <c r="AC149" s="648">
        <f>SUMIF($D$149:$D$173,AB149,$O$149:$O$173)</f>
        <v>0</v>
      </c>
      <c r="AD149" s="648">
        <f>SUMIF($D$149:$D$173,AB149,$P$149:$P$173)</f>
        <v>0</v>
      </c>
      <c r="AE149" s="50">
        <f>AD149*(Mean_solids)</f>
        <v>0</v>
      </c>
      <c r="AF149" s="56" t="s">
        <v>503</v>
      </c>
      <c r="AG149" s="648">
        <f t="shared" ref="AG149:AG155" si="86">SUMIFS($O$149:$O$173,$D$149:$D$173,AB149,$E$149:$E$173,AF149)</f>
        <v>0</v>
      </c>
      <c r="AH149" s="648">
        <f t="shared" ref="AH149:AH155" si="87">SUMIFS($P$149:$P$173,$D$149:$D$173,AB149,$E$149:$E$173,AF149)</f>
        <v>0</v>
      </c>
      <c r="AI149" s="49">
        <f t="shared" ref="AI149:AI156" si="88">AH149*(Mean_solids)</f>
        <v>0</v>
      </c>
    </row>
    <row r="150" spans="2:35" ht="15.75" customHeight="1" x14ac:dyDescent="0.25">
      <c r="B150" s="642">
        <v>2</v>
      </c>
      <c r="C150" s="38"/>
      <c r="D150" s="28"/>
      <c r="E150" s="29"/>
      <c r="F150" s="30"/>
      <c r="G150" s="31"/>
      <c r="H150" s="27"/>
      <c r="I150" s="32"/>
      <c r="J150" s="36"/>
      <c r="K150" s="36"/>
      <c r="L150" s="36"/>
      <c r="M150" s="36"/>
      <c r="N150" s="36"/>
      <c r="O150" s="643">
        <f t="shared" si="80"/>
        <v>0</v>
      </c>
      <c r="P150" s="644">
        <f t="shared" si="81"/>
        <v>0</v>
      </c>
      <c r="Q150" s="729" t="e">
        <f t="shared" ref="Q150:Q173" si="89">P150/$P$175</f>
        <v>#DIV/0!</v>
      </c>
      <c r="R150" s="33"/>
      <c r="S150" s="37"/>
      <c r="T150" s="60">
        <f t="shared" si="82"/>
        <v>0</v>
      </c>
      <c r="U150" s="61">
        <f t="shared" si="83"/>
        <v>0</v>
      </c>
      <c r="V150" s="60">
        <f t="shared" si="84"/>
        <v>0</v>
      </c>
      <c r="W150" s="27"/>
      <c r="X150" s="737">
        <f>IF(W150='References Assumptions'!$C$331,'References Assumptions'!$C$335,0)</f>
        <v>0</v>
      </c>
      <c r="Y150" s="646" t="s">
        <v>399</v>
      </c>
      <c r="Z150" s="647">
        <f t="shared" si="85"/>
        <v>0</v>
      </c>
      <c r="AA150" s="29"/>
      <c r="AB150" s="58" t="s">
        <v>444</v>
      </c>
      <c r="AC150" s="1254"/>
      <c r="AD150" s="1255"/>
      <c r="AE150" s="1256"/>
      <c r="AF150" s="56" t="s">
        <v>504</v>
      </c>
      <c r="AG150" s="648">
        <f t="shared" si="86"/>
        <v>0</v>
      </c>
      <c r="AH150" s="648">
        <f t="shared" si="87"/>
        <v>0</v>
      </c>
      <c r="AI150" s="49">
        <f t="shared" si="88"/>
        <v>0</v>
      </c>
    </row>
    <row r="151" spans="2:35" ht="15.75" customHeight="1" x14ac:dyDescent="0.25">
      <c r="B151" s="642">
        <v>3</v>
      </c>
      <c r="C151" s="38"/>
      <c r="D151" s="28"/>
      <c r="E151" s="29"/>
      <c r="F151" s="30"/>
      <c r="G151" s="31"/>
      <c r="H151" s="27"/>
      <c r="I151" s="32"/>
      <c r="J151" s="36"/>
      <c r="K151" s="36"/>
      <c r="L151" s="36"/>
      <c r="M151" s="36"/>
      <c r="N151" s="36"/>
      <c r="O151" s="643">
        <f t="shared" si="80"/>
        <v>0</v>
      </c>
      <c r="P151" s="644">
        <f t="shared" si="81"/>
        <v>0</v>
      </c>
      <c r="Q151" s="729" t="e">
        <f t="shared" si="89"/>
        <v>#DIV/0!</v>
      </c>
      <c r="R151" s="33"/>
      <c r="S151" s="37"/>
      <c r="T151" s="60">
        <f t="shared" si="82"/>
        <v>0</v>
      </c>
      <c r="U151" s="61">
        <f t="shared" si="83"/>
        <v>0</v>
      </c>
      <c r="V151" s="60">
        <f t="shared" si="84"/>
        <v>0</v>
      </c>
      <c r="W151" s="27"/>
      <c r="X151" s="737">
        <f>IF(W151='References Assumptions'!$C$331,'References Assumptions'!$C$335,0)</f>
        <v>0</v>
      </c>
      <c r="Y151" s="646" t="s">
        <v>399</v>
      </c>
      <c r="Z151" s="647">
        <f t="shared" si="85"/>
        <v>0</v>
      </c>
      <c r="AA151" s="29"/>
      <c r="AB151" s="58" t="s">
        <v>444</v>
      </c>
      <c r="AC151" s="1257"/>
      <c r="AD151" s="1258"/>
      <c r="AE151" s="1259"/>
      <c r="AF151" s="56" t="s">
        <v>505</v>
      </c>
      <c r="AG151" s="648">
        <f t="shared" si="86"/>
        <v>0</v>
      </c>
      <c r="AH151" s="648">
        <f t="shared" si="87"/>
        <v>0</v>
      </c>
      <c r="AI151" s="49">
        <f t="shared" si="88"/>
        <v>0</v>
      </c>
    </row>
    <row r="152" spans="2:35" ht="15.75" customHeight="1" x14ac:dyDescent="0.25">
      <c r="B152" s="642">
        <v>4</v>
      </c>
      <c r="C152" s="38"/>
      <c r="D152" s="28"/>
      <c r="E152" s="29"/>
      <c r="F152" s="30"/>
      <c r="G152" s="31"/>
      <c r="H152" s="27"/>
      <c r="I152" s="32"/>
      <c r="J152" s="36"/>
      <c r="K152" s="36"/>
      <c r="L152" s="36"/>
      <c r="M152" s="36"/>
      <c r="N152" s="36"/>
      <c r="O152" s="643">
        <f t="shared" si="80"/>
        <v>0</v>
      </c>
      <c r="P152" s="644">
        <f t="shared" si="81"/>
        <v>0</v>
      </c>
      <c r="Q152" s="729" t="e">
        <f t="shared" si="89"/>
        <v>#DIV/0!</v>
      </c>
      <c r="R152" s="33"/>
      <c r="S152" s="37"/>
      <c r="T152" s="60">
        <f t="shared" si="82"/>
        <v>0</v>
      </c>
      <c r="U152" s="61">
        <f t="shared" si="83"/>
        <v>0</v>
      </c>
      <c r="V152" s="60">
        <f t="shared" si="84"/>
        <v>0</v>
      </c>
      <c r="W152" s="27"/>
      <c r="X152" s="737">
        <f>IF(W152='References Assumptions'!$C$331,'References Assumptions'!$C$335,0)</f>
        <v>0</v>
      </c>
      <c r="Y152" s="646" t="s">
        <v>399</v>
      </c>
      <c r="Z152" s="647">
        <f t="shared" si="85"/>
        <v>0</v>
      </c>
      <c r="AA152" s="29"/>
      <c r="AB152" s="58" t="s">
        <v>444</v>
      </c>
      <c r="AC152" s="1266"/>
      <c r="AD152" s="1267"/>
      <c r="AE152" s="1268"/>
      <c r="AF152" s="56" t="s">
        <v>547</v>
      </c>
      <c r="AG152" s="648">
        <f t="shared" si="86"/>
        <v>0</v>
      </c>
      <c r="AH152" s="648">
        <f t="shared" si="87"/>
        <v>0</v>
      </c>
      <c r="AI152" s="49">
        <f t="shared" si="88"/>
        <v>0</v>
      </c>
    </row>
    <row r="153" spans="2:35" ht="15.75" customHeight="1" x14ac:dyDescent="0.25">
      <c r="B153" s="642">
        <v>5</v>
      </c>
      <c r="C153" s="38"/>
      <c r="D153" s="28"/>
      <c r="E153" s="29"/>
      <c r="F153" s="30"/>
      <c r="G153" s="31"/>
      <c r="H153" s="27"/>
      <c r="I153" s="32"/>
      <c r="J153" s="36"/>
      <c r="K153" s="36"/>
      <c r="L153" s="36"/>
      <c r="M153" s="36"/>
      <c r="N153" s="36"/>
      <c r="O153" s="643">
        <f t="shared" si="80"/>
        <v>0</v>
      </c>
      <c r="P153" s="644">
        <f t="shared" si="81"/>
        <v>0</v>
      </c>
      <c r="Q153" s="729" t="e">
        <f t="shared" si="89"/>
        <v>#DIV/0!</v>
      </c>
      <c r="R153" s="33"/>
      <c r="S153" s="37"/>
      <c r="T153" s="60">
        <f t="shared" si="82"/>
        <v>0</v>
      </c>
      <c r="U153" s="61">
        <f t="shared" si="83"/>
        <v>0</v>
      </c>
      <c r="V153" s="60">
        <f t="shared" si="84"/>
        <v>0</v>
      </c>
      <c r="W153" s="27"/>
      <c r="X153" s="737">
        <f>IF(W153='References Assumptions'!$C$331,'References Assumptions'!$C$335,0)</f>
        <v>0</v>
      </c>
      <c r="Y153" s="646" t="s">
        <v>399</v>
      </c>
      <c r="Z153" s="647">
        <f t="shared" si="85"/>
        <v>0</v>
      </c>
      <c r="AA153" s="29"/>
      <c r="AB153" s="58" t="s">
        <v>250</v>
      </c>
      <c r="AC153" s="648">
        <f>SUMIF($D$149:$D$173,AB153,$O$149:$O$173)</f>
        <v>0</v>
      </c>
      <c r="AD153" s="648">
        <f>SUMIF($D$149:$D$173,AB153,$P$149:$P$173)</f>
        <v>0</v>
      </c>
      <c r="AE153" s="50">
        <f>AD153*(Mean_solids)</f>
        <v>0</v>
      </c>
      <c r="AF153" s="56" t="s">
        <v>487</v>
      </c>
      <c r="AG153" s="648">
        <f t="shared" si="86"/>
        <v>0</v>
      </c>
      <c r="AH153" s="648">
        <f t="shared" si="87"/>
        <v>0</v>
      </c>
      <c r="AI153" s="49">
        <f t="shared" si="88"/>
        <v>0</v>
      </c>
    </row>
    <row r="154" spans="2:35" ht="15.75" customHeight="1" x14ac:dyDescent="0.25">
      <c r="B154" s="642">
        <v>6</v>
      </c>
      <c r="C154" s="38"/>
      <c r="D154" s="28"/>
      <c r="E154" s="29"/>
      <c r="F154" s="30"/>
      <c r="G154" s="31"/>
      <c r="H154" s="27"/>
      <c r="I154" s="32"/>
      <c r="J154" s="36"/>
      <c r="K154" s="36"/>
      <c r="L154" s="36"/>
      <c r="M154" s="36"/>
      <c r="N154" s="36"/>
      <c r="O154" s="643">
        <f t="shared" si="80"/>
        <v>0</v>
      </c>
      <c r="P154" s="644">
        <f t="shared" si="81"/>
        <v>0</v>
      </c>
      <c r="Q154" s="729" t="e">
        <f t="shared" si="89"/>
        <v>#DIV/0!</v>
      </c>
      <c r="R154" s="33"/>
      <c r="S154" s="37"/>
      <c r="T154" s="60">
        <f t="shared" si="82"/>
        <v>0</v>
      </c>
      <c r="U154" s="61">
        <f t="shared" si="83"/>
        <v>0</v>
      </c>
      <c r="V154" s="60">
        <f t="shared" si="84"/>
        <v>0</v>
      </c>
      <c r="W154" s="27"/>
      <c r="X154" s="737">
        <f>IF(W154='References Assumptions'!$C$331,'References Assumptions'!$C$335,0)</f>
        <v>0</v>
      </c>
      <c r="Y154" s="646" t="s">
        <v>399</v>
      </c>
      <c r="Z154" s="647">
        <f t="shared" si="85"/>
        <v>0</v>
      </c>
      <c r="AA154" s="29"/>
      <c r="AB154" s="58" t="s">
        <v>250</v>
      </c>
      <c r="AC154" s="1254"/>
      <c r="AD154" s="1255"/>
      <c r="AE154" s="1256"/>
      <c r="AF154" s="56" t="s">
        <v>90</v>
      </c>
      <c r="AG154" s="648">
        <f t="shared" si="86"/>
        <v>0</v>
      </c>
      <c r="AH154" s="648">
        <f t="shared" si="87"/>
        <v>0</v>
      </c>
      <c r="AI154" s="49">
        <f t="shared" si="88"/>
        <v>0</v>
      </c>
    </row>
    <row r="155" spans="2:35" ht="15.75" customHeight="1" x14ac:dyDescent="0.25">
      <c r="B155" s="642">
        <v>7</v>
      </c>
      <c r="C155" s="38"/>
      <c r="D155" s="28"/>
      <c r="E155" s="29"/>
      <c r="F155" s="30"/>
      <c r="G155" s="31"/>
      <c r="H155" s="27"/>
      <c r="I155" s="32"/>
      <c r="J155" s="36"/>
      <c r="K155" s="36"/>
      <c r="L155" s="36"/>
      <c r="M155" s="36"/>
      <c r="N155" s="36"/>
      <c r="O155" s="643">
        <f t="shared" si="80"/>
        <v>0</v>
      </c>
      <c r="P155" s="644">
        <f t="shared" si="81"/>
        <v>0</v>
      </c>
      <c r="Q155" s="729" t="e">
        <f t="shared" si="89"/>
        <v>#DIV/0!</v>
      </c>
      <c r="R155" s="33"/>
      <c r="S155" s="37"/>
      <c r="T155" s="60">
        <f t="shared" si="82"/>
        <v>0</v>
      </c>
      <c r="U155" s="61">
        <f t="shared" si="83"/>
        <v>0</v>
      </c>
      <c r="V155" s="60">
        <f t="shared" si="84"/>
        <v>0</v>
      </c>
      <c r="W155" s="27"/>
      <c r="X155" s="737">
        <f>IF(W155='References Assumptions'!$C$331,'References Assumptions'!$C$335,0)</f>
        <v>0</v>
      </c>
      <c r="Y155" s="646" t="s">
        <v>399</v>
      </c>
      <c r="Z155" s="647">
        <f t="shared" si="85"/>
        <v>0</v>
      </c>
      <c r="AA155" s="29"/>
      <c r="AB155" s="58" t="s">
        <v>250</v>
      </c>
      <c r="AC155" s="1266"/>
      <c r="AD155" s="1267"/>
      <c r="AE155" s="1268"/>
      <c r="AF155" s="56" t="s">
        <v>176</v>
      </c>
      <c r="AG155" s="648">
        <f t="shared" si="86"/>
        <v>0</v>
      </c>
      <c r="AH155" s="648">
        <f t="shared" si="87"/>
        <v>0</v>
      </c>
      <c r="AI155" s="49">
        <f t="shared" si="88"/>
        <v>0</v>
      </c>
    </row>
    <row r="156" spans="2:35" ht="15.75" customHeight="1" x14ac:dyDescent="0.25">
      <c r="B156" s="642">
        <v>8</v>
      </c>
      <c r="C156" s="38"/>
      <c r="D156" s="28"/>
      <c r="E156" s="29"/>
      <c r="F156" s="30"/>
      <c r="G156" s="31"/>
      <c r="H156" s="27"/>
      <c r="I156" s="32"/>
      <c r="J156" s="36"/>
      <c r="K156" s="36"/>
      <c r="L156" s="36"/>
      <c r="M156" s="36"/>
      <c r="N156" s="36"/>
      <c r="O156" s="643">
        <f t="shared" si="80"/>
        <v>0</v>
      </c>
      <c r="P156" s="644">
        <f t="shared" si="81"/>
        <v>0</v>
      </c>
      <c r="Q156" s="729" t="e">
        <f t="shared" si="89"/>
        <v>#DIV/0!</v>
      </c>
      <c r="R156" s="33"/>
      <c r="S156" s="37"/>
      <c r="T156" s="60">
        <f t="shared" si="82"/>
        <v>0</v>
      </c>
      <c r="U156" s="61">
        <f t="shared" si="83"/>
        <v>0</v>
      </c>
      <c r="V156" s="60">
        <f t="shared" si="84"/>
        <v>0</v>
      </c>
      <c r="W156" s="27"/>
      <c r="X156" s="737">
        <f>IF(W156='References Assumptions'!$C$331,'References Assumptions'!$C$335,0)</f>
        <v>0</v>
      </c>
      <c r="Y156" s="646" t="s">
        <v>399</v>
      </c>
      <c r="Z156" s="647">
        <f t="shared" si="85"/>
        <v>0</v>
      </c>
      <c r="AA156" s="29"/>
      <c r="AB156" s="58" t="s">
        <v>548</v>
      </c>
      <c r="AC156" s="648">
        <f>SUMIF($D$149:$D$173,AB156,$O$149:$O$173)</f>
        <v>0</v>
      </c>
      <c r="AD156" s="648">
        <f>SUMIF($D$149:$D$173,AB156,$P$149:$P$173)</f>
        <v>0</v>
      </c>
      <c r="AE156" s="50">
        <f>AD156*(Mean_solids)</f>
        <v>0</v>
      </c>
      <c r="AF156" s="56" t="s">
        <v>592</v>
      </c>
      <c r="AG156" s="648">
        <f>SUMIFS($O$149:$O$173,$D$149:$D$173,AB156,$E$149:$E$173,'References Assumptions'!$C$352)</f>
        <v>0</v>
      </c>
      <c r="AH156" s="648">
        <f>SUMIFS($P$149:$P$173,$D$149:$D$173,AB156,$E$149:$E$173,'References Assumptions'!$C$352)</f>
        <v>0</v>
      </c>
      <c r="AI156" s="49">
        <f t="shared" si="88"/>
        <v>0</v>
      </c>
    </row>
    <row r="157" spans="2:35" ht="15.75" customHeight="1" x14ac:dyDescent="0.25">
      <c r="B157" s="642">
        <v>9</v>
      </c>
      <c r="C157" s="38"/>
      <c r="D157" s="28"/>
      <c r="E157" s="29"/>
      <c r="F157" s="30"/>
      <c r="G157" s="31"/>
      <c r="H157" s="27"/>
      <c r="I157" s="32"/>
      <c r="J157" s="36"/>
      <c r="K157" s="36"/>
      <c r="L157" s="36"/>
      <c r="M157" s="36"/>
      <c r="N157" s="36"/>
      <c r="O157" s="643">
        <f t="shared" si="80"/>
        <v>0</v>
      </c>
      <c r="P157" s="644">
        <f t="shared" si="81"/>
        <v>0</v>
      </c>
      <c r="Q157" s="729" t="e">
        <f t="shared" si="89"/>
        <v>#DIV/0!</v>
      </c>
      <c r="R157" s="33"/>
      <c r="S157" s="37"/>
      <c r="T157" s="60">
        <f t="shared" si="82"/>
        <v>0</v>
      </c>
      <c r="U157" s="61">
        <f t="shared" si="83"/>
        <v>0</v>
      </c>
      <c r="V157" s="60">
        <f t="shared" si="84"/>
        <v>0</v>
      </c>
      <c r="W157" s="27"/>
      <c r="X157" s="737">
        <f>IF(W157='References Assumptions'!$C$331,'References Assumptions'!$C$335,0)</f>
        <v>0</v>
      </c>
      <c r="Y157" s="646" t="s">
        <v>399</v>
      </c>
      <c r="Z157" s="647">
        <f t="shared" si="85"/>
        <v>0</v>
      </c>
      <c r="AA157" s="29"/>
      <c r="AB157" s="58" t="s">
        <v>548</v>
      </c>
      <c r="AC157" s="1240"/>
      <c r="AD157" s="1240"/>
      <c r="AE157" s="1240"/>
      <c r="AF157" s="56" t="s">
        <v>593</v>
      </c>
      <c r="AG157" s="648" t="e">
        <f>SUMIFS($O$149:$O$173,$D$149:$D$173,AB157,$E$149:$E$173,'References Assumptions'!$C$352)*'Thermal Drying'!$L$7/percent_solids_after_thermal_drying</f>
        <v>#DIV/0!</v>
      </c>
      <c r="AH157" s="648" t="e">
        <f>SUMIFS($P$149:$P$173,$D$149:$D$173,AB157,$E$149:$E$173,'References Assumptions'!$C$352)*'Thermal Drying'!$L$7/percent_solids_after_thermal_drying</f>
        <v>#DIV/0!</v>
      </c>
      <c r="AI157" s="49" t="e">
        <f>+AH157*percent_solids_after_thermal_drying</f>
        <v>#DIV/0!</v>
      </c>
    </row>
    <row r="158" spans="2:35" ht="15.75" customHeight="1" x14ac:dyDescent="0.25">
      <c r="B158" s="642">
        <v>10</v>
      </c>
      <c r="C158" s="38"/>
      <c r="D158" s="28"/>
      <c r="E158" s="29"/>
      <c r="F158" s="30"/>
      <c r="G158" s="31"/>
      <c r="H158" s="27"/>
      <c r="I158" s="32"/>
      <c r="J158" s="36"/>
      <c r="K158" s="36"/>
      <c r="L158" s="36"/>
      <c r="M158" s="36"/>
      <c r="N158" s="36"/>
      <c r="O158" s="643">
        <f t="shared" si="80"/>
        <v>0</v>
      </c>
      <c r="P158" s="644">
        <f t="shared" si="81"/>
        <v>0</v>
      </c>
      <c r="Q158" s="729" t="e">
        <f t="shared" si="89"/>
        <v>#DIV/0!</v>
      </c>
      <c r="R158" s="33"/>
      <c r="S158" s="37"/>
      <c r="T158" s="60">
        <f t="shared" si="82"/>
        <v>0</v>
      </c>
      <c r="U158" s="61">
        <f t="shared" si="83"/>
        <v>0</v>
      </c>
      <c r="V158" s="60">
        <f t="shared" si="84"/>
        <v>0</v>
      </c>
      <c r="W158" s="27"/>
      <c r="X158" s="737">
        <f>IF(W158='References Assumptions'!$C$331,'References Assumptions'!$C$335,0)</f>
        <v>0</v>
      </c>
      <c r="Y158" s="646" t="s">
        <v>399</v>
      </c>
      <c r="Z158" s="647">
        <f t="shared" si="85"/>
        <v>0</v>
      </c>
      <c r="AA158" s="29"/>
      <c r="AB158" s="58" t="s">
        <v>548</v>
      </c>
      <c r="AC158" s="1198"/>
      <c r="AD158" s="1198"/>
      <c r="AE158" s="1198"/>
      <c r="AF158" s="56" t="s">
        <v>608</v>
      </c>
      <c r="AG158" s="648">
        <f t="shared" ref="AG158:AG159" si="90">SUMIFS($O$149:$O$173,$D$149:$D$173,AB158,$E$149:$E$173,AF158)</f>
        <v>0</v>
      </c>
      <c r="AH158" s="648">
        <f t="shared" ref="AH158:AH159" si="91">SUMIFS($P$149:$P$173,$D$149:$D$173,AB158,$E$149:$E$173,AF158)</f>
        <v>0</v>
      </c>
      <c r="AI158" s="49">
        <f t="shared" ref="AI158:AI159" si="92">AH158*(Mean_solids)</f>
        <v>0</v>
      </c>
    </row>
    <row r="159" spans="2:35" ht="15.75" customHeight="1" x14ac:dyDescent="0.25">
      <c r="B159" s="642">
        <v>11</v>
      </c>
      <c r="C159" s="38"/>
      <c r="D159" s="28"/>
      <c r="E159" s="29"/>
      <c r="F159" s="30"/>
      <c r="G159" s="31"/>
      <c r="H159" s="27"/>
      <c r="I159" s="32"/>
      <c r="J159" s="36"/>
      <c r="K159" s="36"/>
      <c r="L159" s="36"/>
      <c r="M159" s="36"/>
      <c r="N159" s="36"/>
      <c r="O159" s="643">
        <f t="shared" si="80"/>
        <v>0</v>
      </c>
      <c r="P159" s="644">
        <f t="shared" si="81"/>
        <v>0</v>
      </c>
      <c r="Q159" s="729" t="e">
        <f t="shared" si="89"/>
        <v>#DIV/0!</v>
      </c>
      <c r="R159" s="33"/>
      <c r="S159" s="37"/>
      <c r="T159" s="60">
        <f t="shared" si="82"/>
        <v>0</v>
      </c>
      <c r="U159" s="61">
        <f t="shared" si="83"/>
        <v>0</v>
      </c>
      <c r="V159" s="60">
        <f t="shared" si="84"/>
        <v>0</v>
      </c>
      <c r="W159" s="27"/>
      <c r="X159" s="737">
        <f>IF(W159='References Assumptions'!$C$331,'References Assumptions'!$C$335,0)</f>
        <v>0</v>
      </c>
      <c r="Y159" s="646" t="s">
        <v>399</v>
      </c>
      <c r="Z159" s="647">
        <f t="shared" si="85"/>
        <v>0</v>
      </c>
      <c r="AA159" s="29"/>
      <c r="AB159" s="58" t="s">
        <v>548</v>
      </c>
      <c r="AC159" s="1198"/>
      <c r="AD159" s="1198"/>
      <c r="AE159" s="1198"/>
      <c r="AF159" s="56" t="s">
        <v>609</v>
      </c>
      <c r="AG159" s="648">
        <f t="shared" si="90"/>
        <v>0</v>
      </c>
      <c r="AH159" s="648">
        <f t="shared" si="91"/>
        <v>0</v>
      </c>
      <c r="AI159" s="49">
        <f t="shared" si="92"/>
        <v>0</v>
      </c>
    </row>
    <row r="160" spans="2:35" ht="15.75" customHeight="1" x14ac:dyDescent="0.25">
      <c r="B160" s="642">
        <v>12</v>
      </c>
      <c r="C160" s="38"/>
      <c r="D160" s="28"/>
      <c r="E160" s="29"/>
      <c r="F160" s="30"/>
      <c r="G160" s="31"/>
      <c r="H160" s="27"/>
      <c r="I160" s="32"/>
      <c r="J160" s="36"/>
      <c r="K160" s="36"/>
      <c r="L160" s="36"/>
      <c r="M160" s="36"/>
      <c r="N160" s="36"/>
      <c r="O160" s="643">
        <f t="shared" si="80"/>
        <v>0</v>
      </c>
      <c r="P160" s="644">
        <f t="shared" si="81"/>
        <v>0</v>
      </c>
      <c r="Q160" s="729" t="e">
        <f t="shared" si="89"/>
        <v>#DIV/0!</v>
      </c>
      <c r="R160" s="33"/>
      <c r="S160" s="37"/>
      <c r="T160" s="60">
        <f t="shared" si="82"/>
        <v>0</v>
      </c>
      <c r="U160" s="61">
        <f t="shared" si="83"/>
        <v>0</v>
      </c>
      <c r="V160" s="60">
        <f t="shared" si="84"/>
        <v>0</v>
      </c>
      <c r="W160" s="27"/>
      <c r="X160" s="737">
        <f>IF(W160='References Assumptions'!$C$331,'References Assumptions'!$C$335,0)</f>
        <v>0</v>
      </c>
      <c r="Y160" s="646" t="s">
        <v>399</v>
      </c>
      <c r="Z160" s="647">
        <f t="shared" si="85"/>
        <v>0</v>
      </c>
      <c r="AA160" s="29"/>
      <c r="AB160" s="58" t="s">
        <v>548</v>
      </c>
      <c r="AC160" s="1241"/>
      <c r="AD160" s="1241"/>
      <c r="AE160" s="1241"/>
      <c r="AF160" s="1190" t="s">
        <v>987</v>
      </c>
      <c r="AG160" s="648" t="e">
        <f>(SUMIFS($O$149:$O$173,$D$149:$D$173,AB160,$E$149:$E$173,AF160)*(Percent_Solids/percent_solids_after_biodrying)*(percent_solids_after_biodrying/Percent_Solids_After_Pyrolysis))*(1-Pyrolysis!$L$15)</f>
        <v>#DIV/0!</v>
      </c>
      <c r="AH160" s="648" t="e">
        <f>(SUMIFS($P$149:$P$173,$D$149:$D$173,AB160,$E$149:$E$173,AF160)*(Percent_Solids/percent_solids_after_biodrying)*(percent_solids_after_biodrying/Percent_Solids_After_Pyrolysis))*(1-Pyrolysis!$L$15)</f>
        <v>#DIV/0!</v>
      </c>
      <c r="AI160" s="598" t="e">
        <f>AH160*Percent_Solids_After_Pyrolysis</f>
        <v>#DIV/0!</v>
      </c>
    </row>
    <row r="161" spans="2:35" ht="15.75" customHeight="1" x14ac:dyDescent="0.25">
      <c r="B161" s="642">
        <v>13</v>
      </c>
      <c r="C161" s="38"/>
      <c r="D161" s="28"/>
      <c r="E161" s="29"/>
      <c r="F161" s="30"/>
      <c r="G161" s="31"/>
      <c r="H161" s="27"/>
      <c r="I161" s="32"/>
      <c r="J161" s="36"/>
      <c r="K161" s="36"/>
      <c r="L161" s="36"/>
      <c r="M161" s="36"/>
      <c r="N161" s="36"/>
      <c r="O161" s="643">
        <f t="shared" si="80"/>
        <v>0</v>
      </c>
      <c r="P161" s="644">
        <f t="shared" si="81"/>
        <v>0</v>
      </c>
      <c r="Q161" s="729" t="e">
        <f t="shared" si="89"/>
        <v>#DIV/0!</v>
      </c>
      <c r="R161" s="33"/>
      <c r="S161" s="37"/>
      <c r="T161" s="60">
        <f t="shared" si="82"/>
        <v>0</v>
      </c>
      <c r="U161" s="61">
        <f t="shared" si="83"/>
        <v>0</v>
      </c>
      <c r="V161" s="60">
        <f t="shared" si="84"/>
        <v>0</v>
      </c>
      <c r="W161" s="27"/>
      <c r="X161" s="737">
        <f>IF(W161='References Assumptions'!$C$331,'References Assumptions'!$C$335,0)</f>
        <v>0</v>
      </c>
      <c r="Y161" s="646" t="s">
        <v>399</v>
      </c>
      <c r="Z161" s="647">
        <f t="shared" si="85"/>
        <v>0</v>
      </c>
      <c r="AA161" s="29"/>
      <c r="AB161" s="58" t="s">
        <v>222</v>
      </c>
      <c r="AC161" s="648">
        <f>SUMIF($D$149:$D$173,AB161,$O$149:$O$173)</f>
        <v>0</v>
      </c>
      <c r="AD161" s="648">
        <f>SUMIF($D$149:$D$173,AB161,$P$149:$P$173)</f>
        <v>0</v>
      </c>
      <c r="AE161" s="50">
        <f>AD161*(Mean_solids)</f>
        <v>0</v>
      </c>
      <c r="AF161" s="56" t="s">
        <v>496</v>
      </c>
      <c r="AG161" s="648">
        <f>SUMIFS($O$149:$O$173,$D$149:$D$173,AB161,$E$149:$E$173,AF161)</f>
        <v>0</v>
      </c>
      <c r="AH161" s="648">
        <f>SUMIFS($P$149:$P$173,$D$149:$D$173,AB161,$E$149:$E$173,AF161)</f>
        <v>0</v>
      </c>
      <c r="AI161" s="49">
        <f>AH161*(Mean_solids)</f>
        <v>0</v>
      </c>
    </row>
    <row r="162" spans="2:35" ht="15.75" customHeight="1" x14ac:dyDescent="0.25">
      <c r="B162" s="642">
        <v>14</v>
      </c>
      <c r="C162" s="38"/>
      <c r="D162" s="28"/>
      <c r="E162" s="29"/>
      <c r="F162" s="30"/>
      <c r="G162" s="31"/>
      <c r="H162" s="27"/>
      <c r="I162" s="32"/>
      <c r="J162" s="36"/>
      <c r="K162" s="36"/>
      <c r="L162" s="36"/>
      <c r="M162" s="36"/>
      <c r="N162" s="36"/>
      <c r="O162" s="643">
        <f t="shared" si="80"/>
        <v>0</v>
      </c>
      <c r="P162" s="644">
        <f t="shared" si="81"/>
        <v>0</v>
      </c>
      <c r="Q162" s="729" t="e">
        <f t="shared" si="89"/>
        <v>#DIV/0!</v>
      </c>
      <c r="R162" s="33"/>
      <c r="S162" s="37"/>
      <c r="T162" s="60">
        <f t="shared" si="82"/>
        <v>0</v>
      </c>
      <c r="U162" s="61">
        <f t="shared" si="83"/>
        <v>0</v>
      </c>
      <c r="V162" s="60">
        <f t="shared" si="84"/>
        <v>0</v>
      </c>
      <c r="W162" s="27"/>
      <c r="X162" s="737">
        <f>IF(W162='References Assumptions'!$C$331,'References Assumptions'!$C$335,0)</f>
        <v>0</v>
      </c>
      <c r="Y162" s="646" t="s">
        <v>399</v>
      </c>
      <c r="Z162" s="647">
        <f t="shared" si="85"/>
        <v>0</v>
      </c>
      <c r="AA162" s="29"/>
      <c r="AB162" s="58" t="s">
        <v>222</v>
      </c>
      <c r="AC162" s="1254"/>
      <c r="AD162" s="1255"/>
      <c r="AE162" s="1256"/>
      <c r="AF162" s="56" t="s">
        <v>497</v>
      </c>
      <c r="AG162" s="648">
        <f>SUMIFS($O$149:$O$173,$D$149:$D$173,AB162,$E$149:$E$173,AF162)</f>
        <v>0</v>
      </c>
      <c r="AH162" s="648">
        <f>SUMIFS($P$149:$P$173,$D$149:$D$173,AB162,$E$149:$E$173,AF162)</f>
        <v>0</v>
      </c>
      <c r="AI162" s="49">
        <f>AH162*(Mean_solids)</f>
        <v>0</v>
      </c>
    </row>
    <row r="163" spans="2:35" ht="15.75" customHeight="1" x14ac:dyDescent="0.25">
      <c r="B163" s="642">
        <v>15</v>
      </c>
      <c r="C163" s="38"/>
      <c r="D163" s="28"/>
      <c r="E163" s="29"/>
      <c r="F163" s="30"/>
      <c r="G163" s="31"/>
      <c r="H163" s="27"/>
      <c r="I163" s="32"/>
      <c r="J163" s="36"/>
      <c r="K163" s="36"/>
      <c r="L163" s="36"/>
      <c r="M163" s="36"/>
      <c r="N163" s="36"/>
      <c r="O163" s="643">
        <f t="shared" si="80"/>
        <v>0</v>
      </c>
      <c r="P163" s="644">
        <f t="shared" si="81"/>
        <v>0</v>
      </c>
      <c r="Q163" s="729" t="e">
        <f t="shared" si="89"/>
        <v>#DIV/0!</v>
      </c>
      <c r="R163" s="33"/>
      <c r="S163" s="37"/>
      <c r="T163" s="60">
        <f t="shared" si="82"/>
        <v>0</v>
      </c>
      <c r="U163" s="61">
        <f t="shared" si="83"/>
        <v>0</v>
      </c>
      <c r="V163" s="60">
        <f t="shared" si="84"/>
        <v>0</v>
      </c>
      <c r="W163" s="27"/>
      <c r="X163" s="737">
        <f>IF(W163='References Assumptions'!$C$331,'References Assumptions'!$C$335,0)</f>
        <v>0</v>
      </c>
      <c r="Y163" s="646" t="s">
        <v>399</v>
      </c>
      <c r="Z163" s="647">
        <f t="shared" si="85"/>
        <v>0</v>
      </c>
      <c r="AA163" s="29"/>
      <c r="AB163" s="58" t="s">
        <v>222</v>
      </c>
      <c r="AC163" s="1257"/>
      <c r="AD163" s="1258"/>
      <c r="AE163" s="1259"/>
      <c r="AF163" s="56" t="s">
        <v>544</v>
      </c>
      <c r="AG163" s="648">
        <f>SUMIFS($O$149:$O$173,$D$149:$D$173,AB163,$E$149:$E$173,AF163)</f>
        <v>0</v>
      </c>
      <c r="AH163" s="648">
        <f>SUMIFS($P$149:$P$173,$D$149:$D$173,AB163,$E$149:$E$173,AF163)</f>
        <v>0</v>
      </c>
      <c r="AI163" s="49">
        <f>AH163*(Mean_solids)</f>
        <v>0</v>
      </c>
    </row>
    <row r="164" spans="2:35" ht="15.75" customHeight="1" thickBot="1" x14ac:dyDescent="0.3">
      <c r="B164" s="642">
        <v>16</v>
      </c>
      <c r="C164" s="38"/>
      <c r="D164" s="28"/>
      <c r="E164" s="29"/>
      <c r="F164" s="30"/>
      <c r="G164" s="31"/>
      <c r="H164" s="27"/>
      <c r="I164" s="32"/>
      <c r="J164" s="36"/>
      <c r="K164" s="36"/>
      <c r="L164" s="36"/>
      <c r="M164" s="36"/>
      <c r="N164" s="36"/>
      <c r="O164" s="643">
        <f t="shared" si="80"/>
        <v>0</v>
      </c>
      <c r="P164" s="644">
        <f t="shared" si="81"/>
        <v>0</v>
      </c>
      <c r="Q164" s="729" t="e">
        <f t="shared" si="89"/>
        <v>#DIV/0!</v>
      </c>
      <c r="R164" s="33"/>
      <c r="S164" s="37"/>
      <c r="T164" s="60">
        <f t="shared" si="82"/>
        <v>0</v>
      </c>
      <c r="U164" s="61">
        <f t="shared" si="83"/>
        <v>0</v>
      </c>
      <c r="V164" s="60">
        <f t="shared" si="84"/>
        <v>0</v>
      </c>
      <c r="W164" s="27"/>
      <c r="X164" s="737">
        <f>IF(W164='References Assumptions'!$C$331,'References Assumptions'!$C$335,0)</f>
        <v>0</v>
      </c>
      <c r="Y164" s="646" t="s">
        <v>399</v>
      </c>
      <c r="Z164" s="647">
        <f t="shared" si="85"/>
        <v>0</v>
      </c>
      <c r="AA164" s="29"/>
      <c r="AB164" s="59" t="s">
        <v>222</v>
      </c>
      <c r="AC164" s="1260"/>
      <c r="AD164" s="1261"/>
      <c r="AE164" s="1262"/>
      <c r="AF164" s="608" t="s">
        <v>545</v>
      </c>
      <c r="AG164" s="710">
        <f>SUMIFS($O$149:$O$173,$D$149:$D$173,AB164,$E$149:$E$173,AF164)</f>
        <v>0</v>
      </c>
      <c r="AH164" s="710">
        <f>SUMIFS($P$149:$P$173,$D$149:$D$173,AB164,$E$149:$E$173,AF164)</f>
        <v>0</v>
      </c>
      <c r="AI164" s="596">
        <f>AH164*(Mean_solids)</f>
        <v>0</v>
      </c>
    </row>
    <row r="165" spans="2:35" ht="15.75" customHeight="1" x14ac:dyDescent="0.25">
      <c r="B165" s="642">
        <v>17</v>
      </c>
      <c r="C165" s="38"/>
      <c r="D165" s="28"/>
      <c r="E165" s="29"/>
      <c r="F165" s="30"/>
      <c r="G165" s="31"/>
      <c r="H165" s="27"/>
      <c r="I165" s="32"/>
      <c r="J165" s="36"/>
      <c r="K165" s="36"/>
      <c r="L165" s="36"/>
      <c r="M165" s="36"/>
      <c r="N165" s="36"/>
      <c r="O165" s="643">
        <f t="shared" si="80"/>
        <v>0</v>
      </c>
      <c r="P165" s="644">
        <f t="shared" si="81"/>
        <v>0</v>
      </c>
      <c r="Q165" s="729" t="e">
        <f t="shared" si="89"/>
        <v>#DIV/0!</v>
      </c>
      <c r="R165" s="33"/>
      <c r="S165" s="37"/>
      <c r="T165" s="60">
        <f t="shared" si="82"/>
        <v>0</v>
      </c>
      <c r="U165" s="61">
        <f t="shared" si="83"/>
        <v>0</v>
      </c>
      <c r="V165" s="60">
        <f t="shared" si="84"/>
        <v>0</v>
      </c>
      <c r="W165" s="27"/>
      <c r="X165" s="737">
        <f>IF(W165='References Assumptions'!$C$331,'References Assumptions'!$C$335,0)</f>
        <v>0</v>
      </c>
      <c r="Y165" s="646" t="s">
        <v>399</v>
      </c>
      <c r="Z165" s="647">
        <f t="shared" si="85"/>
        <v>0</v>
      </c>
      <c r="AA165" s="29"/>
      <c r="AB165"/>
    </row>
    <row r="166" spans="2:35" ht="15.75" customHeight="1" x14ac:dyDescent="0.25">
      <c r="B166" s="642">
        <v>18</v>
      </c>
      <c r="C166" s="38"/>
      <c r="D166" s="28"/>
      <c r="E166" s="29"/>
      <c r="F166" s="30"/>
      <c r="G166" s="31"/>
      <c r="H166" s="27"/>
      <c r="I166" s="32"/>
      <c r="J166" s="36"/>
      <c r="K166" s="36"/>
      <c r="L166" s="36"/>
      <c r="M166" s="36"/>
      <c r="N166" s="36"/>
      <c r="O166" s="643">
        <f t="shared" si="80"/>
        <v>0</v>
      </c>
      <c r="P166" s="644">
        <f t="shared" si="81"/>
        <v>0</v>
      </c>
      <c r="Q166" s="729" t="e">
        <f t="shared" si="89"/>
        <v>#DIV/0!</v>
      </c>
      <c r="R166" s="33"/>
      <c r="S166" s="37"/>
      <c r="T166" s="62">
        <f t="shared" si="82"/>
        <v>0</v>
      </c>
      <c r="U166" s="63">
        <f t="shared" si="83"/>
        <v>0</v>
      </c>
      <c r="V166" s="62">
        <f t="shared" si="84"/>
        <v>0</v>
      </c>
      <c r="W166" s="27"/>
      <c r="X166" s="737">
        <f>IF(W166='References Assumptions'!$C$331,'References Assumptions'!$C$335,0)</f>
        <v>0</v>
      </c>
      <c r="Y166" s="646" t="s">
        <v>399</v>
      </c>
      <c r="Z166" s="647">
        <f t="shared" si="85"/>
        <v>0</v>
      </c>
      <c r="AA166" s="29"/>
      <c r="AC166" s="393" t="s">
        <v>399</v>
      </c>
      <c r="AD166" s="393" t="s">
        <v>376</v>
      </c>
      <c r="AF166" s="597" t="s">
        <v>646</v>
      </c>
      <c r="AG166" s="386" t="s">
        <v>399</v>
      </c>
      <c r="AH166" s="386" t="s">
        <v>484</v>
      </c>
      <c r="AI166" s="656" t="s">
        <v>549</v>
      </c>
    </row>
    <row r="167" spans="2:35" ht="15.75" customHeight="1" x14ac:dyDescent="0.25">
      <c r="B167" s="642">
        <v>19</v>
      </c>
      <c r="C167" s="38"/>
      <c r="D167" s="28"/>
      <c r="E167" s="29"/>
      <c r="F167" s="30"/>
      <c r="G167" s="31"/>
      <c r="H167" s="27"/>
      <c r="I167" s="32"/>
      <c r="J167" s="30"/>
      <c r="K167" s="30"/>
      <c r="L167" s="30"/>
      <c r="M167" s="30"/>
      <c r="N167" s="30"/>
      <c r="O167" s="643">
        <f t="shared" si="80"/>
        <v>0</v>
      </c>
      <c r="P167" s="644">
        <f t="shared" si="81"/>
        <v>0</v>
      </c>
      <c r="Q167" s="729" t="e">
        <f t="shared" si="89"/>
        <v>#DIV/0!</v>
      </c>
      <c r="R167" s="33"/>
      <c r="S167" s="37"/>
      <c r="T167" s="62">
        <f t="shared" si="82"/>
        <v>0</v>
      </c>
      <c r="U167" s="63">
        <f t="shared" si="83"/>
        <v>0</v>
      </c>
      <c r="V167" s="62">
        <f t="shared" si="84"/>
        <v>0</v>
      </c>
      <c r="W167" s="27"/>
      <c r="X167" s="737">
        <f>IF(W167='References Assumptions'!$C$331,'References Assumptions'!$C$335,0)</f>
        <v>0</v>
      </c>
      <c r="Y167" s="646" t="s">
        <v>399</v>
      </c>
      <c r="Z167" s="647">
        <f t="shared" si="85"/>
        <v>0</v>
      </c>
      <c r="AA167" s="29"/>
      <c r="AB167" s="711" t="s">
        <v>605</v>
      </c>
      <c r="AC167" s="660">
        <f>+AC149+AC153+AC156+AC161</f>
        <v>0</v>
      </c>
      <c r="AD167" s="661">
        <f>+AD149+AD153+AD156+AD161</f>
        <v>0</v>
      </c>
      <c r="AE167" s="662"/>
      <c r="AF167" s="56" t="s">
        <v>647</v>
      </c>
      <c r="AG167" s="55">
        <f>SUMIFS($O$149:$O$173,$D$149:$D$173,AB164,$E$149:$E$173,'References Assumptions'!$C$359)</f>
        <v>0</v>
      </c>
      <c r="AH167" s="55">
        <f>SUMIFS($P$149:$P$173,$D$149:$D$173,AB164,$E$149:$E$173,'References Assumptions'!$C$359)</f>
        <v>0</v>
      </c>
      <c r="AI167" s="599">
        <f>AH167*Percent_Solids</f>
        <v>0</v>
      </c>
    </row>
    <row r="168" spans="2:35" ht="15.75" customHeight="1" x14ac:dyDescent="0.25">
      <c r="B168" s="642">
        <v>20</v>
      </c>
      <c r="C168" s="38"/>
      <c r="D168" s="28"/>
      <c r="E168" s="29"/>
      <c r="F168" s="30"/>
      <c r="G168" s="31"/>
      <c r="H168" s="27"/>
      <c r="I168" s="32"/>
      <c r="J168" s="30"/>
      <c r="K168" s="30"/>
      <c r="L168" s="30"/>
      <c r="M168" s="30"/>
      <c r="N168" s="30"/>
      <c r="O168" s="643">
        <f t="shared" si="80"/>
        <v>0</v>
      </c>
      <c r="P168" s="644">
        <f t="shared" si="81"/>
        <v>0</v>
      </c>
      <c r="Q168" s="729" t="e">
        <f t="shared" si="89"/>
        <v>#DIV/0!</v>
      </c>
      <c r="R168" s="33"/>
      <c r="S168" s="37"/>
      <c r="T168" s="62">
        <f t="shared" si="82"/>
        <v>0</v>
      </c>
      <c r="U168" s="63">
        <f t="shared" si="83"/>
        <v>0</v>
      </c>
      <c r="V168" s="62">
        <f t="shared" si="84"/>
        <v>0</v>
      </c>
      <c r="W168" s="27"/>
      <c r="X168" s="737">
        <f>IF(W168='References Assumptions'!$C$331,'References Assumptions'!$C$335,0)</f>
        <v>0</v>
      </c>
      <c r="Y168" s="646" t="s">
        <v>399</v>
      </c>
      <c r="Z168" s="647">
        <f t="shared" si="85"/>
        <v>0</v>
      </c>
      <c r="AA168" s="29"/>
      <c r="AB168" s="712" t="s">
        <v>444</v>
      </c>
      <c r="AC168" s="664" t="e">
        <f>+AC149/AC167</f>
        <v>#DIV/0!</v>
      </c>
      <c r="AD168" s="664" t="e">
        <f>+AD149/AD167</f>
        <v>#DIV/0!</v>
      </c>
      <c r="AF168" s="56" t="s">
        <v>648</v>
      </c>
      <c r="AG168" s="55" t="e">
        <f>SUMIFS($O$149:$O$173,$D$149:$D$173,AB164,$E$149:$E$173,'References Assumptions'!$C$359)*Percent_Solids/percent_solids_after_biodrying</f>
        <v>#DIV/0!</v>
      </c>
      <c r="AH168" s="55" t="e">
        <f>SUMIFS($P$149:$P$173,$D$149:$D$173,AB164,$E$149:$E$173,'References Assumptions'!$C$359)*Percent_Solids/percent_solids_after_biodrying</f>
        <v>#DIV/0!</v>
      </c>
      <c r="AI168" s="599" t="e">
        <f>AH168*percent_solids_after_biodrying</f>
        <v>#DIV/0!</v>
      </c>
    </row>
    <row r="169" spans="2:35" ht="15.75" customHeight="1" x14ac:dyDescent="0.25">
      <c r="B169" s="642">
        <v>21</v>
      </c>
      <c r="C169" s="38"/>
      <c r="D169" s="28"/>
      <c r="E169" s="29"/>
      <c r="F169" s="30"/>
      <c r="G169" s="31"/>
      <c r="H169" s="27"/>
      <c r="I169" s="32"/>
      <c r="J169" s="30"/>
      <c r="K169" s="30"/>
      <c r="L169" s="30"/>
      <c r="M169" s="30"/>
      <c r="N169" s="30"/>
      <c r="O169" s="643">
        <f t="shared" si="80"/>
        <v>0</v>
      </c>
      <c r="P169" s="644">
        <f t="shared" si="81"/>
        <v>0</v>
      </c>
      <c r="Q169" s="729" t="e">
        <f t="shared" si="89"/>
        <v>#DIV/0!</v>
      </c>
      <c r="R169" s="33"/>
      <c r="S169" s="37"/>
      <c r="T169" s="62">
        <f t="shared" si="82"/>
        <v>0</v>
      </c>
      <c r="U169" s="63">
        <f t="shared" si="83"/>
        <v>0</v>
      </c>
      <c r="V169" s="62">
        <f t="shared" si="84"/>
        <v>0</v>
      </c>
      <c r="W169" s="27"/>
      <c r="X169" s="737">
        <f>IF(W169='References Assumptions'!$C$331,'References Assumptions'!$C$335,0)</f>
        <v>0</v>
      </c>
      <c r="Y169" s="646" t="s">
        <v>399</v>
      </c>
      <c r="Z169" s="647">
        <f t="shared" si="85"/>
        <v>0</v>
      </c>
      <c r="AA169" s="29"/>
      <c r="AB169" s="712" t="s">
        <v>250</v>
      </c>
      <c r="AC169" s="664" t="e">
        <f>+AC153/AC167</f>
        <v>#DIV/0!</v>
      </c>
      <c r="AD169" s="664" t="e">
        <f>+AD153/AD167</f>
        <v>#DIV/0!</v>
      </c>
      <c r="AF169" s="56" t="s">
        <v>649</v>
      </c>
      <c r="AG169" s="55" t="e">
        <f>(SUMIFS($O$149:$O$173,$D$149:$D$173,AB164,$E$149:$E$173,'References Assumptions'!$C$359)*(Percent_Solids/percent_solids_after_biodrying)*(percent_solids_after_biodrying/Percent_Solids_After_Pyrolysis))*(1-Pyrolysis!$L$15)</f>
        <v>#DIV/0!</v>
      </c>
      <c r="AH169" s="55" t="e">
        <f>(SUMIFS($P$149:$P$173,$D$149:$D$173,AB164,$E$149:$E$173,'References Assumptions'!$C$359)*(Percent_Solids/percent_solids_after_biodrying)*(percent_solids_after_biodrying/Percent_Solids_After_Pyrolysis))*(1-Pyrolysis!$L$15)</f>
        <v>#DIV/0!</v>
      </c>
      <c r="AI169" s="598" t="e">
        <f>AH169*Percent_Solids_After_Pyrolysis</f>
        <v>#DIV/0!</v>
      </c>
    </row>
    <row r="170" spans="2:35" ht="15.75" customHeight="1" x14ac:dyDescent="0.25">
      <c r="B170" s="642">
        <v>22</v>
      </c>
      <c r="C170" s="38"/>
      <c r="D170" s="28"/>
      <c r="E170" s="29"/>
      <c r="F170" s="30"/>
      <c r="G170" s="31"/>
      <c r="H170" s="27"/>
      <c r="I170" s="32"/>
      <c r="J170" s="30"/>
      <c r="K170" s="30"/>
      <c r="L170" s="30"/>
      <c r="M170" s="30"/>
      <c r="N170" s="30"/>
      <c r="O170" s="643">
        <f t="shared" si="80"/>
        <v>0</v>
      </c>
      <c r="P170" s="644">
        <f t="shared" si="81"/>
        <v>0</v>
      </c>
      <c r="Q170" s="729" t="e">
        <f t="shared" si="89"/>
        <v>#DIV/0!</v>
      </c>
      <c r="R170" s="33"/>
      <c r="S170" s="37"/>
      <c r="T170" s="62">
        <f t="shared" si="82"/>
        <v>0</v>
      </c>
      <c r="U170" s="63">
        <f t="shared" si="83"/>
        <v>0</v>
      </c>
      <c r="V170" s="62">
        <f t="shared" si="84"/>
        <v>0</v>
      </c>
      <c r="W170" s="27"/>
      <c r="X170" s="737">
        <f>IF(W170='References Assumptions'!$C$331,'References Assumptions'!$C$335,0)</f>
        <v>0</v>
      </c>
      <c r="Y170" s="646" t="s">
        <v>399</v>
      </c>
      <c r="Z170" s="647">
        <f t="shared" si="85"/>
        <v>0</v>
      </c>
      <c r="AA170" s="29"/>
      <c r="AB170" s="712" t="s">
        <v>182</v>
      </c>
      <c r="AC170" s="664" t="e">
        <f>+AC156/AC167</f>
        <v>#DIV/0!</v>
      </c>
      <c r="AD170" s="664" t="e">
        <f>+AD156/AD167</f>
        <v>#DIV/0!</v>
      </c>
      <c r="AF170" s="1253" t="s">
        <v>988</v>
      </c>
      <c r="AG170" s="1253"/>
      <c r="AH170" s="1253"/>
      <c r="AI170" s="75"/>
    </row>
    <row r="171" spans="2:35" ht="15.75" customHeight="1" x14ac:dyDescent="0.25">
      <c r="B171" s="642">
        <v>23</v>
      </c>
      <c r="C171" s="38"/>
      <c r="D171" s="28"/>
      <c r="E171" s="29"/>
      <c r="F171" s="30"/>
      <c r="G171" s="31"/>
      <c r="H171" s="27"/>
      <c r="I171" s="32"/>
      <c r="J171" s="30"/>
      <c r="K171" s="30"/>
      <c r="L171" s="30"/>
      <c r="M171" s="30"/>
      <c r="N171" s="30"/>
      <c r="O171" s="643">
        <f t="shared" si="80"/>
        <v>0</v>
      </c>
      <c r="P171" s="644">
        <f t="shared" si="81"/>
        <v>0</v>
      </c>
      <c r="Q171" s="729" t="e">
        <f t="shared" si="89"/>
        <v>#DIV/0!</v>
      </c>
      <c r="R171" s="33"/>
      <c r="S171" s="37"/>
      <c r="T171" s="62">
        <f t="shared" si="82"/>
        <v>0</v>
      </c>
      <c r="U171" s="63">
        <f t="shared" si="83"/>
        <v>0</v>
      </c>
      <c r="V171" s="62">
        <f t="shared" si="84"/>
        <v>0</v>
      </c>
      <c r="W171" s="27"/>
      <c r="X171" s="737">
        <f>IF(W171='References Assumptions'!$C$331,'References Assumptions'!$C$335,0)</f>
        <v>0</v>
      </c>
      <c r="Y171" s="646" t="s">
        <v>399</v>
      </c>
      <c r="Z171" s="647">
        <f t="shared" si="85"/>
        <v>0</v>
      </c>
      <c r="AA171" s="29"/>
      <c r="AB171" s="712" t="s">
        <v>222</v>
      </c>
      <c r="AC171" s="664" t="e">
        <f>+AC161/AC167</f>
        <v>#DIV/0!</v>
      </c>
      <c r="AD171" s="664" t="e">
        <f>+AD161/AD167</f>
        <v>#DIV/0!</v>
      </c>
      <c r="AF171" s="1253"/>
      <c r="AG171" s="1253"/>
      <c r="AH171" s="1253"/>
      <c r="AI171" s="75"/>
    </row>
    <row r="172" spans="2:35" ht="15.75" customHeight="1" x14ac:dyDescent="0.25">
      <c r="B172" s="642">
        <v>24</v>
      </c>
      <c r="C172" s="38"/>
      <c r="D172" s="28"/>
      <c r="E172" s="29"/>
      <c r="F172" s="30"/>
      <c r="G172" s="31"/>
      <c r="H172" s="27"/>
      <c r="I172" s="32"/>
      <c r="J172" s="30"/>
      <c r="K172" s="30"/>
      <c r="L172" s="30"/>
      <c r="M172" s="30"/>
      <c r="N172" s="30"/>
      <c r="O172" s="643">
        <f t="shared" si="80"/>
        <v>0</v>
      </c>
      <c r="P172" s="644">
        <f t="shared" si="81"/>
        <v>0</v>
      </c>
      <c r="Q172" s="729" t="e">
        <f t="shared" si="89"/>
        <v>#DIV/0!</v>
      </c>
      <c r="R172" s="33"/>
      <c r="S172" s="37"/>
      <c r="T172" s="62">
        <f t="shared" si="82"/>
        <v>0</v>
      </c>
      <c r="U172" s="63">
        <f t="shared" si="83"/>
        <v>0</v>
      </c>
      <c r="V172" s="62">
        <f t="shared" si="84"/>
        <v>0</v>
      </c>
      <c r="W172" s="27"/>
      <c r="X172" s="737">
        <f>IF(W172='References Assumptions'!$C$331,'References Assumptions'!$C$335,0)</f>
        <v>0</v>
      </c>
      <c r="Y172" s="646" t="s">
        <v>399</v>
      </c>
      <c r="Z172" s="647">
        <f t="shared" si="85"/>
        <v>0</v>
      </c>
      <c r="AA172" s="29"/>
      <c r="AB172"/>
      <c r="AC172" s="668"/>
      <c r="AD172" s="668"/>
      <c r="AI172" s="75"/>
    </row>
    <row r="173" spans="2:35" ht="15.75" customHeight="1" thickBot="1" x14ac:dyDescent="0.3">
      <c r="B173" s="669">
        <v>25</v>
      </c>
      <c r="C173" s="38"/>
      <c r="D173" s="28"/>
      <c r="E173" s="29"/>
      <c r="F173" s="30"/>
      <c r="G173" s="31"/>
      <c r="H173" s="27"/>
      <c r="I173" s="32"/>
      <c r="J173" s="34"/>
      <c r="K173" s="34"/>
      <c r="L173" s="34"/>
      <c r="M173" s="34"/>
      <c r="N173" s="34"/>
      <c r="O173" s="643">
        <f t="shared" si="80"/>
        <v>0</v>
      </c>
      <c r="P173" s="644">
        <f t="shared" si="81"/>
        <v>0</v>
      </c>
      <c r="Q173" s="729" t="e">
        <f t="shared" si="89"/>
        <v>#DIV/0!</v>
      </c>
      <c r="R173" s="33"/>
      <c r="S173" s="37"/>
      <c r="T173" s="64">
        <f t="shared" si="82"/>
        <v>0</v>
      </c>
      <c r="U173" s="65">
        <f t="shared" si="83"/>
        <v>0</v>
      </c>
      <c r="V173" s="66">
        <f t="shared" si="84"/>
        <v>0</v>
      </c>
      <c r="W173" s="1145"/>
      <c r="X173" s="739">
        <f>IF(W173='References Assumptions'!$C$331,'References Assumptions'!$C$335,0)</f>
        <v>0</v>
      </c>
      <c r="Y173" s="713" t="s">
        <v>399</v>
      </c>
      <c r="Z173" s="714">
        <f t="shared" si="85"/>
        <v>0</v>
      </c>
      <c r="AA173" s="587"/>
      <c r="AB173" s="133"/>
      <c r="AC173" s="133"/>
      <c r="AD173" s="133"/>
      <c r="AE173" s="133"/>
      <c r="AF173" s="133"/>
      <c r="AG173" s="133"/>
      <c r="AH173" s="133"/>
      <c r="AI173" s="134"/>
    </row>
    <row r="174" spans="2:35" ht="15.75" customHeight="1" thickBot="1" x14ac:dyDescent="0.3">
      <c r="B174" s="674"/>
      <c r="C174" s="675"/>
      <c r="D174" s="53"/>
      <c r="E174" s="641"/>
      <c r="F174" s="676"/>
      <c r="G174" s="53"/>
      <c r="H174" s="677" t="s">
        <v>371</v>
      </c>
      <c r="I174" s="678" t="e">
        <f t="shared" ref="I174:N174" si="93">+I175/$O175</f>
        <v>#DIV/0!</v>
      </c>
      <c r="J174" s="678" t="e">
        <f t="shared" si="93"/>
        <v>#DIV/0!</v>
      </c>
      <c r="K174" s="678" t="e">
        <f t="shared" si="93"/>
        <v>#DIV/0!</v>
      </c>
      <c r="L174" s="678" t="e">
        <f t="shared" si="93"/>
        <v>#DIV/0!</v>
      </c>
      <c r="M174" s="678" t="e">
        <f t="shared" si="93"/>
        <v>#DIV/0!</v>
      </c>
      <c r="N174" s="678" t="e">
        <f t="shared" si="93"/>
        <v>#DIV/0!</v>
      </c>
      <c r="O174" s="678"/>
      <c r="P174" s="53"/>
      <c r="Q174" s="679"/>
      <c r="R174" s="679"/>
      <c r="S174" s="53"/>
      <c r="T174" s="53"/>
      <c r="U174" s="680">
        <v>2</v>
      </c>
      <c r="V174" s="681" t="s">
        <v>395</v>
      </c>
      <c r="W174" s="53"/>
      <c r="X174" s="53"/>
      <c r="Y174" s="53"/>
      <c r="Z174" s="682"/>
      <c r="AA174" s="683"/>
      <c r="AB174" s="657"/>
      <c r="AI174" s="75"/>
    </row>
    <row r="175" spans="2:35" ht="15.75" customHeight="1" thickBot="1" x14ac:dyDescent="0.3">
      <c r="B175" s="685"/>
      <c r="C175" s="686"/>
      <c r="D175" s="687"/>
      <c r="E175" s="688"/>
      <c r="F175" s="689"/>
      <c r="G175" s="687"/>
      <c r="H175" s="690" t="s">
        <v>370</v>
      </c>
      <c r="I175" s="691">
        <f>SUM(I149:I173)</f>
        <v>0</v>
      </c>
      <c r="J175" s="691">
        <f>SUM(J149:J173)</f>
        <v>0</v>
      </c>
      <c r="K175" s="691">
        <f t="shared" ref="K175:P175" si="94">SUM(K149:K173)</f>
        <v>0</v>
      </c>
      <c r="L175" s="691">
        <f t="shared" si="94"/>
        <v>0</v>
      </c>
      <c r="M175" s="691">
        <f t="shared" si="94"/>
        <v>0</v>
      </c>
      <c r="N175" s="691">
        <f t="shared" si="94"/>
        <v>0</v>
      </c>
      <c r="O175" s="691">
        <f t="shared" si="94"/>
        <v>0</v>
      </c>
      <c r="P175" s="691">
        <f t="shared" si="94"/>
        <v>0</v>
      </c>
      <c r="Q175" s="692" t="e">
        <f>SUM(Q149:Q165)</f>
        <v>#DIV/0!</v>
      </c>
      <c r="R175" s="692"/>
      <c r="S175" s="691"/>
      <c r="T175" s="687"/>
      <c r="U175" s="687"/>
      <c r="V175" s="687"/>
      <c r="W175" s="693"/>
      <c r="X175" s="693"/>
      <c r="Y175" s="693"/>
      <c r="Z175" s="694"/>
      <c r="AA175" s="726"/>
      <c r="AB175" s="1269" t="str">
        <f>CONCATENATE(B147," - Total Dry Mg")</f>
        <v>Scenario 6 - Total Dry Mg</v>
      </c>
      <c r="AC175" s="1270"/>
      <c r="AD175" s="1271"/>
      <c r="AE175" s="696">
        <f>+AE149+AE153+AE156+AE161</f>
        <v>0</v>
      </c>
      <c r="AF175" s="133"/>
      <c r="AG175" s="133"/>
      <c r="AH175" s="133"/>
      <c r="AI175" s="134"/>
    </row>
    <row r="176" spans="2:35" ht="21.75" thickBot="1" x14ac:dyDescent="0.4">
      <c r="B176" s="623" t="s">
        <v>456</v>
      </c>
      <c r="C176" s="1021" t="str">
        <f>+'Scenarios Data'!B193</f>
        <v xml:space="preserve"> </v>
      </c>
      <c r="D176" s="1275">
        <f>+'Scenarios Data'!D193:J193</f>
        <v>0</v>
      </c>
      <c r="E176" s="1276"/>
      <c r="F176" s="1276"/>
      <c r="G176" s="1277"/>
      <c r="H176" s="624"/>
      <c r="I176" s="1251" t="s">
        <v>833</v>
      </c>
      <c r="J176" s="1251"/>
      <c r="K176" s="1251"/>
      <c r="L176" s="1251"/>
      <c r="M176" s="1251"/>
      <c r="N176" s="1251"/>
      <c r="O176" s="625"/>
      <c r="P176" s="626"/>
      <c r="Q176" s="624"/>
      <c r="R176" s="624"/>
      <c r="S176" s="1252"/>
      <c r="T176" s="1252"/>
      <c r="U176" s="1252"/>
      <c r="V176" s="1252"/>
      <c r="W176" s="626"/>
      <c r="X176" s="626"/>
      <c r="Y176" s="626"/>
      <c r="Z176" s="626"/>
      <c r="AA176" s="700"/>
      <c r="AB176" s="1237" t="str">
        <f>CONCATENATE(B176," - ",C176," - Totals")</f>
        <v>Scenario 7 -   - Totals</v>
      </c>
      <c r="AC176" s="1238"/>
      <c r="AD176" s="1238"/>
      <c r="AE176" s="1238"/>
      <c r="AF176" s="1238"/>
      <c r="AG176" s="1238"/>
      <c r="AH176" s="1238"/>
      <c r="AI176" s="1239"/>
    </row>
    <row r="177" spans="2:35" ht="45.75" x14ac:dyDescent="0.3">
      <c r="B177" s="627" t="s">
        <v>400</v>
      </c>
      <c r="C177" s="628" t="s">
        <v>539</v>
      </c>
      <c r="D177" s="629" t="s">
        <v>540</v>
      </c>
      <c r="E177" s="630" t="s">
        <v>489</v>
      </c>
      <c r="F177" s="631" t="s">
        <v>667</v>
      </c>
      <c r="G177" s="630" t="s">
        <v>401</v>
      </c>
      <c r="H177" s="632" t="s">
        <v>402</v>
      </c>
      <c r="I177" s="39">
        <v>1</v>
      </c>
      <c r="J177" s="39">
        <v>2</v>
      </c>
      <c r="K177" s="39">
        <v>3</v>
      </c>
      <c r="L177" s="39">
        <v>4</v>
      </c>
      <c r="M177" s="39">
        <v>5</v>
      </c>
      <c r="N177" s="39">
        <v>6</v>
      </c>
      <c r="O177" s="633" t="s">
        <v>397</v>
      </c>
      <c r="P177" s="633" t="s">
        <v>398</v>
      </c>
      <c r="Q177" s="630" t="s">
        <v>538</v>
      </c>
      <c r="R177" s="634" t="s">
        <v>488</v>
      </c>
      <c r="S177" s="635" t="s">
        <v>460</v>
      </c>
      <c r="T177" s="630" t="s">
        <v>461</v>
      </c>
      <c r="U177" s="636" t="s">
        <v>460</v>
      </c>
      <c r="V177" s="637" t="s">
        <v>461</v>
      </c>
      <c r="W177" s="730" t="s">
        <v>481</v>
      </c>
      <c r="X177" s="633" t="s">
        <v>480</v>
      </c>
      <c r="Y177" s="633" t="s">
        <v>482</v>
      </c>
      <c r="Z177" s="731" t="s">
        <v>483</v>
      </c>
      <c r="AA177" s="640" t="s">
        <v>556</v>
      </c>
      <c r="AB177" s="732" t="s">
        <v>546</v>
      </c>
      <c r="AC177" s="53" t="s">
        <v>399</v>
      </c>
      <c r="AD177" s="53" t="s">
        <v>484</v>
      </c>
      <c r="AE177" s="53" t="s">
        <v>549</v>
      </c>
      <c r="AF177" s="52" t="s">
        <v>555</v>
      </c>
      <c r="AG177" s="53" t="s">
        <v>399</v>
      </c>
      <c r="AH177" s="53" t="s">
        <v>484</v>
      </c>
      <c r="AI177" s="641" t="s">
        <v>549</v>
      </c>
    </row>
    <row r="178" spans="2:35" ht="15.75" customHeight="1" x14ac:dyDescent="0.25">
      <c r="B178" s="642">
        <v>1</v>
      </c>
      <c r="C178" s="38"/>
      <c r="D178" s="28"/>
      <c r="E178" s="29"/>
      <c r="F178" s="30"/>
      <c r="G178" s="31"/>
      <c r="H178" s="27"/>
      <c r="I178" s="32"/>
      <c r="J178" s="32"/>
      <c r="K178" s="32"/>
      <c r="L178" s="32"/>
      <c r="M178" s="32"/>
      <c r="N178" s="32"/>
      <c r="O178" s="643">
        <f t="shared" ref="O178:O202" si="95">SUM(I178:N178)</f>
        <v>0</v>
      </c>
      <c r="P178" s="644">
        <f t="shared" ref="P178:P202" si="96">+O178/Mg_ton</f>
        <v>0</v>
      </c>
      <c r="Q178" s="729" t="e">
        <f>P178/$P$204</f>
        <v>#DIV/0!</v>
      </c>
      <c r="R178" s="33"/>
      <c r="S178" s="37"/>
      <c r="T178" s="60">
        <f t="shared" ref="T178:T202" si="97">+S178/km_mile</f>
        <v>0</v>
      </c>
      <c r="U178" s="61">
        <f t="shared" ref="U178:U202" si="98">+S178*$U$29</f>
        <v>0</v>
      </c>
      <c r="V178" s="60">
        <f t="shared" ref="V178:V202" si="99">+U178/km_mile</f>
        <v>0</v>
      </c>
      <c r="W178" s="27"/>
      <c r="X178" s="737">
        <f>IF(W178='References Assumptions'!$C$331,'References Assumptions'!$C$335,0)</f>
        <v>0</v>
      </c>
      <c r="Y178" s="646" t="s">
        <v>399</v>
      </c>
      <c r="Z178" s="647">
        <f t="shared" ref="Z178:Z202" si="100">+X178/Mg_ton</f>
        <v>0</v>
      </c>
      <c r="AA178" s="29"/>
      <c r="AB178" s="54" t="s">
        <v>444</v>
      </c>
      <c r="AC178" s="648">
        <f>SUMIF($D$178:$D$202,AB178,$O$178:$O$202)</f>
        <v>0</v>
      </c>
      <c r="AD178" s="648">
        <f>SUMIF($D$178:$D$202,AB178,$P$178:$P$202)</f>
        <v>0</v>
      </c>
      <c r="AE178" s="50">
        <f>AD178*(Mean_solids)</f>
        <v>0</v>
      </c>
      <c r="AF178" s="733" t="s">
        <v>503</v>
      </c>
      <c r="AG178" s="648">
        <f>SUMIFS($O$178:$O$202,$D$178:$D$202,AB178,$E$178:$E$202,AF178)</f>
        <v>0</v>
      </c>
      <c r="AH178" s="648">
        <f t="shared" ref="AH178:AH184" si="101">SUMIFS($P$178:$P$202,$D$178:$D$202,AB178,$E$178:$E$202,AF178)</f>
        <v>0</v>
      </c>
      <c r="AI178" s="49">
        <f t="shared" ref="AI178:AI185" si="102">AH178*(Mean_solids)</f>
        <v>0</v>
      </c>
    </row>
    <row r="179" spans="2:35" ht="15.75" customHeight="1" x14ac:dyDescent="0.25">
      <c r="B179" s="642">
        <v>2</v>
      </c>
      <c r="C179" s="38"/>
      <c r="D179" s="28"/>
      <c r="E179" s="29"/>
      <c r="F179" s="30"/>
      <c r="G179" s="31"/>
      <c r="H179" s="27"/>
      <c r="I179" s="32"/>
      <c r="J179" s="36"/>
      <c r="K179" s="36"/>
      <c r="L179" s="36"/>
      <c r="M179" s="36"/>
      <c r="N179" s="36"/>
      <c r="O179" s="643">
        <f t="shared" si="95"/>
        <v>0</v>
      </c>
      <c r="P179" s="644">
        <f t="shared" si="96"/>
        <v>0</v>
      </c>
      <c r="Q179" s="729" t="e">
        <f t="shared" ref="Q179:Q202" si="103">P179/$P$204</f>
        <v>#DIV/0!</v>
      </c>
      <c r="R179" s="33"/>
      <c r="S179" s="37"/>
      <c r="T179" s="60">
        <f t="shared" si="97"/>
        <v>0</v>
      </c>
      <c r="U179" s="61">
        <f t="shared" si="98"/>
        <v>0</v>
      </c>
      <c r="V179" s="60">
        <f t="shared" si="99"/>
        <v>0</v>
      </c>
      <c r="W179" s="27"/>
      <c r="X179" s="737">
        <f>IF(W179='References Assumptions'!$C$331,'References Assumptions'!$C$335,0)</f>
        <v>0</v>
      </c>
      <c r="Y179" s="646" t="s">
        <v>399</v>
      </c>
      <c r="Z179" s="647">
        <f t="shared" si="100"/>
        <v>0</v>
      </c>
      <c r="AA179" s="29"/>
      <c r="AB179" s="54" t="s">
        <v>444</v>
      </c>
      <c r="AC179" s="1242"/>
      <c r="AD179" s="1243"/>
      <c r="AE179" s="1244"/>
      <c r="AF179" s="733" t="s">
        <v>504</v>
      </c>
      <c r="AG179" s="648">
        <f t="shared" ref="AG179:AG184" si="104">SUMIFS($O$178:$O$202,$D$178:$D$202,AB179,$E$178:$E$202,AF179)</f>
        <v>0</v>
      </c>
      <c r="AH179" s="648">
        <f t="shared" si="101"/>
        <v>0</v>
      </c>
      <c r="AI179" s="49">
        <f t="shared" si="102"/>
        <v>0</v>
      </c>
    </row>
    <row r="180" spans="2:35" ht="15.75" customHeight="1" x14ac:dyDescent="0.25">
      <c r="B180" s="642">
        <v>3</v>
      </c>
      <c r="C180" s="38"/>
      <c r="D180" s="28"/>
      <c r="E180" s="29"/>
      <c r="F180" s="30"/>
      <c r="G180" s="31"/>
      <c r="H180" s="27"/>
      <c r="I180" s="32"/>
      <c r="J180" s="36"/>
      <c r="K180" s="36"/>
      <c r="L180" s="36"/>
      <c r="M180" s="36"/>
      <c r="N180" s="36"/>
      <c r="O180" s="643">
        <f t="shared" si="95"/>
        <v>0</v>
      </c>
      <c r="P180" s="644">
        <f t="shared" si="96"/>
        <v>0</v>
      </c>
      <c r="Q180" s="729" t="e">
        <f t="shared" si="103"/>
        <v>#DIV/0!</v>
      </c>
      <c r="R180" s="33"/>
      <c r="S180" s="37"/>
      <c r="T180" s="60">
        <f t="shared" si="97"/>
        <v>0</v>
      </c>
      <c r="U180" s="61">
        <f t="shared" si="98"/>
        <v>0</v>
      </c>
      <c r="V180" s="60">
        <f t="shared" si="99"/>
        <v>0</v>
      </c>
      <c r="W180" s="27"/>
      <c r="X180" s="737">
        <f>IF(W180='References Assumptions'!$C$331,'References Assumptions'!$C$335,0)</f>
        <v>0</v>
      </c>
      <c r="Y180" s="646" t="s">
        <v>399</v>
      </c>
      <c r="Z180" s="647">
        <f t="shared" si="100"/>
        <v>0</v>
      </c>
      <c r="AA180" s="29"/>
      <c r="AB180" s="54" t="s">
        <v>444</v>
      </c>
      <c r="AC180" s="1245"/>
      <c r="AD180" s="1246"/>
      <c r="AE180" s="1247"/>
      <c r="AF180" s="733" t="s">
        <v>505</v>
      </c>
      <c r="AG180" s="648">
        <f t="shared" si="104"/>
        <v>0</v>
      </c>
      <c r="AH180" s="648">
        <f t="shared" si="101"/>
        <v>0</v>
      </c>
      <c r="AI180" s="49">
        <f t="shared" si="102"/>
        <v>0</v>
      </c>
    </row>
    <row r="181" spans="2:35" ht="15.75" customHeight="1" x14ac:dyDescent="0.25">
      <c r="B181" s="642">
        <v>4</v>
      </c>
      <c r="C181" s="38"/>
      <c r="D181" s="28"/>
      <c r="E181" s="29"/>
      <c r="F181" s="30"/>
      <c r="G181" s="31"/>
      <c r="H181" s="27"/>
      <c r="I181" s="32"/>
      <c r="J181" s="36"/>
      <c r="K181" s="36"/>
      <c r="L181" s="36"/>
      <c r="M181" s="36"/>
      <c r="N181" s="36"/>
      <c r="O181" s="643">
        <f t="shared" si="95"/>
        <v>0</v>
      </c>
      <c r="P181" s="644">
        <f t="shared" si="96"/>
        <v>0</v>
      </c>
      <c r="Q181" s="729" t="e">
        <f t="shared" si="103"/>
        <v>#DIV/0!</v>
      </c>
      <c r="R181" s="33"/>
      <c r="S181" s="37"/>
      <c r="T181" s="60">
        <f t="shared" si="97"/>
        <v>0</v>
      </c>
      <c r="U181" s="61">
        <f t="shared" si="98"/>
        <v>0</v>
      </c>
      <c r="V181" s="60">
        <f t="shared" si="99"/>
        <v>0</v>
      </c>
      <c r="W181" s="27"/>
      <c r="X181" s="737">
        <f>IF(W181='References Assumptions'!$C$331,'References Assumptions'!$C$335,0)</f>
        <v>0</v>
      </c>
      <c r="Y181" s="646" t="s">
        <v>399</v>
      </c>
      <c r="Z181" s="647">
        <f t="shared" si="100"/>
        <v>0</v>
      </c>
      <c r="AA181" s="29"/>
      <c r="AB181" s="54" t="s">
        <v>444</v>
      </c>
      <c r="AC181" s="1248"/>
      <c r="AD181" s="1249"/>
      <c r="AE181" s="1250"/>
      <c r="AF181" s="733" t="s">
        <v>547</v>
      </c>
      <c r="AG181" s="648">
        <f t="shared" si="104"/>
        <v>0</v>
      </c>
      <c r="AH181" s="648">
        <f t="shared" si="101"/>
        <v>0</v>
      </c>
      <c r="AI181" s="49">
        <f t="shared" si="102"/>
        <v>0</v>
      </c>
    </row>
    <row r="182" spans="2:35" ht="15.75" customHeight="1" x14ac:dyDescent="0.25">
      <c r="B182" s="642">
        <v>5</v>
      </c>
      <c r="C182" s="38"/>
      <c r="D182" s="28"/>
      <c r="E182" s="29"/>
      <c r="F182" s="30"/>
      <c r="G182" s="31"/>
      <c r="H182" s="27"/>
      <c r="I182" s="32"/>
      <c r="J182" s="36"/>
      <c r="K182" s="36"/>
      <c r="L182" s="36"/>
      <c r="M182" s="36"/>
      <c r="N182" s="36"/>
      <c r="O182" s="643">
        <f t="shared" si="95"/>
        <v>0</v>
      </c>
      <c r="P182" s="644">
        <f t="shared" si="96"/>
        <v>0</v>
      </c>
      <c r="Q182" s="729" t="e">
        <f t="shared" si="103"/>
        <v>#DIV/0!</v>
      </c>
      <c r="R182" s="33"/>
      <c r="S182" s="37"/>
      <c r="T182" s="60">
        <f t="shared" si="97"/>
        <v>0</v>
      </c>
      <c r="U182" s="61">
        <f t="shared" si="98"/>
        <v>0</v>
      </c>
      <c r="V182" s="60">
        <f t="shared" si="99"/>
        <v>0</v>
      </c>
      <c r="W182" s="27"/>
      <c r="X182" s="737">
        <f>IF(W182='References Assumptions'!$C$331,'References Assumptions'!$C$335,0)</f>
        <v>0</v>
      </c>
      <c r="Y182" s="646" t="s">
        <v>399</v>
      </c>
      <c r="Z182" s="647">
        <f t="shared" si="100"/>
        <v>0</v>
      </c>
      <c r="AA182" s="29"/>
      <c r="AB182" s="54" t="s">
        <v>250</v>
      </c>
      <c r="AC182" s="648">
        <f>SUMIF($D$178:$D$202,AB182,$O$178:$O$202)</f>
        <v>0</v>
      </c>
      <c r="AD182" s="648">
        <f>SUMIF($D$178:$D$202,AB182,$P$178:$P$202)</f>
        <v>0</v>
      </c>
      <c r="AE182" s="50">
        <f>AD182*(Mean_solids)</f>
        <v>0</v>
      </c>
      <c r="AF182" s="733" t="s">
        <v>487</v>
      </c>
      <c r="AG182" s="648">
        <f t="shared" si="104"/>
        <v>0</v>
      </c>
      <c r="AH182" s="648">
        <f t="shared" si="101"/>
        <v>0</v>
      </c>
      <c r="AI182" s="49">
        <f t="shared" si="102"/>
        <v>0</v>
      </c>
    </row>
    <row r="183" spans="2:35" ht="15.75" customHeight="1" x14ac:dyDescent="0.25">
      <c r="B183" s="642">
        <v>6</v>
      </c>
      <c r="C183" s="38"/>
      <c r="D183" s="28"/>
      <c r="E183" s="29"/>
      <c r="F183" s="30"/>
      <c r="G183" s="31"/>
      <c r="H183" s="27"/>
      <c r="I183" s="32"/>
      <c r="J183" s="36"/>
      <c r="K183" s="36"/>
      <c r="L183" s="36"/>
      <c r="M183" s="36"/>
      <c r="N183" s="36"/>
      <c r="O183" s="643">
        <f t="shared" si="95"/>
        <v>0</v>
      </c>
      <c r="P183" s="644">
        <f t="shared" si="96"/>
        <v>0</v>
      </c>
      <c r="Q183" s="729" t="e">
        <f t="shared" si="103"/>
        <v>#DIV/0!</v>
      </c>
      <c r="R183" s="33"/>
      <c r="S183" s="37"/>
      <c r="T183" s="60">
        <f t="shared" si="97"/>
        <v>0</v>
      </c>
      <c r="U183" s="61">
        <f t="shared" si="98"/>
        <v>0</v>
      </c>
      <c r="V183" s="60">
        <f t="shared" si="99"/>
        <v>0</v>
      </c>
      <c r="W183" s="27"/>
      <c r="X183" s="737">
        <f>IF(W183='References Assumptions'!$C$331,'References Assumptions'!$C$335,0)</f>
        <v>0</v>
      </c>
      <c r="Y183" s="646" t="s">
        <v>399</v>
      </c>
      <c r="Z183" s="647">
        <f t="shared" si="100"/>
        <v>0</v>
      </c>
      <c r="AA183" s="29"/>
      <c r="AB183" s="54" t="s">
        <v>250</v>
      </c>
      <c r="AC183" s="1242"/>
      <c r="AD183" s="1243"/>
      <c r="AE183" s="1244"/>
      <c r="AF183" s="733" t="s">
        <v>90</v>
      </c>
      <c r="AG183" s="648">
        <f t="shared" si="104"/>
        <v>0</v>
      </c>
      <c r="AH183" s="648">
        <f t="shared" si="101"/>
        <v>0</v>
      </c>
      <c r="AI183" s="49">
        <f t="shared" si="102"/>
        <v>0</v>
      </c>
    </row>
    <row r="184" spans="2:35" ht="15.75" customHeight="1" x14ac:dyDescent="0.25">
      <c r="B184" s="642">
        <v>7</v>
      </c>
      <c r="C184" s="38"/>
      <c r="D184" s="28"/>
      <c r="E184" s="29"/>
      <c r="F184" s="30"/>
      <c r="G184" s="31"/>
      <c r="H184" s="27"/>
      <c r="I184" s="32"/>
      <c r="J184" s="36"/>
      <c r="K184" s="36"/>
      <c r="L184" s="36"/>
      <c r="M184" s="36"/>
      <c r="N184" s="36"/>
      <c r="O184" s="643">
        <f t="shared" si="95"/>
        <v>0</v>
      </c>
      <c r="P184" s="644">
        <f t="shared" si="96"/>
        <v>0</v>
      </c>
      <c r="Q184" s="729" t="e">
        <f t="shared" si="103"/>
        <v>#DIV/0!</v>
      </c>
      <c r="R184" s="33"/>
      <c r="S184" s="37"/>
      <c r="T184" s="60">
        <f t="shared" si="97"/>
        <v>0</v>
      </c>
      <c r="U184" s="61">
        <f t="shared" si="98"/>
        <v>0</v>
      </c>
      <c r="V184" s="60">
        <f t="shared" si="99"/>
        <v>0</v>
      </c>
      <c r="W184" s="27"/>
      <c r="X184" s="737">
        <f>IF(W184='References Assumptions'!$C$331,'References Assumptions'!$C$335,0)</f>
        <v>0</v>
      </c>
      <c r="Y184" s="646" t="s">
        <v>399</v>
      </c>
      <c r="Z184" s="647">
        <f t="shared" si="100"/>
        <v>0</v>
      </c>
      <c r="AA184" s="29"/>
      <c r="AB184" s="54" t="s">
        <v>250</v>
      </c>
      <c r="AC184" s="1248"/>
      <c r="AD184" s="1249"/>
      <c r="AE184" s="1250"/>
      <c r="AF184" s="733" t="s">
        <v>176</v>
      </c>
      <c r="AG184" s="648">
        <f t="shared" si="104"/>
        <v>0</v>
      </c>
      <c r="AH184" s="648">
        <f t="shared" si="101"/>
        <v>0</v>
      </c>
      <c r="AI184" s="49">
        <f t="shared" si="102"/>
        <v>0</v>
      </c>
    </row>
    <row r="185" spans="2:35" ht="15.75" customHeight="1" x14ac:dyDescent="0.25">
      <c r="B185" s="642">
        <v>8</v>
      </c>
      <c r="C185" s="38"/>
      <c r="D185" s="28"/>
      <c r="E185" s="29"/>
      <c r="F185" s="30"/>
      <c r="G185" s="31"/>
      <c r="H185" s="27"/>
      <c r="I185" s="32"/>
      <c r="J185" s="36"/>
      <c r="K185" s="36"/>
      <c r="L185" s="36"/>
      <c r="M185" s="36"/>
      <c r="N185" s="36"/>
      <c r="O185" s="643">
        <f t="shared" si="95"/>
        <v>0</v>
      </c>
      <c r="P185" s="644">
        <f t="shared" si="96"/>
        <v>0</v>
      </c>
      <c r="Q185" s="729" t="e">
        <f t="shared" si="103"/>
        <v>#DIV/0!</v>
      </c>
      <c r="R185" s="33"/>
      <c r="S185" s="37"/>
      <c r="T185" s="60">
        <f t="shared" si="97"/>
        <v>0</v>
      </c>
      <c r="U185" s="61">
        <f t="shared" si="98"/>
        <v>0</v>
      </c>
      <c r="V185" s="60">
        <f t="shared" si="99"/>
        <v>0</v>
      </c>
      <c r="W185" s="27"/>
      <c r="X185" s="737">
        <f>IF(W185='References Assumptions'!$C$331,'References Assumptions'!$C$335,0)</f>
        <v>0</v>
      </c>
      <c r="Y185" s="646" t="s">
        <v>399</v>
      </c>
      <c r="Z185" s="647">
        <f t="shared" si="100"/>
        <v>0</v>
      </c>
      <c r="AA185" s="29"/>
      <c r="AB185" s="54" t="s">
        <v>548</v>
      </c>
      <c r="AC185" s="648">
        <f>SUMIF($D$178:$D$202,AB185,$O$178:$O$202)</f>
        <v>0</v>
      </c>
      <c r="AD185" s="648">
        <f>SUMIF($D$178:$D$202,AB185,$P$178:$P$202)</f>
        <v>0</v>
      </c>
      <c r="AE185" s="50">
        <f>AD185*(Mean_solids)</f>
        <v>0</v>
      </c>
      <c r="AF185" s="56" t="s">
        <v>592</v>
      </c>
      <c r="AG185" s="648">
        <f>SUMIFS($O$178:$O$202,$D$178:$D$202,AB185,$E$178:$E$202,'References Assumptions'!$C$352)</f>
        <v>0</v>
      </c>
      <c r="AH185" s="648">
        <f>SUMIFS($P$178:$P$202,$D$178:$D$202,AB185,$E$178:$E$202,'References Assumptions'!$C$352)</f>
        <v>0</v>
      </c>
      <c r="AI185" s="49">
        <f t="shared" si="102"/>
        <v>0</v>
      </c>
    </row>
    <row r="186" spans="2:35" ht="15.75" customHeight="1" x14ac:dyDescent="0.25">
      <c r="B186" s="642">
        <v>9</v>
      </c>
      <c r="C186" s="38"/>
      <c r="D186" s="28"/>
      <c r="E186" s="29"/>
      <c r="F186" s="30"/>
      <c r="G186" s="31"/>
      <c r="H186" s="27"/>
      <c r="I186" s="32"/>
      <c r="J186" s="36"/>
      <c r="K186" s="36"/>
      <c r="L186" s="36"/>
      <c r="M186" s="36"/>
      <c r="N186" s="36"/>
      <c r="O186" s="643">
        <f t="shared" si="95"/>
        <v>0</v>
      </c>
      <c r="P186" s="644">
        <f t="shared" si="96"/>
        <v>0</v>
      </c>
      <c r="Q186" s="729" t="e">
        <f t="shared" si="103"/>
        <v>#DIV/0!</v>
      </c>
      <c r="R186" s="33"/>
      <c r="S186" s="37"/>
      <c r="T186" s="60">
        <f t="shared" si="97"/>
        <v>0</v>
      </c>
      <c r="U186" s="61">
        <f t="shared" si="98"/>
        <v>0</v>
      </c>
      <c r="V186" s="60">
        <f t="shared" si="99"/>
        <v>0</v>
      </c>
      <c r="W186" s="27"/>
      <c r="X186" s="737">
        <f>IF(W186='References Assumptions'!$C$331,'References Assumptions'!$C$335,0)</f>
        <v>0</v>
      </c>
      <c r="Y186" s="646" t="s">
        <v>399</v>
      </c>
      <c r="Z186" s="647">
        <f t="shared" si="100"/>
        <v>0</v>
      </c>
      <c r="AA186" s="29"/>
      <c r="AB186" s="54" t="s">
        <v>548</v>
      </c>
      <c r="AC186" s="1240"/>
      <c r="AD186" s="1240"/>
      <c r="AE186" s="1240"/>
      <c r="AF186" s="56" t="s">
        <v>593</v>
      </c>
      <c r="AG186" s="648" t="e">
        <f>SUMIFS($O$178:$O$202,$D$178:$D$202,AB186,$E$178:$E$202,'References Assumptions'!$C$352)*'Thermal Drying'!$N$7/percent_solids_after_thermal_drying</f>
        <v>#DIV/0!</v>
      </c>
      <c r="AH186" s="648" t="e">
        <f>SUMIFS($P$178:$P$202,$D$178:$D$202,AB186,$E$178:$E$202,'References Assumptions'!$C$352)*'Thermal Drying'!$N$7/percent_solids_after_thermal_drying</f>
        <v>#DIV/0!</v>
      </c>
      <c r="AI186" s="49" t="e">
        <f>+AH186*percent_solids_after_thermal_drying</f>
        <v>#DIV/0!</v>
      </c>
    </row>
    <row r="187" spans="2:35" ht="15.75" customHeight="1" x14ac:dyDescent="0.25">
      <c r="B187" s="642">
        <v>10</v>
      </c>
      <c r="C187" s="38"/>
      <c r="D187" s="28"/>
      <c r="E187" s="29"/>
      <c r="F187" s="30"/>
      <c r="G187" s="31"/>
      <c r="H187" s="27"/>
      <c r="I187" s="32"/>
      <c r="J187" s="36"/>
      <c r="K187" s="36"/>
      <c r="L187" s="36"/>
      <c r="M187" s="36"/>
      <c r="N187" s="36"/>
      <c r="O187" s="643">
        <f t="shared" si="95"/>
        <v>0</v>
      </c>
      <c r="P187" s="644">
        <f t="shared" si="96"/>
        <v>0</v>
      </c>
      <c r="Q187" s="729" t="e">
        <f t="shared" si="103"/>
        <v>#DIV/0!</v>
      </c>
      <c r="R187" s="33"/>
      <c r="S187" s="37"/>
      <c r="T187" s="60">
        <f t="shared" si="97"/>
        <v>0</v>
      </c>
      <c r="U187" s="61">
        <f t="shared" si="98"/>
        <v>0</v>
      </c>
      <c r="V187" s="60">
        <f t="shared" si="99"/>
        <v>0</v>
      </c>
      <c r="W187" s="27"/>
      <c r="X187" s="737">
        <f>IF(W187='References Assumptions'!$C$331,'References Assumptions'!$C$335,0)</f>
        <v>0</v>
      </c>
      <c r="Y187" s="646" t="s">
        <v>399</v>
      </c>
      <c r="Z187" s="647">
        <f t="shared" si="100"/>
        <v>0</v>
      </c>
      <c r="AA187" s="29"/>
      <c r="AB187" s="54" t="s">
        <v>548</v>
      </c>
      <c r="AC187" s="1198"/>
      <c r="AD187" s="1198"/>
      <c r="AE187" s="1198"/>
      <c r="AF187" s="56" t="s">
        <v>608</v>
      </c>
      <c r="AG187" s="648">
        <f t="shared" ref="AG187:AG188" si="105">SUMIFS($O$178:$O$202,$D$178:$D$202,AB187,$E$178:$E$202,AF187)</f>
        <v>0</v>
      </c>
      <c r="AH187" s="648">
        <f t="shared" ref="AH187:AH188" si="106">SUMIFS($P$178:$P$202,$D$178:$D$202,AB187,$E$178:$E$202,AF187)</f>
        <v>0</v>
      </c>
      <c r="AI187" s="49">
        <f t="shared" ref="AI187:AI188" si="107">AH187*(Mean_solids)</f>
        <v>0</v>
      </c>
    </row>
    <row r="188" spans="2:35" ht="15.75" customHeight="1" x14ac:dyDescent="0.25">
      <c r="B188" s="642">
        <v>11</v>
      </c>
      <c r="C188" s="38"/>
      <c r="D188" s="28"/>
      <c r="E188" s="29"/>
      <c r="F188" s="30"/>
      <c r="G188" s="31"/>
      <c r="H188" s="27"/>
      <c r="I188" s="32"/>
      <c r="J188" s="36"/>
      <c r="K188" s="36"/>
      <c r="L188" s="36"/>
      <c r="M188" s="36"/>
      <c r="N188" s="36"/>
      <c r="O188" s="643">
        <f t="shared" si="95"/>
        <v>0</v>
      </c>
      <c r="P188" s="644">
        <f t="shared" si="96"/>
        <v>0</v>
      </c>
      <c r="Q188" s="729" t="e">
        <f t="shared" si="103"/>
        <v>#DIV/0!</v>
      </c>
      <c r="R188" s="33"/>
      <c r="S188" s="37"/>
      <c r="T188" s="60">
        <f t="shared" si="97"/>
        <v>0</v>
      </c>
      <c r="U188" s="61">
        <f t="shared" si="98"/>
        <v>0</v>
      </c>
      <c r="V188" s="60">
        <f t="shared" si="99"/>
        <v>0</v>
      </c>
      <c r="W188" s="27"/>
      <c r="X188" s="737">
        <f>IF(W188='References Assumptions'!$C$331,'References Assumptions'!$C$335,0)</f>
        <v>0</v>
      </c>
      <c r="Y188" s="646" t="s">
        <v>399</v>
      </c>
      <c r="Z188" s="647">
        <f t="shared" si="100"/>
        <v>0</v>
      </c>
      <c r="AA188" s="29"/>
      <c r="AB188" s="54" t="s">
        <v>548</v>
      </c>
      <c r="AC188" s="1198"/>
      <c r="AD188" s="1198"/>
      <c r="AE188" s="1198"/>
      <c r="AF188" s="56" t="s">
        <v>609</v>
      </c>
      <c r="AG188" s="648">
        <f t="shared" si="105"/>
        <v>0</v>
      </c>
      <c r="AH188" s="648">
        <f t="shared" si="106"/>
        <v>0</v>
      </c>
      <c r="AI188" s="49">
        <f t="shared" si="107"/>
        <v>0</v>
      </c>
    </row>
    <row r="189" spans="2:35" ht="15.75" customHeight="1" x14ac:dyDescent="0.25">
      <c r="B189" s="642">
        <v>12</v>
      </c>
      <c r="C189" s="38"/>
      <c r="D189" s="28"/>
      <c r="E189" s="29"/>
      <c r="F189" s="30"/>
      <c r="G189" s="31"/>
      <c r="H189" s="27"/>
      <c r="I189" s="32"/>
      <c r="J189" s="36"/>
      <c r="K189" s="36"/>
      <c r="L189" s="36"/>
      <c r="M189" s="36"/>
      <c r="N189" s="36"/>
      <c r="O189" s="643">
        <f t="shared" si="95"/>
        <v>0</v>
      </c>
      <c r="P189" s="644">
        <f t="shared" si="96"/>
        <v>0</v>
      </c>
      <c r="Q189" s="729" t="e">
        <f t="shared" si="103"/>
        <v>#DIV/0!</v>
      </c>
      <c r="R189" s="33"/>
      <c r="S189" s="37"/>
      <c r="T189" s="60">
        <f t="shared" si="97"/>
        <v>0</v>
      </c>
      <c r="U189" s="61">
        <f t="shared" si="98"/>
        <v>0</v>
      </c>
      <c r="V189" s="60">
        <f t="shared" si="99"/>
        <v>0</v>
      </c>
      <c r="W189" s="27"/>
      <c r="X189" s="737">
        <f>IF(W189='References Assumptions'!$C$331,'References Assumptions'!$C$335,0)</f>
        <v>0</v>
      </c>
      <c r="Y189" s="646" t="s">
        <v>399</v>
      </c>
      <c r="Z189" s="647">
        <f t="shared" si="100"/>
        <v>0</v>
      </c>
      <c r="AA189" s="29"/>
      <c r="AB189" s="54" t="s">
        <v>548</v>
      </c>
      <c r="AC189" s="1241"/>
      <c r="AD189" s="1241"/>
      <c r="AE189" s="1241"/>
      <c r="AF189" s="1190" t="s">
        <v>987</v>
      </c>
      <c r="AG189" s="648" t="e">
        <f>(SUMIFS($O$178:$O$202,$D$178:$D$202,AB189,$E$178:$E$202,AF189)*(Percent_Solids/percent_solids_after_biodrying)*(percent_solids_after_biodrying/Percent_Solids_After_Pyrolysis))*(1-Pyrolysis!$N$15)</f>
        <v>#DIV/0!</v>
      </c>
      <c r="AH189" s="648" t="e">
        <f>(SUMIFS($P$178:$P$202,$D$178:$D$202,AB189,$E$178:$E$202,AF189)*(Percent_Solids/percent_solids_after_biodrying)*(percent_solids_after_biodrying/Percent_Solids_After_Pyrolysis))*(1-Pyrolysis!$N$15)</f>
        <v>#DIV/0!</v>
      </c>
      <c r="AI189" s="598" t="e">
        <f>AH189*Percent_Solids_After_Pyrolysis</f>
        <v>#DIV/0!</v>
      </c>
    </row>
    <row r="190" spans="2:35" ht="15.75" customHeight="1" x14ac:dyDescent="0.25">
      <c r="B190" s="642">
        <v>13</v>
      </c>
      <c r="C190" s="38"/>
      <c r="D190" s="28"/>
      <c r="E190" s="29"/>
      <c r="F190" s="30"/>
      <c r="G190" s="31"/>
      <c r="H190" s="27"/>
      <c r="I190" s="32"/>
      <c r="J190" s="36"/>
      <c r="K190" s="36"/>
      <c r="L190" s="36"/>
      <c r="M190" s="36"/>
      <c r="N190" s="36"/>
      <c r="O190" s="643">
        <f t="shared" si="95"/>
        <v>0</v>
      </c>
      <c r="P190" s="644">
        <f t="shared" si="96"/>
        <v>0</v>
      </c>
      <c r="Q190" s="729" t="e">
        <f t="shared" si="103"/>
        <v>#DIV/0!</v>
      </c>
      <c r="R190" s="33"/>
      <c r="S190" s="37"/>
      <c r="T190" s="60">
        <f t="shared" si="97"/>
        <v>0</v>
      </c>
      <c r="U190" s="61">
        <f t="shared" si="98"/>
        <v>0</v>
      </c>
      <c r="V190" s="60">
        <f t="shared" si="99"/>
        <v>0</v>
      </c>
      <c r="W190" s="27"/>
      <c r="X190" s="737">
        <f>IF(W190='References Assumptions'!$C$331,'References Assumptions'!$C$335,0)</f>
        <v>0</v>
      </c>
      <c r="Y190" s="646" t="s">
        <v>399</v>
      </c>
      <c r="Z190" s="647">
        <f t="shared" si="100"/>
        <v>0</v>
      </c>
      <c r="AA190" s="29"/>
      <c r="AB190" s="54" t="s">
        <v>222</v>
      </c>
      <c r="AC190" s="648">
        <f>SUMIF($D$178:$D$202,AB190,$O$178:$O$202)</f>
        <v>0</v>
      </c>
      <c r="AD190" s="648">
        <f>SUMIF($D$178:$D$202,AB190,$P$178:$P$202)</f>
        <v>0</v>
      </c>
      <c r="AE190" s="50">
        <f>AD190*(Mean_solids)</f>
        <v>0</v>
      </c>
      <c r="AF190" s="733" t="s">
        <v>496</v>
      </c>
      <c r="AG190" s="648">
        <f>SUMIFS($O$178:$O$202,$D$178:$D$202,AB190,$E$178:$E$202,AF190)</f>
        <v>0</v>
      </c>
      <c r="AH190" s="648">
        <f>SUMIFS($P$178:$P$202,$D$178:$D$202,AB190,$E$178:$E$202,AF190)</f>
        <v>0</v>
      </c>
      <c r="AI190" s="49">
        <f>AH190*(Mean_solids)</f>
        <v>0</v>
      </c>
    </row>
    <row r="191" spans="2:35" ht="15.75" customHeight="1" x14ac:dyDescent="0.25">
      <c r="B191" s="642">
        <v>14</v>
      </c>
      <c r="C191" s="38"/>
      <c r="D191" s="28"/>
      <c r="E191" s="29"/>
      <c r="F191" s="30"/>
      <c r="G191" s="31"/>
      <c r="H191" s="27"/>
      <c r="I191" s="32"/>
      <c r="J191" s="36"/>
      <c r="K191" s="36"/>
      <c r="L191" s="36"/>
      <c r="M191" s="36"/>
      <c r="N191" s="36"/>
      <c r="O191" s="643">
        <f t="shared" si="95"/>
        <v>0</v>
      </c>
      <c r="P191" s="644">
        <f t="shared" si="96"/>
        <v>0</v>
      </c>
      <c r="Q191" s="729" t="e">
        <f t="shared" si="103"/>
        <v>#DIV/0!</v>
      </c>
      <c r="R191" s="33"/>
      <c r="S191" s="37"/>
      <c r="T191" s="60">
        <f t="shared" si="97"/>
        <v>0</v>
      </c>
      <c r="U191" s="61">
        <f t="shared" si="98"/>
        <v>0</v>
      </c>
      <c r="V191" s="60">
        <f t="shared" si="99"/>
        <v>0</v>
      </c>
      <c r="W191" s="27"/>
      <c r="X191" s="737">
        <f>IF(W191='References Assumptions'!$C$331,'References Assumptions'!$C$335,0)</f>
        <v>0</v>
      </c>
      <c r="Y191" s="646" t="s">
        <v>399</v>
      </c>
      <c r="Z191" s="647">
        <f t="shared" si="100"/>
        <v>0</v>
      </c>
      <c r="AA191" s="29"/>
      <c r="AB191" s="54" t="s">
        <v>222</v>
      </c>
      <c r="AC191" s="1242"/>
      <c r="AD191" s="1243"/>
      <c r="AE191" s="1244"/>
      <c r="AF191" s="733" t="s">
        <v>497</v>
      </c>
      <c r="AG191" s="648">
        <f>SUMIFS($O$178:$O$202,$D$178:$D$202,AB191,$E$178:$E$202,AF191)</f>
        <v>0</v>
      </c>
      <c r="AH191" s="648">
        <f>SUMIFS($P$178:$P$202,$D$178:$D$202,AB191,$E$178:$E$202,AF191)</f>
        <v>0</v>
      </c>
      <c r="AI191" s="49">
        <f>AH191*(Mean_solids)</f>
        <v>0</v>
      </c>
    </row>
    <row r="192" spans="2:35" ht="15.75" customHeight="1" x14ac:dyDescent="0.25">
      <c r="B192" s="642">
        <v>15</v>
      </c>
      <c r="C192" s="38"/>
      <c r="D192" s="28"/>
      <c r="E192" s="29"/>
      <c r="F192" s="30"/>
      <c r="G192" s="31"/>
      <c r="H192" s="27"/>
      <c r="I192" s="32"/>
      <c r="J192" s="36"/>
      <c r="K192" s="36"/>
      <c r="L192" s="36"/>
      <c r="M192" s="36"/>
      <c r="N192" s="36"/>
      <c r="O192" s="643">
        <f t="shared" si="95"/>
        <v>0</v>
      </c>
      <c r="P192" s="644">
        <f t="shared" si="96"/>
        <v>0</v>
      </c>
      <c r="Q192" s="729" t="e">
        <f t="shared" si="103"/>
        <v>#DIV/0!</v>
      </c>
      <c r="R192" s="33"/>
      <c r="S192" s="37"/>
      <c r="T192" s="60">
        <f t="shared" si="97"/>
        <v>0</v>
      </c>
      <c r="U192" s="61">
        <f t="shared" si="98"/>
        <v>0</v>
      </c>
      <c r="V192" s="60">
        <f t="shared" si="99"/>
        <v>0</v>
      </c>
      <c r="W192" s="27"/>
      <c r="X192" s="737">
        <f>IF(W192='References Assumptions'!$C$331,'References Assumptions'!$C$335,0)</f>
        <v>0</v>
      </c>
      <c r="Y192" s="646" t="s">
        <v>399</v>
      </c>
      <c r="Z192" s="647">
        <f t="shared" si="100"/>
        <v>0</v>
      </c>
      <c r="AA192" s="29"/>
      <c r="AB192" s="54" t="s">
        <v>222</v>
      </c>
      <c r="AC192" s="1245"/>
      <c r="AD192" s="1246"/>
      <c r="AE192" s="1247"/>
      <c r="AF192" s="733" t="s">
        <v>544</v>
      </c>
      <c r="AG192" s="648">
        <f>SUMIFS($O$178:$O$202,$D$178:$D$202,AB192,$E$178:$E$202,AF192)</f>
        <v>0</v>
      </c>
      <c r="AH192" s="648">
        <f>SUMIFS($P$178:$P$202,$D$178:$D$202,AB192,$E$178:$E$202,AF192)</f>
        <v>0</v>
      </c>
      <c r="AI192" s="49">
        <f>AH192*(Mean_solids)</f>
        <v>0</v>
      </c>
    </row>
    <row r="193" spans="2:35" ht="15.75" customHeight="1" thickBot="1" x14ac:dyDescent="0.3">
      <c r="B193" s="642">
        <v>16</v>
      </c>
      <c r="C193" s="38"/>
      <c r="D193" s="28"/>
      <c r="E193" s="29"/>
      <c r="F193" s="30"/>
      <c r="G193" s="31"/>
      <c r="H193" s="27"/>
      <c r="I193" s="32"/>
      <c r="J193" s="36"/>
      <c r="K193" s="36"/>
      <c r="L193" s="36"/>
      <c r="M193" s="36"/>
      <c r="N193" s="36"/>
      <c r="O193" s="643">
        <f t="shared" si="95"/>
        <v>0</v>
      </c>
      <c r="P193" s="644">
        <f t="shared" si="96"/>
        <v>0</v>
      </c>
      <c r="Q193" s="729" t="e">
        <f t="shared" si="103"/>
        <v>#DIV/0!</v>
      </c>
      <c r="R193" s="33"/>
      <c r="S193" s="37"/>
      <c r="T193" s="60">
        <f t="shared" si="97"/>
        <v>0</v>
      </c>
      <c r="U193" s="61">
        <f t="shared" si="98"/>
        <v>0</v>
      </c>
      <c r="V193" s="60">
        <f t="shared" si="99"/>
        <v>0</v>
      </c>
      <c r="W193" s="27"/>
      <c r="X193" s="737">
        <f>IF(W193='References Assumptions'!$C$331,'References Assumptions'!$C$335,0)</f>
        <v>0</v>
      </c>
      <c r="Y193" s="646" t="s">
        <v>399</v>
      </c>
      <c r="Z193" s="647">
        <f t="shared" si="100"/>
        <v>0</v>
      </c>
      <c r="AA193" s="29"/>
      <c r="AB193" s="709" t="s">
        <v>222</v>
      </c>
      <c r="AC193" s="1263"/>
      <c r="AD193" s="1264"/>
      <c r="AE193" s="1265"/>
      <c r="AF193" s="734" t="s">
        <v>545</v>
      </c>
      <c r="AG193" s="710">
        <f>SUMIFS($O$178:$O$202,$D$178:$D$202,AB193,$E$178:$E$202,AF193)</f>
        <v>0</v>
      </c>
      <c r="AH193" s="710">
        <f>SUMIFS($P$178:$P$202,$D$178:$D$202,AB193,$E$178:$E$202,AF193)</f>
        <v>0</v>
      </c>
      <c r="AI193" s="596">
        <f>AH193*(Mean_solids)</f>
        <v>0</v>
      </c>
    </row>
    <row r="194" spans="2:35" ht="15.75" customHeight="1" x14ac:dyDescent="0.25">
      <c r="B194" s="642">
        <v>17</v>
      </c>
      <c r="C194" s="38"/>
      <c r="D194" s="28"/>
      <c r="E194" s="29"/>
      <c r="F194" s="30"/>
      <c r="G194" s="31"/>
      <c r="H194" s="27"/>
      <c r="I194" s="32"/>
      <c r="J194" s="36"/>
      <c r="K194" s="36"/>
      <c r="L194" s="36"/>
      <c r="M194" s="36"/>
      <c r="N194" s="36"/>
      <c r="O194" s="643">
        <f t="shared" si="95"/>
        <v>0</v>
      </c>
      <c r="P194" s="644">
        <f t="shared" si="96"/>
        <v>0</v>
      </c>
      <c r="Q194" s="729" t="e">
        <f t="shared" si="103"/>
        <v>#DIV/0!</v>
      </c>
      <c r="R194" s="33"/>
      <c r="S194" s="37"/>
      <c r="T194" s="60">
        <f t="shared" si="97"/>
        <v>0</v>
      </c>
      <c r="U194" s="61">
        <f t="shared" si="98"/>
        <v>0</v>
      </c>
      <c r="V194" s="60">
        <f t="shared" si="99"/>
        <v>0</v>
      </c>
      <c r="W194" s="27"/>
      <c r="X194" s="737">
        <f>IF(W194='References Assumptions'!$C$331,'References Assumptions'!$C$335,0)</f>
        <v>0</v>
      </c>
      <c r="Y194" s="646" t="s">
        <v>399</v>
      </c>
      <c r="Z194" s="647">
        <f t="shared" si="100"/>
        <v>0</v>
      </c>
      <c r="AA194" s="29"/>
      <c r="AB194"/>
    </row>
    <row r="195" spans="2:35" ht="15.75" customHeight="1" x14ac:dyDescent="0.25">
      <c r="B195" s="642">
        <v>18</v>
      </c>
      <c r="C195" s="38"/>
      <c r="D195" s="28"/>
      <c r="E195" s="29"/>
      <c r="F195" s="30"/>
      <c r="G195" s="31"/>
      <c r="H195" s="27"/>
      <c r="I195" s="32"/>
      <c r="J195" s="36"/>
      <c r="K195" s="36"/>
      <c r="L195" s="36"/>
      <c r="M195" s="36"/>
      <c r="N195" s="36"/>
      <c r="O195" s="643">
        <f t="shared" si="95"/>
        <v>0</v>
      </c>
      <c r="P195" s="644">
        <f t="shared" si="96"/>
        <v>0</v>
      </c>
      <c r="Q195" s="729" t="e">
        <f t="shared" si="103"/>
        <v>#DIV/0!</v>
      </c>
      <c r="R195" s="33"/>
      <c r="S195" s="37"/>
      <c r="T195" s="62">
        <f t="shared" si="97"/>
        <v>0</v>
      </c>
      <c r="U195" s="63">
        <f t="shared" si="98"/>
        <v>0</v>
      </c>
      <c r="V195" s="62">
        <f t="shared" si="99"/>
        <v>0</v>
      </c>
      <c r="W195" s="27"/>
      <c r="X195" s="737">
        <f>IF(W195='References Assumptions'!$C$331,'References Assumptions'!$C$335,0)</f>
        <v>0</v>
      </c>
      <c r="Y195" s="646" t="s">
        <v>399</v>
      </c>
      <c r="Z195" s="647">
        <f t="shared" si="100"/>
        <v>0</v>
      </c>
      <c r="AA195" s="29"/>
      <c r="AC195" s="393" t="s">
        <v>399</v>
      </c>
      <c r="AD195" s="393" t="s">
        <v>376</v>
      </c>
      <c r="AF195" s="597" t="s">
        <v>646</v>
      </c>
      <c r="AG195" s="386" t="s">
        <v>399</v>
      </c>
      <c r="AH195" s="386" t="s">
        <v>484</v>
      </c>
      <c r="AI195" s="656" t="s">
        <v>549</v>
      </c>
    </row>
    <row r="196" spans="2:35" ht="15.75" customHeight="1" x14ac:dyDescent="0.25">
      <c r="B196" s="642">
        <v>19</v>
      </c>
      <c r="C196" s="38"/>
      <c r="D196" s="28"/>
      <c r="E196" s="29"/>
      <c r="F196" s="30"/>
      <c r="G196" s="31"/>
      <c r="H196" s="27"/>
      <c r="I196" s="32"/>
      <c r="J196" s="30"/>
      <c r="K196" s="30"/>
      <c r="L196" s="30"/>
      <c r="M196" s="30"/>
      <c r="N196" s="30"/>
      <c r="O196" s="643">
        <f t="shared" si="95"/>
        <v>0</v>
      </c>
      <c r="P196" s="644">
        <f t="shared" si="96"/>
        <v>0</v>
      </c>
      <c r="Q196" s="729" t="e">
        <f t="shared" si="103"/>
        <v>#DIV/0!</v>
      </c>
      <c r="R196" s="33"/>
      <c r="S196" s="37"/>
      <c r="T196" s="62">
        <f t="shared" si="97"/>
        <v>0</v>
      </c>
      <c r="U196" s="63">
        <f t="shared" si="98"/>
        <v>0</v>
      </c>
      <c r="V196" s="62">
        <f t="shared" si="99"/>
        <v>0</v>
      </c>
      <c r="W196" s="27"/>
      <c r="X196" s="737">
        <f>IF(W196='References Assumptions'!$C$331,'References Assumptions'!$C$335,0)</f>
        <v>0</v>
      </c>
      <c r="Y196" s="646" t="s">
        <v>399</v>
      </c>
      <c r="Z196" s="647">
        <f t="shared" si="100"/>
        <v>0</v>
      </c>
      <c r="AA196" s="29"/>
      <c r="AB196" s="711" t="s">
        <v>605</v>
      </c>
      <c r="AC196" s="660">
        <f>+AC178+AC182+AC185+AC190</f>
        <v>0</v>
      </c>
      <c r="AD196" s="661">
        <f>+AD178+AD182+AD185+AD190</f>
        <v>0</v>
      </c>
      <c r="AE196" s="662"/>
      <c r="AF196" s="56" t="s">
        <v>647</v>
      </c>
      <c r="AG196" s="55">
        <f>SUMIFS($O$178:$O$202,$D$178:$D$202,AB193,$E$178:$E$202,'References Assumptions'!$C$359)</f>
        <v>0</v>
      </c>
      <c r="AH196" s="55">
        <f>SUMIFS($P$178:$P$202,$D$178:$D$202,AB193,$E$178:$E$202,'References Assumptions'!$C$359)</f>
        <v>0</v>
      </c>
      <c r="AI196" s="599">
        <f>AH196*Percent_Solids</f>
        <v>0</v>
      </c>
    </row>
    <row r="197" spans="2:35" ht="15.75" customHeight="1" x14ac:dyDescent="0.25">
      <c r="B197" s="642">
        <v>20</v>
      </c>
      <c r="C197" s="38"/>
      <c r="D197" s="28"/>
      <c r="E197" s="29"/>
      <c r="F197" s="30"/>
      <c r="G197" s="31"/>
      <c r="H197" s="27"/>
      <c r="I197" s="32"/>
      <c r="J197" s="30"/>
      <c r="K197" s="30"/>
      <c r="L197" s="30"/>
      <c r="M197" s="30"/>
      <c r="N197" s="30"/>
      <c r="O197" s="643">
        <f t="shared" si="95"/>
        <v>0</v>
      </c>
      <c r="P197" s="644">
        <f t="shared" si="96"/>
        <v>0</v>
      </c>
      <c r="Q197" s="729" t="e">
        <f t="shared" si="103"/>
        <v>#DIV/0!</v>
      </c>
      <c r="R197" s="33"/>
      <c r="S197" s="37"/>
      <c r="T197" s="62">
        <f t="shared" si="97"/>
        <v>0</v>
      </c>
      <c r="U197" s="63">
        <f t="shared" si="98"/>
        <v>0</v>
      </c>
      <c r="V197" s="62">
        <f t="shared" si="99"/>
        <v>0</v>
      </c>
      <c r="W197" s="27"/>
      <c r="X197" s="737">
        <f>IF(W197='References Assumptions'!$C$331,'References Assumptions'!$C$335,0)</f>
        <v>0</v>
      </c>
      <c r="Y197" s="646" t="s">
        <v>399</v>
      </c>
      <c r="Z197" s="647">
        <f t="shared" si="100"/>
        <v>0</v>
      </c>
      <c r="AA197" s="29"/>
      <c r="AB197" s="712" t="s">
        <v>444</v>
      </c>
      <c r="AC197" s="664" t="e">
        <f>+AC178/AC196</f>
        <v>#DIV/0!</v>
      </c>
      <c r="AD197" s="664" t="e">
        <f>+AD178/AD196</f>
        <v>#DIV/0!</v>
      </c>
      <c r="AF197" s="56" t="s">
        <v>648</v>
      </c>
      <c r="AG197" s="55" t="e">
        <f>SUMIFS($O$178:$O$202,$D$178:$D$202,AB193,$E$178:$E$202,'References Assumptions'!$C$359)*Percent_Solids/percent_solids_after_biodrying</f>
        <v>#DIV/0!</v>
      </c>
      <c r="AH197" s="55" t="e">
        <f>SUMIFS($P$178:$P$202,$D$178:$D$202,AB193,$E$178:$E$202,'References Assumptions'!$C$359)*Percent_Solids/percent_solids_after_biodrying</f>
        <v>#DIV/0!</v>
      </c>
      <c r="AI197" s="599" t="e">
        <f>AH197*percent_solids_after_biodrying</f>
        <v>#DIV/0!</v>
      </c>
    </row>
    <row r="198" spans="2:35" ht="15.75" customHeight="1" x14ac:dyDescent="0.25">
      <c r="B198" s="642">
        <v>21</v>
      </c>
      <c r="C198" s="38"/>
      <c r="D198" s="28"/>
      <c r="E198" s="29"/>
      <c r="F198" s="30"/>
      <c r="G198" s="31"/>
      <c r="H198" s="27"/>
      <c r="I198" s="32"/>
      <c r="J198" s="30"/>
      <c r="K198" s="30"/>
      <c r="L198" s="30"/>
      <c r="M198" s="30"/>
      <c r="N198" s="30"/>
      <c r="O198" s="643">
        <f t="shared" si="95"/>
        <v>0</v>
      </c>
      <c r="P198" s="644">
        <f t="shared" si="96"/>
        <v>0</v>
      </c>
      <c r="Q198" s="729" t="e">
        <f t="shared" si="103"/>
        <v>#DIV/0!</v>
      </c>
      <c r="R198" s="33"/>
      <c r="S198" s="37"/>
      <c r="T198" s="62">
        <f t="shared" si="97"/>
        <v>0</v>
      </c>
      <c r="U198" s="63">
        <f t="shared" si="98"/>
        <v>0</v>
      </c>
      <c r="V198" s="62">
        <f t="shared" si="99"/>
        <v>0</v>
      </c>
      <c r="W198" s="27"/>
      <c r="X198" s="737">
        <f>IF(W198='References Assumptions'!$C$331,'References Assumptions'!$C$335,0)</f>
        <v>0</v>
      </c>
      <c r="Y198" s="646" t="s">
        <v>399</v>
      </c>
      <c r="Z198" s="647">
        <f t="shared" si="100"/>
        <v>0</v>
      </c>
      <c r="AA198" s="29"/>
      <c r="AB198" s="712" t="s">
        <v>250</v>
      </c>
      <c r="AC198" s="664" t="e">
        <f>+AC182/AC196</f>
        <v>#DIV/0!</v>
      </c>
      <c r="AD198" s="664" t="e">
        <f>+AD182/AD196</f>
        <v>#DIV/0!</v>
      </c>
      <c r="AF198" s="56" t="s">
        <v>649</v>
      </c>
      <c r="AG198" s="55" t="e">
        <f>(SUMIFS($O$178:$O$202,$D$178:$D$202,AB193,$E$178:$E$202,'References Assumptions'!$C$359)*(Percent_Solids/percent_solids_after_biodrying)*(percent_solids_after_biodrying/Percent_Solids_After_Pyrolysis))*(1-Pyrolysis!$N$15)</f>
        <v>#DIV/0!</v>
      </c>
      <c r="AH198" s="55" t="e">
        <f>(SUMIFS($P$178:$P$202,$D$178:$D$202,AB193,$E$178:$E$202,'References Assumptions'!$C$359)*(Percent_Solids/percent_solids_after_biodrying)*(percent_solids_after_biodrying/Percent_Solids_After_Pyrolysis))*(1-Pyrolysis!$N$15)</f>
        <v>#DIV/0!</v>
      </c>
      <c r="AI198" s="598" t="e">
        <f>AH198*Percent_Solids_After_Pyrolysis</f>
        <v>#DIV/0!</v>
      </c>
    </row>
    <row r="199" spans="2:35" ht="15.75" customHeight="1" x14ac:dyDescent="0.25">
      <c r="B199" s="642">
        <v>22</v>
      </c>
      <c r="C199" s="38"/>
      <c r="D199" s="28"/>
      <c r="E199" s="29"/>
      <c r="F199" s="30"/>
      <c r="G199" s="31"/>
      <c r="H199" s="27"/>
      <c r="I199" s="32"/>
      <c r="J199" s="30"/>
      <c r="K199" s="30"/>
      <c r="L199" s="30"/>
      <c r="M199" s="30"/>
      <c r="N199" s="30"/>
      <c r="O199" s="643">
        <f t="shared" si="95"/>
        <v>0</v>
      </c>
      <c r="P199" s="644">
        <f t="shared" si="96"/>
        <v>0</v>
      </c>
      <c r="Q199" s="729" t="e">
        <f t="shared" si="103"/>
        <v>#DIV/0!</v>
      </c>
      <c r="R199" s="33"/>
      <c r="S199" s="37"/>
      <c r="T199" s="62">
        <f t="shared" si="97"/>
        <v>0</v>
      </c>
      <c r="U199" s="63">
        <f t="shared" si="98"/>
        <v>0</v>
      </c>
      <c r="V199" s="62">
        <f t="shared" si="99"/>
        <v>0</v>
      </c>
      <c r="W199" s="27"/>
      <c r="X199" s="737">
        <f>IF(W199='References Assumptions'!$C$331,'References Assumptions'!$C$335,0)</f>
        <v>0</v>
      </c>
      <c r="Y199" s="646" t="s">
        <v>399</v>
      </c>
      <c r="Z199" s="647">
        <f t="shared" si="100"/>
        <v>0</v>
      </c>
      <c r="AA199" s="29"/>
      <c r="AB199" s="712" t="s">
        <v>182</v>
      </c>
      <c r="AC199" s="664" t="e">
        <f>+AC185/AC196</f>
        <v>#DIV/0!</v>
      </c>
      <c r="AD199" s="664" t="e">
        <f>+AD185/AD196</f>
        <v>#DIV/0!</v>
      </c>
      <c r="AF199" s="1253" t="s">
        <v>988</v>
      </c>
      <c r="AG199" s="1253"/>
      <c r="AH199" s="1253"/>
      <c r="AI199" s="75"/>
    </row>
    <row r="200" spans="2:35" ht="15.75" customHeight="1" x14ac:dyDescent="0.25">
      <c r="B200" s="642">
        <v>23</v>
      </c>
      <c r="C200" s="38"/>
      <c r="D200" s="28"/>
      <c r="E200" s="29"/>
      <c r="F200" s="30"/>
      <c r="G200" s="31"/>
      <c r="H200" s="27"/>
      <c r="I200" s="32"/>
      <c r="J200" s="30"/>
      <c r="K200" s="30"/>
      <c r="L200" s="30"/>
      <c r="M200" s="30"/>
      <c r="N200" s="30"/>
      <c r="O200" s="643">
        <f t="shared" si="95"/>
        <v>0</v>
      </c>
      <c r="P200" s="644">
        <f t="shared" si="96"/>
        <v>0</v>
      </c>
      <c r="Q200" s="729" t="e">
        <f t="shared" si="103"/>
        <v>#DIV/0!</v>
      </c>
      <c r="R200" s="33"/>
      <c r="S200" s="37"/>
      <c r="T200" s="62">
        <f t="shared" si="97"/>
        <v>0</v>
      </c>
      <c r="U200" s="63">
        <f t="shared" si="98"/>
        <v>0</v>
      </c>
      <c r="V200" s="62">
        <f t="shared" si="99"/>
        <v>0</v>
      </c>
      <c r="W200" s="27"/>
      <c r="X200" s="737">
        <f>IF(W200='References Assumptions'!$C$331,'References Assumptions'!$C$335,0)</f>
        <v>0</v>
      </c>
      <c r="Y200" s="646" t="s">
        <v>399</v>
      </c>
      <c r="Z200" s="647">
        <f t="shared" si="100"/>
        <v>0</v>
      </c>
      <c r="AA200" s="29"/>
      <c r="AB200" s="712" t="s">
        <v>222</v>
      </c>
      <c r="AC200" s="664" t="e">
        <f>+AC190/AC196</f>
        <v>#DIV/0!</v>
      </c>
      <c r="AD200" s="664" t="e">
        <f>+AD190/AD196</f>
        <v>#DIV/0!</v>
      </c>
      <c r="AF200" s="1253"/>
      <c r="AG200" s="1253"/>
      <c r="AH200" s="1253"/>
      <c r="AI200" s="75"/>
    </row>
    <row r="201" spans="2:35" ht="15.75" customHeight="1" x14ac:dyDescent="0.25">
      <c r="B201" s="642">
        <v>24</v>
      </c>
      <c r="C201" s="38"/>
      <c r="D201" s="28"/>
      <c r="E201" s="29"/>
      <c r="F201" s="30"/>
      <c r="G201" s="31"/>
      <c r="H201" s="27"/>
      <c r="I201" s="32"/>
      <c r="J201" s="30"/>
      <c r="K201" s="30"/>
      <c r="L201" s="30"/>
      <c r="M201" s="30"/>
      <c r="N201" s="30"/>
      <c r="O201" s="643">
        <f t="shared" si="95"/>
        <v>0</v>
      </c>
      <c r="P201" s="644">
        <f t="shared" si="96"/>
        <v>0</v>
      </c>
      <c r="Q201" s="729" t="e">
        <f t="shared" si="103"/>
        <v>#DIV/0!</v>
      </c>
      <c r="R201" s="33"/>
      <c r="S201" s="37"/>
      <c r="T201" s="62">
        <f t="shared" si="97"/>
        <v>0</v>
      </c>
      <c r="U201" s="63">
        <f t="shared" si="98"/>
        <v>0</v>
      </c>
      <c r="V201" s="62">
        <f t="shared" si="99"/>
        <v>0</v>
      </c>
      <c r="W201" s="27"/>
      <c r="X201" s="737">
        <f>IF(W201='References Assumptions'!$C$331,'References Assumptions'!$C$335,0)</f>
        <v>0</v>
      </c>
      <c r="Y201" s="646" t="s">
        <v>399</v>
      </c>
      <c r="Z201" s="647">
        <f t="shared" si="100"/>
        <v>0</v>
      </c>
      <c r="AA201" s="29"/>
      <c r="AB201"/>
      <c r="AC201" s="668"/>
      <c r="AD201" s="668"/>
      <c r="AI201" s="75"/>
    </row>
    <row r="202" spans="2:35" ht="15.75" customHeight="1" thickBot="1" x14ac:dyDescent="0.3">
      <c r="B202" s="669">
        <v>25</v>
      </c>
      <c r="C202" s="38"/>
      <c r="D202" s="28"/>
      <c r="E202" s="29"/>
      <c r="F202" s="30"/>
      <c r="G202" s="31"/>
      <c r="H202" s="27"/>
      <c r="I202" s="32"/>
      <c r="J202" s="34"/>
      <c r="K202" s="34"/>
      <c r="L202" s="34"/>
      <c r="M202" s="34"/>
      <c r="N202" s="34"/>
      <c r="O202" s="643">
        <f t="shared" si="95"/>
        <v>0</v>
      </c>
      <c r="P202" s="644">
        <f t="shared" si="96"/>
        <v>0</v>
      </c>
      <c r="Q202" s="729" t="e">
        <f t="shared" si="103"/>
        <v>#DIV/0!</v>
      </c>
      <c r="R202" s="33"/>
      <c r="S202" s="37"/>
      <c r="T202" s="64">
        <f t="shared" si="97"/>
        <v>0</v>
      </c>
      <c r="U202" s="65">
        <f t="shared" si="98"/>
        <v>0</v>
      </c>
      <c r="V202" s="66">
        <f t="shared" si="99"/>
        <v>0</v>
      </c>
      <c r="W202" s="1145"/>
      <c r="X202" s="739">
        <f>IF(W202='References Assumptions'!$C$331,'References Assumptions'!$C$335,0)</f>
        <v>0</v>
      </c>
      <c r="Y202" s="713" t="s">
        <v>399</v>
      </c>
      <c r="Z202" s="714">
        <f t="shared" si="100"/>
        <v>0</v>
      </c>
      <c r="AA202" s="587"/>
      <c r="AB202" s="133"/>
      <c r="AC202" s="133"/>
      <c r="AD202" s="133"/>
      <c r="AE202" s="133"/>
      <c r="AF202" s="133"/>
      <c r="AG202" s="133"/>
      <c r="AH202" s="133"/>
      <c r="AI202" s="134"/>
    </row>
    <row r="203" spans="2:35" ht="15.75" customHeight="1" thickBot="1" x14ac:dyDescent="0.3">
      <c r="B203" s="674"/>
      <c r="C203" s="675"/>
      <c r="D203" s="53"/>
      <c r="E203" s="641"/>
      <c r="F203" s="676"/>
      <c r="G203" s="53"/>
      <c r="H203" s="677" t="s">
        <v>371</v>
      </c>
      <c r="I203" s="678" t="e">
        <f t="shared" ref="I203:N203" si="108">+I204/$O204</f>
        <v>#DIV/0!</v>
      </c>
      <c r="J203" s="678" t="e">
        <f t="shared" si="108"/>
        <v>#DIV/0!</v>
      </c>
      <c r="K203" s="678" t="e">
        <f t="shared" si="108"/>
        <v>#DIV/0!</v>
      </c>
      <c r="L203" s="678" t="e">
        <f t="shared" si="108"/>
        <v>#DIV/0!</v>
      </c>
      <c r="M203" s="678" t="e">
        <f t="shared" si="108"/>
        <v>#DIV/0!</v>
      </c>
      <c r="N203" s="678" t="e">
        <f t="shared" si="108"/>
        <v>#DIV/0!</v>
      </c>
      <c r="O203" s="678"/>
      <c r="P203" s="53"/>
      <c r="Q203" s="679"/>
      <c r="R203" s="679"/>
      <c r="S203" s="53"/>
      <c r="T203" s="53"/>
      <c r="U203" s="680">
        <v>2</v>
      </c>
      <c r="V203" s="681" t="s">
        <v>395</v>
      </c>
      <c r="W203" s="53"/>
      <c r="X203" s="53"/>
      <c r="Y203" s="53"/>
      <c r="Z203" s="682"/>
      <c r="AA203" s="683"/>
      <c r="AB203" s="735"/>
      <c r="AC203" s="72"/>
      <c r="AD203" s="72"/>
      <c r="AE203" s="72"/>
      <c r="AF203" s="72"/>
      <c r="AG203" s="72"/>
      <c r="AH203" s="72"/>
      <c r="AI203" s="73"/>
    </row>
    <row r="204" spans="2:35" ht="15.75" customHeight="1" thickBot="1" x14ac:dyDescent="0.3">
      <c r="B204" s="685"/>
      <c r="C204" s="686"/>
      <c r="D204" s="687"/>
      <c r="E204" s="688"/>
      <c r="F204" s="689"/>
      <c r="G204" s="687"/>
      <c r="H204" s="690" t="s">
        <v>370</v>
      </c>
      <c r="I204" s="691">
        <f>SUM(I178:I202)</f>
        <v>0</v>
      </c>
      <c r="J204" s="691">
        <f>SUM(J178:J202)</f>
        <v>0</v>
      </c>
      <c r="K204" s="691">
        <f t="shared" ref="K204:P204" si="109">SUM(K178:K202)</f>
        <v>0</v>
      </c>
      <c r="L204" s="691">
        <f t="shared" si="109"/>
        <v>0</v>
      </c>
      <c r="M204" s="691">
        <f t="shared" si="109"/>
        <v>0</v>
      </c>
      <c r="N204" s="691">
        <f t="shared" si="109"/>
        <v>0</v>
      </c>
      <c r="O204" s="691">
        <f t="shared" si="109"/>
        <v>0</v>
      </c>
      <c r="P204" s="691">
        <f t="shared" si="109"/>
        <v>0</v>
      </c>
      <c r="Q204" s="692" t="e">
        <f>SUM(Q178:Q194)</f>
        <v>#DIV/0!</v>
      </c>
      <c r="R204" s="692"/>
      <c r="S204" s="691"/>
      <c r="T204" s="687"/>
      <c r="U204" s="687"/>
      <c r="V204" s="687"/>
      <c r="W204" s="693"/>
      <c r="X204" s="693"/>
      <c r="Y204" s="693"/>
      <c r="Z204" s="694"/>
      <c r="AA204" s="726"/>
      <c r="AB204" s="1269" t="str">
        <f>CONCATENATE(B176," - Total Dry Mg")</f>
        <v>Scenario 7 - Total Dry Mg</v>
      </c>
      <c r="AC204" s="1270"/>
      <c r="AD204" s="1271"/>
      <c r="AE204" s="696">
        <f>+AE178+AE182+AE185+AE190</f>
        <v>0</v>
      </c>
      <c r="AF204" s="133"/>
      <c r="AG204" s="133"/>
      <c r="AH204" s="133"/>
      <c r="AI204" s="134"/>
    </row>
    <row r="205" spans="2:35" ht="21.75" thickBot="1" x14ac:dyDescent="0.4">
      <c r="B205" s="623" t="s">
        <v>457</v>
      </c>
      <c r="C205" s="1021">
        <f>+'Scenarios Data'!B225</f>
        <v>0</v>
      </c>
      <c r="D205" s="1275">
        <f>+'Scenarios Data'!D225:J225</f>
        <v>0</v>
      </c>
      <c r="E205" s="1276"/>
      <c r="F205" s="1276"/>
      <c r="G205" s="1277"/>
      <c r="H205" s="624"/>
      <c r="I205" s="1251" t="s">
        <v>833</v>
      </c>
      <c r="J205" s="1251"/>
      <c r="K205" s="1251"/>
      <c r="L205" s="1251"/>
      <c r="M205" s="1251"/>
      <c r="N205" s="1251"/>
      <c r="O205" s="625"/>
      <c r="P205" s="626"/>
      <c r="Q205" s="624"/>
      <c r="R205" s="624"/>
      <c r="S205" s="1252"/>
      <c r="T205" s="1252"/>
      <c r="U205" s="1252"/>
      <c r="V205" s="1252"/>
      <c r="W205" s="626"/>
      <c r="X205" s="626"/>
      <c r="Y205" s="626"/>
      <c r="Z205" s="626"/>
      <c r="AA205" s="700"/>
      <c r="AB205" s="1237" t="str">
        <f>CONCATENATE(B205," - ",C205," - Totals")</f>
        <v>Scenario 8 - 0 - Totals</v>
      </c>
      <c r="AC205" s="1238"/>
      <c r="AD205" s="1238"/>
      <c r="AE205" s="1238"/>
      <c r="AF205" s="1238"/>
      <c r="AG205" s="1238"/>
      <c r="AH205" s="1238"/>
      <c r="AI205" s="1239"/>
    </row>
    <row r="206" spans="2:35" ht="45.75" x14ac:dyDescent="0.3">
      <c r="B206" s="627" t="s">
        <v>400</v>
      </c>
      <c r="C206" s="628" t="s">
        <v>539</v>
      </c>
      <c r="D206" s="629" t="s">
        <v>540</v>
      </c>
      <c r="E206" s="630" t="s">
        <v>489</v>
      </c>
      <c r="F206" s="631" t="s">
        <v>667</v>
      </c>
      <c r="G206" s="630" t="s">
        <v>401</v>
      </c>
      <c r="H206" s="632" t="s">
        <v>402</v>
      </c>
      <c r="I206" s="39">
        <v>1</v>
      </c>
      <c r="J206" s="39">
        <v>2</v>
      </c>
      <c r="K206" s="39">
        <v>3</v>
      </c>
      <c r="L206" s="39">
        <v>4</v>
      </c>
      <c r="M206" s="39">
        <v>5</v>
      </c>
      <c r="N206" s="39">
        <v>6</v>
      </c>
      <c r="O206" s="633" t="s">
        <v>397</v>
      </c>
      <c r="P206" s="633" t="s">
        <v>398</v>
      </c>
      <c r="Q206" s="630" t="s">
        <v>538</v>
      </c>
      <c r="R206" s="634" t="s">
        <v>488</v>
      </c>
      <c r="S206" s="635" t="s">
        <v>460</v>
      </c>
      <c r="T206" s="630" t="s">
        <v>461</v>
      </c>
      <c r="U206" s="636" t="s">
        <v>460</v>
      </c>
      <c r="V206" s="637" t="s">
        <v>461</v>
      </c>
      <c r="W206" s="730" t="s">
        <v>481</v>
      </c>
      <c r="X206" s="633" t="s">
        <v>480</v>
      </c>
      <c r="Y206" s="633" t="s">
        <v>482</v>
      </c>
      <c r="Z206" s="731" t="s">
        <v>483</v>
      </c>
      <c r="AA206" s="640" t="s">
        <v>556</v>
      </c>
      <c r="AB206" s="57" t="s">
        <v>546</v>
      </c>
      <c r="AC206" s="53" t="s">
        <v>399</v>
      </c>
      <c r="AD206" s="53" t="s">
        <v>484</v>
      </c>
      <c r="AE206" s="53" t="s">
        <v>549</v>
      </c>
      <c r="AF206" s="52" t="s">
        <v>555</v>
      </c>
      <c r="AG206" s="53" t="s">
        <v>399</v>
      </c>
      <c r="AH206" s="53" t="s">
        <v>484</v>
      </c>
      <c r="AI206" s="641" t="s">
        <v>549</v>
      </c>
    </row>
    <row r="207" spans="2:35" ht="15.75" customHeight="1" x14ac:dyDescent="0.25">
      <c r="B207" s="642">
        <v>1</v>
      </c>
      <c r="C207" s="38"/>
      <c r="D207" s="28"/>
      <c r="E207" s="29"/>
      <c r="F207" s="30"/>
      <c r="G207" s="31"/>
      <c r="H207" s="27"/>
      <c r="I207" s="32"/>
      <c r="J207" s="32"/>
      <c r="K207" s="32"/>
      <c r="L207" s="32"/>
      <c r="M207" s="32"/>
      <c r="N207" s="32"/>
      <c r="O207" s="643">
        <f t="shared" ref="O207:O231" si="110">SUM(I207:N207)</f>
        <v>0</v>
      </c>
      <c r="P207" s="644">
        <f t="shared" ref="P207:P231" si="111">+O207/Mg_ton</f>
        <v>0</v>
      </c>
      <c r="Q207" s="729" t="e">
        <f>P207/$P$233</f>
        <v>#DIV/0!</v>
      </c>
      <c r="R207" s="33"/>
      <c r="S207" s="37"/>
      <c r="T207" s="60">
        <f t="shared" ref="T207:T231" si="112">+S207/km_mile</f>
        <v>0</v>
      </c>
      <c r="U207" s="61">
        <f t="shared" ref="U207:U231" si="113">+S207*$U$29</f>
        <v>0</v>
      </c>
      <c r="V207" s="60">
        <f t="shared" ref="V207:V231" si="114">+U207/km_mile</f>
        <v>0</v>
      </c>
      <c r="W207" s="27"/>
      <c r="X207" s="737">
        <f>IF(W207='References Assumptions'!$C$331,'References Assumptions'!$C$335,0)</f>
        <v>0</v>
      </c>
      <c r="Y207" s="646" t="s">
        <v>399</v>
      </c>
      <c r="Z207" s="647">
        <f t="shared" ref="Z207:Z231" si="115">+X207/Mg_ton</f>
        <v>0</v>
      </c>
      <c r="AA207" s="29"/>
      <c r="AB207" s="58" t="s">
        <v>444</v>
      </c>
      <c r="AC207" s="648">
        <f>SUMIF($D$207:$D$231,AB207,$O$207:$O$231)</f>
        <v>0</v>
      </c>
      <c r="AD207" s="648">
        <f>SUMIF($D$207:$D$231,AB207,$P$207:$P$231)</f>
        <v>0</v>
      </c>
      <c r="AE207" s="50">
        <f>AD207*(Mean_solids)</f>
        <v>0</v>
      </c>
      <c r="AF207" s="56" t="s">
        <v>503</v>
      </c>
      <c r="AG207" s="648">
        <f>SUMIFS($O$207:$O$231,$D$207:$D$231,AB207,$E$207:$E$231,AF207)</f>
        <v>0</v>
      </c>
      <c r="AH207" s="648">
        <f t="shared" ref="AH207:AH213" si="116">SUMIFS($P$207:$P$231,$D$207:$D$231,AB207,$E$207:$E$231,AF207)</f>
        <v>0</v>
      </c>
      <c r="AI207" s="49">
        <f t="shared" ref="AI207:AI214" si="117">AH207*(Mean_solids)</f>
        <v>0</v>
      </c>
    </row>
    <row r="208" spans="2:35" ht="15.75" customHeight="1" x14ac:dyDescent="0.25">
      <c r="B208" s="642">
        <v>2</v>
      </c>
      <c r="C208" s="38"/>
      <c r="D208" s="28"/>
      <c r="E208" s="29"/>
      <c r="F208" s="30"/>
      <c r="G208" s="31"/>
      <c r="H208" s="27"/>
      <c r="I208" s="32"/>
      <c r="J208" s="36"/>
      <c r="K208" s="36"/>
      <c r="L208" s="36"/>
      <c r="M208" s="36"/>
      <c r="N208" s="36"/>
      <c r="O208" s="643">
        <f t="shared" si="110"/>
        <v>0</v>
      </c>
      <c r="P208" s="644">
        <f t="shared" si="111"/>
        <v>0</v>
      </c>
      <c r="Q208" s="729" t="e">
        <f t="shared" ref="Q208:Q231" si="118">P208/$P$233</f>
        <v>#DIV/0!</v>
      </c>
      <c r="R208" s="33"/>
      <c r="S208" s="37"/>
      <c r="T208" s="60">
        <f t="shared" si="112"/>
        <v>0</v>
      </c>
      <c r="U208" s="61">
        <f t="shared" si="113"/>
        <v>0</v>
      </c>
      <c r="V208" s="60">
        <f t="shared" si="114"/>
        <v>0</v>
      </c>
      <c r="W208" s="27"/>
      <c r="X208" s="737">
        <f>IF(W208='References Assumptions'!$C$331,'References Assumptions'!$C$335,0)</f>
        <v>0</v>
      </c>
      <c r="Y208" s="646" t="s">
        <v>399</v>
      </c>
      <c r="Z208" s="647">
        <f t="shared" si="115"/>
        <v>0</v>
      </c>
      <c r="AA208" s="29"/>
      <c r="AB208" s="58" t="s">
        <v>444</v>
      </c>
      <c r="AC208" s="1242"/>
      <c r="AD208" s="1243"/>
      <c r="AE208" s="1244"/>
      <c r="AF208" s="56" t="s">
        <v>504</v>
      </c>
      <c r="AG208" s="648">
        <f t="shared" ref="AG208:AG213" si="119">SUMIFS($O$207:$O$231,$D$207:$D$231,AB208,$E$207:$E$231,AF208)</f>
        <v>0</v>
      </c>
      <c r="AH208" s="648">
        <f t="shared" si="116"/>
        <v>0</v>
      </c>
      <c r="AI208" s="49">
        <f t="shared" si="117"/>
        <v>0</v>
      </c>
    </row>
    <row r="209" spans="2:35" ht="15.75" customHeight="1" x14ac:dyDescent="0.25">
      <c r="B209" s="642">
        <v>3</v>
      </c>
      <c r="C209" s="38"/>
      <c r="D209" s="28"/>
      <c r="E209" s="29"/>
      <c r="F209" s="30"/>
      <c r="G209" s="31"/>
      <c r="H209" s="27"/>
      <c r="I209" s="32"/>
      <c r="J209" s="36"/>
      <c r="K209" s="36"/>
      <c r="L209" s="36"/>
      <c r="M209" s="36"/>
      <c r="N209" s="36"/>
      <c r="O209" s="643">
        <f t="shared" si="110"/>
        <v>0</v>
      </c>
      <c r="P209" s="644">
        <f t="shared" si="111"/>
        <v>0</v>
      </c>
      <c r="Q209" s="729" t="e">
        <f t="shared" si="118"/>
        <v>#DIV/0!</v>
      </c>
      <c r="R209" s="33"/>
      <c r="S209" s="37"/>
      <c r="T209" s="60">
        <f t="shared" si="112"/>
        <v>0</v>
      </c>
      <c r="U209" s="61">
        <f t="shared" si="113"/>
        <v>0</v>
      </c>
      <c r="V209" s="60">
        <f t="shared" si="114"/>
        <v>0</v>
      </c>
      <c r="W209" s="27"/>
      <c r="X209" s="737">
        <f>IF(W209='References Assumptions'!$C$331,'References Assumptions'!$C$335,0)</f>
        <v>0</v>
      </c>
      <c r="Y209" s="646" t="s">
        <v>399</v>
      </c>
      <c r="Z209" s="647">
        <f t="shared" si="115"/>
        <v>0</v>
      </c>
      <c r="AA209" s="29"/>
      <c r="AB209" s="58" t="s">
        <v>444</v>
      </c>
      <c r="AC209" s="1245"/>
      <c r="AD209" s="1246"/>
      <c r="AE209" s="1247"/>
      <c r="AF209" s="56" t="s">
        <v>505</v>
      </c>
      <c r="AG209" s="648">
        <f t="shared" si="119"/>
        <v>0</v>
      </c>
      <c r="AH209" s="648">
        <f t="shared" si="116"/>
        <v>0</v>
      </c>
      <c r="AI209" s="49">
        <f t="shared" si="117"/>
        <v>0</v>
      </c>
    </row>
    <row r="210" spans="2:35" ht="15.75" customHeight="1" x14ac:dyDescent="0.25">
      <c r="B210" s="642">
        <v>4</v>
      </c>
      <c r="C210" s="38"/>
      <c r="D210" s="28"/>
      <c r="E210" s="29"/>
      <c r="F210" s="30"/>
      <c r="G210" s="31"/>
      <c r="H210" s="27"/>
      <c r="I210" s="32"/>
      <c r="J210" s="36"/>
      <c r="K210" s="36"/>
      <c r="L210" s="36"/>
      <c r="M210" s="36"/>
      <c r="N210" s="36"/>
      <c r="O210" s="643">
        <f t="shared" si="110"/>
        <v>0</v>
      </c>
      <c r="P210" s="644">
        <f t="shared" si="111"/>
        <v>0</v>
      </c>
      <c r="Q210" s="729" t="e">
        <f t="shared" si="118"/>
        <v>#DIV/0!</v>
      </c>
      <c r="R210" s="33"/>
      <c r="S210" s="37"/>
      <c r="T210" s="60">
        <f t="shared" si="112"/>
        <v>0</v>
      </c>
      <c r="U210" s="61">
        <f t="shared" si="113"/>
        <v>0</v>
      </c>
      <c r="V210" s="60">
        <f t="shared" si="114"/>
        <v>0</v>
      </c>
      <c r="W210" s="27"/>
      <c r="X210" s="737">
        <f>IF(W210='References Assumptions'!$C$331,'References Assumptions'!$C$335,0)</f>
        <v>0</v>
      </c>
      <c r="Y210" s="646" t="s">
        <v>399</v>
      </c>
      <c r="Z210" s="647">
        <f t="shared" si="115"/>
        <v>0</v>
      </c>
      <c r="AA210" s="29"/>
      <c r="AB210" s="58" t="s">
        <v>444</v>
      </c>
      <c r="AC210" s="1248"/>
      <c r="AD210" s="1249"/>
      <c r="AE210" s="1250"/>
      <c r="AF210" s="56" t="s">
        <v>547</v>
      </c>
      <c r="AG210" s="648">
        <f>SUMIFS($O$207:$O$231,$D$207:$D$231,AB210,$E$207:$E$231,AF210)</f>
        <v>0</v>
      </c>
      <c r="AH210" s="648">
        <f t="shared" si="116"/>
        <v>0</v>
      </c>
      <c r="AI210" s="49">
        <f t="shared" si="117"/>
        <v>0</v>
      </c>
    </row>
    <row r="211" spans="2:35" ht="15.75" customHeight="1" x14ac:dyDescent="0.25">
      <c r="B211" s="642">
        <v>5</v>
      </c>
      <c r="C211" s="38"/>
      <c r="D211" s="28"/>
      <c r="E211" s="29"/>
      <c r="F211" s="30"/>
      <c r="G211" s="31"/>
      <c r="H211" s="27"/>
      <c r="I211" s="32"/>
      <c r="J211" s="36"/>
      <c r="K211" s="36"/>
      <c r="L211" s="36"/>
      <c r="M211" s="36"/>
      <c r="N211" s="36"/>
      <c r="O211" s="643">
        <f t="shared" si="110"/>
        <v>0</v>
      </c>
      <c r="P211" s="644">
        <f t="shared" si="111"/>
        <v>0</v>
      </c>
      <c r="Q211" s="729" t="e">
        <f t="shared" si="118"/>
        <v>#DIV/0!</v>
      </c>
      <c r="R211" s="33"/>
      <c r="S211" s="37"/>
      <c r="T211" s="60">
        <f t="shared" si="112"/>
        <v>0</v>
      </c>
      <c r="U211" s="61">
        <f t="shared" si="113"/>
        <v>0</v>
      </c>
      <c r="V211" s="60">
        <f t="shared" si="114"/>
        <v>0</v>
      </c>
      <c r="W211" s="27"/>
      <c r="X211" s="737">
        <f>IF(W211='References Assumptions'!$C$331,'References Assumptions'!$C$335,0)</f>
        <v>0</v>
      </c>
      <c r="Y211" s="646" t="s">
        <v>399</v>
      </c>
      <c r="Z211" s="647">
        <f t="shared" si="115"/>
        <v>0</v>
      </c>
      <c r="AA211" s="29"/>
      <c r="AB211" s="58" t="s">
        <v>250</v>
      </c>
      <c r="AC211" s="648">
        <f>SUMIF($D$207:$D$231,AB211,$O$207:$O$231)</f>
        <v>0</v>
      </c>
      <c r="AD211" s="648">
        <f>SUMIF($D$207:$D$231,AB211,$P$207:$P$231)</f>
        <v>0</v>
      </c>
      <c r="AE211" s="50">
        <f>AD211*(Mean_solids)</f>
        <v>0</v>
      </c>
      <c r="AF211" s="56" t="s">
        <v>487</v>
      </c>
      <c r="AG211" s="648">
        <f t="shared" si="119"/>
        <v>0</v>
      </c>
      <c r="AH211" s="648">
        <f t="shared" si="116"/>
        <v>0</v>
      </c>
      <c r="AI211" s="49">
        <f t="shared" si="117"/>
        <v>0</v>
      </c>
    </row>
    <row r="212" spans="2:35" ht="15.75" customHeight="1" x14ac:dyDescent="0.25">
      <c r="B212" s="642">
        <v>6</v>
      </c>
      <c r="C212" s="38"/>
      <c r="D212" s="28"/>
      <c r="E212" s="29"/>
      <c r="F212" s="30"/>
      <c r="G212" s="31"/>
      <c r="H212" s="27"/>
      <c r="I212" s="32"/>
      <c r="J212" s="36"/>
      <c r="K212" s="36"/>
      <c r="L212" s="36"/>
      <c r="M212" s="36"/>
      <c r="N212" s="36"/>
      <c r="O212" s="643">
        <f t="shared" si="110"/>
        <v>0</v>
      </c>
      <c r="P212" s="644">
        <f t="shared" si="111"/>
        <v>0</v>
      </c>
      <c r="Q212" s="729" t="e">
        <f t="shared" si="118"/>
        <v>#DIV/0!</v>
      </c>
      <c r="R212" s="33"/>
      <c r="S212" s="37"/>
      <c r="T212" s="60">
        <f t="shared" si="112"/>
        <v>0</v>
      </c>
      <c r="U212" s="61">
        <f t="shared" si="113"/>
        <v>0</v>
      </c>
      <c r="V212" s="60">
        <f t="shared" si="114"/>
        <v>0</v>
      </c>
      <c r="W212" s="27"/>
      <c r="X212" s="737">
        <f>IF(W212='References Assumptions'!$C$331,'References Assumptions'!$C$335,0)</f>
        <v>0</v>
      </c>
      <c r="Y212" s="646" t="s">
        <v>399</v>
      </c>
      <c r="Z212" s="647">
        <f t="shared" si="115"/>
        <v>0</v>
      </c>
      <c r="AA212" s="29"/>
      <c r="AB212" s="58" t="s">
        <v>250</v>
      </c>
      <c r="AC212" s="1242"/>
      <c r="AD212" s="1243"/>
      <c r="AE212" s="1244"/>
      <c r="AF212" s="56" t="s">
        <v>90</v>
      </c>
      <c r="AG212" s="648">
        <f>SUMIFS($O$207:$O$231,$D$207:$D$231,AB212,$E$207:$E$231,AF212)</f>
        <v>0</v>
      </c>
      <c r="AH212" s="648">
        <f t="shared" si="116"/>
        <v>0</v>
      </c>
      <c r="AI212" s="49">
        <f t="shared" si="117"/>
        <v>0</v>
      </c>
    </row>
    <row r="213" spans="2:35" ht="15.75" customHeight="1" x14ac:dyDescent="0.25">
      <c r="B213" s="642">
        <v>7</v>
      </c>
      <c r="C213" s="38"/>
      <c r="D213" s="28"/>
      <c r="E213" s="29"/>
      <c r="F213" s="30"/>
      <c r="G213" s="31"/>
      <c r="H213" s="27"/>
      <c r="I213" s="32"/>
      <c r="J213" s="36"/>
      <c r="K213" s="36"/>
      <c r="L213" s="36"/>
      <c r="M213" s="36"/>
      <c r="N213" s="36"/>
      <c r="O213" s="643">
        <f t="shared" si="110"/>
        <v>0</v>
      </c>
      <c r="P213" s="644">
        <f t="shared" si="111"/>
        <v>0</v>
      </c>
      <c r="Q213" s="729" t="e">
        <f t="shared" si="118"/>
        <v>#DIV/0!</v>
      </c>
      <c r="R213" s="33"/>
      <c r="S213" s="37"/>
      <c r="T213" s="60">
        <f t="shared" si="112"/>
        <v>0</v>
      </c>
      <c r="U213" s="61">
        <f t="shared" si="113"/>
        <v>0</v>
      </c>
      <c r="V213" s="60">
        <f t="shared" si="114"/>
        <v>0</v>
      </c>
      <c r="W213" s="27"/>
      <c r="X213" s="737">
        <f>IF(W213='References Assumptions'!$C$331,'References Assumptions'!$C$335,0)</f>
        <v>0</v>
      </c>
      <c r="Y213" s="646" t="s">
        <v>399</v>
      </c>
      <c r="Z213" s="647">
        <f t="shared" si="115"/>
        <v>0</v>
      </c>
      <c r="AA213" s="29"/>
      <c r="AB213" s="58" t="s">
        <v>250</v>
      </c>
      <c r="AC213" s="1248"/>
      <c r="AD213" s="1249"/>
      <c r="AE213" s="1250"/>
      <c r="AF213" s="56" t="s">
        <v>176</v>
      </c>
      <c r="AG213" s="648">
        <f t="shared" si="119"/>
        <v>0</v>
      </c>
      <c r="AH213" s="648">
        <f t="shared" si="116"/>
        <v>0</v>
      </c>
      <c r="AI213" s="49">
        <f t="shared" si="117"/>
        <v>0</v>
      </c>
    </row>
    <row r="214" spans="2:35" ht="15.75" customHeight="1" x14ac:dyDescent="0.25">
      <c r="B214" s="642">
        <v>8</v>
      </c>
      <c r="C214" s="38"/>
      <c r="D214" s="28"/>
      <c r="E214" s="29"/>
      <c r="F214" s="30"/>
      <c r="G214" s="31"/>
      <c r="H214" s="27"/>
      <c r="I214" s="32"/>
      <c r="J214" s="36"/>
      <c r="K214" s="36"/>
      <c r="L214" s="36"/>
      <c r="M214" s="36"/>
      <c r="N214" s="36"/>
      <c r="O214" s="643">
        <f t="shared" si="110"/>
        <v>0</v>
      </c>
      <c r="P214" s="644">
        <f t="shared" si="111"/>
        <v>0</v>
      </c>
      <c r="Q214" s="729" t="e">
        <f t="shared" si="118"/>
        <v>#DIV/0!</v>
      </c>
      <c r="R214" s="33"/>
      <c r="S214" s="37"/>
      <c r="T214" s="60">
        <f t="shared" si="112"/>
        <v>0</v>
      </c>
      <c r="U214" s="61">
        <f t="shared" si="113"/>
        <v>0</v>
      </c>
      <c r="V214" s="60">
        <f t="shared" si="114"/>
        <v>0</v>
      </c>
      <c r="W214" s="27"/>
      <c r="X214" s="737">
        <f>IF(W214='References Assumptions'!$C$331,'References Assumptions'!$C$335,0)</f>
        <v>0</v>
      </c>
      <c r="Y214" s="646" t="s">
        <v>399</v>
      </c>
      <c r="Z214" s="647">
        <f t="shared" si="115"/>
        <v>0</v>
      </c>
      <c r="AA214" s="29"/>
      <c r="AB214" s="58" t="s">
        <v>548</v>
      </c>
      <c r="AC214" s="648">
        <f>SUMIF($D$207:$D$231,AB214,$O$207:$O$231)</f>
        <v>0</v>
      </c>
      <c r="AD214" s="648">
        <f>SUMIF($D$207:$D$231,AB214,$P$207:$P$231)</f>
        <v>0</v>
      </c>
      <c r="AE214" s="50">
        <f>AD214*(Mean_solids)</f>
        <v>0</v>
      </c>
      <c r="AF214" s="56" t="s">
        <v>592</v>
      </c>
      <c r="AG214" s="648">
        <f>SUMIFS($O$207:$O$231,$D$207:$D$231,AB214,$E$207:$E$231,'References Assumptions'!$C$352)</f>
        <v>0</v>
      </c>
      <c r="AH214" s="648">
        <f>SUMIFS($P$207:$P$231,$D$207:$D$231,AB214,$E$207:$E$231,'References Assumptions'!$C$352)</f>
        <v>0</v>
      </c>
      <c r="AI214" s="49">
        <f t="shared" si="117"/>
        <v>0</v>
      </c>
    </row>
    <row r="215" spans="2:35" ht="15.75" customHeight="1" x14ac:dyDescent="0.25">
      <c r="B215" s="642">
        <v>9</v>
      </c>
      <c r="C215" s="38"/>
      <c r="D215" s="28"/>
      <c r="E215" s="29"/>
      <c r="F215" s="30"/>
      <c r="G215" s="31"/>
      <c r="H215" s="27"/>
      <c r="I215" s="32"/>
      <c r="J215" s="36"/>
      <c r="K215" s="36"/>
      <c r="L215" s="36"/>
      <c r="M215" s="36"/>
      <c r="N215" s="36"/>
      <c r="O215" s="643">
        <f t="shared" si="110"/>
        <v>0</v>
      </c>
      <c r="P215" s="644">
        <f t="shared" si="111"/>
        <v>0</v>
      </c>
      <c r="Q215" s="729" t="e">
        <f t="shared" si="118"/>
        <v>#DIV/0!</v>
      </c>
      <c r="R215" s="33"/>
      <c r="S215" s="37"/>
      <c r="T215" s="60">
        <f t="shared" si="112"/>
        <v>0</v>
      </c>
      <c r="U215" s="61">
        <f t="shared" si="113"/>
        <v>0</v>
      </c>
      <c r="V215" s="60">
        <f t="shared" si="114"/>
        <v>0</v>
      </c>
      <c r="W215" s="27"/>
      <c r="X215" s="737">
        <f>IF(W215='References Assumptions'!$C$331,'References Assumptions'!$C$335,0)</f>
        <v>0</v>
      </c>
      <c r="Y215" s="646" t="s">
        <v>399</v>
      </c>
      <c r="Z215" s="647">
        <f t="shared" si="115"/>
        <v>0</v>
      </c>
      <c r="AA215" s="29"/>
      <c r="AB215" s="58" t="s">
        <v>548</v>
      </c>
      <c r="AC215" s="1240"/>
      <c r="AD215" s="1240"/>
      <c r="AE215" s="1240"/>
      <c r="AF215" s="56" t="s">
        <v>593</v>
      </c>
      <c r="AG215" s="648" t="e">
        <f>SUMIFS($O$207:$O$231,$D$207:$D$231,AB215,$E$207:$E$231,'References Assumptions'!$C$352)*'Thermal Drying'!$P$7/percent_solids_after_thermal_drying</f>
        <v>#DIV/0!</v>
      </c>
      <c r="AH215" s="648" t="e">
        <f>SUMIFS($P$207:$P$231,$D$207:$D$231,AB215,$E$207:$E$231,'References Assumptions'!$C$352)*'Thermal Drying'!$P$7/percent_solids_after_thermal_drying</f>
        <v>#DIV/0!</v>
      </c>
      <c r="AI215" s="49" t="e">
        <f>+AH215*percent_solids_after_thermal_drying</f>
        <v>#DIV/0!</v>
      </c>
    </row>
    <row r="216" spans="2:35" ht="15.75" customHeight="1" x14ac:dyDescent="0.25">
      <c r="B216" s="642">
        <v>10</v>
      </c>
      <c r="C216" s="38"/>
      <c r="D216" s="28"/>
      <c r="E216" s="29"/>
      <c r="F216" s="30"/>
      <c r="G216" s="31"/>
      <c r="H216" s="27"/>
      <c r="I216" s="32"/>
      <c r="J216" s="36"/>
      <c r="K216" s="36"/>
      <c r="L216" s="36"/>
      <c r="M216" s="36"/>
      <c r="N216" s="36"/>
      <c r="O216" s="643">
        <f t="shared" si="110"/>
        <v>0</v>
      </c>
      <c r="P216" s="644">
        <f t="shared" si="111"/>
        <v>0</v>
      </c>
      <c r="Q216" s="729" t="e">
        <f t="shared" si="118"/>
        <v>#DIV/0!</v>
      </c>
      <c r="R216" s="33"/>
      <c r="S216" s="37"/>
      <c r="T216" s="60">
        <f t="shared" si="112"/>
        <v>0</v>
      </c>
      <c r="U216" s="61">
        <f t="shared" si="113"/>
        <v>0</v>
      </c>
      <c r="V216" s="60">
        <f t="shared" si="114"/>
        <v>0</v>
      </c>
      <c r="W216" s="27"/>
      <c r="X216" s="737">
        <f>IF(W216='References Assumptions'!$C$331,'References Assumptions'!$C$335,0)</f>
        <v>0</v>
      </c>
      <c r="Y216" s="646" t="s">
        <v>399</v>
      </c>
      <c r="Z216" s="647">
        <f t="shared" si="115"/>
        <v>0</v>
      </c>
      <c r="AA216" s="29"/>
      <c r="AB216" s="58" t="s">
        <v>548</v>
      </c>
      <c r="AC216" s="1198"/>
      <c r="AD216" s="1198"/>
      <c r="AE216" s="1198"/>
      <c r="AF216" s="56" t="s">
        <v>608</v>
      </c>
      <c r="AG216" s="648">
        <f t="shared" ref="AG216:AG217" si="120">SUMIFS($O$207:$O$231,$D$207:$D$231,AB216,$E$207:$E$231,AF216)</f>
        <v>0</v>
      </c>
      <c r="AH216" s="648">
        <f t="shared" ref="AH216:AH217" si="121">SUMIFS($P$207:$P$231,$D$207:$D$231,AB216,$E$207:$E$231,AF216)</f>
        <v>0</v>
      </c>
      <c r="AI216" s="49">
        <f t="shared" ref="AI216:AI217" si="122">AH216*(Mean_solids)</f>
        <v>0</v>
      </c>
    </row>
    <row r="217" spans="2:35" ht="15.75" customHeight="1" x14ac:dyDescent="0.25">
      <c r="B217" s="642">
        <v>11</v>
      </c>
      <c r="C217" s="38"/>
      <c r="D217" s="28"/>
      <c r="E217" s="29"/>
      <c r="F217" s="30"/>
      <c r="G217" s="31"/>
      <c r="H217" s="27"/>
      <c r="I217" s="32"/>
      <c r="J217" s="36"/>
      <c r="K217" s="36"/>
      <c r="L217" s="36"/>
      <c r="M217" s="36"/>
      <c r="N217" s="36"/>
      <c r="O217" s="643">
        <f t="shared" si="110"/>
        <v>0</v>
      </c>
      <c r="P217" s="644">
        <f t="shared" si="111"/>
        <v>0</v>
      </c>
      <c r="Q217" s="729" t="e">
        <f t="shared" si="118"/>
        <v>#DIV/0!</v>
      </c>
      <c r="R217" s="33"/>
      <c r="S217" s="37"/>
      <c r="T217" s="60">
        <f t="shared" si="112"/>
        <v>0</v>
      </c>
      <c r="U217" s="61">
        <f t="shared" si="113"/>
        <v>0</v>
      </c>
      <c r="V217" s="60">
        <f t="shared" si="114"/>
        <v>0</v>
      </c>
      <c r="W217" s="27"/>
      <c r="X217" s="737">
        <f>IF(W217='References Assumptions'!$C$331,'References Assumptions'!$C$335,0)</f>
        <v>0</v>
      </c>
      <c r="Y217" s="646" t="s">
        <v>399</v>
      </c>
      <c r="Z217" s="647">
        <f t="shared" si="115"/>
        <v>0</v>
      </c>
      <c r="AA217" s="29"/>
      <c r="AB217" s="58" t="s">
        <v>548</v>
      </c>
      <c r="AC217" s="1198"/>
      <c r="AD217" s="1198"/>
      <c r="AE217" s="1198"/>
      <c r="AF217" s="56" t="s">
        <v>609</v>
      </c>
      <c r="AG217" s="648">
        <f t="shared" si="120"/>
        <v>0</v>
      </c>
      <c r="AH217" s="648">
        <f t="shared" si="121"/>
        <v>0</v>
      </c>
      <c r="AI217" s="49">
        <f t="shared" si="122"/>
        <v>0</v>
      </c>
    </row>
    <row r="218" spans="2:35" ht="15.75" customHeight="1" x14ac:dyDescent="0.25">
      <c r="B218" s="642">
        <v>12</v>
      </c>
      <c r="C218" s="38"/>
      <c r="D218" s="28"/>
      <c r="E218" s="29"/>
      <c r="F218" s="30"/>
      <c r="G218" s="31"/>
      <c r="H218" s="27"/>
      <c r="I218" s="32"/>
      <c r="J218" s="36"/>
      <c r="K218" s="36"/>
      <c r="L218" s="36"/>
      <c r="M218" s="36"/>
      <c r="N218" s="36"/>
      <c r="O218" s="643">
        <f t="shared" si="110"/>
        <v>0</v>
      </c>
      <c r="P218" s="644">
        <f t="shared" si="111"/>
        <v>0</v>
      </c>
      <c r="Q218" s="729" t="e">
        <f t="shared" si="118"/>
        <v>#DIV/0!</v>
      </c>
      <c r="R218" s="33"/>
      <c r="S218" s="37"/>
      <c r="T218" s="60">
        <f t="shared" si="112"/>
        <v>0</v>
      </c>
      <c r="U218" s="61">
        <f t="shared" si="113"/>
        <v>0</v>
      </c>
      <c r="V218" s="60">
        <f t="shared" si="114"/>
        <v>0</v>
      </c>
      <c r="W218" s="27"/>
      <c r="X218" s="737">
        <f>IF(W218='References Assumptions'!$C$331,'References Assumptions'!$C$335,0)</f>
        <v>0</v>
      </c>
      <c r="Y218" s="646" t="s">
        <v>399</v>
      </c>
      <c r="Z218" s="647">
        <f t="shared" si="115"/>
        <v>0</v>
      </c>
      <c r="AA218" s="29"/>
      <c r="AB218" s="58" t="s">
        <v>548</v>
      </c>
      <c r="AC218" s="1241"/>
      <c r="AD218" s="1241"/>
      <c r="AE218" s="1241"/>
      <c r="AF218" s="1190" t="s">
        <v>987</v>
      </c>
      <c r="AG218" s="648" t="e">
        <f>(SUMIFS($O$207:$O$231,$D$207:$D$231,AB218,$E$207:$E$231,AF218)*(Percent_Solids/percent_solids_after_biodrying)*(percent_solids_after_biodrying/Percent_Solids_After_Pyrolysis))*(1-Pyrolysis!$P$15)</f>
        <v>#DIV/0!</v>
      </c>
      <c r="AH218" s="648" t="e">
        <f>(SUMIFS($P$207:$P$231,$D$207:$D$231,AB218,$E$207:$E$231,AF218)*(Percent_Solids/percent_solids_after_biodrying)*(percent_solids_after_biodrying/Percent_Solids_After_Pyrolysis))*(1-Pyrolysis!$P$15)</f>
        <v>#DIV/0!</v>
      </c>
      <c r="AI218" s="598" t="e">
        <f>AH218*Percent_Solids_After_Pyrolysis</f>
        <v>#DIV/0!</v>
      </c>
    </row>
    <row r="219" spans="2:35" ht="15.75" customHeight="1" x14ac:dyDescent="0.25">
      <c r="B219" s="642">
        <v>13</v>
      </c>
      <c r="C219" s="38"/>
      <c r="D219" s="28"/>
      <c r="E219" s="29"/>
      <c r="F219" s="30"/>
      <c r="G219" s="31"/>
      <c r="H219" s="27"/>
      <c r="I219" s="32"/>
      <c r="J219" s="36"/>
      <c r="K219" s="36"/>
      <c r="L219" s="36"/>
      <c r="M219" s="36"/>
      <c r="N219" s="36"/>
      <c r="O219" s="643">
        <f t="shared" si="110"/>
        <v>0</v>
      </c>
      <c r="P219" s="644">
        <f t="shared" si="111"/>
        <v>0</v>
      </c>
      <c r="Q219" s="729" t="e">
        <f t="shared" si="118"/>
        <v>#DIV/0!</v>
      </c>
      <c r="R219" s="33"/>
      <c r="S219" s="37"/>
      <c r="T219" s="60">
        <f t="shared" si="112"/>
        <v>0</v>
      </c>
      <c r="U219" s="61">
        <f t="shared" si="113"/>
        <v>0</v>
      </c>
      <c r="V219" s="60">
        <f t="shared" si="114"/>
        <v>0</v>
      </c>
      <c r="W219" s="27"/>
      <c r="X219" s="737">
        <f>IF(W219='References Assumptions'!$C$331,'References Assumptions'!$C$335,0)</f>
        <v>0</v>
      </c>
      <c r="Y219" s="646" t="s">
        <v>399</v>
      </c>
      <c r="Z219" s="647">
        <f t="shared" si="115"/>
        <v>0</v>
      </c>
      <c r="AA219" s="29"/>
      <c r="AB219" s="58" t="s">
        <v>222</v>
      </c>
      <c r="AC219" s="648">
        <f>SUMIF($D$207:$D$231,AB219,$O$207:$O$231)</f>
        <v>0</v>
      </c>
      <c r="AD219" s="648">
        <f>SUMIF($D$207:$D$231,AB219,$P$207:$P$231)</f>
        <v>0</v>
      </c>
      <c r="AE219" s="50">
        <f>AD219*(Mean_solids)</f>
        <v>0</v>
      </c>
      <c r="AF219" s="56" t="s">
        <v>496</v>
      </c>
      <c r="AG219" s="648">
        <f>SUMIFS($O$207:$O$231,$D$207:$D$231,AB219,$E$207:$E$231,AF219)</f>
        <v>0</v>
      </c>
      <c r="AH219" s="648">
        <f>SUMIFS($P$207:$P$231,$D$207:$D$231,AB219,$E$207:$E$231,AF219)</f>
        <v>0</v>
      </c>
      <c r="AI219" s="49">
        <f>AH219*(Mean_solids)</f>
        <v>0</v>
      </c>
    </row>
    <row r="220" spans="2:35" ht="15.75" customHeight="1" x14ac:dyDescent="0.25">
      <c r="B220" s="642">
        <v>14</v>
      </c>
      <c r="C220" s="38"/>
      <c r="D220" s="28"/>
      <c r="E220" s="29"/>
      <c r="F220" s="30"/>
      <c r="G220" s="31"/>
      <c r="H220" s="27"/>
      <c r="I220" s="32"/>
      <c r="J220" s="36"/>
      <c r="K220" s="36"/>
      <c r="L220" s="36"/>
      <c r="M220" s="36"/>
      <c r="N220" s="36"/>
      <c r="O220" s="643">
        <f t="shared" si="110"/>
        <v>0</v>
      </c>
      <c r="P220" s="644">
        <f t="shared" si="111"/>
        <v>0</v>
      </c>
      <c r="Q220" s="729" t="e">
        <f t="shared" si="118"/>
        <v>#DIV/0!</v>
      </c>
      <c r="R220" s="33"/>
      <c r="S220" s="37"/>
      <c r="T220" s="60">
        <f t="shared" si="112"/>
        <v>0</v>
      </c>
      <c r="U220" s="61">
        <f t="shared" si="113"/>
        <v>0</v>
      </c>
      <c r="V220" s="60">
        <f t="shared" si="114"/>
        <v>0</v>
      </c>
      <c r="W220" s="27"/>
      <c r="X220" s="737">
        <f>IF(W220='References Assumptions'!$C$331,'References Assumptions'!$C$335,0)</f>
        <v>0</v>
      </c>
      <c r="Y220" s="646" t="s">
        <v>399</v>
      </c>
      <c r="Z220" s="647">
        <f t="shared" si="115"/>
        <v>0</v>
      </c>
      <c r="AA220" s="29"/>
      <c r="AB220" s="58" t="s">
        <v>222</v>
      </c>
      <c r="AC220" s="1242"/>
      <c r="AD220" s="1243"/>
      <c r="AE220" s="1244"/>
      <c r="AF220" s="56" t="s">
        <v>497</v>
      </c>
      <c r="AG220" s="648">
        <f>SUMIFS($O$207:$O$231,$D$207:$D$231,AB220,$E$207:$E$231,AF220)</f>
        <v>0</v>
      </c>
      <c r="AH220" s="648">
        <f>SUMIFS($P$207:$P$231,$D$207:$D$231,AB220,$E$207:$E$231,AF220)</f>
        <v>0</v>
      </c>
      <c r="AI220" s="49">
        <f>AH220*(Mean_solids)</f>
        <v>0</v>
      </c>
    </row>
    <row r="221" spans="2:35" ht="15.75" customHeight="1" x14ac:dyDescent="0.25">
      <c r="B221" s="642">
        <v>15</v>
      </c>
      <c r="C221" s="38"/>
      <c r="D221" s="28"/>
      <c r="E221" s="29"/>
      <c r="F221" s="30"/>
      <c r="G221" s="31"/>
      <c r="H221" s="27"/>
      <c r="I221" s="32"/>
      <c r="J221" s="36"/>
      <c r="K221" s="36"/>
      <c r="L221" s="36"/>
      <c r="M221" s="36"/>
      <c r="N221" s="36"/>
      <c r="O221" s="643">
        <f t="shared" si="110"/>
        <v>0</v>
      </c>
      <c r="P221" s="644">
        <f t="shared" si="111"/>
        <v>0</v>
      </c>
      <c r="Q221" s="729" t="e">
        <f t="shared" si="118"/>
        <v>#DIV/0!</v>
      </c>
      <c r="R221" s="33"/>
      <c r="S221" s="37"/>
      <c r="T221" s="60">
        <f t="shared" si="112"/>
        <v>0</v>
      </c>
      <c r="U221" s="61">
        <f t="shared" si="113"/>
        <v>0</v>
      </c>
      <c r="V221" s="60">
        <f t="shared" si="114"/>
        <v>0</v>
      </c>
      <c r="W221" s="27"/>
      <c r="X221" s="737">
        <f>IF(W221='References Assumptions'!$C$331,'References Assumptions'!$C$335,0)</f>
        <v>0</v>
      </c>
      <c r="Y221" s="646" t="s">
        <v>399</v>
      </c>
      <c r="Z221" s="647">
        <f t="shared" si="115"/>
        <v>0</v>
      </c>
      <c r="AA221" s="29"/>
      <c r="AB221" s="58" t="s">
        <v>222</v>
      </c>
      <c r="AC221" s="1245"/>
      <c r="AD221" s="1246"/>
      <c r="AE221" s="1247"/>
      <c r="AF221" s="56" t="s">
        <v>544</v>
      </c>
      <c r="AG221" s="648">
        <f>SUMIFS($O$207:$O$231,$D$207:$D$231,AB221,$E$207:$E$231,AF221)</f>
        <v>0</v>
      </c>
      <c r="AH221" s="648">
        <f>SUMIFS($P$207:$P$231,$D$207:$D$231,AB221,$E$207:$E$231,AF221)</f>
        <v>0</v>
      </c>
      <c r="AI221" s="49">
        <f>AH221*(Mean_solids)</f>
        <v>0</v>
      </c>
    </row>
    <row r="222" spans="2:35" ht="15.75" customHeight="1" thickBot="1" x14ac:dyDescent="0.3">
      <c r="B222" s="642">
        <v>16</v>
      </c>
      <c r="C222" s="38"/>
      <c r="D222" s="28"/>
      <c r="E222" s="29"/>
      <c r="F222" s="30"/>
      <c r="G222" s="31"/>
      <c r="H222" s="27"/>
      <c r="I222" s="32"/>
      <c r="J222" s="36"/>
      <c r="K222" s="36"/>
      <c r="L222" s="36"/>
      <c r="M222" s="36"/>
      <c r="N222" s="36"/>
      <c r="O222" s="643">
        <f t="shared" si="110"/>
        <v>0</v>
      </c>
      <c r="P222" s="644">
        <f t="shared" si="111"/>
        <v>0</v>
      </c>
      <c r="Q222" s="729" t="e">
        <f t="shared" si="118"/>
        <v>#DIV/0!</v>
      </c>
      <c r="R222" s="33"/>
      <c r="S222" s="37"/>
      <c r="T222" s="60">
        <f t="shared" si="112"/>
        <v>0</v>
      </c>
      <c r="U222" s="61">
        <f t="shared" si="113"/>
        <v>0</v>
      </c>
      <c r="V222" s="60">
        <f t="shared" si="114"/>
        <v>0</v>
      </c>
      <c r="W222" s="27"/>
      <c r="X222" s="737">
        <f>IF(W222='References Assumptions'!$C$331,'References Assumptions'!$C$335,0)</f>
        <v>0</v>
      </c>
      <c r="Y222" s="646" t="s">
        <v>399</v>
      </c>
      <c r="Z222" s="647">
        <f t="shared" si="115"/>
        <v>0</v>
      </c>
      <c r="AA222" s="29"/>
      <c r="AB222" s="59" t="s">
        <v>222</v>
      </c>
      <c r="AC222" s="1263"/>
      <c r="AD222" s="1264"/>
      <c r="AE222" s="1265"/>
      <c r="AF222" s="608" t="s">
        <v>545</v>
      </c>
      <c r="AG222" s="710">
        <f>SUMIFS($O$207:$O$231,$D$207:$D$231,AB222,$E$207:$E$231,AF222)</f>
        <v>0</v>
      </c>
      <c r="AH222" s="710">
        <f>SUMIFS($P$207:$P$231,$D$207:$D$231,AB222,$E$207:$E$231,AF222)</f>
        <v>0</v>
      </c>
      <c r="AI222" s="596">
        <f>AH222*(Mean_solids)</f>
        <v>0</v>
      </c>
    </row>
    <row r="223" spans="2:35" ht="15.75" customHeight="1" x14ac:dyDescent="0.25">
      <c r="B223" s="642">
        <v>17</v>
      </c>
      <c r="C223" s="38"/>
      <c r="D223" s="28"/>
      <c r="E223" s="29"/>
      <c r="F223" s="30"/>
      <c r="G223" s="31"/>
      <c r="H223" s="27"/>
      <c r="I223" s="32"/>
      <c r="J223" s="36"/>
      <c r="K223" s="36"/>
      <c r="L223" s="36"/>
      <c r="M223" s="36"/>
      <c r="N223" s="36"/>
      <c r="O223" s="643">
        <f t="shared" si="110"/>
        <v>0</v>
      </c>
      <c r="P223" s="644">
        <f t="shared" si="111"/>
        <v>0</v>
      </c>
      <c r="Q223" s="729" t="e">
        <f t="shared" si="118"/>
        <v>#DIV/0!</v>
      </c>
      <c r="R223" s="33"/>
      <c r="S223" s="37"/>
      <c r="T223" s="60">
        <f t="shared" si="112"/>
        <v>0</v>
      </c>
      <c r="U223" s="61">
        <f t="shared" si="113"/>
        <v>0</v>
      </c>
      <c r="V223" s="60">
        <f t="shared" si="114"/>
        <v>0</v>
      </c>
      <c r="W223" s="27"/>
      <c r="X223" s="737">
        <f>IF(W223='References Assumptions'!$C$331,'References Assumptions'!$C$335,0)</f>
        <v>0</v>
      </c>
      <c r="Y223" s="646" t="s">
        <v>399</v>
      </c>
      <c r="Z223" s="647">
        <f t="shared" si="115"/>
        <v>0</v>
      </c>
      <c r="AA223" s="29"/>
      <c r="AB223"/>
    </row>
    <row r="224" spans="2:35" ht="15.75" customHeight="1" x14ac:dyDescent="0.25">
      <c r="B224" s="642">
        <v>18</v>
      </c>
      <c r="C224" s="38"/>
      <c r="D224" s="28"/>
      <c r="E224" s="29"/>
      <c r="F224" s="30"/>
      <c r="G224" s="31"/>
      <c r="H224" s="27"/>
      <c r="I224" s="32"/>
      <c r="J224" s="36"/>
      <c r="K224" s="36"/>
      <c r="L224" s="36"/>
      <c r="M224" s="36"/>
      <c r="N224" s="36"/>
      <c r="O224" s="643">
        <f t="shared" si="110"/>
        <v>0</v>
      </c>
      <c r="P224" s="644">
        <f t="shared" si="111"/>
        <v>0</v>
      </c>
      <c r="Q224" s="729" t="e">
        <f t="shared" si="118"/>
        <v>#DIV/0!</v>
      </c>
      <c r="R224" s="33"/>
      <c r="S224" s="37"/>
      <c r="T224" s="62">
        <f t="shared" si="112"/>
        <v>0</v>
      </c>
      <c r="U224" s="63">
        <f t="shared" si="113"/>
        <v>0</v>
      </c>
      <c r="V224" s="62">
        <f t="shared" si="114"/>
        <v>0</v>
      </c>
      <c r="W224" s="27"/>
      <c r="X224" s="737">
        <f>IF(W224='References Assumptions'!$C$331,'References Assumptions'!$C$335,0)</f>
        <v>0</v>
      </c>
      <c r="Y224" s="646" t="s">
        <v>399</v>
      </c>
      <c r="Z224" s="647">
        <f t="shared" si="115"/>
        <v>0</v>
      </c>
      <c r="AA224" s="29"/>
      <c r="AC224" s="393" t="s">
        <v>399</v>
      </c>
      <c r="AD224" s="393" t="s">
        <v>376</v>
      </c>
      <c r="AF224" s="597" t="s">
        <v>646</v>
      </c>
      <c r="AG224" s="386" t="s">
        <v>399</v>
      </c>
      <c r="AH224" s="386" t="s">
        <v>484</v>
      </c>
      <c r="AI224" s="656" t="s">
        <v>549</v>
      </c>
    </row>
    <row r="225" spans="2:35" ht="15.75" customHeight="1" x14ac:dyDescent="0.25">
      <c r="B225" s="642">
        <v>19</v>
      </c>
      <c r="C225" s="38"/>
      <c r="D225" s="28"/>
      <c r="E225" s="29"/>
      <c r="F225" s="30"/>
      <c r="G225" s="31"/>
      <c r="H225" s="27"/>
      <c r="I225" s="32"/>
      <c r="J225" s="30"/>
      <c r="K225" s="30"/>
      <c r="L225" s="30"/>
      <c r="M225" s="30"/>
      <c r="N225" s="30"/>
      <c r="O225" s="643">
        <f t="shared" si="110"/>
        <v>0</v>
      </c>
      <c r="P225" s="644">
        <f t="shared" si="111"/>
        <v>0</v>
      </c>
      <c r="Q225" s="729" t="e">
        <f t="shared" si="118"/>
        <v>#DIV/0!</v>
      </c>
      <c r="R225" s="33"/>
      <c r="S225" s="37"/>
      <c r="T225" s="62">
        <f t="shared" si="112"/>
        <v>0</v>
      </c>
      <c r="U225" s="63">
        <f t="shared" si="113"/>
        <v>0</v>
      </c>
      <c r="V225" s="62">
        <f t="shared" si="114"/>
        <v>0</v>
      </c>
      <c r="W225" s="27"/>
      <c r="X225" s="737">
        <f>IF(W225='References Assumptions'!$C$331,'References Assumptions'!$C$335,0)</f>
        <v>0</v>
      </c>
      <c r="Y225" s="646" t="s">
        <v>399</v>
      </c>
      <c r="Z225" s="647">
        <f t="shared" si="115"/>
        <v>0</v>
      </c>
      <c r="AA225" s="29"/>
      <c r="AB225" s="711" t="s">
        <v>605</v>
      </c>
      <c r="AC225" s="660">
        <f>+AC207+AC211+AC214+AC219</f>
        <v>0</v>
      </c>
      <c r="AD225" s="661">
        <f>+AD207+AD211+AD214+AD219</f>
        <v>0</v>
      </c>
      <c r="AE225" s="662"/>
      <c r="AF225" s="56" t="s">
        <v>647</v>
      </c>
      <c r="AG225" s="55">
        <f>SUMIFS($O$207:$O$231,$D$207:$D$231,AB222,$E$207:$E$231,'References Assumptions'!$C$359)</f>
        <v>0</v>
      </c>
      <c r="AH225" s="55">
        <f>SUMIFS($P$207:$P$231,$D$207:$D$231,AB222,$E$207:$E$231,'References Assumptions'!$C$359)</f>
        <v>0</v>
      </c>
      <c r="AI225" s="599">
        <f>AH225*Percent_Solids</f>
        <v>0</v>
      </c>
    </row>
    <row r="226" spans="2:35" ht="15.75" customHeight="1" x14ac:dyDescent="0.25">
      <c r="B226" s="642">
        <v>20</v>
      </c>
      <c r="C226" s="38"/>
      <c r="D226" s="28"/>
      <c r="E226" s="29"/>
      <c r="F226" s="30"/>
      <c r="G226" s="31"/>
      <c r="H226" s="27"/>
      <c r="I226" s="32"/>
      <c r="J226" s="30"/>
      <c r="K226" s="30"/>
      <c r="L226" s="30"/>
      <c r="M226" s="30"/>
      <c r="N226" s="30"/>
      <c r="O226" s="643">
        <f t="shared" si="110"/>
        <v>0</v>
      </c>
      <c r="P226" s="644">
        <f t="shared" si="111"/>
        <v>0</v>
      </c>
      <c r="Q226" s="729" t="e">
        <f t="shared" si="118"/>
        <v>#DIV/0!</v>
      </c>
      <c r="R226" s="33"/>
      <c r="S226" s="37"/>
      <c r="T226" s="62">
        <f t="shared" si="112"/>
        <v>0</v>
      </c>
      <c r="U226" s="63">
        <f t="shared" si="113"/>
        <v>0</v>
      </c>
      <c r="V226" s="62">
        <f t="shared" si="114"/>
        <v>0</v>
      </c>
      <c r="W226" s="27"/>
      <c r="X226" s="737">
        <f>IF(W226='References Assumptions'!$C$331,'References Assumptions'!$C$335,0)</f>
        <v>0</v>
      </c>
      <c r="Y226" s="646" t="s">
        <v>399</v>
      </c>
      <c r="Z226" s="647">
        <f t="shared" si="115"/>
        <v>0</v>
      </c>
      <c r="AA226" s="29"/>
      <c r="AB226" s="712" t="s">
        <v>444</v>
      </c>
      <c r="AC226" s="664" t="e">
        <f>+AC207/AC225</f>
        <v>#DIV/0!</v>
      </c>
      <c r="AD226" s="664" t="e">
        <f>+AD207/AD225</f>
        <v>#DIV/0!</v>
      </c>
      <c r="AF226" s="56" t="s">
        <v>648</v>
      </c>
      <c r="AG226" s="55" t="e">
        <f>SUMIFS($O$207:$O$231,$D$207:$D$231,AB222,$E$207:$E$231,'References Assumptions'!$C$359)*Percent_Solids/percent_solids_after_biodrying</f>
        <v>#DIV/0!</v>
      </c>
      <c r="AH226" s="55" t="e">
        <f>SUMIFS($P$207:$P$231,$D$207:$D$231,AB222,$E$207:$E$231,'References Assumptions'!$C$359)*Percent_Solids/percent_solids_after_biodrying</f>
        <v>#DIV/0!</v>
      </c>
      <c r="AI226" s="599" t="e">
        <f>AH226*percent_solids_after_biodrying</f>
        <v>#DIV/0!</v>
      </c>
    </row>
    <row r="227" spans="2:35" ht="15.75" customHeight="1" x14ac:dyDescent="0.25">
      <c r="B227" s="642">
        <v>21</v>
      </c>
      <c r="C227" s="38"/>
      <c r="D227" s="28"/>
      <c r="E227" s="29"/>
      <c r="F227" s="30"/>
      <c r="G227" s="31"/>
      <c r="H227" s="27"/>
      <c r="I227" s="32"/>
      <c r="J227" s="30"/>
      <c r="K227" s="30"/>
      <c r="L227" s="30"/>
      <c r="M227" s="30"/>
      <c r="N227" s="30"/>
      <c r="O227" s="643">
        <f t="shared" si="110"/>
        <v>0</v>
      </c>
      <c r="P227" s="644">
        <f t="shared" si="111"/>
        <v>0</v>
      </c>
      <c r="Q227" s="729" t="e">
        <f t="shared" si="118"/>
        <v>#DIV/0!</v>
      </c>
      <c r="R227" s="33"/>
      <c r="S227" s="37"/>
      <c r="T227" s="62">
        <f t="shared" si="112"/>
        <v>0</v>
      </c>
      <c r="U227" s="63">
        <f t="shared" si="113"/>
        <v>0</v>
      </c>
      <c r="V227" s="62">
        <f t="shared" si="114"/>
        <v>0</v>
      </c>
      <c r="W227" s="27"/>
      <c r="X227" s="737">
        <f>IF(W227='References Assumptions'!$C$331,'References Assumptions'!$C$335,0)</f>
        <v>0</v>
      </c>
      <c r="Y227" s="646" t="s">
        <v>399</v>
      </c>
      <c r="Z227" s="647">
        <f t="shared" si="115"/>
        <v>0</v>
      </c>
      <c r="AA227" s="29"/>
      <c r="AB227" s="712" t="s">
        <v>250</v>
      </c>
      <c r="AC227" s="664" t="e">
        <f>+AC211/AC225</f>
        <v>#DIV/0!</v>
      </c>
      <c r="AD227" s="664" t="e">
        <f>+AD211/AD225</f>
        <v>#DIV/0!</v>
      </c>
      <c r="AF227" s="56" t="s">
        <v>649</v>
      </c>
      <c r="AG227" s="55" t="e">
        <f>(SUMIFS($O$207:$O$231,$D$207:$D$231,AB222,$E$207:$E$231,'References Assumptions'!$C$359)*(Percent_Solids/percent_solids_after_biodrying)*(percent_solids_after_biodrying/Percent_Solids_After_Pyrolysis))*(1-Pyrolysis!$P$15)</f>
        <v>#DIV/0!</v>
      </c>
      <c r="AH227" s="55" t="e">
        <f>(SUMIFS($P$207:$P$231,$D$207:$D$231,AB222,$E$207:$E$231,'References Assumptions'!$C$359)*(Percent_Solids/percent_solids_after_biodrying)*(percent_solids_after_biodrying/Percent_Solids_After_Pyrolysis))*(1-Pyrolysis!$P$15)</f>
        <v>#DIV/0!</v>
      </c>
      <c r="AI227" s="598" t="e">
        <f>AH227*Percent_Solids_After_Pyrolysis</f>
        <v>#DIV/0!</v>
      </c>
    </row>
    <row r="228" spans="2:35" ht="15.75" customHeight="1" x14ac:dyDescent="0.25">
      <c r="B228" s="642">
        <v>22</v>
      </c>
      <c r="C228" s="38"/>
      <c r="D228" s="28"/>
      <c r="E228" s="29"/>
      <c r="F228" s="30"/>
      <c r="G228" s="31"/>
      <c r="H228" s="27"/>
      <c r="I228" s="32"/>
      <c r="J228" s="30"/>
      <c r="K228" s="30"/>
      <c r="L228" s="30"/>
      <c r="M228" s="30"/>
      <c r="N228" s="30"/>
      <c r="O228" s="643">
        <f t="shared" si="110"/>
        <v>0</v>
      </c>
      <c r="P228" s="644">
        <f t="shared" si="111"/>
        <v>0</v>
      </c>
      <c r="Q228" s="729" t="e">
        <f t="shared" si="118"/>
        <v>#DIV/0!</v>
      </c>
      <c r="R228" s="33"/>
      <c r="S228" s="37"/>
      <c r="T228" s="62">
        <f t="shared" si="112"/>
        <v>0</v>
      </c>
      <c r="U228" s="63">
        <f t="shared" si="113"/>
        <v>0</v>
      </c>
      <c r="V228" s="62">
        <f t="shared" si="114"/>
        <v>0</v>
      </c>
      <c r="W228" s="27"/>
      <c r="X228" s="737">
        <f>IF(W228='References Assumptions'!$C$331,'References Assumptions'!$C$335,0)</f>
        <v>0</v>
      </c>
      <c r="Y228" s="646" t="s">
        <v>399</v>
      </c>
      <c r="Z228" s="647">
        <f t="shared" si="115"/>
        <v>0</v>
      </c>
      <c r="AA228" s="29"/>
      <c r="AB228" s="712" t="s">
        <v>182</v>
      </c>
      <c r="AC228" s="664" t="e">
        <f>+AC214/AC225</f>
        <v>#DIV/0!</v>
      </c>
      <c r="AD228" s="664" t="e">
        <f>+AD214/AD225</f>
        <v>#DIV/0!</v>
      </c>
      <c r="AF228" s="1253" t="s">
        <v>988</v>
      </c>
      <c r="AG228" s="1253"/>
      <c r="AH228" s="1253"/>
      <c r="AI228" s="75"/>
    </row>
    <row r="229" spans="2:35" ht="15.75" customHeight="1" x14ac:dyDescent="0.25">
      <c r="B229" s="642">
        <v>23</v>
      </c>
      <c r="C229" s="38"/>
      <c r="D229" s="28"/>
      <c r="E229" s="29"/>
      <c r="F229" s="30"/>
      <c r="G229" s="31"/>
      <c r="H229" s="27"/>
      <c r="I229" s="32"/>
      <c r="J229" s="30"/>
      <c r="K229" s="30"/>
      <c r="L229" s="30"/>
      <c r="M229" s="30"/>
      <c r="N229" s="30"/>
      <c r="O229" s="643">
        <f t="shared" si="110"/>
        <v>0</v>
      </c>
      <c r="P229" s="644">
        <f t="shared" si="111"/>
        <v>0</v>
      </c>
      <c r="Q229" s="729" t="e">
        <f t="shared" si="118"/>
        <v>#DIV/0!</v>
      </c>
      <c r="R229" s="33"/>
      <c r="S229" s="37"/>
      <c r="T229" s="62">
        <f t="shared" si="112"/>
        <v>0</v>
      </c>
      <c r="U229" s="63">
        <f t="shared" si="113"/>
        <v>0</v>
      </c>
      <c r="V229" s="62">
        <f t="shared" si="114"/>
        <v>0</v>
      </c>
      <c r="W229" s="27"/>
      <c r="X229" s="737">
        <f>IF(W229='References Assumptions'!$C$331,'References Assumptions'!$C$335,0)</f>
        <v>0</v>
      </c>
      <c r="Y229" s="646" t="s">
        <v>399</v>
      </c>
      <c r="Z229" s="647">
        <f t="shared" si="115"/>
        <v>0</v>
      </c>
      <c r="AA229" s="29"/>
      <c r="AB229" s="712" t="s">
        <v>222</v>
      </c>
      <c r="AC229" s="664" t="e">
        <f>+AC219/AC225</f>
        <v>#DIV/0!</v>
      </c>
      <c r="AD229" s="664" t="e">
        <f>+AD219/AD225</f>
        <v>#DIV/0!</v>
      </c>
      <c r="AF229" s="1253"/>
      <c r="AG229" s="1253"/>
      <c r="AH229" s="1253"/>
      <c r="AI229" s="75"/>
    </row>
    <row r="230" spans="2:35" ht="15.75" customHeight="1" x14ac:dyDescent="0.25">
      <c r="B230" s="642">
        <v>24</v>
      </c>
      <c r="C230" s="38"/>
      <c r="D230" s="28"/>
      <c r="E230" s="29"/>
      <c r="F230" s="30"/>
      <c r="G230" s="31"/>
      <c r="H230" s="27"/>
      <c r="I230" s="32"/>
      <c r="J230" s="30"/>
      <c r="K230" s="30"/>
      <c r="L230" s="30"/>
      <c r="M230" s="30"/>
      <c r="N230" s="30"/>
      <c r="O230" s="643">
        <f t="shared" si="110"/>
        <v>0</v>
      </c>
      <c r="P230" s="644">
        <f t="shared" si="111"/>
        <v>0</v>
      </c>
      <c r="Q230" s="729" t="e">
        <f t="shared" si="118"/>
        <v>#DIV/0!</v>
      </c>
      <c r="R230" s="33"/>
      <c r="S230" s="37"/>
      <c r="T230" s="62">
        <f t="shared" si="112"/>
        <v>0</v>
      </c>
      <c r="U230" s="63">
        <f t="shared" si="113"/>
        <v>0</v>
      </c>
      <c r="V230" s="62">
        <f t="shared" si="114"/>
        <v>0</v>
      </c>
      <c r="W230" s="27"/>
      <c r="X230" s="737">
        <f>IF(W230='References Assumptions'!$C$331,'References Assumptions'!$C$335,0)</f>
        <v>0</v>
      </c>
      <c r="Y230" s="646" t="s">
        <v>399</v>
      </c>
      <c r="Z230" s="647">
        <f t="shared" si="115"/>
        <v>0</v>
      </c>
      <c r="AA230" s="29"/>
      <c r="AB230"/>
      <c r="AC230" s="668"/>
      <c r="AD230" s="668"/>
      <c r="AI230" s="75"/>
    </row>
    <row r="231" spans="2:35" ht="15.75" customHeight="1" thickBot="1" x14ac:dyDescent="0.3">
      <c r="B231" s="669">
        <v>25</v>
      </c>
      <c r="C231" s="38"/>
      <c r="D231" s="28"/>
      <c r="E231" s="29"/>
      <c r="F231" s="30"/>
      <c r="G231" s="31"/>
      <c r="H231" s="27"/>
      <c r="I231" s="32"/>
      <c r="J231" s="34"/>
      <c r="K231" s="34"/>
      <c r="L231" s="34"/>
      <c r="M231" s="34"/>
      <c r="N231" s="34"/>
      <c r="O231" s="643">
        <f t="shared" si="110"/>
        <v>0</v>
      </c>
      <c r="P231" s="644">
        <f t="shared" si="111"/>
        <v>0</v>
      </c>
      <c r="Q231" s="729" t="e">
        <f t="shared" si="118"/>
        <v>#DIV/0!</v>
      </c>
      <c r="R231" s="33"/>
      <c r="S231" s="37"/>
      <c r="T231" s="64">
        <f t="shared" si="112"/>
        <v>0</v>
      </c>
      <c r="U231" s="65">
        <f t="shared" si="113"/>
        <v>0</v>
      </c>
      <c r="V231" s="66">
        <f t="shared" si="114"/>
        <v>0</v>
      </c>
      <c r="W231" s="1145"/>
      <c r="X231" s="739">
        <f>IF(W231='References Assumptions'!$C$331,'References Assumptions'!$C$335,0)</f>
        <v>0</v>
      </c>
      <c r="Y231" s="713" t="s">
        <v>399</v>
      </c>
      <c r="Z231" s="714">
        <f t="shared" si="115"/>
        <v>0</v>
      </c>
      <c r="AA231" s="587"/>
      <c r="AB231" s="133"/>
      <c r="AC231" s="133"/>
      <c r="AD231" s="133"/>
      <c r="AE231" s="133"/>
      <c r="AF231" s="133"/>
      <c r="AG231" s="133"/>
      <c r="AH231" s="133"/>
      <c r="AI231" s="134"/>
    </row>
    <row r="232" spans="2:35" ht="16.5" thickBot="1" x14ac:dyDescent="0.3">
      <c r="B232" s="674"/>
      <c r="C232" s="675"/>
      <c r="D232" s="53"/>
      <c r="E232" s="641"/>
      <c r="F232" s="676"/>
      <c r="G232" s="53"/>
      <c r="H232" s="677" t="s">
        <v>371</v>
      </c>
      <c r="I232" s="678" t="e">
        <f t="shared" ref="I232:N232" si="123">+I233/$O233</f>
        <v>#DIV/0!</v>
      </c>
      <c r="J232" s="678" t="e">
        <f t="shared" si="123"/>
        <v>#DIV/0!</v>
      </c>
      <c r="K232" s="678" t="e">
        <f t="shared" si="123"/>
        <v>#DIV/0!</v>
      </c>
      <c r="L232" s="678" t="e">
        <f t="shared" si="123"/>
        <v>#DIV/0!</v>
      </c>
      <c r="M232" s="678" t="e">
        <f t="shared" si="123"/>
        <v>#DIV/0!</v>
      </c>
      <c r="N232" s="678" t="e">
        <f t="shared" si="123"/>
        <v>#DIV/0!</v>
      </c>
      <c r="O232" s="678"/>
      <c r="P232" s="53"/>
      <c r="Q232" s="679"/>
      <c r="R232" s="679"/>
      <c r="S232" s="53"/>
      <c r="T232" s="53"/>
      <c r="U232" s="680">
        <v>2</v>
      </c>
      <c r="V232" s="681" t="s">
        <v>395</v>
      </c>
      <c r="W232" s="53"/>
      <c r="X232" s="53"/>
      <c r="Y232" s="53"/>
      <c r="Z232" s="682"/>
      <c r="AA232" s="683"/>
      <c r="AB232" s="735"/>
      <c r="AC232" s="72"/>
      <c r="AD232" s="72"/>
      <c r="AE232" s="72"/>
      <c r="AF232" s="72"/>
      <c r="AG232" s="72"/>
      <c r="AH232" s="72"/>
      <c r="AI232" s="73"/>
    </row>
    <row r="233" spans="2:35" ht="16.5" thickBot="1" x14ac:dyDescent="0.3">
      <c r="B233" s="685"/>
      <c r="C233" s="686"/>
      <c r="D233" s="687"/>
      <c r="E233" s="688"/>
      <c r="F233" s="689"/>
      <c r="G233" s="687"/>
      <c r="H233" s="690" t="s">
        <v>370</v>
      </c>
      <c r="I233" s="691">
        <f>SUM(I207:I231)</f>
        <v>0</v>
      </c>
      <c r="J233" s="691">
        <f>SUM(J207:J231)</f>
        <v>0</v>
      </c>
      <c r="K233" s="691">
        <f t="shared" ref="K233:P233" si="124">SUM(K207:K231)</f>
        <v>0</v>
      </c>
      <c r="L233" s="691">
        <f t="shared" si="124"/>
        <v>0</v>
      </c>
      <c r="M233" s="691">
        <f t="shared" si="124"/>
        <v>0</v>
      </c>
      <c r="N233" s="691">
        <f t="shared" si="124"/>
        <v>0</v>
      </c>
      <c r="O233" s="691">
        <f t="shared" si="124"/>
        <v>0</v>
      </c>
      <c r="P233" s="691">
        <f t="shared" si="124"/>
        <v>0</v>
      </c>
      <c r="Q233" s="692" t="e">
        <f>SUM(Q207:Q223)</f>
        <v>#DIV/0!</v>
      </c>
      <c r="R233" s="692"/>
      <c r="S233" s="691"/>
      <c r="T233" s="687"/>
      <c r="U233" s="687"/>
      <c r="V233" s="687"/>
      <c r="W233" s="693"/>
      <c r="X233" s="693"/>
      <c r="Y233" s="693"/>
      <c r="Z233" s="694"/>
      <c r="AA233" s="726"/>
      <c r="AB233" s="1269" t="str">
        <f>CONCATENATE(B205," - Total Dry Mg")</f>
        <v>Scenario 8 - Total Dry Mg</v>
      </c>
      <c r="AC233" s="1270"/>
      <c r="AD233" s="1271"/>
      <c r="AE233" s="696">
        <f>+AE207+AE211+AE214+AE219</f>
        <v>0</v>
      </c>
      <c r="AF233" s="133"/>
      <c r="AG233" s="133"/>
      <c r="AH233" s="133"/>
      <c r="AI233" s="134"/>
    </row>
    <row r="234" spans="2:35" ht="21.75" thickBot="1" x14ac:dyDescent="0.4">
      <c r="B234" s="623" t="s">
        <v>458</v>
      </c>
      <c r="C234" s="1021">
        <f>+'Scenarios Data'!B257</f>
        <v>0</v>
      </c>
      <c r="D234" s="1275">
        <f>+'Scenarios Data'!D257:J257</f>
        <v>0</v>
      </c>
      <c r="E234" s="1276"/>
      <c r="F234" s="1276"/>
      <c r="G234" s="1277"/>
      <c r="H234" s="624"/>
      <c r="I234" s="1251" t="s">
        <v>833</v>
      </c>
      <c r="J234" s="1251"/>
      <c r="K234" s="1251"/>
      <c r="L234" s="1251"/>
      <c r="M234" s="1251"/>
      <c r="N234" s="1251"/>
      <c r="O234" s="625"/>
      <c r="P234" s="626"/>
      <c r="Q234" s="624"/>
      <c r="R234" s="624"/>
      <c r="S234" s="1252"/>
      <c r="T234" s="1252"/>
      <c r="U234" s="1252"/>
      <c r="V234" s="1252"/>
      <c r="W234" s="626"/>
      <c r="X234" s="626"/>
      <c r="Y234" s="626"/>
      <c r="Z234" s="626"/>
      <c r="AA234" s="700"/>
      <c r="AB234" s="1237" t="str">
        <f>CONCATENATE(B234," - ",C234," - Totals")</f>
        <v>Scenario 9 - 0 - Totals</v>
      </c>
      <c r="AC234" s="1238"/>
      <c r="AD234" s="1238"/>
      <c r="AE234" s="1238"/>
      <c r="AF234" s="1238"/>
      <c r="AG234" s="1238"/>
      <c r="AH234" s="1238"/>
      <c r="AI234" s="1239"/>
    </row>
    <row r="235" spans="2:35" ht="45.75" x14ac:dyDescent="0.3">
      <c r="B235" s="627" t="s">
        <v>400</v>
      </c>
      <c r="C235" s="628" t="s">
        <v>539</v>
      </c>
      <c r="D235" s="629" t="s">
        <v>540</v>
      </c>
      <c r="E235" s="630" t="s">
        <v>489</v>
      </c>
      <c r="F235" s="631" t="s">
        <v>667</v>
      </c>
      <c r="G235" s="630" t="s">
        <v>401</v>
      </c>
      <c r="H235" s="632" t="s">
        <v>402</v>
      </c>
      <c r="I235" s="39">
        <v>1</v>
      </c>
      <c r="J235" s="39">
        <v>2</v>
      </c>
      <c r="K235" s="39">
        <v>3</v>
      </c>
      <c r="L235" s="39">
        <v>4</v>
      </c>
      <c r="M235" s="39">
        <v>5</v>
      </c>
      <c r="N235" s="39">
        <v>6</v>
      </c>
      <c r="O235" s="633" t="s">
        <v>397</v>
      </c>
      <c r="P235" s="633" t="s">
        <v>398</v>
      </c>
      <c r="Q235" s="630" t="s">
        <v>538</v>
      </c>
      <c r="R235" s="634" t="s">
        <v>488</v>
      </c>
      <c r="S235" s="635" t="s">
        <v>460</v>
      </c>
      <c r="T235" s="630" t="s">
        <v>461</v>
      </c>
      <c r="U235" s="635" t="s">
        <v>460</v>
      </c>
      <c r="V235" s="630" t="s">
        <v>461</v>
      </c>
      <c r="W235" s="633" t="s">
        <v>481</v>
      </c>
      <c r="X235" s="633" t="s">
        <v>480</v>
      </c>
      <c r="Y235" s="633" t="s">
        <v>482</v>
      </c>
      <c r="Z235" s="731" t="s">
        <v>483</v>
      </c>
      <c r="AA235" s="640" t="s">
        <v>556</v>
      </c>
      <c r="AB235" s="732" t="s">
        <v>546</v>
      </c>
      <c r="AC235" s="53" t="s">
        <v>399</v>
      </c>
      <c r="AD235" s="53" t="s">
        <v>484</v>
      </c>
      <c r="AE235" s="53" t="s">
        <v>549</v>
      </c>
      <c r="AF235" s="52" t="s">
        <v>555</v>
      </c>
      <c r="AG235" s="53" t="s">
        <v>399</v>
      </c>
      <c r="AH235" s="53" t="s">
        <v>484</v>
      </c>
      <c r="AI235" s="641" t="s">
        <v>549</v>
      </c>
    </row>
    <row r="236" spans="2:35" ht="15.75" customHeight="1" x14ac:dyDescent="0.25">
      <c r="B236" s="642">
        <v>1</v>
      </c>
      <c r="C236" s="38"/>
      <c r="D236" s="28"/>
      <c r="E236" s="29"/>
      <c r="F236" s="30"/>
      <c r="G236" s="31"/>
      <c r="H236" s="27"/>
      <c r="I236" s="32"/>
      <c r="J236" s="32"/>
      <c r="K236" s="32"/>
      <c r="L236" s="32"/>
      <c r="M236" s="32"/>
      <c r="N236" s="32"/>
      <c r="O236" s="643">
        <f t="shared" ref="O236:O260" si="125">SUM(I236:N236)</f>
        <v>0</v>
      </c>
      <c r="P236" s="644">
        <f t="shared" ref="P236:P260" si="126">+O236/Mg_ton</f>
        <v>0</v>
      </c>
      <c r="Q236" s="729" t="e">
        <f>P236/$P$262</f>
        <v>#DIV/0!</v>
      </c>
      <c r="R236" s="33"/>
      <c r="S236" s="37"/>
      <c r="T236" s="60">
        <f t="shared" ref="T236:T260" si="127">+S236/km_mile</f>
        <v>0</v>
      </c>
      <c r="U236" s="61">
        <f t="shared" ref="U236:U260" si="128">+S236*$U$29</f>
        <v>0</v>
      </c>
      <c r="V236" s="60">
        <f t="shared" ref="V236:V260" si="129">+U236/km_mile</f>
        <v>0</v>
      </c>
      <c r="W236" s="28"/>
      <c r="X236" s="737">
        <f>IF(W236='References Assumptions'!$C$331,'References Assumptions'!$C$335,0)</f>
        <v>0</v>
      </c>
      <c r="Y236" s="646" t="s">
        <v>399</v>
      </c>
      <c r="Z236" s="647">
        <f t="shared" ref="Z236:Z260" si="130">+X236/Mg_ton</f>
        <v>0</v>
      </c>
      <c r="AA236" s="29"/>
      <c r="AB236" s="54" t="s">
        <v>444</v>
      </c>
      <c r="AC236" s="648">
        <f>SUMIF($D$236:$D$260,AB236,$O$236:$O$260)</f>
        <v>0</v>
      </c>
      <c r="AD236" s="648">
        <f>SUMIF($D$236:$D$260,AB236,$P$236:$P$260)</f>
        <v>0</v>
      </c>
      <c r="AE236" s="50">
        <f>AD236*(Mean_solids)</f>
        <v>0</v>
      </c>
      <c r="AF236" s="56" t="s">
        <v>503</v>
      </c>
      <c r="AG236" s="648">
        <f t="shared" ref="AG236:AG242" si="131">SUMIFS($O$236:$O$260,$D$236:$D$260,AB236,$E$236:$E$260,AF236)</f>
        <v>0</v>
      </c>
      <c r="AH236" s="648">
        <f t="shared" ref="AH236:AH242" si="132">SUMIFS($P$236:$P$260,$D$236:$D$260,AB236,$E$236:$E$260,AF236)</f>
        <v>0</v>
      </c>
      <c r="AI236" s="49">
        <f t="shared" ref="AI236:AI243" si="133">AH236*(Mean_solids)</f>
        <v>0</v>
      </c>
    </row>
    <row r="237" spans="2:35" ht="15.75" customHeight="1" x14ac:dyDescent="0.25">
      <c r="B237" s="642">
        <v>2</v>
      </c>
      <c r="C237" s="38"/>
      <c r="D237" s="28"/>
      <c r="E237" s="29"/>
      <c r="F237" s="30"/>
      <c r="G237" s="31"/>
      <c r="H237" s="27"/>
      <c r="I237" s="32"/>
      <c r="J237" s="36"/>
      <c r="K237" s="36"/>
      <c r="L237" s="36"/>
      <c r="M237" s="36"/>
      <c r="N237" s="36"/>
      <c r="O237" s="643">
        <f t="shared" si="125"/>
        <v>0</v>
      </c>
      <c r="P237" s="644">
        <f t="shared" si="126"/>
        <v>0</v>
      </c>
      <c r="Q237" s="729" t="e">
        <f t="shared" ref="Q237:Q260" si="134">P237/$P$262</f>
        <v>#DIV/0!</v>
      </c>
      <c r="R237" s="33"/>
      <c r="S237" s="37"/>
      <c r="T237" s="60">
        <f t="shared" si="127"/>
        <v>0</v>
      </c>
      <c r="U237" s="61">
        <f t="shared" si="128"/>
        <v>0</v>
      </c>
      <c r="V237" s="60">
        <f t="shared" si="129"/>
        <v>0</v>
      </c>
      <c r="W237" s="28"/>
      <c r="X237" s="737">
        <f>IF(W237='References Assumptions'!$C$331,'References Assumptions'!$C$335,0)</f>
        <v>0</v>
      </c>
      <c r="Y237" s="646" t="s">
        <v>399</v>
      </c>
      <c r="Z237" s="647">
        <f t="shared" si="130"/>
        <v>0</v>
      </c>
      <c r="AA237" s="29"/>
      <c r="AB237" s="54" t="s">
        <v>444</v>
      </c>
      <c r="AC237" s="1242"/>
      <c r="AD237" s="1243"/>
      <c r="AE237" s="1244"/>
      <c r="AF237" s="56" t="s">
        <v>504</v>
      </c>
      <c r="AG237" s="648">
        <f t="shared" si="131"/>
        <v>0</v>
      </c>
      <c r="AH237" s="648">
        <f t="shared" si="132"/>
        <v>0</v>
      </c>
      <c r="AI237" s="49">
        <f t="shared" si="133"/>
        <v>0</v>
      </c>
    </row>
    <row r="238" spans="2:35" ht="15.75" customHeight="1" x14ac:dyDescent="0.25">
      <c r="B238" s="642">
        <v>3</v>
      </c>
      <c r="C238" s="38"/>
      <c r="D238" s="28"/>
      <c r="E238" s="29"/>
      <c r="F238" s="30"/>
      <c r="G238" s="31"/>
      <c r="H238" s="27"/>
      <c r="I238" s="32"/>
      <c r="J238" s="36"/>
      <c r="K238" s="36"/>
      <c r="L238" s="36"/>
      <c r="M238" s="36"/>
      <c r="N238" s="36"/>
      <c r="O238" s="643">
        <f t="shared" si="125"/>
        <v>0</v>
      </c>
      <c r="P238" s="644">
        <f t="shared" si="126"/>
        <v>0</v>
      </c>
      <c r="Q238" s="729" t="e">
        <f t="shared" si="134"/>
        <v>#DIV/0!</v>
      </c>
      <c r="R238" s="33"/>
      <c r="S238" s="37"/>
      <c r="T238" s="60">
        <f t="shared" si="127"/>
        <v>0</v>
      </c>
      <c r="U238" s="61">
        <f t="shared" si="128"/>
        <v>0</v>
      </c>
      <c r="V238" s="60">
        <f t="shared" si="129"/>
        <v>0</v>
      </c>
      <c r="W238" s="28"/>
      <c r="X238" s="737">
        <f>IF(W238='References Assumptions'!$C$331,'References Assumptions'!$C$335,0)</f>
        <v>0</v>
      </c>
      <c r="Y238" s="646" t="s">
        <v>399</v>
      </c>
      <c r="Z238" s="647">
        <f t="shared" si="130"/>
        <v>0</v>
      </c>
      <c r="AA238" s="29"/>
      <c r="AB238" s="54" t="s">
        <v>444</v>
      </c>
      <c r="AC238" s="1245"/>
      <c r="AD238" s="1246"/>
      <c r="AE238" s="1247"/>
      <c r="AF238" s="56" t="s">
        <v>505</v>
      </c>
      <c r="AG238" s="648">
        <f t="shared" si="131"/>
        <v>0</v>
      </c>
      <c r="AH238" s="648">
        <f t="shared" si="132"/>
        <v>0</v>
      </c>
      <c r="AI238" s="49">
        <f t="shared" si="133"/>
        <v>0</v>
      </c>
    </row>
    <row r="239" spans="2:35" ht="15.75" customHeight="1" x14ac:dyDescent="0.25">
      <c r="B239" s="642">
        <v>4</v>
      </c>
      <c r="C239" s="38"/>
      <c r="D239" s="28"/>
      <c r="E239" s="29"/>
      <c r="F239" s="30"/>
      <c r="G239" s="31"/>
      <c r="H239" s="27"/>
      <c r="I239" s="32"/>
      <c r="J239" s="36"/>
      <c r="K239" s="36"/>
      <c r="L239" s="36"/>
      <c r="M239" s="36"/>
      <c r="N239" s="36"/>
      <c r="O239" s="643">
        <f t="shared" si="125"/>
        <v>0</v>
      </c>
      <c r="P239" s="644">
        <f t="shared" si="126"/>
        <v>0</v>
      </c>
      <c r="Q239" s="729" t="e">
        <f t="shared" si="134"/>
        <v>#DIV/0!</v>
      </c>
      <c r="R239" s="33"/>
      <c r="S239" s="37"/>
      <c r="T239" s="60">
        <f t="shared" si="127"/>
        <v>0</v>
      </c>
      <c r="U239" s="61">
        <f t="shared" si="128"/>
        <v>0</v>
      </c>
      <c r="V239" s="60">
        <f t="shared" si="129"/>
        <v>0</v>
      </c>
      <c r="W239" s="28"/>
      <c r="X239" s="737">
        <f>IF(W239='References Assumptions'!$C$331,'References Assumptions'!$C$335,0)</f>
        <v>0</v>
      </c>
      <c r="Y239" s="646" t="s">
        <v>399</v>
      </c>
      <c r="Z239" s="647">
        <f t="shared" si="130"/>
        <v>0</v>
      </c>
      <c r="AA239" s="29"/>
      <c r="AB239" s="54" t="s">
        <v>444</v>
      </c>
      <c r="AC239" s="1248"/>
      <c r="AD239" s="1249"/>
      <c r="AE239" s="1250"/>
      <c r="AF239" s="56" t="s">
        <v>547</v>
      </c>
      <c r="AG239" s="648">
        <f t="shared" si="131"/>
        <v>0</v>
      </c>
      <c r="AH239" s="648">
        <f t="shared" si="132"/>
        <v>0</v>
      </c>
      <c r="AI239" s="49">
        <f t="shared" si="133"/>
        <v>0</v>
      </c>
    </row>
    <row r="240" spans="2:35" ht="15.75" customHeight="1" x14ac:dyDescent="0.25">
      <c r="B240" s="642">
        <v>5</v>
      </c>
      <c r="C240" s="38"/>
      <c r="D240" s="28"/>
      <c r="E240" s="29"/>
      <c r="F240" s="30"/>
      <c r="G240" s="31"/>
      <c r="H240" s="27"/>
      <c r="I240" s="32"/>
      <c r="J240" s="36"/>
      <c r="K240" s="36"/>
      <c r="L240" s="36"/>
      <c r="M240" s="36"/>
      <c r="N240" s="36"/>
      <c r="O240" s="643">
        <f t="shared" si="125"/>
        <v>0</v>
      </c>
      <c r="P240" s="644">
        <f t="shared" si="126"/>
        <v>0</v>
      </c>
      <c r="Q240" s="729" t="e">
        <f t="shared" si="134"/>
        <v>#DIV/0!</v>
      </c>
      <c r="R240" s="33"/>
      <c r="S240" s="37"/>
      <c r="T240" s="60">
        <f t="shared" si="127"/>
        <v>0</v>
      </c>
      <c r="U240" s="61">
        <f t="shared" si="128"/>
        <v>0</v>
      </c>
      <c r="V240" s="60">
        <f t="shared" si="129"/>
        <v>0</v>
      </c>
      <c r="W240" s="28"/>
      <c r="X240" s="737">
        <f>IF(W240='References Assumptions'!$C$331,'References Assumptions'!$C$335,0)</f>
        <v>0</v>
      </c>
      <c r="Y240" s="646" t="s">
        <v>399</v>
      </c>
      <c r="Z240" s="647">
        <f t="shared" si="130"/>
        <v>0</v>
      </c>
      <c r="AA240" s="29"/>
      <c r="AB240" s="54" t="s">
        <v>250</v>
      </c>
      <c r="AC240" s="648">
        <f>SUMIF($D$236:$D$260,AB240,$O$236:$O$260)</f>
        <v>0</v>
      </c>
      <c r="AD240" s="648">
        <f>SUMIF($D$236:$D$260,AB240,$P$236:$P$260)</f>
        <v>0</v>
      </c>
      <c r="AE240" s="50">
        <f>AD240*(Mean_solids)</f>
        <v>0</v>
      </c>
      <c r="AF240" s="56" t="s">
        <v>487</v>
      </c>
      <c r="AG240" s="648">
        <f t="shared" si="131"/>
        <v>0</v>
      </c>
      <c r="AH240" s="648">
        <f t="shared" si="132"/>
        <v>0</v>
      </c>
      <c r="AI240" s="49">
        <f t="shared" si="133"/>
        <v>0</v>
      </c>
    </row>
    <row r="241" spans="2:37" ht="15.75" customHeight="1" x14ac:dyDescent="0.25">
      <c r="B241" s="642">
        <v>6</v>
      </c>
      <c r="C241" s="38"/>
      <c r="D241" s="28"/>
      <c r="E241" s="29"/>
      <c r="F241" s="30"/>
      <c r="G241" s="31"/>
      <c r="H241" s="27"/>
      <c r="I241" s="32"/>
      <c r="J241" s="36"/>
      <c r="K241" s="36"/>
      <c r="L241" s="36"/>
      <c r="M241" s="36"/>
      <c r="N241" s="36"/>
      <c r="O241" s="643">
        <f t="shared" si="125"/>
        <v>0</v>
      </c>
      <c r="P241" s="644">
        <f t="shared" si="126"/>
        <v>0</v>
      </c>
      <c r="Q241" s="729" t="e">
        <f t="shared" si="134"/>
        <v>#DIV/0!</v>
      </c>
      <c r="R241" s="33"/>
      <c r="S241" s="37"/>
      <c r="T241" s="60">
        <f t="shared" si="127"/>
        <v>0</v>
      </c>
      <c r="U241" s="61">
        <f t="shared" si="128"/>
        <v>0</v>
      </c>
      <c r="V241" s="60">
        <f t="shared" si="129"/>
        <v>0</v>
      </c>
      <c r="W241" s="28"/>
      <c r="X241" s="737">
        <f>IF(W241='References Assumptions'!$C$331,'References Assumptions'!$C$335,0)</f>
        <v>0</v>
      </c>
      <c r="Y241" s="646" t="s">
        <v>399</v>
      </c>
      <c r="Z241" s="647">
        <f t="shared" si="130"/>
        <v>0</v>
      </c>
      <c r="AA241" s="29"/>
      <c r="AB241" s="54" t="s">
        <v>250</v>
      </c>
      <c r="AC241" s="1242"/>
      <c r="AD241" s="1243"/>
      <c r="AE241" s="1244"/>
      <c r="AF241" s="56" t="s">
        <v>90</v>
      </c>
      <c r="AG241" s="648">
        <f t="shared" si="131"/>
        <v>0</v>
      </c>
      <c r="AH241" s="648">
        <f t="shared" si="132"/>
        <v>0</v>
      </c>
      <c r="AI241" s="49">
        <f t="shared" si="133"/>
        <v>0</v>
      </c>
    </row>
    <row r="242" spans="2:37" ht="15.75" customHeight="1" x14ac:dyDescent="0.25">
      <c r="B242" s="642">
        <v>7</v>
      </c>
      <c r="C242" s="38"/>
      <c r="D242" s="28"/>
      <c r="E242" s="29"/>
      <c r="F242" s="30"/>
      <c r="G242" s="31"/>
      <c r="H242" s="27"/>
      <c r="I242" s="32"/>
      <c r="J242" s="36"/>
      <c r="K242" s="36"/>
      <c r="L242" s="36"/>
      <c r="M242" s="36"/>
      <c r="N242" s="36"/>
      <c r="O242" s="643">
        <f t="shared" si="125"/>
        <v>0</v>
      </c>
      <c r="P242" s="644">
        <f t="shared" si="126"/>
        <v>0</v>
      </c>
      <c r="Q242" s="729" t="e">
        <f t="shared" si="134"/>
        <v>#DIV/0!</v>
      </c>
      <c r="R242" s="33"/>
      <c r="S242" s="37"/>
      <c r="T242" s="60">
        <f t="shared" si="127"/>
        <v>0</v>
      </c>
      <c r="U242" s="61">
        <f t="shared" si="128"/>
        <v>0</v>
      </c>
      <c r="V242" s="60">
        <f t="shared" si="129"/>
        <v>0</v>
      </c>
      <c r="W242" s="28"/>
      <c r="X242" s="737">
        <f>IF(W242='References Assumptions'!$C$331,'References Assumptions'!$C$335,0)</f>
        <v>0</v>
      </c>
      <c r="Y242" s="646" t="s">
        <v>399</v>
      </c>
      <c r="Z242" s="647">
        <f t="shared" si="130"/>
        <v>0</v>
      </c>
      <c r="AA242" s="29"/>
      <c r="AB242" s="54" t="s">
        <v>250</v>
      </c>
      <c r="AC242" s="1248"/>
      <c r="AD242" s="1249"/>
      <c r="AE242" s="1250"/>
      <c r="AF242" s="56" t="s">
        <v>176</v>
      </c>
      <c r="AG242" s="648">
        <f t="shared" si="131"/>
        <v>0</v>
      </c>
      <c r="AH242" s="648">
        <f t="shared" si="132"/>
        <v>0</v>
      </c>
      <c r="AI242" s="49">
        <f t="shared" si="133"/>
        <v>0</v>
      </c>
    </row>
    <row r="243" spans="2:37" ht="15.75" customHeight="1" x14ac:dyDescent="0.25">
      <c r="B243" s="642">
        <v>8</v>
      </c>
      <c r="C243" s="38"/>
      <c r="D243" s="28"/>
      <c r="E243" s="29"/>
      <c r="F243" s="30"/>
      <c r="G243" s="31"/>
      <c r="H243" s="27"/>
      <c r="I243" s="32"/>
      <c r="J243" s="36"/>
      <c r="K243" s="36"/>
      <c r="L243" s="36"/>
      <c r="M243" s="36"/>
      <c r="N243" s="36"/>
      <c r="O243" s="643">
        <f t="shared" si="125"/>
        <v>0</v>
      </c>
      <c r="P243" s="644">
        <f t="shared" si="126"/>
        <v>0</v>
      </c>
      <c r="Q243" s="729" t="e">
        <f t="shared" si="134"/>
        <v>#DIV/0!</v>
      </c>
      <c r="R243" s="33"/>
      <c r="S243" s="37"/>
      <c r="T243" s="60">
        <f t="shared" si="127"/>
        <v>0</v>
      </c>
      <c r="U243" s="61">
        <f t="shared" si="128"/>
        <v>0</v>
      </c>
      <c r="V243" s="60">
        <f t="shared" si="129"/>
        <v>0</v>
      </c>
      <c r="W243" s="28"/>
      <c r="X243" s="737">
        <f>IF(W243='References Assumptions'!$C$331,'References Assumptions'!$C$335,0)</f>
        <v>0</v>
      </c>
      <c r="Y243" s="646" t="s">
        <v>399</v>
      </c>
      <c r="Z243" s="647">
        <f t="shared" si="130"/>
        <v>0</v>
      </c>
      <c r="AA243" s="29"/>
      <c r="AB243" s="54" t="s">
        <v>548</v>
      </c>
      <c r="AC243" s="648">
        <f>SUMIF($D$236:$D$260,AB243,$O$236:$O$260)</f>
        <v>0</v>
      </c>
      <c r="AD243" s="648">
        <f>SUMIF($D$236:$D$260,AB243,$P$236:$P$260)</f>
        <v>0</v>
      </c>
      <c r="AE243" s="50">
        <f>AD243*(Mean_solids)</f>
        <v>0</v>
      </c>
      <c r="AF243" s="56" t="s">
        <v>592</v>
      </c>
      <c r="AG243" s="648">
        <f>SUMIFS($O$236:$O$260,$D$236:$D$260,AB243,$E$236:$E$260,'References Assumptions'!$C$352)</f>
        <v>0</v>
      </c>
      <c r="AH243" s="648">
        <f>SUMIFS($P$236:$P$260,$D$236:$D$260,AB243,$E$236:$E$260,'References Assumptions'!$C$352)</f>
        <v>0</v>
      </c>
      <c r="AI243" s="49">
        <f t="shared" si="133"/>
        <v>0</v>
      </c>
    </row>
    <row r="244" spans="2:37" ht="15" customHeight="1" x14ac:dyDescent="0.25">
      <c r="B244" s="642">
        <v>9</v>
      </c>
      <c r="C244" s="38"/>
      <c r="D244" s="28"/>
      <c r="E244" s="29"/>
      <c r="F244" s="30"/>
      <c r="G244" s="31"/>
      <c r="H244" s="27"/>
      <c r="I244" s="32"/>
      <c r="J244" s="36"/>
      <c r="K244" s="36"/>
      <c r="L244" s="36"/>
      <c r="M244" s="36"/>
      <c r="N244" s="36"/>
      <c r="O244" s="643">
        <f t="shared" si="125"/>
        <v>0</v>
      </c>
      <c r="P244" s="644">
        <f t="shared" si="126"/>
        <v>0</v>
      </c>
      <c r="Q244" s="729" t="e">
        <f t="shared" si="134"/>
        <v>#DIV/0!</v>
      </c>
      <c r="R244" s="33"/>
      <c r="S244" s="37"/>
      <c r="T244" s="60">
        <f t="shared" si="127"/>
        <v>0</v>
      </c>
      <c r="U244" s="61">
        <f t="shared" si="128"/>
        <v>0</v>
      </c>
      <c r="V244" s="60">
        <f t="shared" si="129"/>
        <v>0</v>
      </c>
      <c r="W244" s="28"/>
      <c r="X244" s="737">
        <f>IF(W244='References Assumptions'!$C$331,'References Assumptions'!$C$335,0)</f>
        <v>0</v>
      </c>
      <c r="Y244" s="646" t="s">
        <v>399</v>
      </c>
      <c r="Z244" s="647">
        <f t="shared" si="130"/>
        <v>0</v>
      </c>
      <c r="AA244" s="29"/>
      <c r="AB244" s="54" t="s">
        <v>548</v>
      </c>
      <c r="AC244" s="1240"/>
      <c r="AD244" s="1240"/>
      <c r="AE244" s="1240"/>
      <c r="AF244" s="56" t="s">
        <v>593</v>
      </c>
      <c r="AG244" s="648" t="e">
        <f>SUMIFS($O$236:$O$260,$D$236:$D$260,AB244,$E$236:$E$260,'References Assumptions'!$C$352)*'Thermal Drying'!$R$7/percent_solids_after_thermal_drying</f>
        <v>#DIV/0!</v>
      </c>
      <c r="AH244" s="648" t="e">
        <f>SUMIFS($P$236:$P$260,$D$236:$D$260,AB244,$E$236:$E$260,'References Assumptions'!$C$352)*'Thermal Drying'!$R$7/percent_solids_after_thermal_drying</f>
        <v>#DIV/0!</v>
      </c>
      <c r="AI244" s="49" t="e">
        <f>+AH244*percent_solids_after_thermal_drying</f>
        <v>#DIV/0!</v>
      </c>
    </row>
    <row r="245" spans="2:37" ht="15.75" customHeight="1" x14ac:dyDescent="0.25">
      <c r="B245" s="642">
        <v>10</v>
      </c>
      <c r="C245" s="38"/>
      <c r="D245" s="28"/>
      <c r="E245" s="29"/>
      <c r="F245" s="30"/>
      <c r="G245" s="31"/>
      <c r="H245" s="27"/>
      <c r="I245" s="32"/>
      <c r="J245" s="36"/>
      <c r="K245" s="36"/>
      <c r="L245" s="36"/>
      <c r="M245" s="36"/>
      <c r="N245" s="36"/>
      <c r="O245" s="643">
        <f t="shared" si="125"/>
        <v>0</v>
      </c>
      <c r="P245" s="644">
        <f t="shared" si="126"/>
        <v>0</v>
      </c>
      <c r="Q245" s="729" t="e">
        <f t="shared" si="134"/>
        <v>#DIV/0!</v>
      </c>
      <c r="R245" s="33"/>
      <c r="S245" s="37"/>
      <c r="T245" s="60">
        <f t="shared" si="127"/>
        <v>0</v>
      </c>
      <c r="U245" s="61">
        <f t="shared" si="128"/>
        <v>0</v>
      </c>
      <c r="V245" s="60">
        <f t="shared" si="129"/>
        <v>0</v>
      </c>
      <c r="W245" s="28"/>
      <c r="X245" s="737">
        <f>IF(W245='References Assumptions'!$C$331,'References Assumptions'!$C$335,0)</f>
        <v>0</v>
      </c>
      <c r="Y245" s="646" t="s">
        <v>399</v>
      </c>
      <c r="Z245" s="647">
        <f t="shared" si="130"/>
        <v>0</v>
      </c>
      <c r="AA245" s="29"/>
      <c r="AB245" s="54" t="s">
        <v>548</v>
      </c>
      <c r="AC245" s="1198"/>
      <c r="AD245" s="1198"/>
      <c r="AE245" s="1198"/>
      <c r="AF245" s="56" t="s">
        <v>608</v>
      </c>
      <c r="AG245" s="648">
        <f t="shared" ref="AG245:AG246" si="135">SUMIFS($O$236:$O$260,$D$236:$D$260,AB245,$E$236:$E$260,AF245)</f>
        <v>0</v>
      </c>
      <c r="AH245" s="648">
        <f t="shared" ref="AH245:AH246" si="136">SUMIFS($P$236:$P$260,$D$236:$D$260,AB245,$E$236:$E$260,AF245)</f>
        <v>0</v>
      </c>
      <c r="AI245" s="49">
        <f t="shared" ref="AI245:AI246" si="137">AH245*(Mean_solids)</f>
        <v>0</v>
      </c>
    </row>
    <row r="246" spans="2:37" ht="15.75" customHeight="1" x14ac:dyDescent="0.25">
      <c r="B246" s="642">
        <v>11</v>
      </c>
      <c r="C246" s="38"/>
      <c r="D246" s="28"/>
      <c r="E246" s="29"/>
      <c r="F246" s="30"/>
      <c r="G246" s="31"/>
      <c r="H246" s="27"/>
      <c r="I246" s="32"/>
      <c r="J246" s="36"/>
      <c r="K246" s="36"/>
      <c r="L246" s="36"/>
      <c r="M246" s="36"/>
      <c r="N246" s="36"/>
      <c r="O246" s="643">
        <f t="shared" si="125"/>
        <v>0</v>
      </c>
      <c r="P246" s="644">
        <f t="shared" si="126"/>
        <v>0</v>
      </c>
      <c r="Q246" s="729" t="e">
        <f t="shared" si="134"/>
        <v>#DIV/0!</v>
      </c>
      <c r="R246" s="33"/>
      <c r="S246" s="37"/>
      <c r="T246" s="60">
        <f t="shared" si="127"/>
        <v>0</v>
      </c>
      <c r="U246" s="61">
        <f t="shared" si="128"/>
        <v>0</v>
      </c>
      <c r="V246" s="60">
        <f t="shared" si="129"/>
        <v>0</v>
      </c>
      <c r="W246" s="28"/>
      <c r="X246" s="737">
        <f>IF(W246='References Assumptions'!$C$331,'References Assumptions'!$C$335,0)</f>
        <v>0</v>
      </c>
      <c r="Y246" s="646" t="s">
        <v>399</v>
      </c>
      <c r="Z246" s="647">
        <f t="shared" si="130"/>
        <v>0</v>
      </c>
      <c r="AA246" s="29"/>
      <c r="AB246" s="54" t="s">
        <v>548</v>
      </c>
      <c r="AC246" s="1198"/>
      <c r="AD246" s="1198"/>
      <c r="AE246" s="1198"/>
      <c r="AF246" s="56" t="s">
        <v>609</v>
      </c>
      <c r="AG246" s="648">
        <f t="shared" si="135"/>
        <v>0</v>
      </c>
      <c r="AH246" s="648">
        <f t="shared" si="136"/>
        <v>0</v>
      </c>
      <c r="AI246" s="49">
        <f t="shared" si="137"/>
        <v>0</v>
      </c>
    </row>
    <row r="247" spans="2:37" ht="15.75" customHeight="1" x14ac:dyDescent="0.25">
      <c r="B247" s="642">
        <v>12</v>
      </c>
      <c r="C247" s="38"/>
      <c r="D247" s="28"/>
      <c r="E247" s="29"/>
      <c r="F247" s="30"/>
      <c r="G247" s="31"/>
      <c r="H247" s="27"/>
      <c r="I247" s="32"/>
      <c r="J247" s="36"/>
      <c r="K247" s="36"/>
      <c r="L247" s="36"/>
      <c r="M247" s="36"/>
      <c r="N247" s="36"/>
      <c r="O247" s="643">
        <f t="shared" si="125"/>
        <v>0</v>
      </c>
      <c r="P247" s="644">
        <f t="shared" si="126"/>
        <v>0</v>
      </c>
      <c r="Q247" s="729" t="e">
        <f t="shared" si="134"/>
        <v>#DIV/0!</v>
      </c>
      <c r="R247" s="33"/>
      <c r="S247" s="37"/>
      <c r="T247" s="60">
        <f t="shared" si="127"/>
        <v>0</v>
      </c>
      <c r="U247" s="61">
        <f t="shared" si="128"/>
        <v>0</v>
      </c>
      <c r="V247" s="60">
        <f t="shared" si="129"/>
        <v>0</v>
      </c>
      <c r="W247" s="28"/>
      <c r="X247" s="737">
        <f>IF(W247='References Assumptions'!$C$331,'References Assumptions'!$C$335,0)</f>
        <v>0</v>
      </c>
      <c r="Y247" s="646" t="s">
        <v>399</v>
      </c>
      <c r="Z247" s="647">
        <f t="shared" si="130"/>
        <v>0</v>
      </c>
      <c r="AA247" s="29"/>
      <c r="AB247" s="54" t="s">
        <v>548</v>
      </c>
      <c r="AC247" s="1241"/>
      <c r="AD247" s="1241"/>
      <c r="AE247" s="1241"/>
      <c r="AF247" s="1190" t="s">
        <v>987</v>
      </c>
      <c r="AG247" s="648" t="e">
        <f>(SUMIFS($O$236:$O$260,$D$236:$D$260,AB247,$E$236:$E$260,AF247)*(Percent_Solids/percent_solids_after_biodrying)*(percent_solids_after_biodrying/Percent_Solids_After_Pyrolysis))*(1-Pyrolysis!$R$15)</f>
        <v>#DIV/0!</v>
      </c>
      <c r="AH247" s="648" t="e">
        <f>(SUMIFS($P$236:$P$260,$D$236:$D$260,AB247,$E$236:$E$260,AF247)*(Percent_Solids/percent_solids_after_biodrying)*(percent_solids_after_biodrying/Percent_Solids_After_Pyrolysis))*(1-Pyrolysis!$R$15)</f>
        <v>#DIV/0!</v>
      </c>
      <c r="AI247" s="598" t="e">
        <f>AH247*Percent_Solids_After_Pyrolysis</f>
        <v>#DIV/0!</v>
      </c>
    </row>
    <row r="248" spans="2:37" ht="15.75" customHeight="1" x14ac:dyDescent="0.25">
      <c r="B248" s="642">
        <v>13</v>
      </c>
      <c r="C248" s="38"/>
      <c r="D248" s="28"/>
      <c r="E248" s="29"/>
      <c r="F248" s="30"/>
      <c r="G248" s="31"/>
      <c r="H248" s="27"/>
      <c r="I248" s="32"/>
      <c r="J248" s="36"/>
      <c r="K248" s="36"/>
      <c r="L248" s="36"/>
      <c r="M248" s="36"/>
      <c r="N248" s="36"/>
      <c r="O248" s="643">
        <f t="shared" si="125"/>
        <v>0</v>
      </c>
      <c r="P248" s="644">
        <f t="shared" si="126"/>
        <v>0</v>
      </c>
      <c r="Q248" s="729" t="e">
        <f t="shared" si="134"/>
        <v>#DIV/0!</v>
      </c>
      <c r="R248" s="33"/>
      <c r="S248" s="37"/>
      <c r="T248" s="60">
        <f t="shared" si="127"/>
        <v>0</v>
      </c>
      <c r="U248" s="61">
        <f t="shared" si="128"/>
        <v>0</v>
      </c>
      <c r="V248" s="60">
        <f t="shared" si="129"/>
        <v>0</v>
      </c>
      <c r="W248" s="28"/>
      <c r="X248" s="737">
        <f>IF(W248='References Assumptions'!$C$331,'References Assumptions'!$C$335,0)</f>
        <v>0</v>
      </c>
      <c r="Y248" s="646" t="s">
        <v>399</v>
      </c>
      <c r="Z248" s="647">
        <f t="shared" si="130"/>
        <v>0</v>
      </c>
      <c r="AA248" s="29"/>
      <c r="AB248" s="54" t="s">
        <v>222</v>
      </c>
      <c r="AC248" s="648">
        <f>SUMIF($D$236:$D$260,AB248,$O$236:$O$260)</f>
        <v>0</v>
      </c>
      <c r="AD248" s="648">
        <f>SUMIF($D$236:$D$260,AB248,$P$236:$P$260)</f>
        <v>0</v>
      </c>
      <c r="AE248" s="50">
        <f>AD248*(Mean_solids)</f>
        <v>0</v>
      </c>
      <c r="AF248" s="56" t="s">
        <v>496</v>
      </c>
      <c r="AG248" s="648">
        <f>SUMIFS($O$236:$O$260,$D$236:$D$260,AB248,$E$236:$E$260,AF248)</f>
        <v>0</v>
      </c>
      <c r="AH248" s="648">
        <f>SUMIFS($P$236:$P$260,$D$236:$D$260,AB248,$E$236:$E$260,AF248)</f>
        <v>0</v>
      </c>
      <c r="AI248" s="49">
        <f>AH248*(Mean_solids)</f>
        <v>0</v>
      </c>
    </row>
    <row r="249" spans="2:37" ht="15.75" customHeight="1" x14ac:dyDescent="0.25">
      <c r="B249" s="642">
        <v>14</v>
      </c>
      <c r="C249" s="38"/>
      <c r="D249" s="28"/>
      <c r="E249" s="29"/>
      <c r="F249" s="30"/>
      <c r="G249" s="31"/>
      <c r="H249" s="27"/>
      <c r="I249" s="32"/>
      <c r="J249" s="36"/>
      <c r="K249" s="36"/>
      <c r="L249" s="36"/>
      <c r="M249" s="36"/>
      <c r="N249" s="36"/>
      <c r="O249" s="643">
        <f t="shared" si="125"/>
        <v>0</v>
      </c>
      <c r="P249" s="644">
        <f t="shared" si="126"/>
        <v>0</v>
      </c>
      <c r="Q249" s="729" t="e">
        <f t="shared" si="134"/>
        <v>#DIV/0!</v>
      </c>
      <c r="R249" s="33"/>
      <c r="S249" s="37"/>
      <c r="T249" s="60">
        <f t="shared" si="127"/>
        <v>0</v>
      </c>
      <c r="U249" s="61">
        <f t="shared" si="128"/>
        <v>0</v>
      </c>
      <c r="V249" s="60">
        <f t="shared" si="129"/>
        <v>0</v>
      </c>
      <c r="W249" s="28"/>
      <c r="X249" s="737">
        <f>IF(W249='References Assumptions'!$C$331,'References Assumptions'!$C$335,0)</f>
        <v>0</v>
      </c>
      <c r="Y249" s="646" t="s">
        <v>399</v>
      </c>
      <c r="Z249" s="647">
        <f t="shared" si="130"/>
        <v>0</v>
      </c>
      <c r="AA249" s="29"/>
      <c r="AB249" s="54" t="s">
        <v>222</v>
      </c>
      <c r="AC249" s="1242"/>
      <c r="AD249" s="1243"/>
      <c r="AE249" s="1244"/>
      <c r="AF249" s="56" t="s">
        <v>497</v>
      </c>
      <c r="AG249" s="648">
        <f>SUMIFS($O$236:$O$260,$D$236:$D$260,AB249,$E$236:$E$260,AF249)</f>
        <v>0</v>
      </c>
      <c r="AH249" s="648">
        <f>SUMIFS($P$236:$P$260,$D$236:$D$260,AB249,$E$236:$E$260,AF249)</f>
        <v>0</v>
      </c>
      <c r="AI249" s="49">
        <f>AH249*(Mean_solids)</f>
        <v>0</v>
      </c>
    </row>
    <row r="250" spans="2:37" ht="15.75" customHeight="1" x14ac:dyDescent="0.25">
      <c r="B250" s="642">
        <v>15</v>
      </c>
      <c r="C250" s="38"/>
      <c r="D250" s="28"/>
      <c r="E250" s="29"/>
      <c r="F250" s="30"/>
      <c r="G250" s="31"/>
      <c r="H250" s="27"/>
      <c r="I250" s="32"/>
      <c r="J250" s="36"/>
      <c r="K250" s="36"/>
      <c r="L250" s="36"/>
      <c r="M250" s="36"/>
      <c r="N250" s="36"/>
      <c r="O250" s="643">
        <f t="shared" si="125"/>
        <v>0</v>
      </c>
      <c r="P250" s="644">
        <f t="shared" si="126"/>
        <v>0</v>
      </c>
      <c r="Q250" s="729" t="e">
        <f t="shared" si="134"/>
        <v>#DIV/0!</v>
      </c>
      <c r="R250" s="33"/>
      <c r="S250" s="37"/>
      <c r="T250" s="60">
        <f t="shared" si="127"/>
        <v>0</v>
      </c>
      <c r="U250" s="61">
        <f t="shared" si="128"/>
        <v>0</v>
      </c>
      <c r="V250" s="60">
        <f t="shared" si="129"/>
        <v>0</v>
      </c>
      <c r="W250" s="28"/>
      <c r="X250" s="737">
        <f>IF(W250='References Assumptions'!$C$331,'References Assumptions'!$C$335,0)</f>
        <v>0</v>
      </c>
      <c r="Y250" s="646" t="s">
        <v>399</v>
      </c>
      <c r="Z250" s="647">
        <f t="shared" si="130"/>
        <v>0</v>
      </c>
      <c r="AA250" s="29"/>
      <c r="AB250" s="54" t="s">
        <v>222</v>
      </c>
      <c r="AC250" s="1245"/>
      <c r="AD250" s="1246"/>
      <c r="AE250" s="1247"/>
      <c r="AF250" s="56" t="s">
        <v>544</v>
      </c>
      <c r="AG250" s="648">
        <f>SUMIFS($O$236:$O$260,$D$236:$D$260,AB250,$E$236:$E$260,AF250)</f>
        <v>0</v>
      </c>
      <c r="AH250" s="648">
        <f>SUMIFS($P$236:$P$260,$D$236:$D$260,AB250,$E$236:$E$260,AF250)</f>
        <v>0</v>
      </c>
      <c r="AI250" s="49">
        <f>AH250*(Mean_solids)</f>
        <v>0</v>
      </c>
    </row>
    <row r="251" spans="2:37" ht="15.75" customHeight="1" thickBot="1" x14ac:dyDescent="0.3">
      <c r="B251" s="642">
        <v>16</v>
      </c>
      <c r="C251" s="38"/>
      <c r="D251" s="28"/>
      <c r="E251" s="29"/>
      <c r="F251" s="30"/>
      <c r="G251" s="31"/>
      <c r="H251" s="27"/>
      <c r="I251" s="32"/>
      <c r="J251" s="36"/>
      <c r="K251" s="36"/>
      <c r="L251" s="36"/>
      <c r="M251" s="36"/>
      <c r="N251" s="36"/>
      <c r="O251" s="643">
        <f t="shared" si="125"/>
        <v>0</v>
      </c>
      <c r="P251" s="644">
        <f t="shared" si="126"/>
        <v>0</v>
      </c>
      <c r="Q251" s="729" t="e">
        <f t="shared" si="134"/>
        <v>#DIV/0!</v>
      </c>
      <c r="R251" s="33"/>
      <c r="S251" s="37"/>
      <c r="T251" s="60">
        <f t="shared" si="127"/>
        <v>0</v>
      </c>
      <c r="U251" s="61">
        <f t="shared" si="128"/>
        <v>0</v>
      </c>
      <c r="V251" s="60">
        <f t="shared" si="129"/>
        <v>0</v>
      </c>
      <c r="W251" s="28"/>
      <c r="X251" s="737">
        <f>IF(W251='References Assumptions'!$C$331,'References Assumptions'!$C$335,0)</f>
        <v>0</v>
      </c>
      <c r="Y251" s="646" t="s">
        <v>399</v>
      </c>
      <c r="Z251" s="647">
        <f t="shared" si="130"/>
        <v>0</v>
      </c>
      <c r="AA251" s="29"/>
      <c r="AB251" s="709" t="s">
        <v>222</v>
      </c>
      <c r="AC251" s="1263"/>
      <c r="AD251" s="1264"/>
      <c r="AE251" s="1265"/>
      <c r="AF251" s="608" t="s">
        <v>986</v>
      </c>
      <c r="AG251" s="710" t="e">
        <f>(SUMIFS($O$236:$O$260,$D$236:$D$260,AB251,$E$236:$E$260,'References Assumptions'!$C$359)*(Percent_Solids/percent_solids_after_biodrying)*(percent_solids_after_biodrying/Percent_Solids_After_Pyrolysis))*(1-Pyrolysis!$R$15)</f>
        <v>#DIV/0!</v>
      </c>
      <c r="AH251" s="710" t="e">
        <f>(SUMIFS($P$236:$P$260,$D$236:$D$260,AB251,$E$236:$E$260,'References Assumptions'!$C$359)*(Percent_Solids/percent_solids_after_biodrying)*(percent_solids_after_biodrying/Percent_Solids_After_Pyrolysis))*(1-Pyrolysis!$R$15)</f>
        <v>#DIV/0!</v>
      </c>
      <c r="AI251" s="596" t="e">
        <f>AH256*Percent_Solids_After_Pyrolysis</f>
        <v>#DIV/0!</v>
      </c>
      <c r="AK251" s="1191"/>
    </row>
    <row r="252" spans="2:37" ht="15.75" customHeight="1" x14ac:dyDescent="0.25">
      <c r="B252" s="642">
        <v>17</v>
      </c>
      <c r="C252" s="38"/>
      <c r="D252" s="28"/>
      <c r="E252" s="29"/>
      <c r="F252" s="30"/>
      <c r="G252" s="31"/>
      <c r="H252" s="27"/>
      <c r="I252" s="32"/>
      <c r="J252" s="36"/>
      <c r="K252" s="36"/>
      <c r="L252" s="36"/>
      <c r="M252" s="36"/>
      <c r="N252" s="36"/>
      <c r="O252" s="643">
        <f t="shared" si="125"/>
        <v>0</v>
      </c>
      <c r="P252" s="644">
        <f t="shared" si="126"/>
        <v>0</v>
      </c>
      <c r="Q252" s="729" t="e">
        <f t="shared" si="134"/>
        <v>#DIV/0!</v>
      </c>
      <c r="R252" s="33"/>
      <c r="S252" s="37"/>
      <c r="T252" s="60">
        <f t="shared" si="127"/>
        <v>0</v>
      </c>
      <c r="U252" s="61">
        <f t="shared" si="128"/>
        <v>0</v>
      </c>
      <c r="V252" s="60">
        <f t="shared" si="129"/>
        <v>0</v>
      </c>
      <c r="W252" s="28"/>
      <c r="X252" s="737">
        <f>IF(W252='References Assumptions'!$C$331,'References Assumptions'!$C$335,0)</f>
        <v>0</v>
      </c>
      <c r="Y252" s="646" t="s">
        <v>399</v>
      </c>
      <c r="Z252" s="647">
        <f t="shared" si="130"/>
        <v>0</v>
      </c>
      <c r="AA252" s="29"/>
      <c r="AB252"/>
    </row>
    <row r="253" spans="2:37" ht="15.75" customHeight="1" x14ac:dyDescent="0.25">
      <c r="B253" s="642">
        <v>18</v>
      </c>
      <c r="C253" s="38"/>
      <c r="D253" s="28"/>
      <c r="E253" s="29"/>
      <c r="F253" s="30"/>
      <c r="G253" s="31"/>
      <c r="H253" s="27"/>
      <c r="I253" s="32"/>
      <c r="J253" s="36"/>
      <c r="K253" s="36"/>
      <c r="L253" s="36"/>
      <c r="M253" s="36"/>
      <c r="N253" s="36"/>
      <c r="O253" s="643">
        <f t="shared" si="125"/>
        <v>0</v>
      </c>
      <c r="P253" s="644">
        <f t="shared" si="126"/>
        <v>0</v>
      </c>
      <c r="Q253" s="729" t="e">
        <f t="shared" si="134"/>
        <v>#DIV/0!</v>
      </c>
      <c r="R253" s="33"/>
      <c r="S253" s="37"/>
      <c r="T253" s="62">
        <f t="shared" si="127"/>
        <v>0</v>
      </c>
      <c r="U253" s="63">
        <f t="shared" si="128"/>
        <v>0</v>
      </c>
      <c r="V253" s="62">
        <f t="shared" si="129"/>
        <v>0</v>
      </c>
      <c r="W253" s="28"/>
      <c r="X253" s="737">
        <f>IF(W253='References Assumptions'!$C$331,'References Assumptions'!$C$335,0)</f>
        <v>0</v>
      </c>
      <c r="Y253" s="646" t="s">
        <v>399</v>
      </c>
      <c r="Z253" s="647">
        <f t="shared" si="130"/>
        <v>0</v>
      </c>
      <c r="AA253" s="29"/>
      <c r="AC253" s="393" t="s">
        <v>399</v>
      </c>
      <c r="AD253" s="393" t="s">
        <v>376</v>
      </c>
      <c r="AF253" s="597" t="s">
        <v>646</v>
      </c>
      <c r="AG253" s="386" t="s">
        <v>399</v>
      </c>
      <c r="AH253" s="386" t="s">
        <v>484</v>
      </c>
      <c r="AI253" s="656" t="s">
        <v>549</v>
      </c>
    </row>
    <row r="254" spans="2:37" ht="15.75" customHeight="1" x14ac:dyDescent="0.25">
      <c r="B254" s="642">
        <v>19</v>
      </c>
      <c r="C254" s="38"/>
      <c r="D254" s="28"/>
      <c r="E254" s="29"/>
      <c r="F254" s="30"/>
      <c r="G254" s="31"/>
      <c r="H254" s="27"/>
      <c r="I254" s="32"/>
      <c r="J254" s="30"/>
      <c r="K254" s="30"/>
      <c r="L254" s="30"/>
      <c r="M254" s="30"/>
      <c r="N254" s="30"/>
      <c r="O254" s="643">
        <f t="shared" si="125"/>
        <v>0</v>
      </c>
      <c r="P254" s="644">
        <f t="shared" si="126"/>
        <v>0</v>
      </c>
      <c r="Q254" s="729" t="e">
        <f t="shared" si="134"/>
        <v>#DIV/0!</v>
      </c>
      <c r="R254" s="33"/>
      <c r="S254" s="37"/>
      <c r="T254" s="62">
        <f t="shared" si="127"/>
        <v>0</v>
      </c>
      <c r="U254" s="63">
        <f t="shared" si="128"/>
        <v>0</v>
      </c>
      <c r="V254" s="62">
        <f t="shared" si="129"/>
        <v>0</v>
      </c>
      <c r="W254" s="28"/>
      <c r="X254" s="737">
        <f>IF(W254='References Assumptions'!$C$331,'References Assumptions'!$C$335,0)</f>
        <v>0</v>
      </c>
      <c r="Y254" s="646" t="s">
        <v>399</v>
      </c>
      <c r="Z254" s="647">
        <f t="shared" si="130"/>
        <v>0</v>
      </c>
      <c r="AA254" s="29"/>
      <c r="AB254" s="711" t="s">
        <v>605</v>
      </c>
      <c r="AC254" s="660">
        <f>+AC236+AC240+AC243+AC248</f>
        <v>0</v>
      </c>
      <c r="AD254" s="661">
        <f>+AD236+AD240+AD243+AD248</f>
        <v>0</v>
      </c>
      <c r="AE254" s="662"/>
      <c r="AF254" s="56" t="s">
        <v>647</v>
      </c>
      <c r="AG254" s="55">
        <f>SUMIFS($O$236:$O$260,$D$236:$D$260,AB251,$E$236:$E$260,'References Assumptions'!$C$359)</f>
        <v>0</v>
      </c>
      <c r="AH254" s="55">
        <f>SUMIFS($P$236:$P$260,$D$236:$D$260,AB251,$E$236:$E$260,'References Assumptions'!$C$359)</f>
        <v>0</v>
      </c>
      <c r="AI254" s="599">
        <f>AH254*Percent_Solids</f>
        <v>0</v>
      </c>
    </row>
    <row r="255" spans="2:37" ht="15.75" customHeight="1" x14ac:dyDescent="0.25">
      <c r="B255" s="642">
        <v>20</v>
      </c>
      <c r="C255" s="38"/>
      <c r="D255" s="28"/>
      <c r="E255" s="29"/>
      <c r="F255" s="30"/>
      <c r="G255" s="31"/>
      <c r="H255" s="27"/>
      <c r="I255" s="32"/>
      <c r="J255" s="30"/>
      <c r="K255" s="30"/>
      <c r="L255" s="30"/>
      <c r="M255" s="30"/>
      <c r="N255" s="30"/>
      <c r="O255" s="643">
        <f t="shared" si="125"/>
        <v>0</v>
      </c>
      <c r="P255" s="644">
        <f t="shared" si="126"/>
        <v>0</v>
      </c>
      <c r="Q255" s="729" t="e">
        <f t="shared" si="134"/>
        <v>#DIV/0!</v>
      </c>
      <c r="R255" s="33"/>
      <c r="S255" s="37"/>
      <c r="T255" s="62">
        <f t="shared" si="127"/>
        <v>0</v>
      </c>
      <c r="U255" s="63">
        <f t="shared" si="128"/>
        <v>0</v>
      </c>
      <c r="V255" s="62">
        <f t="shared" si="129"/>
        <v>0</v>
      </c>
      <c r="W255" s="28"/>
      <c r="X255" s="737">
        <f>IF(W255='References Assumptions'!$C$331,'References Assumptions'!$C$335,0)</f>
        <v>0</v>
      </c>
      <c r="Y255" s="646" t="s">
        <v>399</v>
      </c>
      <c r="Z255" s="647">
        <f t="shared" si="130"/>
        <v>0</v>
      </c>
      <c r="AA255" s="29"/>
      <c r="AB255" s="712" t="s">
        <v>444</v>
      </c>
      <c r="AC255" s="664" t="e">
        <f>+AC236/AC254</f>
        <v>#DIV/0!</v>
      </c>
      <c r="AD255" s="664" t="e">
        <f>+AD236/AD254</f>
        <v>#DIV/0!</v>
      </c>
      <c r="AF255" s="56" t="s">
        <v>648</v>
      </c>
      <c r="AG255" s="55" t="e">
        <f>SUMIFS($O$236:$O$260,$D$236:$D$260,AB251,$E$236:$E$260,'References Assumptions'!$C$359)*Percent_Solids/percent_solids_after_biodrying</f>
        <v>#DIV/0!</v>
      </c>
      <c r="AH255" s="55" t="e">
        <f>SUMIFS($P$236:$P$260,$D$236:$D$260,AB251,$E$236:$E$260,'References Assumptions'!$C$359)*Percent_Solids/percent_solids_after_biodrying</f>
        <v>#DIV/0!</v>
      </c>
      <c r="AI255" s="599" t="e">
        <f>AH255*percent_solids_after_biodrying</f>
        <v>#DIV/0!</v>
      </c>
    </row>
    <row r="256" spans="2:37" ht="15.75" customHeight="1" x14ac:dyDescent="0.25">
      <c r="B256" s="642">
        <v>21</v>
      </c>
      <c r="C256" s="38"/>
      <c r="D256" s="28"/>
      <c r="E256" s="29"/>
      <c r="F256" s="30"/>
      <c r="G256" s="31"/>
      <c r="H256" s="27"/>
      <c r="I256" s="32"/>
      <c r="J256" s="30"/>
      <c r="K256" s="30"/>
      <c r="L256" s="30"/>
      <c r="M256" s="30"/>
      <c r="N256" s="30"/>
      <c r="O256" s="643">
        <f t="shared" si="125"/>
        <v>0</v>
      </c>
      <c r="P256" s="644">
        <f t="shared" si="126"/>
        <v>0</v>
      </c>
      <c r="Q256" s="729" t="e">
        <f t="shared" si="134"/>
        <v>#DIV/0!</v>
      </c>
      <c r="R256" s="33"/>
      <c r="S256" s="37"/>
      <c r="T256" s="62">
        <f t="shared" si="127"/>
        <v>0</v>
      </c>
      <c r="U256" s="63">
        <f t="shared" si="128"/>
        <v>0</v>
      </c>
      <c r="V256" s="62">
        <f t="shared" si="129"/>
        <v>0</v>
      </c>
      <c r="W256" s="28"/>
      <c r="X256" s="737">
        <f>IF(W256='References Assumptions'!$C$331,'References Assumptions'!$C$335,0)</f>
        <v>0</v>
      </c>
      <c r="Y256" s="646" t="s">
        <v>399</v>
      </c>
      <c r="Z256" s="647">
        <f t="shared" si="130"/>
        <v>0</v>
      </c>
      <c r="AA256" s="29"/>
      <c r="AB256" s="712" t="s">
        <v>250</v>
      </c>
      <c r="AC256" s="664" t="e">
        <f>+AC240/AC254</f>
        <v>#DIV/0!</v>
      </c>
      <c r="AD256" s="664" t="e">
        <f>+AD240/AD254</f>
        <v>#DIV/0!</v>
      </c>
      <c r="AF256" s="56" t="s">
        <v>649</v>
      </c>
      <c r="AG256" s="55" t="e">
        <f>(SUMIFS($O$236:$O$260,$D$236:$D$260,AB251,$E$236:$E$260,'References Assumptions'!$C$359)*(Percent_Solids/percent_solids_after_biodrying)*(percent_solids_after_biodrying/Percent_Solids_After_Pyrolysis))*(1-Pyrolysis!$R$15)</f>
        <v>#DIV/0!</v>
      </c>
      <c r="AH256" s="55" t="e">
        <f>(SUMIFS($P$236:$P$260,$D$236:$D$260,AB251,$E$236:$E$260,'References Assumptions'!$C$359)*(Percent_Solids/percent_solids_after_biodrying)*(percent_solids_after_biodrying/Percent_Solids_After_Pyrolysis))*(1-Pyrolysis!$R$15)</f>
        <v>#DIV/0!</v>
      </c>
      <c r="AI256" s="598" t="e">
        <f>AH256*Percent_Solids_After_Pyrolysis</f>
        <v>#DIV/0!</v>
      </c>
    </row>
    <row r="257" spans="2:35" ht="15.75" customHeight="1" x14ac:dyDescent="0.25">
      <c r="B257" s="642">
        <v>22</v>
      </c>
      <c r="C257" s="38"/>
      <c r="D257" s="28"/>
      <c r="E257" s="29"/>
      <c r="F257" s="30"/>
      <c r="G257" s="31"/>
      <c r="H257" s="27"/>
      <c r="I257" s="32"/>
      <c r="J257" s="30"/>
      <c r="K257" s="30"/>
      <c r="L257" s="30"/>
      <c r="M257" s="30"/>
      <c r="N257" s="30"/>
      <c r="O257" s="643">
        <f t="shared" si="125"/>
        <v>0</v>
      </c>
      <c r="P257" s="644">
        <f t="shared" si="126"/>
        <v>0</v>
      </c>
      <c r="Q257" s="729" t="e">
        <f t="shared" si="134"/>
        <v>#DIV/0!</v>
      </c>
      <c r="R257" s="33"/>
      <c r="S257" s="37"/>
      <c r="T257" s="62">
        <f t="shared" si="127"/>
        <v>0</v>
      </c>
      <c r="U257" s="63">
        <f t="shared" si="128"/>
        <v>0</v>
      </c>
      <c r="V257" s="62">
        <f t="shared" si="129"/>
        <v>0</v>
      </c>
      <c r="W257" s="28"/>
      <c r="X257" s="737">
        <f>IF(W257='References Assumptions'!$C$331,'References Assumptions'!$C$335,0)</f>
        <v>0</v>
      </c>
      <c r="Y257" s="646" t="s">
        <v>399</v>
      </c>
      <c r="Z257" s="647">
        <f t="shared" si="130"/>
        <v>0</v>
      </c>
      <c r="AA257" s="29"/>
      <c r="AB257" s="712" t="s">
        <v>182</v>
      </c>
      <c r="AC257" s="664" t="e">
        <f>+AC243/AC254</f>
        <v>#DIV/0!</v>
      </c>
      <c r="AD257" s="664" t="e">
        <f>+AD243/AD254</f>
        <v>#DIV/0!</v>
      </c>
      <c r="AF257" s="1253" t="s">
        <v>988</v>
      </c>
      <c r="AG257" s="1253"/>
      <c r="AH257" s="1253"/>
      <c r="AI257" s="75"/>
    </row>
    <row r="258" spans="2:35" ht="15.75" customHeight="1" x14ac:dyDescent="0.25">
      <c r="B258" s="642">
        <v>23</v>
      </c>
      <c r="C258" s="38"/>
      <c r="D258" s="28"/>
      <c r="E258" s="29"/>
      <c r="F258" s="30"/>
      <c r="G258" s="31"/>
      <c r="H258" s="27"/>
      <c r="I258" s="32"/>
      <c r="J258" s="30"/>
      <c r="K258" s="30"/>
      <c r="L258" s="30"/>
      <c r="M258" s="30"/>
      <c r="N258" s="30"/>
      <c r="O258" s="643">
        <f t="shared" si="125"/>
        <v>0</v>
      </c>
      <c r="P258" s="644">
        <f t="shared" si="126"/>
        <v>0</v>
      </c>
      <c r="Q258" s="729" t="e">
        <f t="shared" si="134"/>
        <v>#DIV/0!</v>
      </c>
      <c r="R258" s="33"/>
      <c r="S258" s="37"/>
      <c r="T258" s="62">
        <f t="shared" si="127"/>
        <v>0</v>
      </c>
      <c r="U258" s="63">
        <f t="shared" si="128"/>
        <v>0</v>
      </c>
      <c r="V258" s="62">
        <f t="shared" si="129"/>
        <v>0</v>
      </c>
      <c r="W258" s="28"/>
      <c r="X258" s="737">
        <f>IF(W258='References Assumptions'!$C$331,'References Assumptions'!$C$335,0)</f>
        <v>0</v>
      </c>
      <c r="Y258" s="646" t="s">
        <v>399</v>
      </c>
      <c r="Z258" s="647">
        <f t="shared" si="130"/>
        <v>0</v>
      </c>
      <c r="AA258" s="29"/>
      <c r="AB258" s="712" t="s">
        <v>222</v>
      </c>
      <c r="AC258" s="664" t="e">
        <f>+AC248/AC254</f>
        <v>#DIV/0!</v>
      </c>
      <c r="AD258" s="664" t="e">
        <f>+AD248/AD254</f>
        <v>#DIV/0!</v>
      </c>
      <c r="AF258" s="1253"/>
      <c r="AG258" s="1253"/>
      <c r="AH258" s="1253"/>
      <c r="AI258" s="75"/>
    </row>
    <row r="259" spans="2:35" ht="15.75" customHeight="1" x14ac:dyDescent="0.25">
      <c r="B259" s="642">
        <v>24</v>
      </c>
      <c r="C259" s="38"/>
      <c r="D259" s="28"/>
      <c r="E259" s="29"/>
      <c r="F259" s="30"/>
      <c r="G259" s="31"/>
      <c r="H259" s="27"/>
      <c r="I259" s="32"/>
      <c r="J259" s="30"/>
      <c r="K259" s="30"/>
      <c r="L259" s="30"/>
      <c r="M259" s="30"/>
      <c r="N259" s="30"/>
      <c r="O259" s="643">
        <f t="shared" si="125"/>
        <v>0</v>
      </c>
      <c r="P259" s="644">
        <f t="shared" si="126"/>
        <v>0</v>
      </c>
      <c r="Q259" s="729" t="e">
        <f t="shared" si="134"/>
        <v>#DIV/0!</v>
      </c>
      <c r="R259" s="33"/>
      <c r="S259" s="37"/>
      <c r="T259" s="62">
        <f t="shared" si="127"/>
        <v>0</v>
      </c>
      <c r="U259" s="63">
        <f t="shared" si="128"/>
        <v>0</v>
      </c>
      <c r="V259" s="62">
        <f t="shared" si="129"/>
        <v>0</v>
      </c>
      <c r="W259" s="28"/>
      <c r="X259" s="737">
        <f>IF(W259='References Assumptions'!$C$331,'References Assumptions'!$C$335,0)</f>
        <v>0</v>
      </c>
      <c r="Y259" s="646" t="s">
        <v>399</v>
      </c>
      <c r="Z259" s="647">
        <f t="shared" si="130"/>
        <v>0</v>
      </c>
      <c r="AA259" s="29"/>
      <c r="AB259"/>
      <c r="AC259" s="668"/>
      <c r="AD259" s="668"/>
      <c r="AI259" s="75"/>
    </row>
    <row r="260" spans="2:35" ht="15.75" customHeight="1" thickBot="1" x14ac:dyDescent="0.3">
      <c r="B260" s="669">
        <v>25</v>
      </c>
      <c r="C260" s="38"/>
      <c r="D260" s="28"/>
      <c r="E260" s="29"/>
      <c r="F260" s="30"/>
      <c r="G260" s="31"/>
      <c r="H260" s="27"/>
      <c r="I260" s="32"/>
      <c r="J260" s="34"/>
      <c r="K260" s="34"/>
      <c r="L260" s="34"/>
      <c r="M260" s="34"/>
      <c r="N260" s="34"/>
      <c r="O260" s="643">
        <f t="shared" si="125"/>
        <v>0</v>
      </c>
      <c r="P260" s="644">
        <f t="shared" si="126"/>
        <v>0</v>
      </c>
      <c r="Q260" s="729" t="e">
        <f t="shared" si="134"/>
        <v>#DIV/0!</v>
      </c>
      <c r="R260" s="33"/>
      <c r="S260" s="37"/>
      <c r="T260" s="64">
        <f t="shared" si="127"/>
        <v>0</v>
      </c>
      <c r="U260" s="736">
        <f t="shared" si="128"/>
        <v>0</v>
      </c>
      <c r="V260" s="64">
        <f t="shared" si="129"/>
        <v>0</v>
      </c>
      <c r="W260" s="1147"/>
      <c r="X260" s="739">
        <f>IF(W260='References Assumptions'!$C$331,'References Assumptions'!$C$335,0)</f>
        <v>0</v>
      </c>
      <c r="Y260" s="713" t="s">
        <v>399</v>
      </c>
      <c r="Z260" s="714">
        <f t="shared" si="130"/>
        <v>0</v>
      </c>
      <c r="AA260" s="587"/>
      <c r="AB260" s="133"/>
      <c r="AC260" s="133"/>
      <c r="AD260" s="133"/>
      <c r="AE260" s="133"/>
      <c r="AF260" s="133"/>
      <c r="AG260" s="133"/>
      <c r="AH260" s="133"/>
      <c r="AI260" s="134"/>
    </row>
    <row r="261" spans="2:35" ht="15.75" customHeight="1" thickBot="1" x14ac:dyDescent="0.3">
      <c r="B261" s="674"/>
      <c r="C261" s="675"/>
      <c r="D261" s="53"/>
      <c r="E261" s="641"/>
      <c r="F261" s="676"/>
      <c r="G261" s="53"/>
      <c r="H261" s="677" t="s">
        <v>371</v>
      </c>
      <c r="I261" s="678" t="e">
        <f t="shared" ref="I261:N261" si="138">+I262/$O262</f>
        <v>#DIV/0!</v>
      </c>
      <c r="J261" s="678" t="e">
        <f t="shared" si="138"/>
        <v>#DIV/0!</v>
      </c>
      <c r="K261" s="678" t="e">
        <f t="shared" si="138"/>
        <v>#DIV/0!</v>
      </c>
      <c r="L261" s="678" t="e">
        <f t="shared" si="138"/>
        <v>#DIV/0!</v>
      </c>
      <c r="M261" s="678" t="e">
        <f t="shared" si="138"/>
        <v>#DIV/0!</v>
      </c>
      <c r="N261" s="678" t="e">
        <f t="shared" si="138"/>
        <v>#DIV/0!</v>
      </c>
      <c r="O261" s="678"/>
      <c r="P261" s="53"/>
      <c r="Q261" s="679"/>
      <c r="R261" s="679"/>
      <c r="S261" s="53"/>
      <c r="T261" s="53"/>
      <c r="U261" s="680">
        <v>2</v>
      </c>
      <c r="V261" s="681" t="s">
        <v>395</v>
      </c>
      <c r="W261" s="53"/>
      <c r="X261" s="53"/>
      <c r="Y261" s="53"/>
      <c r="Z261" s="682"/>
      <c r="AA261" s="683"/>
      <c r="AB261" s="735"/>
      <c r="AC261" s="72"/>
      <c r="AD261" s="72"/>
      <c r="AE261" s="72"/>
      <c r="AF261" s="72"/>
      <c r="AG261" s="72"/>
      <c r="AH261" s="72"/>
      <c r="AI261" s="73"/>
    </row>
    <row r="262" spans="2:35" ht="15.75" customHeight="1" thickBot="1" x14ac:dyDescent="0.3">
      <c r="B262" s="685"/>
      <c r="C262" s="686"/>
      <c r="D262" s="687"/>
      <c r="E262" s="688"/>
      <c r="F262" s="689"/>
      <c r="G262" s="687"/>
      <c r="H262" s="690" t="s">
        <v>370</v>
      </c>
      <c r="I262" s="691">
        <f>SUM(I236:I260)</f>
        <v>0</v>
      </c>
      <c r="J262" s="691">
        <f>SUM(J236:J260)</f>
        <v>0</v>
      </c>
      <c r="K262" s="691">
        <f t="shared" ref="K262:P262" si="139">SUM(K236:K260)</f>
        <v>0</v>
      </c>
      <c r="L262" s="691">
        <f t="shared" si="139"/>
        <v>0</v>
      </c>
      <c r="M262" s="691">
        <f t="shared" si="139"/>
        <v>0</v>
      </c>
      <c r="N262" s="691">
        <f t="shared" si="139"/>
        <v>0</v>
      </c>
      <c r="O262" s="691">
        <f t="shared" si="139"/>
        <v>0</v>
      </c>
      <c r="P262" s="691">
        <f t="shared" si="139"/>
        <v>0</v>
      </c>
      <c r="Q262" s="692" t="e">
        <f>SUM(Q236:Q252)</f>
        <v>#DIV/0!</v>
      </c>
      <c r="R262" s="692"/>
      <c r="S262" s="691"/>
      <c r="T262" s="687"/>
      <c r="U262" s="687"/>
      <c r="V262" s="687"/>
      <c r="W262" s="693"/>
      <c r="X262" s="693"/>
      <c r="Y262" s="693"/>
      <c r="Z262" s="694"/>
      <c r="AA262" s="726"/>
      <c r="AB262" s="1269" t="str">
        <f>CONCATENATE(B234," - Total Dry Mg")</f>
        <v>Scenario 9 - Total Dry Mg</v>
      </c>
      <c r="AC262" s="1270"/>
      <c r="AD262" s="1271"/>
      <c r="AE262" s="696">
        <f>+AE236+AE240+AE243+AE248</f>
        <v>0</v>
      </c>
      <c r="AF262" s="133"/>
      <c r="AG262" s="133"/>
      <c r="AH262" s="133"/>
      <c r="AI262" s="134"/>
    </row>
    <row r="263" spans="2:35" ht="21.75" thickBot="1" x14ac:dyDescent="0.4">
      <c r="B263" s="623" t="s">
        <v>459</v>
      </c>
      <c r="C263" s="1021">
        <f>+'Scenarios Data'!B289</f>
        <v>0</v>
      </c>
      <c r="D263" s="1275">
        <f>+'Scenarios Data'!D289:J289</f>
        <v>0</v>
      </c>
      <c r="E263" s="1276"/>
      <c r="F263" s="1276"/>
      <c r="G263" s="1277"/>
      <c r="H263" s="624"/>
      <c r="I263" s="1251" t="s">
        <v>833</v>
      </c>
      <c r="J263" s="1251"/>
      <c r="K263" s="1251"/>
      <c r="L263" s="1251"/>
      <c r="M263" s="1251"/>
      <c r="N263" s="1251"/>
      <c r="O263" s="625"/>
      <c r="P263" s="626"/>
      <c r="Q263" s="624"/>
      <c r="R263" s="624"/>
      <c r="S263" s="1252"/>
      <c r="T263" s="1252"/>
      <c r="U263" s="1252"/>
      <c r="V263" s="1252"/>
      <c r="W263" s="626"/>
      <c r="X263" s="626"/>
      <c r="Y263" s="626"/>
      <c r="Z263" s="626"/>
      <c r="AA263" s="700"/>
      <c r="AB263" s="1237" t="str">
        <f>CONCATENATE(B263," - ",C263," - Totals")</f>
        <v>Scenario 10 - 0 - Totals</v>
      </c>
      <c r="AC263" s="1238"/>
      <c r="AD263" s="1238"/>
      <c r="AE263" s="1238"/>
      <c r="AF263" s="1238"/>
      <c r="AG263" s="1238"/>
      <c r="AH263" s="1238"/>
      <c r="AI263" s="1239"/>
    </row>
    <row r="264" spans="2:35" ht="45.75" x14ac:dyDescent="0.3">
      <c r="B264" s="627" t="s">
        <v>400</v>
      </c>
      <c r="C264" s="628" t="s">
        <v>539</v>
      </c>
      <c r="D264" s="629" t="s">
        <v>540</v>
      </c>
      <c r="E264" s="630" t="s">
        <v>489</v>
      </c>
      <c r="F264" s="631" t="s">
        <v>667</v>
      </c>
      <c r="G264" s="630" t="s">
        <v>401</v>
      </c>
      <c r="H264" s="632" t="s">
        <v>402</v>
      </c>
      <c r="I264" s="39">
        <v>1</v>
      </c>
      <c r="J264" s="39">
        <v>2</v>
      </c>
      <c r="K264" s="39">
        <v>3</v>
      </c>
      <c r="L264" s="39">
        <v>4</v>
      </c>
      <c r="M264" s="39">
        <v>5</v>
      </c>
      <c r="N264" s="39">
        <v>6</v>
      </c>
      <c r="O264" s="633" t="s">
        <v>397</v>
      </c>
      <c r="P264" s="633" t="s">
        <v>398</v>
      </c>
      <c r="Q264" s="630" t="s">
        <v>538</v>
      </c>
      <c r="R264" s="634" t="s">
        <v>488</v>
      </c>
      <c r="S264" s="635" t="s">
        <v>460</v>
      </c>
      <c r="T264" s="630" t="s">
        <v>461</v>
      </c>
      <c r="U264" s="635" t="s">
        <v>460</v>
      </c>
      <c r="V264" s="630" t="s">
        <v>461</v>
      </c>
      <c r="W264" s="633" t="s">
        <v>481</v>
      </c>
      <c r="X264" s="633" t="s">
        <v>480</v>
      </c>
      <c r="Y264" s="633" t="s">
        <v>482</v>
      </c>
      <c r="Z264" s="731" t="s">
        <v>483</v>
      </c>
      <c r="AA264" s="640" t="s">
        <v>556</v>
      </c>
      <c r="AB264" s="732" t="s">
        <v>546</v>
      </c>
      <c r="AC264" s="53" t="s">
        <v>399</v>
      </c>
      <c r="AD264" s="53" t="s">
        <v>484</v>
      </c>
      <c r="AE264" s="53" t="s">
        <v>549</v>
      </c>
      <c r="AF264" s="52" t="s">
        <v>555</v>
      </c>
      <c r="AG264" s="53" t="s">
        <v>399</v>
      </c>
      <c r="AH264" s="53" t="s">
        <v>484</v>
      </c>
      <c r="AI264" s="641" t="s">
        <v>549</v>
      </c>
    </row>
    <row r="265" spans="2:35" ht="15.75" customHeight="1" x14ac:dyDescent="0.25">
      <c r="B265" s="642">
        <v>1</v>
      </c>
      <c r="C265" s="38"/>
      <c r="D265" s="28"/>
      <c r="E265" s="29"/>
      <c r="F265" s="30"/>
      <c r="G265" s="31"/>
      <c r="H265" s="27"/>
      <c r="I265" s="32"/>
      <c r="J265" s="32"/>
      <c r="K265" s="32"/>
      <c r="L265" s="32"/>
      <c r="M265" s="32"/>
      <c r="N265" s="32"/>
      <c r="O265" s="643">
        <f t="shared" ref="O265:O289" si="140">SUM(I265:N265)</f>
        <v>0</v>
      </c>
      <c r="P265" s="644">
        <f t="shared" ref="P265:P289" si="141">+O265/Mg_ton</f>
        <v>0</v>
      </c>
      <c r="Q265" s="729" t="e">
        <f>P265/$P$291</f>
        <v>#DIV/0!</v>
      </c>
      <c r="R265" s="33"/>
      <c r="S265" s="37"/>
      <c r="T265" s="60">
        <f t="shared" ref="T265:T289" si="142">+S265/km_mile</f>
        <v>0</v>
      </c>
      <c r="U265" s="61">
        <f t="shared" ref="U265:U289" si="143">+S265*$U$29</f>
        <v>0</v>
      </c>
      <c r="V265" s="60">
        <f t="shared" ref="V265:V289" si="144">+U265/km_mile</f>
        <v>0</v>
      </c>
      <c r="W265" s="28"/>
      <c r="X265" s="737">
        <f>IF(W265='References Assumptions'!$C$331,'References Assumptions'!$C$335,0)</f>
        <v>0</v>
      </c>
      <c r="Y265" s="646" t="s">
        <v>399</v>
      </c>
      <c r="Z265" s="647">
        <f t="shared" ref="Z265:Z289" si="145">+X265/Mg_ton</f>
        <v>0</v>
      </c>
      <c r="AA265" s="29"/>
      <c r="AB265" s="54" t="s">
        <v>444</v>
      </c>
      <c r="AC265" s="648">
        <f>SUMIF($D$265:$D$289,AB265,$O$265:$O$289)</f>
        <v>0</v>
      </c>
      <c r="AD265" s="648">
        <f>SUMIF($D$265:$D$289,AB265,$P$265:$P$289)</f>
        <v>0</v>
      </c>
      <c r="AE265" s="50">
        <f>AD265*(Mean_solids)</f>
        <v>0</v>
      </c>
      <c r="AF265" s="56" t="s">
        <v>503</v>
      </c>
      <c r="AG265" s="648">
        <f t="shared" ref="AG265:AG271" si="146">SUMIFS($O$265:$O$289,$D$265:$D$289,AB265,$E$265:$E$289,AF265)</f>
        <v>0</v>
      </c>
      <c r="AH265" s="648">
        <f t="shared" ref="AH265:AH271" si="147">SUMIFS($P$265:$P$289,$D$265:$D$289,AB265,$E$265:$E$289,AF265)</f>
        <v>0</v>
      </c>
      <c r="AI265" s="49">
        <f t="shared" ref="AI265:AI272" si="148">AH265*(Mean_solids)</f>
        <v>0</v>
      </c>
    </row>
    <row r="266" spans="2:35" ht="15.75" customHeight="1" x14ac:dyDescent="0.25">
      <c r="B266" s="642">
        <v>2</v>
      </c>
      <c r="C266" s="38"/>
      <c r="D266" s="28"/>
      <c r="E266" s="29"/>
      <c r="F266" s="30"/>
      <c r="G266" s="31"/>
      <c r="H266" s="27"/>
      <c r="I266" s="32"/>
      <c r="J266" s="36"/>
      <c r="K266" s="36"/>
      <c r="L266" s="36"/>
      <c r="M266" s="36"/>
      <c r="N266" s="36"/>
      <c r="O266" s="643">
        <f t="shared" si="140"/>
        <v>0</v>
      </c>
      <c r="P266" s="644">
        <f t="shared" si="141"/>
        <v>0</v>
      </c>
      <c r="Q266" s="729" t="e">
        <f t="shared" ref="Q266:Q289" si="149">P266/$P$291</f>
        <v>#DIV/0!</v>
      </c>
      <c r="R266" s="33"/>
      <c r="S266" s="37"/>
      <c r="T266" s="60">
        <f t="shared" si="142"/>
        <v>0</v>
      </c>
      <c r="U266" s="61">
        <f t="shared" si="143"/>
        <v>0</v>
      </c>
      <c r="V266" s="60">
        <f t="shared" si="144"/>
        <v>0</v>
      </c>
      <c r="W266" s="28"/>
      <c r="X266" s="737">
        <f>IF(W266='References Assumptions'!$C$331,'References Assumptions'!$C$335,0)</f>
        <v>0</v>
      </c>
      <c r="Y266" s="646" t="s">
        <v>399</v>
      </c>
      <c r="Z266" s="647">
        <f t="shared" si="145"/>
        <v>0</v>
      </c>
      <c r="AA266" s="29"/>
      <c r="AB266" s="54" t="s">
        <v>444</v>
      </c>
      <c r="AC266" s="1242"/>
      <c r="AD266" s="1243"/>
      <c r="AE266" s="1244"/>
      <c r="AF266" s="56" t="s">
        <v>504</v>
      </c>
      <c r="AG266" s="648">
        <f t="shared" si="146"/>
        <v>0</v>
      </c>
      <c r="AH266" s="648">
        <f t="shared" si="147"/>
        <v>0</v>
      </c>
      <c r="AI266" s="49">
        <f t="shared" si="148"/>
        <v>0</v>
      </c>
    </row>
    <row r="267" spans="2:35" ht="15.75" customHeight="1" x14ac:dyDescent="0.25">
      <c r="B267" s="642">
        <v>3</v>
      </c>
      <c r="C267" s="38"/>
      <c r="D267" s="28"/>
      <c r="E267" s="29"/>
      <c r="F267" s="30"/>
      <c r="G267" s="31"/>
      <c r="H267" s="27"/>
      <c r="I267" s="32"/>
      <c r="J267" s="36"/>
      <c r="K267" s="36"/>
      <c r="L267" s="36"/>
      <c r="M267" s="36"/>
      <c r="N267" s="36"/>
      <c r="O267" s="643">
        <f t="shared" si="140"/>
        <v>0</v>
      </c>
      <c r="P267" s="644">
        <f t="shared" si="141"/>
        <v>0</v>
      </c>
      <c r="Q267" s="729" t="e">
        <f t="shared" si="149"/>
        <v>#DIV/0!</v>
      </c>
      <c r="R267" s="33"/>
      <c r="S267" s="37"/>
      <c r="T267" s="60">
        <f t="shared" si="142"/>
        <v>0</v>
      </c>
      <c r="U267" s="61">
        <f t="shared" si="143"/>
        <v>0</v>
      </c>
      <c r="V267" s="60">
        <f t="shared" si="144"/>
        <v>0</v>
      </c>
      <c r="W267" s="28"/>
      <c r="X267" s="737">
        <f>IF(W267='References Assumptions'!$C$331,'References Assumptions'!$C$335,0)</f>
        <v>0</v>
      </c>
      <c r="Y267" s="646" t="s">
        <v>399</v>
      </c>
      <c r="Z267" s="647">
        <f t="shared" si="145"/>
        <v>0</v>
      </c>
      <c r="AA267" s="29"/>
      <c r="AB267" s="54" t="s">
        <v>444</v>
      </c>
      <c r="AC267" s="1245"/>
      <c r="AD267" s="1246"/>
      <c r="AE267" s="1247"/>
      <c r="AF267" s="56" t="s">
        <v>505</v>
      </c>
      <c r="AG267" s="648">
        <f t="shared" si="146"/>
        <v>0</v>
      </c>
      <c r="AH267" s="648">
        <f t="shared" si="147"/>
        <v>0</v>
      </c>
      <c r="AI267" s="49">
        <f t="shared" si="148"/>
        <v>0</v>
      </c>
    </row>
    <row r="268" spans="2:35" ht="15.75" customHeight="1" x14ac:dyDescent="0.25">
      <c r="B268" s="642">
        <v>4</v>
      </c>
      <c r="C268" s="38"/>
      <c r="D268" s="28"/>
      <c r="E268" s="29"/>
      <c r="F268" s="30"/>
      <c r="G268" s="31"/>
      <c r="H268" s="27"/>
      <c r="I268" s="32"/>
      <c r="J268" s="36"/>
      <c r="K268" s="36"/>
      <c r="L268" s="36"/>
      <c r="M268" s="36"/>
      <c r="N268" s="36"/>
      <c r="O268" s="643">
        <f t="shared" si="140"/>
        <v>0</v>
      </c>
      <c r="P268" s="644">
        <f t="shared" si="141"/>
        <v>0</v>
      </c>
      <c r="Q268" s="729" t="e">
        <f t="shared" si="149"/>
        <v>#DIV/0!</v>
      </c>
      <c r="R268" s="33"/>
      <c r="S268" s="37"/>
      <c r="T268" s="60">
        <f t="shared" si="142"/>
        <v>0</v>
      </c>
      <c r="U268" s="61">
        <f t="shared" si="143"/>
        <v>0</v>
      </c>
      <c r="V268" s="60">
        <f t="shared" si="144"/>
        <v>0</v>
      </c>
      <c r="W268" s="28"/>
      <c r="X268" s="737">
        <f>IF(W268='References Assumptions'!$C$331,'References Assumptions'!$C$335,0)</f>
        <v>0</v>
      </c>
      <c r="Y268" s="646" t="s">
        <v>399</v>
      </c>
      <c r="Z268" s="647">
        <f t="shared" si="145"/>
        <v>0</v>
      </c>
      <c r="AA268" s="29"/>
      <c r="AB268" s="54" t="s">
        <v>444</v>
      </c>
      <c r="AC268" s="1248"/>
      <c r="AD268" s="1249"/>
      <c r="AE268" s="1250"/>
      <c r="AF268" s="56" t="s">
        <v>547</v>
      </c>
      <c r="AG268" s="648">
        <f t="shared" si="146"/>
        <v>0</v>
      </c>
      <c r="AH268" s="648">
        <f t="shared" si="147"/>
        <v>0</v>
      </c>
      <c r="AI268" s="49">
        <f t="shared" si="148"/>
        <v>0</v>
      </c>
    </row>
    <row r="269" spans="2:35" ht="15.75" customHeight="1" x14ac:dyDescent="0.25">
      <c r="B269" s="642">
        <v>5</v>
      </c>
      <c r="C269" s="38"/>
      <c r="D269" s="28"/>
      <c r="E269" s="29"/>
      <c r="F269" s="30"/>
      <c r="G269" s="31"/>
      <c r="H269" s="27"/>
      <c r="I269" s="32"/>
      <c r="J269" s="36"/>
      <c r="K269" s="36"/>
      <c r="L269" s="36"/>
      <c r="M269" s="36"/>
      <c r="N269" s="36"/>
      <c r="O269" s="643">
        <f t="shared" si="140"/>
        <v>0</v>
      </c>
      <c r="P269" s="644">
        <f t="shared" si="141"/>
        <v>0</v>
      </c>
      <c r="Q269" s="729" t="e">
        <f t="shared" si="149"/>
        <v>#DIV/0!</v>
      </c>
      <c r="R269" s="33"/>
      <c r="S269" s="37"/>
      <c r="T269" s="60">
        <f t="shared" si="142"/>
        <v>0</v>
      </c>
      <c r="U269" s="61">
        <f t="shared" si="143"/>
        <v>0</v>
      </c>
      <c r="V269" s="60">
        <f t="shared" si="144"/>
        <v>0</v>
      </c>
      <c r="W269" s="28"/>
      <c r="X269" s="737">
        <f>IF(W269='References Assumptions'!$C$331,'References Assumptions'!$C$335,0)</f>
        <v>0</v>
      </c>
      <c r="Y269" s="646" t="s">
        <v>399</v>
      </c>
      <c r="Z269" s="647">
        <f t="shared" si="145"/>
        <v>0</v>
      </c>
      <c r="AA269" s="29"/>
      <c r="AB269" s="54" t="s">
        <v>250</v>
      </c>
      <c r="AC269" s="648">
        <f>SUMIF($D$265:$D$289,AB269,$O$265:$O$289)</f>
        <v>0</v>
      </c>
      <c r="AD269" s="648">
        <f>SUMIF($D$265:$D$289,AB269,$P$265:$P$289)</f>
        <v>0</v>
      </c>
      <c r="AE269" s="50">
        <f>AD269*(Mean_solids)</f>
        <v>0</v>
      </c>
      <c r="AF269" s="56" t="s">
        <v>487</v>
      </c>
      <c r="AG269" s="648">
        <f t="shared" si="146"/>
        <v>0</v>
      </c>
      <c r="AH269" s="648">
        <f t="shared" si="147"/>
        <v>0</v>
      </c>
      <c r="AI269" s="49">
        <f t="shared" si="148"/>
        <v>0</v>
      </c>
    </row>
    <row r="270" spans="2:35" ht="15.75" customHeight="1" x14ac:dyDescent="0.25">
      <c r="B270" s="642">
        <v>6</v>
      </c>
      <c r="C270" s="38"/>
      <c r="D270" s="28"/>
      <c r="E270" s="29"/>
      <c r="F270" s="30"/>
      <c r="G270" s="31"/>
      <c r="H270" s="27"/>
      <c r="I270" s="32"/>
      <c r="J270" s="36"/>
      <c r="K270" s="36"/>
      <c r="L270" s="36"/>
      <c r="M270" s="36"/>
      <c r="N270" s="36"/>
      <c r="O270" s="643">
        <f t="shared" si="140"/>
        <v>0</v>
      </c>
      <c r="P270" s="644">
        <f t="shared" si="141"/>
        <v>0</v>
      </c>
      <c r="Q270" s="729" t="e">
        <f t="shared" si="149"/>
        <v>#DIV/0!</v>
      </c>
      <c r="R270" s="33"/>
      <c r="S270" s="37"/>
      <c r="T270" s="60">
        <f t="shared" si="142"/>
        <v>0</v>
      </c>
      <c r="U270" s="61">
        <f t="shared" si="143"/>
        <v>0</v>
      </c>
      <c r="V270" s="60">
        <f t="shared" si="144"/>
        <v>0</v>
      </c>
      <c r="W270" s="28"/>
      <c r="X270" s="737">
        <f>IF(W270='References Assumptions'!$C$331,'References Assumptions'!$C$335,0)</f>
        <v>0</v>
      </c>
      <c r="Y270" s="646" t="s">
        <v>399</v>
      </c>
      <c r="Z270" s="647">
        <f t="shared" si="145"/>
        <v>0</v>
      </c>
      <c r="AA270" s="29"/>
      <c r="AB270" s="54" t="s">
        <v>250</v>
      </c>
      <c r="AC270" s="1242"/>
      <c r="AD270" s="1243"/>
      <c r="AE270" s="1244"/>
      <c r="AF270" s="56" t="s">
        <v>90</v>
      </c>
      <c r="AG270" s="648">
        <f t="shared" si="146"/>
        <v>0</v>
      </c>
      <c r="AH270" s="648">
        <f t="shared" si="147"/>
        <v>0</v>
      </c>
      <c r="AI270" s="49">
        <f t="shared" si="148"/>
        <v>0</v>
      </c>
    </row>
    <row r="271" spans="2:35" ht="15.75" customHeight="1" x14ac:dyDescent="0.25">
      <c r="B271" s="642">
        <v>7</v>
      </c>
      <c r="C271" s="38"/>
      <c r="D271" s="28"/>
      <c r="E271" s="29"/>
      <c r="F271" s="30"/>
      <c r="G271" s="31"/>
      <c r="H271" s="27"/>
      <c r="I271" s="32"/>
      <c r="J271" s="36"/>
      <c r="K271" s="36"/>
      <c r="L271" s="36"/>
      <c r="M271" s="36"/>
      <c r="N271" s="36"/>
      <c r="O271" s="643">
        <f t="shared" si="140"/>
        <v>0</v>
      </c>
      <c r="P271" s="644">
        <f t="shared" si="141"/>
        <v>0</v>
      </c>
      <c r="Q271" s="729" t="e">
        <f t="shared" si="149"/>
        <v>#DIV/0!</v>
      </c>
      <c r="R271" s="33"/>
      <c r="S271" s="37"/>
      <c r="T271" s="60">
        <f t="shared" si="142"/>
        <v>0</v>
      </c>
      <c r="U271" s="61">
        <f t="shared" si="143"/>
        <v>0</v>
      </c>
      <c r="V271" s="60">
        <f t="shared" si="144"/>
        <v>0</v>
      </c>
      <c r="W271" s="28"/>
      <c r="X271" s="737">
        <f>IF(W271='References Assumptions'!$C$331,'References Assumptions'!$C$335,0)</f>
        <v>0</v>
      </c>
      <c r="Y271" s="646" t="s">
        <v>399</v>
      </c>
      <c r="Z271" s="647">
        <f t="shared" si="145"/>
        <v>0</v>
      </c>
      <c r="AA271" s="29"/>
      <c r="AB271" s="54" t="s">
        <v>250</v>
      </c>
      <c r="AC271" s="1248"/>
      <c r="AD271" s="1249"/>
      <c r="AE271" s="1250"/>
      <c r="AF271" s="56" t="s">
        <v>176</v>
      </c>
      <c r="AG271" s="648">
        <f t="shared" si="146"/>
        <v>0</v>
      </c>
      <c r="AH271" s="648">
        <f t="shared" si="147"/>
        <v>0</v>
      </c>
      <c r="AI271" s="49">
        <f t="shared" si="148"/>
        <v>0</v>
      </c>
    </row>
    <row r="272" spans="2:35" ht="15.75" customHeight="1" x14ac:dyDescent="0.25">
      <c r="B272" s="642">
        <v>8</v>
      </c>
      <c r="C272" s="38"/>
      <c r="D272" s="28"/>
      <c r="E272" s="29"/>
      <c r="F272" s="30"/>
      <c r="G272" s="31"/>
      <c r="H272" s="27"/>
      <c r="I272" s="32"/>
      <c r="J272" s="36"/>
      <c r="K272" s="36"/>
      <c r="L272" s="36"/>
      <c r="M272" s="36"/>
      <c r="N272" s="36"/>
      <c r="O272" s="643">
        <f t="shared" si="140"/>
        <v>0</v>
      </c>
      <c r="P272" s="644">
        <f t="shared" si="141"/>
        <v>0</v>
      </c>
      <c r="Q272" s="729" t="e">
        <f t="shared" si="149"/>
        <v>#DIV/0!</v>
      </c>
      <c r="R272" s="33"/>
      <c r="S272" s="37"/>
      <c r="T272" s="60">
        <f t="shared" si="142"/>
        <v>0</v>
      </c>
      <c r="U272" s="61">
        <f t="shared" si="143"/>
        <v>0</v>
      </c>
      <c r="V272" s="60">
        <f t="shared" si="144"/>
        <v>0</v>
      </c>
      <c r="W272" s="28"/>
      <c r="X272" s="737">
        <f>IF(W272='References Assumptions'!$C$331,'References Assumptions'!$C$335,0)</f>
        <v>0</v>
      </c>
      <c r="Y272" s="646" t="s">
        <v>399</v>
      </c>
      <c r="Z272" s="647">
        <f t="shared" si="145"/>
        <v>0</v>
      </c>
      <c r="AA272" s="29"/>
      <c r="AB272" s="54" t="s">
        <v>548</v>
      </c>
      <c r="AC272" s="648">
        <f>SUMIF($D$265:$D$289,AB272,$O$265:$O$289)</f>
        <v>0</v>
      </c>
      <c r="AD272" s="648">
        <f>SUMIF($D$265:$D$289,AB272,$P$265:$P$289)</f>
        <v>0</v>
      </c>
      <c r="AE272" s="50">
        <f>AD272*(Mean_solids)</f>
        <v>0</v>
      </c>
      <c r="AF272" s="56" t="s">
        <v>592</v>
      </c>
      <c r="AG272" s="648">
        <f>SUMIFS($O$265:$O$289,$D$265:$D$289,AB272,$E$265:$E$289,'References Assumptions'!$C$352)</f>
        <v>0</v>
      </c>
      <c r="AH272" s="648">
        <f>SUMIFS($P$265:$P$289,$D$265:$D$289,AB272,$E$265:$E$289,'References Assumptions'!$C$352)</f>
        <v>0</v>
      </c>
      <c r="AI272" s="49">
        <f t="shared" si="148"/>
        <v>0</v>
      </c>
    </row>
    <row r="273" spans="2:35" ht="15.75" customHeight="1" x14ac:dyDescent="0.25">
      <c r="B273" s="642">
        <v>9</v>
      </c>
      <c r="C273" s="38"/>
      <c r="D273" s="28"/>
      <c r="E273" s="29"/>
      <c r="F273" s="30"/>
      <c r="G273" s="31"/>
      <c r="H273" s="27"/>
      <c r="I273" s="32"/>
      <c r="J273" s="36"/>
      <c r="K273" s="36"/>
      <c r="L273" s="36"/>
      <c r="M273" s="36"/>
      <c r="N273" s="36"/>
      <c r="O273" s="643">
        <f t="shared" si="140"/>
        <v>0</v>
      </c>
      <c r="P273" s="644">
        <f t="shared" si="141"/>
        <v>0</v>
      </c>
      <c r="Q273" s="729" t="e">
        <f t="shared" si="149"/>
        <v>#DIV/0!</v>
      </c>
      <c r="R273" s="33"/>
      <c r="S273" s="37"/>
      <c r="T273" s="60">
        <f t="shared" si="142"/>
        <v>0</v>
      </c>
      <c r="U273" s="61">
        <f t="shared" si="143"/>
        <v>0</v>
      </c>
      <c r="V273" s="60">
        <f t="shared" si="144"/>
        <v>0</v>
      </c>
      <c r="W273" s="28"/>
      <c r="X273" s="737">
        <f>IF(W273='References Assumptions'!$C$331,'References Assumptions'!$C$335,0)</f>
        <v>0</v>
      </c>
      <c r="Y273" s="646" t="s">
        <v>399</v>
      </c>
      <c r="Z273" s="647">
        <f t="shared" si="145"/>
        <v>0</v>
      </c>
      <c r="AA273" s="29"/>
      <c r="AB273" s="54" t="s">
        <v>548</v>
      </c>
      <c r="AC273" s="1240"/>
      <c r="AD273" s="1240"/>
      <c r="AE273" s="1240"/>
      <c r="AF273" s="56" t="s">
        <v>593</v>
      </c>
      <c r="AG273" s="648" t="e">
        <f>SUMIFS($O$265:$O$289,$D$265:$D$289,AB273,$E$265:$E$289,'References Assumptions'!$C$352)*'Thermal Drying'!$T$7/percent_solids_after_thermal_drying</f>
        <v>#DIV/0!</v>
      </c>
      <c r="AH273" s="648" t="e">
        <f>SUMIFS($P$265:$P$289,$D$265:$D$289,AB273,$E$265:$E$289,'References Assumptions'!$C$352)*'Thermal Drying'!$T$7/percent_solids_after_thermal_drying</f>
        <v>#DIV/0!</v>
      </c>
      <c r="AI273" s="49" t="e">
        <f>+AH273*percent_solids_after_thermal_drying</f>
        <v>#DIV/0!</v>
      </c>
    </row>
    <row r="274" spans="2:35" ht="15.75" customHeight="1" x14ac:dyDescent="0.25">
      <c r="B274" s="642">
        <v>10</v>
      </c>
      <c r="C274" s="38"/>
      <c r="D274" s="28"/>
      <c r="E274" s="29"/>
      <c r="F274" s="30"/>
      <c r="G274" s="31"/>
      <c r="H274" s="27"/>
      <c r="I274" s="32"/>
      <c r="J274" s="36"/>
      <c r="K274" s="36"/>
      <c r="L274" s="36"/>
      <c r="M274" s="36"/>
      <c r="N274" s="36"/>
      <c r="O274" s="643">
        <f t="shared" si="140"/>
        <v>0</v>
      </c>
      <c r="P274" s="644">
        <f t="shared" si="141"/>
        <v>0</v>
      </c>
      <c r="Q274" s="729" t="e">
        <f t="shared" si="149"/>
        <v>#DIV/0!</v>
      </c>
      <c r="R274" s="33"/>
      <c r="S274" s="37"/>
      <c r="T274" s="60">
        <f t="shared" si="142"/>
        <v>0</v>
      </c>
      <c r="U274" s="61">
        <f t="shared" si="143"/>
        <v>0</v>
      </c>
      <c r="V274" s="60">
        <f t="shared" si="144"/>
        <v>0</v>
      </c>
      <c r="W274" s="28"/>
      <c r="X274" s="737">
        <f>IF(W274='References Assumptions'!$C$331,'References Assumptions'!$C$335,0)</f>
        <v>0</v>
      </c>
      <c r="Y274" s="646" t="s">
        <v>399</v>
      </c>
      <c r="Z274" s="647">
        <f t="shared" si="145"/>
        <v>0</v>
      </c>
      <c r="AA274" s="29"/>
      <c r="AB274" s="54" t="s">
        <v>548</v>
      </c>
      <c r="AC274" s="1198"/>
      <c r="AD274" s="1198"/>
      <c r="AE274" s="1198"/>
      <c r="AF274" s="56" t="s">
        <v>608</v>
      </c>
      <c r="AG274" s="648">
        <f t="shared" ref="AG274:AG275" si="150">SUMIFS($O$265:$O$289,$D$265:$D$289,AB274,$E$265:$E$289,AF274)</f>
        <v>0</v>
      </c>
      <c r="AH274" s="648">
        <f t="shared" ref="AH274:AH275" si="151">SUMIFS($P$265:$P$289,$D$265:$D$289,AB274,$E$265:$E$289,AF274)</f>
        <v>0</v>
      </c>
      <c r="AI274" s="49">
        <f t="shared" ref="AI274:AI275" si="152">AH274*(Mean_solids)</f>
        <v>0</v>
      </c>
    </row>
    <row r="275" spans="2:35" ht="15.75" customHeight="1" x14ac:dyDescent="0.25">
      <c r="B275" s="642">
        <v>11</v>
      </c>
      <c r="C275" s="38"/>
      <c r="D275" s="28"/>
      <c r="E275" s="29"/>
      <c r="F275" s="30"/>
      <c r="G275" s="31"/>
      <c r="H275" s="27"/>
      <c r="I275" s="32"/>
      <c r="J275" s="36"/>
      <c r="K275" s="36"/>
      <c r="L275" s="36"/>
      <c r="M275" s="36"/>
      <c r="N275" s="36"/>
      <c r="O275" s="643">
        <f t="shared" si="140"/>
        <v>0</v>
      </c>
      <c r="P275" s="644">
        <f t="shared" si="141"/>
        <v>0</v>
      </c>
      <c r="Q275" s="729" t="e">
        <f t="shared" si="149"/>
        <v>#DIV/0!</v>
      </c>
      <c r="R275" s="33"/>
      <c r="S275" s="37"/>
      <c r="T275" s="60">
        <f t="shared" si="142"/>
        <v>0</v>
      </c>
      <c r="U275" s="61">
        <f t="shared" si="143"/>
        <v>0</v>
      </c>
      <c r="V275" s="60">
        <f t="shared" si="144"/>
        <v>0</v>
      </c>
      <c r="W275" s="28"/>
      <c r="X275" s="737">
        <f>IF(W275='References Assumptions'!$C$331,'References Assumptions'!$C$335,0)</f>
        <v>0</v>
      </c>
      <c r="Y275" s="646" t="s">
        <v>399</v>
      </c>
      <c r="Z275" s="647">
        <f t="shared" si="145"/>
        <v>0</v>
      </c>
      <c r="AA275" s="29"/>
      <c r="AB275" s="54" t="s">
        <v>548</v>
      </c>
      <c r="AC275" s="1198"/>
      <c r="AD275" s="1198"/>
      <c r="AE275" s="1198"/>
      <c r="AF275" s="56" t="s">
        <v>609</v>
      </c>
      <c r="AG275" s="648">
        <f t="shared" si="150"/>
        <v>0</v>
      </c>
      <c r="AH275" s="648">
        <f t="shared" si="151"/>
        <v>0</v>
      </c>
      <c r="AI275" s="49">
        <f t="shared" si="152"/>
        <v>0</v>
      </c>
    </row>
    <row r="276" spans="2:35" ht="15.75" customHeight="1" x14ac:dyDescent="0.25">
      <c r="B276" s="642">
        <v>12</v>
      </c>
      <c r="C276" s="38"/>
      <c r="D276" s="28"/>
      <c r="E276" s="29"/>
      <c r="F276" s="30"/>
      <c r="G276" s="31"/>
      <c r="H276" s="27"/>
      <c r="I276" s="32"/>
      <c r="J276" s="36"/>
      <c r="K276" s="36"/>
      <c r="L276" s="36"/>
      <c r="M276" s="36"/>
      <c r="N276" s="36"/>
      <c r="O276" s="643">
        <f t="shared" si="140"/>
        <v>0</v>
      </c>
      <c r="P276" s="644">
        <f t="shared" si="141"/>
        <v>0</v>
      </c>
      <c r="Q276" s="729" t="e">
        <f t="shared" si="149"/>
        <v>#DIV/0!</v>
      </c>
      <c r="R276" s="33"/>
      <c r="S276" s="37"/>
      <c r="T276" s="60">
        <f t="shared" si="142"/>
        <v>0</v>
      </c>
      <c r="U276" s="61">
        <f t="shared" si="143"/>
        <v>0</v>
      </c>
      <c r="V276" s="60">
        <f t="shared" si="144"/>
        <v>0</v>
      </c>
      <c r="W276" s="28"/>
      <c r="X276" s="737">
        <f>IF(W276='References Assumptions'!$C$331,'References Assumptions'!$C$335,0)</f>
        <v>0</v>
      </c>
      <c r="Y276" s="646" t="s">
        <v>399</v>
      </c>
      <c r="Z276" s="647">
        <f t="shared" si="145"/>
        <v>0</v>
      </c>
      <c r="AA276" s="29"/>
      <c r="AB276" s="54" t="s">
        <v>548</v>
      </c>
      <c r="AC276" s="1241"/>
      <c r="AD276" s="1241"/>
      <c r="AE276" s="1241"/>
      <c r="AF276" s="1190" t="s">
        <v>987</v>
      </c>
      <c r="AG276" s="648" t="e">
        <f>(SUMIFS($O$265:$O$289,$D$265:$D$289,AB276,$E$265:$E$289,AF276)*(Percent_Solids/percent_solids_after_biodrying)*(percent_solids_after_biodrying/Percent_Solids_After_Pyrolysis))*(1-Pyrolysis!$T$15)</f>
        <v>#DIV/0!</v>
      </c>
      <c r="AH276" s="648" t="e">
        <f>(SUMIFS($P$265:$P$289,$D$265:$D$289,AB276,$E$265:$E$289,AF276)*(Percent_Solids/percent_solids_after_biodrying)*(percent_solids_after_biodrying/Percent_Solids_After_Pyrolysis))*(1-Pyrolysis!$T$15)</f>
        <v>#DIV/0!</v>
      </c>
      <c r="AI276" s="598" t="e">
        <f>AH276*Percent_Solids_After_Pyrolysis</f>
        <v>#DIV/0!</v>
      </c>
    </row>
    <row r="277" spans="2:35" ht="15.75" customHeight="1" x14ac:dyDescent="0.25">
      <c r="B277" s="642">
        <v>13</v>
      </c>
      <c r="C277" s="38"/>
      <c r="D277" s="28"/>
      <c r="E277" s="29"/>
      <c r="F277" s="30"/>
      <c r="G277" s="31"/>
      <c r="H277" s="27"/>
      <c r="I277" s="32"/>
      <c r="J277" s="36"/>
      <c r="K277" s="36"/>
      <c r="L277" s="36"/>
      <c r="M277" s="36"/>
      <c r="N277" s="36"/>
      <c r="O277" s="643">
        <f t="shared" si="140"/>
        <v>0</v>
      </c>
      <c r="P277" s="644">
        <f t="shared" si="141"/>
        <v>0</v>
      </c>
      <c r="Q277" s="729" t="e">
        <f t="shared" si="149"/>
        <v>#DIV/0!</v>
      </c>
      <c r="R277" s="33"/>
      <c r="S277" s="37"/>
      <c r="T277" s="60">
        <f t="shared" si="142"/>
        <v>0</v>
      </c>
      <c r="U277" s="61">
        <f t="shared" si="143"/>
        <v>0</v>
      </c>
      <c r="V277" s="60">
        <f t="shared" si="144"/>
        <v>0</v>
      </c>
      <c r="W277" s="28"/>
      <c r="X277" s="737">
        <f>IF(W277='References Assumptions'!$C$331,'References Assumptions'!$C$335,0)</f>
        <v>0</v>
      </c>
      <c r="Y277" s="646" t="s">
        <v>399</v>
      </c>
      <c r="Z277" s="647">
        <f t="shared" si="145"/>
        <v>0</v>
      </c>
      <c r="AA277" s="29"/>
      <c r="AB277" s="54" t="s">
        <v>222</v>
      </c>
      <c r="AC277" s="648">
        <f>SUMIF($D$265:$D$289,AB277,$O$265:$O$289)</f>
        <v>0</v>
      </c>
      <c r="AD277" s="648">
        <f>SUMIF($D$265:$D$289,AB277,$P$265:$P$289)</f>
        <v>0</v>
      </c>
      <c r="AE277" s="50">
        <f>AD277*(Mean_solids)</f>
        <v>0</v>
      </c>
      <c r="AF277" s="56" t="s">
        <v>496</v>
      </c>
      <c r="AG277" s="648">
        <f>SUMIFS($O$265:$O$289,$D$265:$D$289,AB277,$E$265:$E$289,AF277)</f>
        <v>0</v>
      </c>
      <c r="AH277" s="648">
        <f>SUMIFS($P$265:$P$289,$D$265:$D$289,AB277,$E$265:$E$289,AF277)</f>
        <v>0</v>
      </c>
      <c r="AI277" s="49">
        <f>AH277*(Mean_solids)</f>
        <v>0</v>
      </c>
    </row>
    <row r="278" spans="2:35" ht="15.75" customHeight="1" x14ac:dyDescent="0.25">
      <c r="B278" s="642">
        <v>14</v>
      </c>
      <c r="C278" s="38"/>
      <c r="D278" s="28"/>
      <c r="E278" s="29"/>
      <c r="F278" s="30"/>
      <c r="G278" s="31"/>
      <c r="H278" s="27"/>
      <c r="I278" s="32"/>
      <c r="J278" s="36"/>
      <c r="K278" s="36"/>
      <c r="L278" s="36"/>
      <c r="M278" s="36"/>
      <c r="N278" s="36"/>
      <c r="O278" s="643">
        <f t="shared" si="140"/>
        <v>0</v>
      </c>
      <c r="P278" s="644">
        <f t="shared" si="141"/>
        <v>0</v>
      </c>
      <c r="Q278" s="729" t="e">
        <f t="shared" si="149"/>
        <v>#DIV/0!</v>
      </c>
      <c r="R278" s="33"/>
      <c r="S278" s="37"/>
      <c r="T278" s="60">
        <f t="shared" si="142"/>
        <v>0</v>
      </c>
      <c r="U278" s="61">
        <f t="shared" si="143"/>
        <v>0</v>
      </c>
      <c r="V278" s="60">
        <f t="shared" si="144"/>
        <v>0</v>
      </c>
      <c r="W278" s="28"/>
      <c r="X278" s="737">
        <f>IF(W278='References Assumptions'!$C$331,'References Assumptions'!$C$335,0)</f>
        <v>0</v>
      </c>
      <c r="Y278" s="646" t="s">
        <v>399</v>
      </c>
      <c r="Z278" s="647">
        <f t="shared" si="145"/>
        <v>0</v>
      </c>
      <c r="AA278" s="29"/>
      <c r="AB278" s="54" t="s">
        <v>222</v>
      </c>
      <c r="AC278" s="1242"/>
      <c r="AD278" s="1243"/>
      <c r="AE278" s="1244"/>
      <c r="AF278" s="56" t="s">
        <v>497</v>
      </c>
      <c r="AG278" s="648">
        <f>SUMIFS($O$265:$O$289,$D$265:$D$289,AB278,$E$265:$E$289,AF278)</f>
        <v>0</v>
      </c>
      <c r="AH278" s="648">
        <f>SUMIFS($P$265:$P$289,$D$265:$D$289,AB278,$E$265:$E$289,AF278)</f>
        <v>0</v>
      </c>
      <c r="AI278" s="49">
        <f>AH278*(Mean_solids)</f>
        <v>0</v>
      </c>
    </row>
    <row r="279" spans="2:35" ht="15.75" customHeight="1" x14ac:dyDescent="0.25">
      <c r="B279" s="642">
        <v>15</v>
      </c>
      <c r="C279" s="38"/>
      <c r="D279" s="28"/>
      <c r="E279" s="29"/>
      <c r="F279" s="30"/>
      <c r="G279" s="31"/>
      <c r="H279" s="27"/>
      <c r="I279" s="32"/>
      <c r="J279" s="36"/>
      <c r="K279" s="36"/>
      <c r="L279" s="36"/>
      <c r="M279" s="36"/>
      <c r="N279" s="36"/>
      <c r="O279" s="643">
        <f t="shared" si="140"/>
        <v>0</v>
      </c>
      <c r="P279" s="644">
        <f t="shared" si="141"/>
        <v>0</v>
      </c>
      <c r="Q279" s="729" t="e">
        <f t="shared" si="149"/>
        <v>#DIV/0!</v>
      </c>
      <c r="R279" s="33"/>
      <c r="S279" s="37"/>
      <c r="T279" s="60">
        <f t="shared" si="142"/>
        <v>0</v>
      </c>
      <c r="U279" s="61">
        <f t="shared" si="143"/>
        <v>0</v>
      </c>
      <c r="V279" s="60">
        <f t="shared" si="144"/>
        <v>0</v>
      </c>
      <c r="W279" s="28"/>
      <c r="X279" s="737">
        <f>IF(W279='References Assumptions'!$C$331,'References Assumptions'!$C$335,0)</f>
        <v>0</v>
      </c>
      <c r="Y279" s="646" t="s">
        <v>399</v>
      </c>
      <c r="Z279" s="647">
        <f t="shared" si="145"/>
        <v>0</v>
      </c>
      <c r="AA279" s="29"/>
      <c r="AB279" s="54" t="s">
        <v>222</v>
      </c>
      <c r="AC279" s="1245"/>
      <c r="AD279" s="1246"/>
      <c r="AE279" s="1247"/>
      <c r="AF279" s="56" t="s">
        <v>544</v>
      </c>
      <c r="AG279" s="648">
        <f>SUMIFS($O$265:$O$289,$D$265:$D$289,AB279,$E$265:$E$289,AF279)</f>
        <v>0</v>
      </c>
      <c r="AH279" s="648">
        <f>SUMIFS($P$265:$P$289,$D$265:$D$289,AB279,$E$265:$E$289,AF279)</f>
        <v>0</v>
      </c>
      <c r="AI279" s="49">
        <f>AH279*(Mean_solids)</f>
        <v>0</v>
      </c>
    </row>
    <row r="280" spans="2:35" ht="15.75" customHeight="1" thickBot="1" x14ac:dyDescent="0.3">
      <c r="B280" s="642">
        <v>16</v>
      </c>
      <c r="C280" s="38"/>
      <c r="D280" s="28"/>
      <c r="E280" s="29"/>
      <c r="F280" s="30"/>
      <c r="G280" s="31"/>
      <c r="H280" s="27"/>
      <c r="I280" s="32"/>
      <c r="J280" s="36"/>
      <c r="K280" s="36"/>
      <c r="L280" s="36"/>
      <c r="M280" s="36"/>
      <c r="N280" s="36"/>
      <c r="O280" s="643">
        <f t="shared" si="140"/>
        <v>0</v>
      </c>
      <c r="P280" s="644">
        <f t="shared" si="141"/>
        <v>0</v>
      </c>
      <c r="Q280" s="729" t="e">
        <f t="shared" si="149"/>
        <v>#DIV/0!</v>
      </c>
      <c r="R280" s="33"/>
      <c r="S280" s="37"/>
      <c r="T280" s="60">
        <f t="shared" si="142"/>
        <v>0</v>
      </c>
      <c r="U280" s="61">
        <f t="shared" si="143"/>
        <v>0</v>
      </c>
      <c r="V280" s="60">
        <f t="shared" si="144"/>
        <v>0</v>
      </c>
      <c r="W280" s="28"/>
      <c r="X280" s="737">
        <f>IF(W280='References Assumptions'!$C$331,'References Assumptions'!$C$335,0)</f>
        <v>0</v>
      </c>
      <c r="Y280" s="646" t="s">
        <v>399</v>
      </c>
      <c r="Z280" s="647">
        <f t="shared" si="145"/>
        <v>0</v>
      </c>
      <c r="AA280" s="29"/>
      <c r="AB280" s="709" t="s">
        <v>222</v>
      </c>
      <c r="AC280" s="1263"/>
      <c r="AD280" s="1264"/>
      <c r="AE280" s="1265"/>
      <c r="AF280" s="608" t="s">
        <v>545</v>
      </c>
      <c r="AG280" s="710">
        <f>SUMIFS($O$265:$O$289,$D$265:$D$289,AB280,$E$265:$E$289,AF280)</f>
        <v>0</v>
      </c>
      <c r="AH280" s="710">
        <f>SUMIFS($P$265:$P$289,$D$265:$D$289,AB280,$E$265:$E$289,AF280)</f>
        <v>0</v>
      </c>
      <c r="AI280" s="596">
        <f>AH280*(Mean_solids)</f>
        <v>0</v>
      </c>
    </row>
    <row r="281" spans="2:35" ht="15.75" customHeight="1" x14ac:dyDescent="0.25">
      <c r="B281" s="642">
        <v>17</v>
      </c>
      <c r="C281" s="38"/>
      <c r="D281" s="28"/>
      <c r="E281" s="29"/>
      <c r="F281" s="30"/>
      <c r="G281" s="31"/>
      <c r="H281" s="27"/>
      <c r="I281" s="32"/>
      <c r="J281" s="36"/>
      <c r="K281" s="36"/>
      <c r="L281" s="36"/>
      <c r="M281" s="36"/>
      <c r="N281" s="36"/>
      <c r="O281" s="643">
        <f t="shared" si="140"/>
        <v>0</v>
      </c>
      <c r="P281" s="644">
        <f t="shared" si="141"/>
        <v>0</v>
      </c>
      <c r="Q281" s="729" t="e">
        <f t="shared" si="149"/>
        <v>#DIV/0!</v>
      </c>
      <c r="R281" s="33"/>
      <c r="S281" s="37"/>
      <c r="T281" s="60">
        <f t="shared" si="142"/>
        <v>0</v>
      </c>
      <c r="U281" s="61">
        <f t="shared" si="143"/>
        <v>0</v>
      </c>
      <c r="V281" s="60">
        <f t="shared" si="144"/>
        <v>0</v>
      </c>
      <c r="W281" s="28"/>
      <c r="X281" s="737">
        <f>IF(W281='References Assumptions'!$C$331,'References Assumptions'!$C$335,0)</f>
        <v>0</v>
      </c>
      <c r="Y281" s="646" t="s">
        <v>399</v>
      </c>
      <c r="Z281" s="647">
        <f t="shared" si="145"/>
        <v>0</v>
      </c>
      <c r="AA281" s="29"/>
      <c r="AB281"/>
    </row>
    <row r="282" spans="2:35" ht="15.75" customHeight="1" x14ac:dyDescent="0.25">
      <c r="B282" s="642">
        <v>18</v>
      </c>
      <c r="C282" s="38"/>
      <c r="D282" s="28"/>
      <c r="E282" s="29"/>
      <c r="F282" s="30"/>
      <c r="G282" s="31"/>
      <c r="H282" s="27"/>
      <c r="I282" s="32"/>
      <c r="J282" s="36"/>
      <c r="K282" s="36"/>
      <c r="L282" s="36"/>
      <c r="M282" s="36"/>
      <c r="N282" s="36"/>
      <c r="O282" s="643">
        <f t="shared" si="140"/>
        <v>0</v>
      </c>
      <c r="P282" s="644">
        <f t="shared" si="141"/>
        <v>0</v>
      </c>
      <c r="Q282" s="729" t="e">
        <f t="shared" si="149"/>
        <v>#DIV/0!</v>
      </c>
      <c r="R282" s="33"/>
      <c r="S282" s="37"/>
      <c r="T282" s="62">
        <f t="shared" si="142"/>
        <v>0</v>
      </c>
      <c r="U282" s="63">
        <f t="shared" si="143"/>
        <v>0</v>
      </c>
      <c r="V282" s="62">
        <f t="shared" si="144"/>
        <v>0</v>
      </c>
      <c r="W282" s="28"/>
      <c r="X282" s="737">
        <f>IF(W282='References Assumptions'!$C$331,'References Assumptions'!$C$335,0)</f>
        <v>0</v>
      </c>
      <c r="Y282" s="646" t="s">
        <v>399</v>
      </c>
      <c r="Z282" s="647">
        <f t="shared" si="145"/>
        <v>0</v>
      </c>
      <c r="AA282" s="29"/>
      <c r="AC282" s="393" t="s">
        <v>399</v>
      </c>
      <c r="AD282" s="393" t="s">
        <v>376</v>
      </c>
      <c r="AF282" s="597" t="s">
        <v>646</v>
      </c>
      <c r="AG282" s="386" t="s">
        <v>399</v>
      </c>
      <c r="AH282" s="386" t="s">
        <v>484</v>
      </c>
      <c r="AI282" s="656" t="s">
        <v>549</v>
      </c>
    </row>
    <row r="283" spans="2:35" ht="15.75" customHeight="1" x14ac:dyDescent="0.25">
      <c r="B283" s="642">
        <v>19</v>
      </c>
      <c r="C283" s="38"/>
      <c r="D283" s="28"/>
      <c r="E283" s="29"/>
      <c r="F283" s="30"/>
      <c r="G283" s="31"/>
      <c r="H283" s="27"/>
      <c r="I283" s="32"/>
      <c r="J283" s="30"/>
      <c r="K283" s="30"/>
      <c r="L283" s="30"/>
      <c r="M283" s="30"/>
      <c r="N283" s="30"/>
      <c r="O283" s="643">
        <f t="shared" si="140"/>
        <v>0</v>
      </c>
      <c r="P283" s="644">
        <f t="shared" si="141"/>
        <v>0</v>
      </c>
      <c r="Q283" s="729" t="e">
        <f t="shared" si="149"/>
        <v>#DIV/0!</v>
      </c>
      <c r="R283" s="33"/>
      <c r="S283" s="37"/>
      <c r="T283" s="62">
        <f t="shared" si="142"/>
        <v>0</v>
      </c>
      <c r="U283" s="63">
        <f t="shared" si="143"/>
        <v>0</v>
      </c>
      <c r="V283" s="62">
        <f t="shared" si="144"/>
        <v>0</v>
      </c>
      <c r="W283" s="28"/>
      <c r="X283" s="737">
        <f>IF(W283='References Assumptions'!$C$331,'References Assumptions'!$C$335,0)</f>
        <v>0</v>
      </c>
      <c r="Y283" s="646" t="s">
        <v>399</v>
      </c>
      <c r="Z283" s="647">
        <f t="shared" si="145"/>
        <v>0</v>
      </c>
      <c r="AA283" s="29"/>
      <c r="AB283" s="711" t="s">
        <v>605</v>
      </c>
      <c r="AC283" s="660">
        <f>+AC265+AC269+AC272+AC277</f>
        <v>0</v>
      </c>
      <c r="AD283" s="661">
        <f>+AD265+AD269+AD272+AD277</f>
        <v>0</v>
      </c>
      <c r="AE283" s="662"/>
      <c r="AF283" s="56" t="s">
        <v>647</v>
      </c>
      <c r="AG283" s="55">
        <f>SUMIFS($O$265:$O$289,$D$265:$D$289,AB280,$E$265:$E$289,'References Assumptions'!$C$359)</f>
        <v>0</v>
      </c>
      <c r="AH283" s="55">
        <f>SUMIFS($P$265:$P$289,$D$265:$D$289,AB280,$E$265:$E$289,'References Assumptions'!$C$359)</f>
        <v>0</v>
      </c>
      <c r="AI283" s="599">
        <f>AH283*Percent_Solids</f>
        <v>0</v>
      </c>
    </row>
    <row r="284" spans="2:35" ht="15.75" customHeight="1" x14ac:dyDescent="0.25">
      <c r="B284" s="642">
        <v>20</v>
      </c>
      <c r="C284" s="38"/>
      <c r="D284" s="28"/>
      <c r="E284" s="29"/>
      <c r="F284" s="30"/>
      <c r="G284" s="31"/>
      <c r="H284" s="27"/>
      <c r="I284" s="32"/>
      <c r="J284" s="30"/>
      <c r="K284" s="30"/>
      <c r="L284" s="30"/>
      <c r="M284" s="30"/>
      <c r="N284" s="30"/>
      <c r="O284" s="643">
        <f t="shared" si="140"/>
        <v>0</v>
      </c>
      <c r="P284" s="644">
        <f t="shared" si="141"/>
        <v>0</v>
      </c>
      <c r="Q284" s="729" t="e">
        <f t="shared" si="149"/>
        <v>#DIV/0!</v>
      </c>
      <c r="R284" s="33"/>
      <c r="S284" s="37"/>
      <c r="T284" s="62">
        <f t="shared" si="142"/>
        <v>0</v>
      </c>
      <c r="U284" s="63">
        <f t="shared" si="143"/>
        <v>0</v>
      </c>
      <c r="V284" s="62">
        <f t="shared" si="144"/>
        <v>0</v>
      </c>
      <c r="W284" s="28"/>
      <c r="X284" s="737">
        <f>IF(W284='References Assumptions'!$C$331,'References Assumptions'!$C$335,0)</f>
        <v>0</v>
      </c>
      <c r="Y284" s="646" t="s">
        <v>399</v>
      </c>
      <c r="Z284" s="647">
        <f t="shared" si="145"/>
        <v>0</v>
      </c>
      <c r="AA284" s="29"/>
      <c r="AB284" s="712" t="s">
        <v>444</v>
      </c>
      <c r="AC284" s="664" t="e">
        <f>+AC265/AC283</f>
        <v>#DIV/0!</v>
      </c>
      <c r="AD284" s="664" t="e">
        <f>+AD265/AD283</f>
        <v>#DIV/0!</v>
      </c>
      <c r="AF284" s="56" t="s">
        <v>648</v>
      </c>
      <c r="AG284" s="55" t="e">
        <f>SUMIFS($O$265:$O$289,$D$265:$D$289,AB280,$E$265:$E$289,'References Assumptions'!$C$359)*Percent_Solids/percent_solids_after_biodrying</f>
        <v>#DIV/0!</v>
      </c>
      <c r="AH284" s="55" t="e">
        <f>SUMIFS($P$265:$P$289,$D$265:$D$289,AB280,$E$265:$E$289,'References Assumptions'!$C$359)*Percent_Solids/percent_solids_after_biodrying</f>
        <v>#DIV/0!</v>
      </c>
      <c r="AI284" s="599" t="e">
        <f>AH284*percent_solids_after_biodrying</f>
        <v>#DIV/0!</v>
      </c>
    </row>
    <row r="285" spans="2:35" ht="15.75" customHeight="1" x14ac:dyDescent="0.25">
      <c r="B285" s="642">
        <v>21</v>
      </c>
      <c r="C285" s="38"/>
      <c r="D285" s="28"/>
      <c r="E285" s="29"/>
      <c r="F285" s="30"/>
      <c r="G285" s="31"/>
      <c r="H285" s="27"/>
      <c r="I285" s="32"/>
      <c r="J285" s="30"/>
      <c r="K285" s="30"/>
      <c r="L285" s="30"/>
      <c r="M285" s="30"/>
      <c r="N285" s="30"/>
      <c r="O285" s="643">
        <f t="shared" si="140"/>
        <v>0</v>
      </c>
      <c r="P285" s="644">
        <f t="shared" si="141"/>
        <v>0</v>
      </c>
      <c r="Q285" s="729" t="e">
        <f t="shared" si="149"/>
        <v>#DIV/0!</v>
      </c>
      <c r="R285" s="33"/>
      <c r="S285" s="37"/>
      <c r="T285" s="62">
        <f t="shared" si="142"/>
        <v>0</v>
      </c>
      <c r="U285" s="63">
        <f t="shared" si="143"/>
        <v>0</v>
      </c>
      <c r="V285" s="62">
        <f t="shared" si="144"/>
        <v>0</v>
      </c>
      <c r="W285" s="28"/>
      <c r="X285" s="737">
        <f>IF(W285='References Assumptions'!$C$331,'References Assumptions'!$C$335,0)</f>
        <v>0</v>
      </c>
      <c r="Y285" s="646" t="s">
        <v>399</v>
      </c>
      <c r="Z285" s="647">
        <f t="shared" si="145"/>
        <v>0</v>
      </c>
      <c r="AA285" s="29"/>
      <c r="AB285" s="712" t="s">
        <v>250</v>
      </c>
      <c r="AC285" s="664" t="e">
        <f>+AC269/AC283</f>
        <v>#DIV/0!</v>
      </c>
      <c r="AD285" s="664" t="e">
        <f>+AD269/AD283</f>
        <v>#DIV/0!</v>
      </c>
      <c r="AF285" s="56" t="s">
        <v>649</v>
      </c>
      <c r="AG285" s="55" t="e">
        <f>(SUMIFS($O$265:$O$289,$D$265:$D$289,AB280,$E$265:$E$289,'References Assumptions'!$C$359)*(Percent_Solids/percent_solids_after_biodrying)*(percent_solids_after_biodrying/Percent_Solids_After_Pyrolysis))*(1-Pyrolysis!$T$15)</f>
        <v>#DIV/0!</v>
      </c>
      <c r="AH285" s="55" t="e">
        <f>(SUMIFS($P$265:$P$289,$D$265:$D$289,AB280,$E$265:$E$289,'References Assumptions'!$C$359)*(Percent_Solids/percent_solids_after_biodrying)*(percent_solids_after_biodrying/Percent_Solids_After_Pyrolysis))*(1-Pyrolysis!$T$15)</f>
        <v>#DIV/0!</v>
      </c>
      <c r="AI285" s="598" t="e">
        <f>AH285*Percent_Solids_After_Pyrolysis</f>
        <v>#DIV/0!</v>
      </c>
    </row>
    <row r="286" spans="2:35" ht="15.75" customHeight="1" x14ac:dyDescent="0.25">
      <c r="B286" s="642">
        <v>22</v>
      </c>
      <c r="C286" s="38"/>
      <c r="D286" s="28"/>
      <c r="E286" s="29"/>
      <c r="F286" s="30"/>
      <c r="G286" s="31"/>
      <c r="H286" s="27"/>
      <c r="I286" s="32"/>
      <c r="J286" s="30"/>
      <c r="K286" s="30"/>
      <c r="L286" s="30"/>
      <c r="M286" s="30"/>
      <c r="N286" s="30"/>
      <c r="O286" s="643">
        <f t="shared" si="140"/>
        <v>0</v>
      </c>
      <c r="P286" s="644">
        <f t="shared" si="141"/>
        <v>0</v>
      </c>
      <c r="Q286" s="729" t="e">
        <f t="shared" si="149"/>
        <v>#DIV/0!</v>
      </c>
      <c r="R286" s="33"/>
      <c r="S286" s="37"/>
      <c r="T286" s="62">
        <f t="shared" si="142"/>
        <v>0</v>
      </c>
      <c r="U286" s="63">
        <f t="shared" si="143"/>
        <v>0</v>
      </c>
      <c r="V286" s="62">
        <f t="shared" si="144"/>
        <v>0</v>
      </c>
      <c r="W286" s="28"/>
      <c r="X286" s="737">
        <f>IF(W286='References Assumptions'!$C$331,'References Assumptions'!$C$335,0)</f>
        <v>0</v>
      </c>
      <c r="Y286" s="646" t="s">
        <v>399</v>
      </c>
      <c r="Z286" s="647">
        <f t="shared" si="145"/>
        <v>0</v>
      </c>
      <c r="AA286" s="29"/>
      <c r="AB286" s="712" t="s">
        <v>182</v>
      </c>
      <c r="AC286" s="664" t="e">
        <f>+AC272/AC283</f>
        <v>#DIV/0!</v>
      </c>
      <c r="AD286" s="664" t="e">
        <f>+AD272/AD283</f>
        <v>#DIV/0!</v>
      </c>
      <c r="AF286" s="1253" t="s">
        <v>988</v>
      </c>
      <c r="AG286" s="1253"/>
      <c r="AH286" s="1253"/>
      <c r="AI286" s="75"/>
    </row>
    <row r="287" spans="2:35" ht="15.75" customHeight="1" x14ac:dyDescent="0.25">
      <c r="B287" s="642">
        <v>23</v>
      </c>
      <c r="C287" s="38"/>
      <c r="D287" s="28"/>
      <c r="E287" s="29"/>
      <c r="F287" s="30"/>
      <c r="G287" s="31"/>
      <c r="H287" s="27"/>
      <c r="I287" s="32"/>
      <c r="J287" s="30"/>
      <c r="K287" s="30"/>
      <c r="L287" s="30"/>
      <c r="M287" s="30"/>
      <c r="N287" s="30"/>
      <c r="O287" s="643">
        <f t="shared" si="140"/>
        <v>0</v>
      </c>
      <c r="P287" s="644">
        <f t="shared" si="141"/>
        <v>0</v>
      </c>
      <c r="Q287" s="729" t="e">
        <f t="shared" si="149"/>
        <v>#DIV/0!</v>
      </c>
      <c r="R287" s="33"/>
      <c r="S287" s="37"/>
      <c r="T287" s="62">
        <f t="shared" si="142"/>
        <v>0</v>
      </c>
      <c r="U287" s="63">
        <f t="shared" si="143"/>
        <v>0</v>
      </c>
      <c r="V287" s="62">
        <f t="shared" si="144"/>
        <v>0</v>
      </c>
      <c r="W287" s="28"/>
      <c r="X287" s="737">
        <f>IF(W287='References Assumptions'!$C$331,'References Assumptions'!$C$335,0)</f>
        <v>0</v>
      </c>
      <c r="Y287" s="646" t="s">
        <v>399</v>
      </c>
      <c r="Z287" s="647">
        <f t="shared" si="145"/>
        <v>0</v>
      </c>
      <c r="AA287" s="29"/>
      <c r="AB287" s="712" t="s">
        <v>222</v>
      </c>
      <c r="AC287" s="664" t="e">
        <f>+AC277/AC283</f>
        <v>#DIV/0!</v>
      </c>
      <c r="AD287" s="664" t="e">
        <f>+AD277/AD283</f>
        <v>#DIV/0!</v>
      </c>
      <c r="AE287" s="667"/>
      <c r="AF287" s="1253"/>
      <c r="AG287" s="1253"/>
      <c r="AH287" s="1253"/>
      <c r="AI287" s="75"/>
    </row>
    <row r="288" spans="2:35" ht="15.75" customHeight="1" x14ac:dyDescent="0.25">
      <c r="B288" s="642">
        <v>24</v>
      </c>
      <c r="C288" s="38"/>
      <c r="D288" s="28"/>
      <c r="E288" s="29"/>
      <c r="F288" s="30"/>
      <c r="G288" s="31"/>
      <c r="H288" s="27"/>
      <c r="I288" s="32"/>
      <c r="J288" s="30"/>
      <c r="K288" s="30"/>
      <c r="L288" s="30"/>
      <c r="M288" s="30"/>
      <c r="N288" s="30"/>
      <c r="O288" s="643">
        <f t="shared" si="140"/>
        <v>0</v>
      </c>
      <c r="P288" s="644">
        <f t="shared" si="141"/>
        <v>0</v>
      </c>
      <c r="Q288" s="729" t="e">
        <f t="shared" si="149"/>
        <v>#DIV/0!</v>
      </c>
      <c r="R288" s="33"/>
      <c r="S288" s="37"/>
      <c r="T288" s="62">
        <f t="shared" si="142"/>
        <v>0</v>
      </c>
      <c r="U288" s="63">
        <f t="shared" si="143"/>
        <v>0</v>
      </c>
      <c r="V288" s="62">
        <f t="shared" si="144"/>
        <v>0</v>
      </c>
      <c r="W288" s="28"/>
      <c r="X288" s="737">
        <f>IF(W288='References Assumptions'!$C$331,'References Assumptions'!$C$335,0)</f>
        <v>0</v>
      </c>
      <c r="Y288" s="646" t="s">
        <v>399</v>
      </c>
      <c r="Z288" s="647">
        <f t="shared" si="145"/>
        <v>0</v>
      </c>
      <c r="AA288" s="29"/>
      <c r="AB288"/>
      <c r="AC288" s="668"/>
      <c r="AD288" s="668"/>
      <c r="AI288" s="75"/>
    </row>
    <row r="289" spans="2:35" ht="15.75" customHeight="1" thickBot="1" x14ac:dyDescent="0.3">
      <c r="B289" s="669">
        <v>25</v>
      </c>
      <c r="C289" s="38"/>
      <c r="D289" s="28"/>
      <c r="E289" s="29"/>
      <c r="F289" s="30"/>
      <c r="G289" s="31"/>
      <c r="H289" s="27"/>
      <c r="I289" s="32"/>
      <c r="J289" s="34"/>
      <c r="K289" s="34"/>
      <c r="L289" s="34"/>
      <c r="M289" s="34"/>
      <c r="N289" s="34"/>
      <c r="O289" s="643">
        <f t="shared" si="140"/>
        <v>0</v>
      </c>
      <c r="P289" s="644">
        <f t="shared" si="141"/>
        <v>0</v>
      </c>
      <c r="Q289" s="729" t="e">
        <f t="shared" si="149"/>
        <v>#DIV/0!</v>
      </c>
      <c r="R289" s="33"/>
      <c r="S289" s="37"/>
      <c r="T289" s="64">
        <f t="shared" si="142"/>
        <v>0</v>
      </c>
      <c r="U289" s="736">
        <f t="shared" si="143"/>
        <v>0</v>
      </c>
      <c r="V289" s="64">
        <f t="shared" si="144"/>
        <v>0</v>
      </c>
      <c r="W289" s="28"/>
      <c r="X289" s="739">
        <f>IF(W289='References Assumptions'!$C$331,'References Assumptions'!$C$335,0)</f>
        <v>0</v>
      </c>
      <c r="Y289" s="713" t="s">
        <v>399</v>
      </c>
      <c r="Z289" s="714">
        <f t="shared" si="145"/>
        <v>0</v>
      </c>
      <c r="AA289" s="587"/>
      <c r="AB289" s="133"/>
      <c r="AC289" s="133"/>
      <c r="AD289" s="133"/>
      <c r="AE289" s="133"/>
      <c r="AF289" s="133"/>
      <c r="AG289" s="133"/>
      <c r="AH289" s="133"/>
      <c r="AI289" s="134"/>
    </row>
    <row r="290" spans="2:35" ht="15.75" customHeight="1" thickBot="1" x14ac:dyDescent="0.3">
      <c r="B290" s="674"/>
      <c r="C290" s="675"/>
      <c r="D290" s="53"/>
      <c r="E290" s="641"/>
      <c r="F290" s="676"/>
      <c r="G290" s="53"/>
      <c r="H290" s="677" t="s">
        <v>371</v>
      </c>
      <c r="I290" s="678" t="e">
        <f t="shared" ref="I290:N290" si="153">+I291/$O291</f>
        <v>#DIV/0!</v>
      </c>
      <c r="J290" s="678" t="e">
        <f t="shared" si="153"/>
        <v>#DIV/0!</v>
      </c>
      <c r="K290" s="678" t="e">
        <f t="shared" si="153"/>
        <v>#DIV/0!</v>
      </c>
      <c r="L290" s="678" t="e">
        <f t="shared" si="153"/>
        <v>#DIV/0!</v>
      </c>
      <c r="M290" s="678" t="e">
        <f t="shared" si="153"/>
        <v>#DIV/0!</v>
      </c>
      <c r="N290" s="678" t="e">
        <f t="shared" si="153"/>
        <v>#DIV/0!</v>
      </c>
      <c r="O290" s="678"/>
      <c r="P290" s="53"/>
      <c r="Q290" s="679"/>
      <c r="R290" s="679"/>
      <c r="S290" s="53"/>
      <c r="T290" s="53"/>
      <c r="U290" s="680">
        <v>2</v>
      </c>
      <c r="V290" s="681" t="s">
        <v>395</v>
      </c>
      <c r="W290" s="53"/>
      <c r="X290" s="53"/>
      <c r="Y290" s="53"/>
      <c r="Z290" s="682"/>
      <c r="AA290" s="683"/>
      <c r="AB290" s="735"/>
      <c r="AC290" s="72"/>
      <c r="AD290" s="72"/>
      <c r="AE290" s="72"/>
      <c r="AF290" s="72"/>
      <c r="AG290" s="72"/>
      <c r="AH290" s="72"/>
      <c r="AI290" s="73"/>
    </row>
    <row r="291" spans="2:35" ht="15.75" customHeight="1" thickBot="1" x14ac:dyDescent="0.3">
      <c r="B291" s="685"/>
      <c r="C291" s="686"/>
      <c r="D291" s="687"/>
      <c r="E291" s="688"/>
      <c r="F291" s="689"/>
      <c r="G291" s="687"/>
      <c r="H291" s="690" t="s">
        <v>370</v>
      </c>
      <c r="I291" s="691">
        <f>SUM(I265:I289)</f>
        <v>0</v>
      </c>
      <c r="J291" s="691">
        <f>SUM(J265:J289)</f>
        <v>0</v>
      </c>
      <c r="K291" s="691">
        <f t="shared" ref="K291:P291" si="154">SUM(K265:K289)</f>
        <v>0</v>
      </c>
      <c r="L291" s="691">
        <f t="shared" si="154"/>
        <v>0</v>
      </c>
      <c r="M291" s="691">
        <f t="shared" si="154"/>
        <v>0</v>
      </c>
      <c r="N291" s="691">
        <f t="shared" si="154"/>
        <v>0</v>
      </c>
      <c r="O291" s="691">
        <f t="shared" si="154"/>
        <v>0</v>
      </c>
      <c r="P291" s="691">
        <f t="shared" si="154"/>
        <v>0</v>
      </c>
      <c r="Q291" s="692" t="e">
        <f>SUM(Q265:Q281)</f>
        <v>#DIV/0!</v>
      </c>
      <c r="R291" s="692"/>
      <c r="S291" s="691"/>
      <c r="T291" s="687"/>
      <c r="U291" s="687"/>
      <c r="V291" s="687"/>
      <c r="W291" s="693"/>
      <c r="X291" s="693"/>
      <c r="Y291" s="693"/>
      <c r="Z291" s="694"/>
      <c r="AA291" s="726"/>
      <c r="AB291" s="1269" t="str">
        <f>CONCATENATE(B263," - Total Dry Mg")</f>
        <v>Scenario 10 - Total Dry Mg</v>
      </c>
      <c r="AC291" s="1270"/>
      <c r="AD291" s="1271"/>
      <c r="AE291" s="696">
        <f>+AE265+AE269+AE272+AE277</f>
        <v>0</v>
      </c>
      <c r="AF291" s="133"/>
      <c r="AG291" s="133"/>
      <c r="AH291" s="133"/>
      <c r="AI291" s="134"/>
    </row>
  </sheetData>
  <sheetProtection algorithmName="SHA-512" hashValue="cTJL6NVoAXX938BUqkV0kWpwsaPteWFztxwFGYVzxnd2h418uj/ySAbReOZWpKlO9NW6qK6pYpOdtXeGx/09og==" saltValue="rqGLBeSfonw87Y1Zr3FMmw==" spinCount="100000" sheet="1" objects="1" scenarios="1"/>
  <mergeCells count="111">
    <mergeCell ref="AF257:AH258"/>
    <mergeCell ref="AF286:AH287"/>
    <mergeCell ref="AF228:AH229"/>
    <mergeCell ref="AF199:AH200"/>
    <mergeCell ref="AF170:AH171"/>
    <mergeCell ref="AC249:AE251"/>
    <mergeCell ref="AC278:AE280"/>
    <mergeCell ref="AC273:AE276"/>
    <mergeCell ref="AB263:AI263"/>
    <mergeCell ref="AB262:AD262"/>
    <mergeCell ref="AB234:AI234"/>
    <mergeCell ref="AC183:AE184"/>
    <mergeCell ref="AC191:AE193"/>
    <mergeCell ref="AC220:AE222"/>
    <mergeCell ref="AC186:AE189"/>
    <mergeCell ref="AC215:AE218"/>
    <mergeCell ref="AB175:AD175"/>
    <mergeCell ref="AB204:AD204"/>
    <mergeCell ref="AB205:AI205"/>
    <mergeCell ref="AB176:AI176"/>
    <mergeCell ref="AB2:AI2"/>
    <mergeCell ref="AC38:AE39"/>
    <mergeCell ref="AC34:AE36"/>
    <mergeCell ref="AC67:AE68"/>
    <mergeCell ref="AC63:AE65"/>
    <mergeCell ref="AC92:AE94"/>
    <mergeCell ref="AB60:AI60"/>
    <mergeCell ref="AB31:AI31"/>
    <mergeCell ref="AB89:AI89"/>
    <mergeCell ref="AC17:AE19"/>
    <mergeCell ref="AC46:AE48"/>
    <mergeCell ref="AC75:AE77"/>
    <mergeCell ref="AC9:AE10"/>
    <mergeCell ref="AC12:AE15"/>
    <mergeCell ref="AC41:AE44"/>
    <mergeCell ref="AC70:AE73"/>
    <mergeCell ref="AF54:AH55"/>
    <mergeCell ref="AF25:AH26"/>
    <mergeCell ref="AF83:AH84"/>
    <mergeCell ref="AB291:AD291"/>
    <mergeCell ref="I2:N2"/>
    <mergeCell ref="D2:G2"/>
    <mergeCell ref="D31:G31"/>
    <mergeCell ref="D60:G60"/>
    <mergeCell ref="D89:G89"/>
    <mergeCell ref="D118:G118"/>
    <mergeCell ref="D147:G147"/>
    <mergeCell ref="D176:G176"/>
    <mergeCell ref="D205:G205"/>
    <mergeCell ref="D234:G234"/>
    <mergeCell ref="D263:G263"/>
    <mergeCell ref="I31:N31"/>
    <mergeCell ref="I60:N60"/>
    <mergeCell ref="AB30:AD30"/>
    <mergeCell ref="AB59:AD59"/>
    <mergeCell ref="AB88:AD88"/>
    <mergeCell ref="AB146:AD146"/>
    <mergeCell ref="AC96:AE97"/>
    <mergeCell ref="AC270:AE271"/>
    <mergeCell ref="AC266:AE268"/>
    <mergeCell ref="AC179:AE181"/>
    <mergeCell ref="AB233:AD233"/>
    <mergeCell ref="AC5:AE7"/>
    <mergeCell ref="S263:T263"/>
    <mergeCell ref="U263:V263"/>
    <mergeCell ref="I147:N147"/>
    <mergeCell ref="I176:N176"/>
    <mergeCell ref="I205:N205"/>
    <mergeCell ref="I234:N234"/>
    <mergeCell ref="I263:N263"/>
    <mergeCell ref="W2:Z2"/>
    <mergeCell ref="S176:T176"/>
    <mergeCell ref="U176:V176"/>
    <mergeCell ref="S205:T205"/>
    <mergeCell ref="U205:V205"/>
    <mergeCell ref="S89:T89"/>
    <mergeCell ref="S2:T2"/>
    <mergeCell ref="U2:V2"/>
    <mergeCell ref="S31:T31"/>
    <mergeCell ref="U31:V31"/>
    <mergeCell ref="S60:T60"/>
    <mergeCell ref="S147:T147"/>
    <mergeCell ref="U147:V147"/>
    <mergeCell ref="U60:V60"/>
    <mergeCell ref="U89:V89"/>
    <mergeCell ref="S118:T118"/>
    <mergeCell ref="U118:V118"/>
    <mergeCell ref="AB118:AI118"/>
    <mergeCell ref="AC244:AE247"/>
    <mergeCell ref="AC208:AE210"/>
    <mergeCell ref="AC212:AE213"/>
    <mergeCell ref="AC237:AE239"/>
    <mergeCell ref="AC241:AE242"/>
    <mergeCell ref="I89:N89"/>
    <mergeCell ref="I118:N118"/>
    <mergeCell ref="S234:T234"/>
    <mergeCell ref="U234:V234"/>
    <mergeCell ref="AF141:AH142"/>
    <mergeCell ref="AF112:AH113"/>
    <mergeCell ref="AC104:AE106"/>
    <mergeCell ref="AC133:AE135"/>
    <mergeCell ref="AC162:AE164"/>
    <mergeCell ref="AC99:AE102"/>
    <mergeCell ref="AC128:AE131"/>
    <mergeCell ref="AC157:AE160"/>
    <mergeCell ref="AC125:AE126"/>
    <mergeCell ref="AC150:AE152"/>
    <mergeCell ref="AC154:AE155"/>
    <mergeCell ref="AC121:AE123"/>
    <mergeCell ref="AB117:AD117"/>
    <mergeCell ref="AB147:AI147"/>
  </mergeCells>
  <dataValidations count="4">
    <dataValidation type="list" allowBlank="1" showInputMessage="1" showErrorMessage="1" sqref="E265:E289 E149:E173 E33:E57 E91:E115 E207:E231 E4:E28 E62:E86 E178:E202 E236:E260 E120:E144" xr:uid="{00000000-0002-0000-0300-000000000000}">
      <formula1>INDIRECT($D4)</formula1>
    </dataValidation>
    <dataValidation type="list" allowBlank="1" showInputMessage="1" showErrorMessage="1" sqref="R265:R289 R207:R231 R178:R202 R33:R57 R120:R144 R91:R115 R62:R86 R149:R173 R4:R28 R236:R260" xr:uid="{00000000-0002-0000-0300-000001000000}">
      <formula1>RoundTripOneWay</formula1>
    </dataValidation>
    <dataValidation type="list" allowBlank="1" showInputMessage="1" showErrorMessage="1" sqref="W178:W202 W207:W231 W265:W289 W120:W144 W91:W115 W149:W173 W62:W86 W33:W57 W4:W28 W236:W260" xr:uid="{00000000-0002-0000-0300-000002000000}">
      <formula1>TruckRail</formula1>
    </dataValidation>
    <dataValidation type="list" allowBlank="1" showInputMessage="1" showErrorMessage="1" sqref="D207:D231 D91:D115 D265:D289 D33:D57 D62:D86 D178:D202 D236:D260 D149:D173 D4:D28 D120:D144" xr:uid="{00000000-0002-0000-0300-000003000000}">
      <formula1>MainManagement</formula1>
    </dataValidation>
  </dataValidations>
  <pageMargins left="0.7" right="0.7" top="0.75" bottom="0.75" header="0.3" footer="0.3"/>
  <pageSetup orientation="portrait" horizontalDpi="360" verticalDpi="360" r:id="rId1"/>
  <ignoredErrors>
    <ignoredError sqref="U4:U28 U33:U57" formula="1"/>
    <ignoredError sqref="AI4:AI10 X4:X28 AI11 AI13:AI14 AI16:AI19" unlockedFormula="1"/>
    <ignoredError sqref="AI12" formula="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T25"/>
  <sheetViews>
    <sheetView zoomScale="70" zoomScaleNormal="70" workbookViewId="0">
      <selection activeCell="F5" sqref="F5"/>
    </sheetView>
  </sheetViews>
  <sheetFormatPr defaultColWidth="9.140625" defaultRowHeight="15" x14ac:dyDescent="0.25"/>
  <cols>
    <col min="2" max="2" width="15.140625" bestFit="1" customWidth="1"/>
    <col min="3" max="3" width="13.85546875" customWidth="1"/>
    <col min="4" max="4" width="26.42578125" customWidth="1"/>
    <col min="5" max="5" width="11.42578125" customWidth="1"/>
    <col min="7" max="7" width="11.140625" customWidth="1"/>
    <col min="13" max="13" width="15.5703125" bestFit="1" customWidth="1"/>
    <col min="15" max="15" width="12.42578125" bestFit="1" customWidth="1"/>
  </cols>
  <sheetData>
    <row r="2" spans="2:20" ht="18.75" x14ac:dyDescent="0.3">
      <c r="B2" s="1283" t="s">
        <v>834</v>
      </c>
      <c r="C2" s="1283"/>
      <c r="D2" s="1283"/>
      <c r="E2" s="1283"/>
      <c r="F2" s="1283"/>
      <c r="G2" s="1283"/>
      <c r="H2" s="1283"/>
      <c r="I2" s="1283"/>
      <c r="J2" s="1283"/>
    </row>
    <row r="3" spans="2:20" ht="15.75" thickBot="1" x14ac:dyDescent="0.3">
      <c r="B3" s="611" t="s">
        <v>713</v>
      </c>
    </row>
    <row r="4" spans="2:20" ht="48.75" customHeight="1" thickBot="1" x14ac:dyDescent="0.3">
      <c r="B4" s="916" t="s">
        <v>924</v>
      </c>
      <c r="C4" s="917" t="s">
        <v>476</v>
      </c>
      <c r="D4" s="917" t="s">
        <v>445</v>
      </c>
      <c r="E4" s="918" t="s">
        <v>446</v>
      </c>
      <c r="F4" s="919" t="s">
        <v>447</v>
      </c>
      <c r="G4" s="919" t="s">
        <v>663</v>
      </c>
      <c r="H4" s="612" t="s">
        <v>826</v>
      </c>
      <c r="I4" s="919" t="s">
        <v>448</v>
      </c>
      <c r="J4" s="920" t="s">
        <v>616</v>
      </c>
      <c r="K4" s="613"/>
      <c r="Q4" s="613"/>
      <c r="R4" s="613"/>
      <c r="S4" s="613"/>
      <c r="T4" s="613"/>
    </row>
    <row r="5" spans="2:20" ht="16.5" thickBot="1" x14ac:dyDescent="0.3">
      <c r="B5" s="911"/>
      <c r="C5" s="912"/>
      <c r="D5" s="913" t="s">
        <v>999</v>
      </c>
      <c r="E5" s="1192">
        <v>0.89600000000000002</v>
      </c>
      <c r="F5" s="914">
        <v>7.1999999999999995E-2</v>
      </c>
      <c r="G5" s="914">
        <v>0.94386666666666685</v>
      </c>
      <c r="H5" s="907">
        <f>+Mean_OrganicMatter*Carbon_as_a___of_TVS_compostinghandbook</f>
        <v>0.52856533333333344</v>
      </c>
      <c r="I5" s="915">
        <v>2.5000000000000001E-2</v>
      </c>
      <c r="J5" s="915">
        <v>1.2999999999999999E-2</v>
      </c>
    </row>
    <row r="7" spans="2:20" ht="15.75" x14ac:dyDescent="0.25">
      <c r="B7" s="614"/>
      <c r="C7" s="381"/>
      <c r="D7" s="381" t="s">
        <v>664</v>
      </c>
      <c r="E7" s="1161">
        <f>+Mean_solids</f>
        <v>7.1999999999999995E-2</v>
      </c>
      <c r="F7" s="616"/>
      <c r="G7" s="616"/>
      <c r="H7" s="617"/>
      <c r="I7" s="618"/>
    </row>
    <row r="8" spans="2:20" x14ac:dyDescent="0.25">
      <c r="D8" s="381" t="s">
        <v>655</v>
      </c>
      <c r="E8" s="44"/>
      <c r="H8" s="619"/>
    </row>
    <row r="9" spans="2:20" x14ac:dyDescent="0.25">
      <c r="D9" s="381" t="s">
        <v>639</v>
      </c>
      <c r="E9" s="44"/>
    </row>
    <row r="10" spans="2:20" x14ac:dyDescent="0.25">
      <c r="D10" s="381" t="s">
        <v>653</v>
      </c>
      <c r="E10" s="44"/>
      <c r="F10" s="619"/>
      <c r="G10" s="619"/>
      <c r="H10" s="619"/>
      <c r="I10" s="619"/>
    </row>
    <row r="11" spans="2:20" x14ac:dyDescent="0.25">
      <c r="F11" s="619"/>
      <c r="G11" s="619"/>
      <c r="H11" s="619"/>
      <c r="I11" s="619"/>
    </row>
    <row r="13" spans="2:20" ht="19.5" thickBot="1" x14ac:dyDescent="0.35">
      <c r="B13" s="1283" t="s">
        <v>989</v>
      </c>
      <c r="C13" s="1283"/>
      <c r="D13" s="1283"/>
      <c r="E13" s="1283"/>
      <c r="F13" s="1283"/>
      <c r="G13" s="1283"/>
      <c r="H13" s="1283"/>
      <c r="I13" s="1283"/>
      <c r="J13" s="1283"/>
    </row>
    <row r="14" spans="2:20" ht="45.75" thickBot="1" x14ac:dyDescent="0.3">
      <c r="B14" s="916" t="s">
        <v>924</v>
      </c>
      <c r="C14" s="917" t="s">
        <v>476</v>
      </c>
      <c r="D14" s="917" t="s">
        <v>445</v>
      </c>
      <c r="E14" s="918" t="s">
        <v>446</v>
      </c>
      <c r="F14" s="919" t="s">
        <v>447</v>
      </c>
      <c r="G14" s="919" t="s">
        <v>663</v>
      </c>
      <c r="H14" s="612" t="s">
        <v>826</v>
      </c>
      <c r="I14" s="919" t="s">
        <v>448</v>
      </c>
      <c r="J14" s="920" t="s">
        <v>616</v>
      </c>
    </row>
    <row r="15" spans="2:20" ht="16.5" thickBot="1" x14ac:dyDescent="0.3">
      <c r="B15" s="911"/>
      <c r="C15" s="912"/>
      <c r="D15" s="913"/>
      <c r="E15" s="1192"/>
      <c r="F15" s="914"/>
      <c r="G15" s="914"/>
      <c r="H15" s="907">
        <f>+G15*Carbon_as_a___of_TVS_compostinghandbook</f>
        <v>0</v>
      </c>
      <c r="I15" s="915"/>
      <c r="J15" s="915"/>
    </row>
    <row r="16" spans="2:20" ht="18" customHeight="1" x14ac:dyDescent="0.25">
      <c r="B16" s="1284" t="s">
        <v>990</v>
      </c>
      <c r="C16" s="1284"/>
      <c r="D16" s="1284"/>
      <c r="E16" s="1284"/>
      <c r="F16" s="1284"/>
      <c r="G16" s="1284"/>
      <c r="H16" s="1284"/>
      <c r="I16" s="1284"/>
      <c r="J16" s="1284"/>
    </row>
    <row r="17" spans="2:10" ht="18" customHeight="1" x14ac:dyDescent="0.25">
      <c r="B17" s="1284"/>
      <c r="C17" s="1284"/>
      <c r="D17" s="1284"/>
      <c r="E17" s="1284"/>
      <c r="F17" s="1284"/>
      <c r="G17" s="1284"/>
      <c r="H17" s="1284"/>
      <c r="I17" s="1284"/>
      <c r="J17" s="1284"/>
    </row>
    <row r="18" spans="2:10" ht="18" customHeight="1" x14ac:dyDescent="0.25">
      <c r="B18" s="1284"/>
      <c r="C18" s="1284"/>
      <c r="D18" s="1284"/>
      <c r="E18" s="1284"/>
      <c r="F18" s="1284"/>
      <c r="G18" s="1284"/>
      <c r="H18" s="1284"/>
      <c r="I18" s="1284"/>
      <c r="J18" s="1284"/>
    </row>
    <row r="20" spans="2:10" ht="18.75" x14ac:dyDescent="0.3">
      <c r="B20" s="1283" t="s">
        <v>835</v>
      </c>
      <c r="C20" s="1283"/>
      <c r="D20" s="1283"/>
      <c r="E20" s="1283"/>
      <c r="F20" s="1283"/>
      <c r="G20" s="1283"/>
      <c r="H20" s="1283"/>
      <c r="I20" s="1283"/>
      <c r="J20" s="1283"/>
    </row>
    <row r="21" spans="2:10" ht="15.75" thickBot="1" x14ac:dyDescent="0.3">
      <c r="B21" s="611" t="s">
        <v>713</v>
      </c>
    </row>
    <row r="22" spans="2:10" ht="45.75" thickBot="1" x14ac:dyDescent="0.3">
      <c r="B22" s="916" t="s">
        <v>924</v>
      </c>
      <c r="C22" s="917" t="s">
        <v>476</v>
      </c>
      <c r="D22" s="917" t="s">
        <v>445</v>
      </c>
      <c r="E22" s="918" t="s">
        <v>446</v>
      </c>
      <c r="F22" s="919" t="s">
        <v>447</v>
      </c>
      <c r="G22" s="919" t="s">
        <v>663</v>
      </c>
      <c r="H22" s="612" t="s">
        <v>826</v>
      </c>
      <c r="I22" s="919" t="s">
        <v>448</v>
      </c>
      <c r="J22" s="920" t="s">
        <v>616</v>
      </c>
    </row>
    <row r="23" spans="2:10" ht="16.5" thickBot="1" x14ac:dyDescent="0.3">
      <c r="B23" s="911"/>
      <c r="C23" s="912"/>
      <c r="D23" s="913"/>
      <c r="E23" s="1192"/>
      <c r="F23" s="591"/>
      <c r="G23" s="591"/>
      <c r="H23" s="1160"/>
      <c r="I23" s="1160"/>
      <c r="J23" s="1160"/>
    </row>
    <row r="24" spans="2:10" ht="15.75" x14ac:dyDescent="0.25">
      <c r="B24" s="381"/>
      <c r="C24" s="381"/>
      <c r="D24" s="615"/>
      <c r="E24" s="620"/>
      <c r="F24" s="616"/>
      <c r="G24" s="616"/>
      <c r="H24" s="617"/>
      <c r="I24" s="618"/>
    </row>
    <row r="25" spans="2:10" x14ac:dyDescent="0.25">
      <c r="B25" t="s">
        <v>640</v>
      </c>
      <c r="E25" s="1161">
        <f>+Mean_solids_biochar</f>
        <v>0</v>
      </c>
      <c r="H25" s="619"/>
    </row>
  </sheetData>
  <sheetProtection algorithmName="SHA-512" hashValue="bzjqa4SUfDVcjCmC4OWx3l+Z/GOHy153Vc5sCLMAsEDv8q6xT1vMc1A02pKa3ZSWZb/f1b1SX3OaapTIaut9qA==" saltValue="/gltv9h0NFjk5BEcTEdE6Q==" spinCount="100000" sheet="1" objects="1" scenarios="1"/>
  <mergeCells count="4">
    <mergeCell ref="B2:J2"/>
    <mergeCell ref="B20:J20"/>
    <mergeCell ref="B13:J13"/>
    <mergeCell ref="B16:J18"/>
  </mergeCells>
  <pageMargins left="0.7" right="0.7" top="0.75" bottom="0.75" header="0.3" footer="0.3"/>
  <pageSetup orientation="portrait" horizontalDpi="360" verticalDpi="360" r:id="rId1"/>
  <ignoredErrors>
    <ignoredError sqref="E7"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BC29"/>
  <sheetViews>
    <sheetView zoomScale="85" zoomScaleNormal="85" workbookViewId="0">
      <selection activeCell="E5" sqref="E5"/>
    </sheetView>
  </sheetViews>
  <sheetFormatPr defaultColWidth="9.140625" defaultRowHeight="15" x14ac:dyDescent="0.25"/>
  <cols>
    <col min="1" max="1" width="19" customWidth="1"/>
    <col min="2" max="2" width="11.42578125" style="886" customWidth="1"/>
    <col min="3" max="3" width="10.85546875" style="886" customWidth="1"/>
    <col min="4" max="4" width="28" style="886" customWidth="1"/>
    <col min="5" max="5" width="13.85546875" style="886" customWidth="1"/>
    <col min="6" max="6" width="11.42578125" style="886" customWidth="1"/>
    <col min="7" max="18" width="9.140625" style="886" customWidth="1"/>
    <col min="19" max="19" width="10.42578125" style="886" customWidth="1"/>
    <col min="20" max="55" width="9.140625" style="886" customWidth="1"/>
  </cols>
  <sheetData>
    <row r="1" spans="1:30" ht="15.75" thickBot="1" x14ac:dyDescent="0.3"/>
    <row r="2" spans="1:30" ht="18.75" x14ac:dyDescent="0.3">
      <c r="A2" s="1289" t="s">
        <v>700</v>
      </c>
      <c r="B2" s="1290"/>
      <c r="C2" s="1290"/>
      <c r="D2" s="1290"/>
      <c r="E2" s="1291"/>
    </row>
    <row r="3" spans="1:30" ht="17.25" customHeight="1" x14ac:dyDescent="0.25">
      <c r="A3" s="1285" t="s">
        <v>838</v>
      </c>
      <c r="B3" s="1286"/>
      <c r="C3" s="1286"/>
      <c r="D3" s="1286"/>
      <c r="E3" s="876"/>
    </row>
    <row r="4" spans="1:30" x14ac:dyDescent="0.25">
      <c r="A4" s="1285" t="s">
        <v>836</v>
      </c>
      <c r="B4" s="1286"/>
      <c r="C4" s="1286"/>
      <c r="D4" s="1286"/>
      <c r="E4" s="892"/>
    </row>
    <row r="5" spans="1:30" x14ac:dyDescent="0.25">
      <c r="A5" s="1285" t="s">
        <v>837</v>
      </c>
      <c r="B5" s="1286"/>
      <c r="C5" s="1286"/>
      <c r="D5" s="1286"/>
      <c r="E5" s="892">
        <v>7.1999999999999995E-2</v>
      </c>
    </row>
    <row r="6" spans="1:30" ht="15.75" thickBot="1" x14ac:dyDescent="0.3">
      <c r="A6" s="1287" t="s">
        <v>839</v>
      </c>
      <c r="B6" s="1288"/>
      <c r="C6" s="1288"/>
      <c r="D6" s="1288"/>
      <c r="E6" s="891">
        <f>+sludge_to_condit*solids_before_condit/solids_after_condit</f>
        <v>0</v>
      </c>
    </row>
    <row r="7" spans="1:30" ht="15.75" thickBot="1" x14ac:dyDescent="0.3">
      <c r="A7" s="885"/>
      <c r="B7" s="885"/>
      <c r="C7" s="885"/>
      <c r="D7" s="885"/>
    </row>
    <row r="8" spans="1:30" ht="18.75" x14ac:dyDescent="0.3">
      <c r="A8" s="1289" t="s">
        <v>701</v>
      </c>
      <c r="B8" s="1290"/>
      <c r="C8" s="1290"/>
      <c r="D8" s="1290"/>
      <c r="E8" s="1291"/>
    </row>
    <row r="9" spans="1:30" x14ac:dyDescent="0.25">
      <c r="A9" s="1285" t="s">
        <v>840</v>
      </c>
      <c r="B9" s="1286"/>
      <c r="C9" s="1286"/>
      <c r="D9" s="1286"/>
      <c r="E9" s="906">
        <f>+mass_condit_solids</f>
        <v>0</v>
      </c>
    </row>
    <row r="10" spans="1:30" ht="15" customHeight="1" x14ac:dyDescent="0.25">
      <c r="A10" s="1285" t="s">
        <v>966</v>
      </c>
      <c r="B10" s="1286"/>
      <c r="C10" s="1286"/>
      <c r="D10" s="1286"/>
      <c r="E10" s="876"/>
      <c r="G10" s="782">
        <f>+Default_SRT_aerobic</f>
        <v>40</v>
      </c>
      <c r="H10" s="1230" t="s">
        <v>972</v>
      </c>
      <c r="I10" s="1230"/>
      <c r="J10" s="1230"/>
      <c r="K10" s="1230"/>
      <c r="L10" s="1230"/>
      <c r="M10" s="1230"/>
      <c r="N10" s="1230"/>
      <c r="O10" s="1230"/>
      <c r="P10" s="1230"/>
      <c r="Q10" s="1230"/>
      <c r="R10" s="1230"/>
      <c r="S10" s="1230"/>
      <c r="T10" s="1230"/>
      <c r="U10" s="1230"/>
      <c r="V10" s="1230"/>
      <c r="W10" s="1230"/>
      <c r="X10" s="1230"/>
      <c r="Y10" s="1230"/>
      <c r="Z10" s="1230"/>
      <c r="AA10" s="1230"/>
      <c r="AB10" s="107"/>
    </row>
    <row r="11" spans="1:30" x14ac:dyDescent="0.25">
      <c r="A11" s="1285" t="s">
        <v>841</v>
      </c>
      <c r="B11" s="1286"/>
      <c r="C11" s="1286"/>
      <c r="D11" s="1286"/>
      <c r="E11" s="907">
        <f>+solids_after_condit</f>
        <v>7.1999999999999995E-2</v>
      </c>
      <c r="H11" s="1230"/>
      <c r="I11" s="1230"/>
      <c r="J11" s="1230"/>
      <c r="K11" s="1230"/>
      <c r="L11" s="1230"/>
      <c r="M11" s="1230"/>
      <c r="N11" s="1230"/>
      <c r="O11" s="1230"/>
      <c r="P11" s="1230"/>
      <c r="Q11" s="1230"/>
      <c r="R11" s="1230"/>
      <c r="S11" s="1230"/>
      <c r="T11" s="1230"/>
      <c r="U11" s="1230"/>
      <c r="V11" s="1230"/>
      <c r="W11" s="1230"/>
      <c r="X11" s="1230"/>
      <c r="Y11" s="1230"/>
      <c r="Z11" s="1230"/>
      <c r="AA11" s="1230"/>
      <c r="AB11" s="107"/>
    </row>
    <row r="12" spans="1:30" x14ac:dyDescent="0.25">
      <c r="A12" s="1285" t="s">
        <v>842</v>
      </c>
      <c r="B12" s="1286"/>
      <c r="C12" s="1286"/>
      <c r="D12" s="1286"/>
      <c r="E12" s="892"/>
    </row>
    <row r="13" spans="1:30" ht="15" customHeight="1" x14ac:dyDescent="0.25">
      <c r="A13" s="1285" t="s">
        <v>967</v>
      </c>
      <c r="B13" s="1286"/>
      <c r="C13" s="1286"/>
      <c r="D13" s="1286"/>
      <c r="E13" s="892"/>
      <c r="G13" s="789">
        <v>0.25</v>
      </c>
      <c r="H13" s="1230" t="s">
        <v>964</v>
      </c>
      <c r="I13" s="1230"/>
      <c r="J13" s="1230"/>
      <c r="K13" s="1230"/>
      <c r="L13" s="1230"/>
      <c r="M13" s="1230"/>
      <c r="N13" s="1230"/>
      <c r="O13" s="1230"/>
      <c r="P13" s="1230"/>
      <c r="Q13" s="1230"/>
      <c r="R13" s="1230"/>
      <c r="S13" s="1230"/>
      <c r="T13" s="1230"/>
      <c r="U13" s="1230"/>
      <c r="V13" s="1230"/>
      <c r="W13" s="1230"/>
      <c r="X13" s="1230"/>
      <c r="Y13" s="1230"/>
      <c r="Z13" s="1230"/>
      <c r="AA13" s="1230"/>
      <c r="AB13" s="1230"/>
      <c r="AC13" s="1230"/>
      <c r="AD13" s="1230"/>
    </row>
    <row r="14" spans="1:30" x14ac:dyDescent="0.25">
      <c r="A14" s="1285" t="s">
        <v>843</v>
      </c>
      <c r="B14" s="1286"/>
      <c r="C14" s="1286"/>
      <c r="D14" s="1286"/>
      <c r="E14" s="892"/>
      <c r="H14" s="1230"/>
      <c r="I14" s="1230"/>
      <c r="J14" s="1230"/>
      <c r="K14" s="1230"/>
      <c r="L14" s="1230"/>
      <c r="M14" s="1230"/>
      <c r="N14" s="1230"/>
      <c r="O14" s="1230"/>
      <c r="P14" s="1230"/>
      <c r="Q14" s="1230"/>
      <c r="R14" s="1230"/>
      <c r="S14" s="1230"/>
      <c r="T14" s="1230"/>
      <c r="U14" s="1230"/>
      <c r="V14" s="1230"/>
      <c r="W14" s="1230"/>
      <c r="X14" s="1230"/>
      <c r="Y14" s="1230"/>
      <c r="Z14" s="1230"/>
      <c r="AA14" s="1230"/>
      <c r="AB14" s="1230"/>
      <c r="AC14" s="1230"/>
      <c r="AD14" s="1230"/>
    </row>
    <row r="15" spans="1:30" ht="15.75" customHeight="1" thickBot="1" x14ac:dyDescent="0.3">
      <c r="A15" s="1287" t="s">
        <v>668</v>
      </c>
      <c r="B15" s="1288"/>
      <c r="C15" s="1288"/>
      <c r="D15" s="1288"/>
      <c r="E15" s="908"/>
      <c r="G15" s="789">
        <v>0</v>
      </c>
      <c r="H15" s="614" t="s">
        <v>982</v>
      </c>
      <c r="I15" s="1187"/>
      <c r="J15" s="1187"/>
      <c r="K15" s="1187"/>
      <c r="L15" s="1187"/>
      <c r="M15" s="1187"/>
      <c r="N15" s="1187"/>
      <c r="O15" s="1187"/>
      <c r="P15" s="1187"/>
      <c r="Q15" s="1187"/>
      <c r="R15" s="1187"/>
      <c r="S15" s="1187"/>
      <c r="T15" s="1186"/>
      <c r="U15" s="1186"/>
    </row>
    <row r="16" spans="1:30" ht="15.75" thickBot="1" x14ac:dyDescent="0.3">
      <c r="A16" s="885"/>
      <c r="B16" s="885"/>
      <c r="C16" s="885"/>
      <c r="D16" s="885"/>
      <c r="H16" s="1187"/>
      <c r="I16" s="1187"/>
      <c r="J16" s="1187"/>
      <c r="K16" s="1187"/>
      <c r="L16" s="1187"/>
      <c r="M16" s="1187"/>
      <c r="N16" s="1187"/>
      <c r="O16" s="1187"/>
      <c r="P16" s="1187"/>
      <c r="Q16" s="1187"/>
      <c r="R16" s="1187"/>
      <c r="S16" s="1187"/>
      <c r="T16" s="1186"/>
      <c r="U16" s="1186"/>
    </row>
    <row r="17" spans="1:25" ht="18.75" x14ac:dyDescent="0.3">
      <c r="A17" s="1289" t="s">
        <v>968</v>
      </c>
      <c r="B17" s="1290"/>
      <c r="C17" s="1290"/>
      <c r="D17" s="1290"/>
      <c r="E17" s="1291"/>
    </row>
    <row r="18" spans="1:25" x14ac:dyDescent="0.25">
      <c r="A18" s="1285" t="s">
        <v>702</v>
      </c>
      <c r="B18" s="1286"/>
      <c r="C18" s="1286"/>
      <c r="D18" s="1286"/>
      <c r="E18" s="906">
        <v>93.6</v>
      </c>
    </row>
    <row r="19" spans="1:25" x14ac:dyDescent="0.25">
      <c r="A19" s="1285" t="s">
        <v>474</v>
      </c>
      <c r="B19" s="1286"/>
      <c r="C19" s="1286"/>
      <c r="D19" s="1286"/>
      <c r="E19" s="876">
        <v>15</v>
      </c>
      <c r="F19" s="614"/>
      <c r="G19" s="782">
        <f>+Default_SRT_anaerobic</f>
        <v>22</v>
      </c>
      <c r="H19" s="614" t="s">
        <v>770</v>
      </c>
      <c r="P19" s="614" t="s">
        <v>962</v>
      </c>
    </row>
    <row r="20" spans="1:25" x14ac:dyDescent="0.25">
      <c r="A20" s="1285" t="s">
        <v>841</v>
      </c>
      <c r="B20" s="1286"/>
      <c r="C20" s="1286"/>
      <c r="D20" s="1286"/>
      <c r="E20" s="907">
        <f>+solids_after_condit</f>
        <v>7.1999999999999995E-2</v>
      </c>
      <c r="F20" s="614"/>
      <c r="P20" s="789">
        <f>+default_VSR_WAS_only</f>
        <v>0.38</v>
      </c>
      <c r="Q20" s="614" t="s">
        <v>712</v>
      </c>
    </row>
    <row r="21" spans="1:25" x14ac:dyDescent="0.25">
      <c r="A21" s="1285" t="s">
        <v>842</v>
      </c>
      <c r="B21" s="1286"/>
      <c r="C21" s="1286"/>
      <c r="D21" s="1286"/>
      <c r="E21" s="892">
        <f>Mean_OrganicMatter</f>
        <v>0.94386666666666685</v>
      </c>
      <c r="F21" s="614"/>
      <c r="P21" s="789">
        <f>+default_VSR_primary_WAS</f>
        <v>0.42</v>
      </c>
      <c r="Q21" s="614" t="s">
        <v>709</v>
      </c>
    </row>
    <row r="22" spans="1:25" x14ac:dyDescent="0.25">
      <c r="A22" s="1285" t="s">
        <v>772</v>
      </c>
      <c r="B22" s="1286"/>
      <c r="C22" s="1286"/>
      <c r="D22" s="1286"/>
      <c r="E22" s="892">
        <v>0.8</v>
      </c>
      <c r="P22" s="789">
        <f>+default_VSR_plus</f>
        <v>0.55000000000000004</v>
      </c>
      <c r="Q22" s="614" t="s">
        <v>710</v>
      </c>
    </row>
    <row r="23" spans="1:25" x14ac:dyDescent="0.25">
      <c r="A23" s="1285" t="s">
        <v>843</v>
      </c>
      <c r="B23" s="1286"/>
      <c r="C23" s="1286"/>
      <c r="D23" s="1286"/>
      <c r="E23" s="892"/>
      <c r="F23" s="614" t="s">
        <v>705</v>
      </c>
      <c r="P23" s="789">
        <f>+default_VSR_advanced</f>
        <v>0.62</v>
      </c>
      <c r="Q23" s="614" t="s">
        <v>711</v>
      </c>
    </row>
    <row r="24" spans="1:25" ht="15" customHeight="1" thickBot="1" x14ac:dyDescent="0.3">
      <c r="A24" s="1287" t="s">
        <v>669</v>
      </c>
      <c r="B24" s="1288"/>
      <c r="C24" s="1288"/>
      <c r="D24" s="1288"/>
      <c r="E24" s="908"/>
      <c r="F24" s="614"/>
      <c r="G24" s="789">
        <v>0</v>
      </c>
      <c r="H24" s="1292" t="s">
        <v>971</v>
      </c>
      <c r="I24" s="1292"/>
      <c r="J24" s="1292"/>
      <c r="K24" s="1292"/>
      <c r="L24" s="1292"/>
      <c r="M24" s="1292"/>
      <c r="N24" s="1292"/>
      <c r="P24" s="1230" t="s">
        <v>961</v>
      </c>
      <c r="Q24" s="1230"/>
      <c r="R24" s="1230"/>
      <c r="S24" s="1230"/>
      <c r="T24" s="1230"/>
      <c r="U24" s="1230"/>
      <c r="V24" s="1230"/>
      <c r="W24" s="1230"/>
      <c r="X24" s="1230"/>
      <c r="Y24" s="1230"/>
    </row>
    <row r="25" spans="1:25" ht="15.75" thickBot="1" x14ac:dyDescent="0.3">
      <c r="H25" s="1292"/>
      <c r="I25" s="1292"/>
      <c r="J25" s="1292"/>
      <c r="K25" s="1292"/>
      <c r="L25" s="1292"/>
      <c r="M25" s="1292"/>
      <c r="N25" s="1292"/>
      <c r="P25" s="1230"/>
      <c r="Q25" s="1230"/>
      <c r="R25" s="1230"/>
      <c r="S25" s="1230"/>
      <c r="T25" s="1230"/>
      <c r="U25" s="1230"/>
      <c r="V25" s="1230"/>
      <c r="W25" s="1230"/>
      <c r="X25" s="1230"/>
      <c r="Y25" s="1230"/>
    </row>
    <row r="26" spans="1:25" ht="18.75" x14ac:dyDescent="0.3">
      <c r="A26" s="1289" t="s">
        <v>969</v>
      </c>
      <c r="B26" s="1290"/>
      <c r="C26" s="1290"/>
      <c r="D26" s="1290"/>
      <c r="E26" s="1291"/>
      <c r="H26" s="1292"/>
      <c r="I26" s="1292"/>
      <c r="J26" s="1292"/>
      <c r="K26" s="1292"/>
      <c r="L26" s="1292"/>
      <c r="M26" s="1292"/>
      <c r="N26" s="1292"/>
      <c r="P26" s="1230"/>
      <c r="Q26" s="1230"/>
      <c r="R26" s="1230"/>
      <c r="S26" s="1230"/>
      <c r="T26" s="1230"/>
      <c r="U26" s="1230"/>
      <c r="V26" s="1230"/>
      <c r="W26" s="1230"/>
      <c r="X26" s="1230"/>
      <c r="Y26" s="1230"/>
    </row>
    <row r="27" spans="1:25" x14ac:dyDescent="0.25">
      <c r="A27" s="1285" t="s">
        <v>844</v>
      </c>
      <c r="B27" s="1286"/>
      <c r="C27" s="1286"/>
      <c r="D27" s="1286"/>
      <c r="E27" s="906">
        <f>+AD_feed_rate*(1-AD_volume_reduct)</f>
        <v>93.6</v>
      </c>
      <c r="F27" s="614" t="s">
        <v>970</v>
      </c>
    </row>
    <row r="28" spans="1:25" x14ac:dyDescent="0.25">
      <c r="A28" s="1285" t="s">
        <v>845</v>
      </c>
      <c r="B28" s="1286"/>
      <c r="C28" s="1286"/>
      <c r="D28" s="1286"/>
      <c r="E28" s="892"/>
      <c r="F28" s="614" t="s">
        <v>665</v>
      </c>
    </row>
    <row r="29" spans="1:25" ht="15.75" thickBot="1" x14ac:dyDescent="0.3">
      <c r="A29" s="1287" t="s">
        <v>846</v>
      </c>
      <c r="B29" s="1288"/>
      <c r="C29" s="1288"/>
      <c r="D29" s="1288"/>
      <c r="E29" s="1185">
        <f>+Mean_solids</f>
        <v>7.1999999999999995E-2</v>
      </c>
    </row>
  </sheetData>
  <sheetProtection algorithmName="SHA-512" hashValue="PPq6C7bG5uYjdMEPsRcjZ0Hr5Hb28BaIeE/klAzwwvTem6VMmkNt93ClvApvMkF3pgOvzKmkaqbb7d1nzu0Y2w==" saltValue="yJNOQBGBoHasWjoUyGf9ZQ==" spinCount="100000" sheet="1" objects="1" scenarios="1"/>
  <sortState xmlns:xlrd2="http://schemas.microsoft.com/office/spreadsheetml/2017/richdata2" ref="F287:H300">
    <sortCondition descending="1" ref="G287:G300"/>
  </sortState>
  <mergeCells count="29">
    <mergeCell ref="H24:N26"/>
    <mergeCell ref="H10:AA11"/>
    <mergeCell ref="H13:AD14"/>
    <mergeCell ref="P24:Y26"/>
    <mergeCell ref="A2:E2"/>
    <mergeCell ref="A21:D21"/>
    <mergeCell ref="A10:D10"/>
    <mergeCell ref="A11:D11"/>
    <mergeCell ref="A15:D15"/>
    <mergeCell ref="A9:D9"/>
    <mergeCell ref="A12:D12"/>
    <mergeCell ref="A3:D3"/>
    <mergeCell ref="A4:D4"/>
    <mergeCell ref="A5:D5"/>
    <mergeCell ref="A6:D6"/>
    <mergeCell ref="A8:E8"/>
    <mergeCell ref="A13:D13"/>
    <mergeCell ref="A14:D14"/>
    <mergeCell ref="A28:D28"/>
    <mergeCell ref="A29:D29"/>
    <mergeCell ref="A26:E26"/>
    <mergeCell ref="A24:D24"/>
    <mergeCell ref="A17:E17"/>
    <mergeCell ref="A18:D18"/>
    <mergeCell ref="A19:D19"/>
    <mergeCell ref="A20:D20"/>
    <mergeCell ref="A27:D27"/>
    <mergeCell ref="A23:D23"/>
    <mergeCell ref="A22:D22"/>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U51"/>
  <sheetViews>
    <sheetView workbookViewId="0"/>
  </sheetViews>
  <sheetFormatPr defaultColWidth="9.140625" defaultRowHeight="14.25" x14ac:dyDescent="0.2"/>
  <cols>
    <col min="1" max="1" width="64.85546875" style="183" customWidth="1"/>
    <col min="2" max="2" width="15.85546875" style="182" customWidth="1"/>
    <col min="3" max="3" width="15" style="183" customWidth="1"/>
    <col min="4" max="4" width="15.85546875" style="183" customWidth="1"/>
    <col min="5" max="5" width="15" style="183" customWidth="1"/>
    <col min="6" max="6" width="15.85546875" style="183" customWidth="1"/>
    <col min="7" max="7" width="15" style="183" customWidth="1"/>
    <col min="8" max="8" width="15.85546875" style="183" customWidth="1"/>
    <col min="9" max="9" width="15" style="183" customWidth="1"/>
    <col min="10" max="10" width="15.85546875" style="183" customWidth="1"/>
    <col min="11" max="11" width="15" style="183" customWidth="1"/>
    <col min="12" max="12" width="15.85546875" style="183" customWidth="1"/>
    <col min="13" max="13" width="15" style="183" customWidth="1"/>
    <col min="14" max="14" width="15.85546875" style="183" customWidth="1"/>
    <col min="15" max="15" width="15" style="183" customWidth="1"/>
    <col min="16" max="16" width="15.85546875" style="183" customWidth="1"/>
    <col min="17" max="17" width="15" style="183" customWidth="1"/>
    <col min="18" max="18" width="15.85546875" style="183" customWidth="1"/>
    <col min="19" max="19" width="15" style="183" customWidth="1"/>
    <col min="20" max="20" width="15.85546875" style="183" customWidth="1"/>
    <col min="21" max="21" width="15" style="183" customWidth="1"/>
    <col min="22" max="16384" width="9.140625" style="183"/>
  </cols>
  <sheetData>
    <row r="1" spans="1:21" s="105" customFormat="1" ht="24" thickBot="1" x14ac:dyDescent="0.4">
      <c r="A1" s="96" t="s">
        <v>412</v>
      </c>
      <c r="B1" s="143"/>
      <c r="C1" s="144"/>
    </row>
    <row r="2" spans="1:21" s="105" customFormat="1" ht="23.25" customHeight="1" x14ac:dyDescent="0.2">
      <c r="A2" s="1298" t="s">
        <v>166</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s="105" customFormat="1" ht="15.75" customHeight="1" thickBot="1" x14ac:dyDescent="0.25">
      <c r="A3" s="1299"/>
      <c r="B3" s="1295" t="str">
        <f>'Scenarios Data'!B1</f>
        <v>Landfill</v>
      </c>
      <c r="C3" s="1296"/>
      <c r="D3" s="1295" t="str">
        <f>'Scenarios Data'!B33</f>
        <v>Co-digestion</v>
      </c>
      <c r="E3" s="1296"/>
      <c r="F3" s="1295">
        <f>'Scenarios Data'!B65</f>
        <v>0</v>
      </c>
      <c r="G3" s="1296"/>
      <c r="H3" s="1295">
        <f>'Scenarios Data'!B97</f>
        <v>0</v>
      </c>
      <c r="I3" s="1296"/>
      <c r="J3" s="1295">
        <f>'Scenarios Data'!B129</f>
        <v>0</v>
      </c>
      <c r="K3" s="1296"/>
      <c r="L3" s="1295">
        <f>'Scenarios Data'!B161</f>
        <v>0</v>
      </c>
      <c r="M3" s="1296"/>
      <c r="N3" s="1295" t="str">
        <f>'Scenarios Data'!B193</f>
        <v xml:space="preserve"> </v>
      </c>
      <c r="O3" s="1296"/>
      <c r="P3" s="1295">
        <f>'Scenarios Data'!B225</f>
        <v>0</v>
      </c>
      <c r="Q3" s="1296"/>
      <c r="R3" s="1295">
        <f>'Scenarios Data'!B257</f>
        <v>0</v>
      </c>
      <c r="S3" s="1296"/>
      <c r="T3" s="1295">
        <f>'Scenarios Data'!B289</f>
        <v>0</v>
      </c>
      <c r="U3" s="1296"/>
    </row>
    <row r="4" spans="1:21" s="130" customFormat="1" ht="48" customHeight="1" thickBot="1" x14ac:dyDescent="0.25">
      <c r="A4" s="145" t="s">
        <v>104</v>
      </c>
      <c r="B4" s="146" t="s">
        <v>105</v>
      </c>
      <c r="C4" s="147" t="s">
        <v>103</v>
      </c>
      <c r="D4" s="146" t="s">
        <v>105</v>
      </c>
      <c r="E4" s="147" t="s">
        <v>103</v>
      </c>
      <c r="F4" s="14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46" t="s">
        <v>105</v>
      </c>
      <c r="U4" s="147" t="s">
        <v>103</v>
      </c>
    </row>
    <row r="5" spans="1:21" s="105" customFormat="1" ht="15.75" customHeight="1" thickBot="1" x14ac:dyDescent="0.3">
      <c r="A5" s="1300" t="s">
        <v>23</v>
      </c>
      <c r="B5" s="1301"/>
      <c r="C5" s="1301"/>
      <c r="D5" s="1301"/>
      <c r="E5" s="1301"/>
      <c r="F5" s="1301"/>
      <c r="G5" s="1301"/>
      <c r="H5" s="1301"/>
      <c r="I5" s="1301"/>
      <c r="J5" s="1301"/>
      <c r="K5" s="1301"/>
      <c r="L5" s="1301"/>
      <c r="M5" s="1301"/>
      <c r="N5" s="1301"/>
      <c r="O5" s="1301"/>
      <c r="P5" s="1301"/>
      <c r="Q5" s="1301"/>
      <c r="R5" s="1301"/>
      <c r="S5" s="1301"/>
      <c r="T5" s="1301"/>
      <c r="U5" s="1302"/>
    </row>
    <row r="6" spans="1:21" s="105" customFormat="1" ht="15.75" customHeight="1" x14ac:dyDescent="0.2">
      <c r="A6" s="1054" t="s">
        <v>931</v>
      </c>
      <c r="B6" s="1051"/>
      <c r="C6" s="1050"/>
      <c r="D6" s="1049"/>
      <c r="E6" s="1050"/>
      <c r="F6" s="1049"/>
      <c r="G6" s="1050"/>
      <c r="H6" s="1049"/>
      <c r="I6" s="1050"/>
      <c r="J6" s="1049"/>
      <c r="K6" s="1050"/>
      <c r="L6" s="1049"/>
      <c r="M6" s="1050"/>
      <c r="N6" s="1049"/>
      <c r="O6" s="1050"/>
      <c r="P6" s="1049"/>
      <c r="Q6" s="1050"/>
      <c r="R6" s="1049"/>
      <c r="S6" s="1050"/>
      <c r="T6" s="1049"/>
      <c r="U6" s="1050"/>
    </row>
    <row r="7" spans="1:21" s="105" customFormat="1" ht="15.75" customHeight="1" x14ac:dyDescent="0.2">
      <c r="A7" s="1055" t="s">
        <v>822</v>
      </c>
      <c r="B7" s="1052"/>
      <c r="C7" s="149"/>
      <c r="D7" s="5"/>
      <c r="E7" s="149"/>
      <c r="F7" s="5"/>
      <c r="G7" s="149"/>
      <c r="H7" s="5"/>
      <c r="I7" s="149"/>
      <c r="J7" s="5"/>
      <c r="K7" s="149"/>
      <c r="L7" s="5"/>
      <c r="M7" s="149"/>
      <c r="N7" s="5"/>
      <c r="O7" s="149"/>
      <c r="P7" s="5"/>
      <c r="Q7" s="149"/>
      <c r="R7" s="5"/>
      <c r="S7" s="149"/>
      <c r="T7" s="5"/>
      <c r="U7" s="149"/>
    </row>
    <row r="8" spans="1:21" s="105" customFormat="1" ht="15.75" customHeight="1" x14ac:dyDescent="0.2">
      <c r="A8" s="1055" t="s">
        <v>823</v>
      </c>
      <c r="B8" s="1148">
        <f>+B7/liters_gal</f>
        <v>0</v>
      </c>
      <c r="C8" s="149"/>
      <c r="D8" s="1149">
        <f>+D7/liters_gal</f>
        <v>0</v>
      </c>
      <c r="E8" s="149"/>
      <c r="F8" s="1149">
        <f>+F7/liters_gal</f>
        <v>0</v>
      </c>
      <c r="G8" s="149"/>
      <c r="H8" s="1149">
        <f>+H7/liters_gal</f>
        <v>0</v>
      </c>
      <c r="I8" s="149"/>
      <c r="J8" s="1149">
        <f>+J7/liters_gal</f>
        <v>0</v>
      </c>
      <c r="K8" s="149"/>
      <c r="L8" s="1149">
        <f>+L7/liters_gal</f>
        <v>0</v>
      </c>
      <c r="M8" s="149"/>
      <c r="N8" s="1149">
        <f>+N7/liters_gal</f>
        <v>0</v>
      </c>
      <c r="O8" s="149"/>
      <c r="P8" s="1149">
        <f>+P7/liters_gal</f>
        <v>0</v>
      </c>
      <c r="Q8" s="149"/>
      <c r="R8" s="1149">
        <f>+R7/liters_gal</f>
        <v>0</v>
      </c>
      <c r="S8" s="149"/>
      <c r="T8" s="1149">
        <f>+T7/liters_gal</f>
        <v>0</v>
      </c>
      <c r="U8" s="149"/>
    </row>
    <row r="9" spans="1:21" s="105" customFormat="1" ht="15.75" customHeight="1" x14ac:dyDescent="0.2">
      <c r="A9" s="1055" t="s">
        <v>825</v>
      </c>
      <c r="B9" s="1052"/>
      <c r="C9" s="149"/>
      <c r="D9" s="5"/>
      <c r="E9" s="149"/>
      <c r="F9" s="5"/>
      <c r="G9" s="149"/>
      <c r="H9" s="5"/>
      <c r="I9" s="149"/>
      <c r="J9" s="5"/>
      <c r="K9" s="149"/>
      <c r="L9" s="5"/>
      <c r="M9" s="149"/>
      <c r="N9" s="5"/>
      <c r="O9" s="149"/>
      <c r="P9" s="5"/>
      <c r="Q9" s="149"/>
      <c r="R9" s="5"/>
      <c r="S9" s="149"/>
      <c r="T9" s="5"/>
      <c r="U9" s="149"/>
    </row>
    <row r="10" spans="1:21" s="105" customFormat="1" ht="15.75" customHeight="1" x14ac:dyDescent="0.35">
      <c r="A10" s="1055" t="s">
        <v>824</v>
      </c>
      <c r="B10" s="1052"/>
      <c r="C10" s="568">
        <f>+B8*B9*Typical_BOD_removal</f>
        <v>0</v>
      </c>
      <c r="D10" s="5"/>
      <c r="E10" s="568">
        <f>+D8*D9*Typical_BOD_removal</f>
        <v>0</v>
      </c>
      <c r="F10" s="5"/>
      <c r="G10" s="568">
        <f>+F8*F9*Typical_BOD_removal</f>
        <v>0</v>
      </c>
      <c r="H10" s="5"/>
      <c r="I10" s="568">
        <f>+H8*H9*Typical_BOD_removal</f>
        <v>0</v>
      </c>
      <c r="J10" s="5"/>
      <c r="K10" s="568">
        <f>+J8*J9*Typical_BOD_removal</f>
        <v>0</v>
      </c>
      <c r="L10" s="5"/>
      <c r="M10" s="568">
        <f>+L8*L9*Typical_BOD_removal</f>
        <v>0</v>
      </c>
      <c r="N10" s="5"/>
      <c r="O10" s="568">
        <f>+N8*N9*Typical_BOD_removal</f>
        <v>0</v>
      </c>
      <c r="P10" s="5"/>
      <c r="Q10" s="568">
        <f>+P8*P9*Typical_BOD_removal</f>
        <v>0</v>
      </c>
      <c r="R10" s="5"/>
      <c r="S10" s="568">
        <f>+R8*R9*Typical_BOD_removal</f>
        <v>0</v>
      </c>
      <c r="T10" s="5"/>
      <c r="U10" s="568">
        <f>+T8*T9*Typical_BOD_removal</f>
        <v>0</v>
      </c>
    </row>
    <row r="11" spans="1:21" s="130" customFormat="1" ht="15.75" customHeight="1" thickBot="1" x14ac:dyDescent="0.3">
      <c r="A11" s="1056"/>
      <c r="B11" s="1053"/>
      <c r="C11" s="1046"/>
      <c r="D11" s="1045"/>
      <c r="E11" s="1046"/>
      <c r="F11" s="1045"/>
      <c r="G11" s="1046"/>
      <c r="H11" s="1045"/>
      <c r="I11" s="1046"/>
      <c r="J11" s="1045"/>
      <c r="K11" s="1046"/>
      <c r="L11" s="1045"/>
      <c r="M11" s="1046"/>
      <c r="N11" s="1045"/>
      <c r="O11" s="1046"/>
      <c r="P11" s="1045"/>
      <c r="Q11" s="1046"/>
      <c r="R11" s="1045"/>
      <c r="S11" s="1046"/>
      <c r="T11" s="1045"/>
      <c r="U11" s="1046"/>
    </row>
    <row r="12" spans="1:21" s="105" customFormat="1" ht="15.75" customHeight="1" thickBot="1" x14ac:dyDescent="0.3">
      <c r="A12" s="1309" t="s">
        <v>24</v>
      </c>
      <c r="B12" s="1310"/>
      <c r="C12" s="1310"/>
      <c r="D12" s="1310"/>
      <c r="E12" s="1310"/>
      <c r="F12" s="1310"/>
      <c r="G12" s="1310"/>
      <c r="H12" s="1310"/>
      <c r="I12" s="1310"/>
      <c r="J12" s="1310"/>
      <c r="K12" s="1310"/>
      <c r="L12" s="1310"/>
      <c r="M12" s="1310"/>
      <c r="N12" s="1310"/>
      <c r="O12" s="1310"/>
      <c r="P12" s="1310"/>
      <c r="Q12" s="1310"/>
      <c r="R12" s="1310"/>
      <c r="S12" s="1310"/>
      <c r="T12" s="1310"/>
      <c r="U12" s="1311"/>
    </row>
    <row r="13" spans="1:21" s="105" customFormat="1" ht="15.75" customHeight="1" x14ac:dyDescent="0.2">
      <c r="A13" s="1054" t="s">
        <v>71</v>
      </c>
      <c r="B13" s="1059"/>
      <c r="C13" s="1048" t="s">
        <v>270</v>
      </c>
      <c r="D13" s="1047"/>
      <c r="E13" s="1048" t="s">
        <v>270</v>
      </c>
      <c r="F13" s="1047"/>
      <c r="G13" s="1048" t="s">
        <v>270</v>
      </c>
      <c r="H13" s="1047"/>
      <c r="I13" s="1048" t="s">
        <v>270</v>
      </c>
      <c r="J13" s="1047"/>
      <c r="K13" s="1048" t="s">
        <v>270</v>
      </c>
      <c r="L13" s="1047"/>
      <c r="M13" s="1048" t="s">
        <v>270</v>
      </c>
      <c r="N13" s="1047"/>
      <c r="O13" s="1048" t="s">
        <v>270</v>
      </c>
      <c r="P13" s="1047"/>
      <c r="Q13" s="1048" t="s">
        <v>270</v>
      </c>
      <c r="R13" s="1047"/>
      <c r="S13" s="1048" t="s">
        <v>270</v>
      </c>
      <c r="T13" s="1047"/>
      <c r="U13" s="1048" t="s">
        <v>270</v>
      </c>
    </row>
    <row r="14" spans="1:21" s="105" customFormat="1" ht="15.75" customHeight="1" x14ac:dyDescent="0.25">
      <c r="A14" s="1055" t="s">
        <v>72</v>
      </c>
      <c r="B14" s="1060"/>
      <c r="C14" s="150" t="s">
        <v>304</v>
      </c>
      <c r="D14" s="6"/>
      <c r="E14" s="150" t="s">
        <v>304</v>
      </c>
      <c r="F14" s="6"/>
      <c r="G14" s="150" t="s">
        <v>304</v>
      </c>
      <c r="H14" s="6"/>
      <c r="I14" s="150" t="s">
        <v>304</v>
      </c>
      <c r="J14" s="6"/>
      <c r="K14" s="150" t="s">
        <v>304</v>
      </c>
      <c r="L14" s="6"/>
      <c r="M14" s="150" t="s">
        <v>304</v>
      </c>
      <c r="N14" s="6"/>
      <c r="O14" s="150" t="s">
        <v>304</v>
      </c>
      <c r="P14" s="6"/>
      <c r="Q14" s="150" t="s">
        <v>304</v>
      </c>
      <c r="R14" s="6"/>
      <c r="S14" s="150" t="s">
        <v>304</v>
      </c>
      <c r="T14" s="6"/>
      <c r="U14" s="150" t="s">
        <v>304</v>
      </c>
    </row>
    <row r="15" spans="1:21" s="105" customFormat="1" ht="15.75" customHeight="1" thickBot="1" x14ac:dyDescent="0.25">
      <c r="A15" s="1061"/>
      <c r="B15" s="1053"/>
      <c r="C15" s="1046"/>
      <c r="D15" s="1045"/>
      <c r="E15" s="1046"/>
      <c r="F15" s="1045"/>
      <c r="G15" s="1046"/>
      <c r="H15" s="1045"/>
      <c r="I15" s="1046"/>
      <c r="J15" s="1045"/>
      <c r="K15" s="1046"/>
      <c r="L15" s="1045"/>
      <c r="M15" s="1046"/>
      <c r="N15" s="1045"/>
      <c r="O15" s="1046"/>
      <c r="P15" s="1045"/>
      <c r="Q15" s="1046"/>
      <c r="R15" s="1045"/>
      <c r="S15" s="1046"/>
      <c r="T15" s="1045"/>
      <c r="U15" s="1046"/>
    </row>
    <row r="16" spans="1:21" s="105" customFormat="1" ht="15.75" customHeight="1" thickBot="1" x14ac:dyDescent="0.3">
      <c r="A16" s="1309" t="s">
        <v>193</v>
      </c>
      <c r="B16" s="1310"/>
      <c r="C16" s="1310"/>
      <c r="D16" s="1310"/>
      <c r="E16" s="1310"/>
      <c r="F16" s="1310"/>
      <c r="G16" s="1310"/>
      <c r="H16" s="1310"/>
      <c r="I16" s="1310"/>
      <c r="J16" s="1310"/>
      <c r="K16" s="1310"/>
      <c r="L16" s="1310"/>
      <c r="M16" s="1310"/>
      <c r="N16" s="1310"/>
      <c r="O16" s="1310"/>
      <c r="P16" s="1310"/>
      <c r="Q16" s="1310"/>
      <c r="R16" s="1310"/>
      <c r="S16" s="1310"/>
      <c r="T16" s="1310"/>
      <c r="U16" s="1311"/>
    </row>
    <row r="17" spans="1:21" s="105" customFormat="1" ht="15.75" customHeight="1" x14ac:dyDescent="0.2">
      <c r="A17" s="1054" t="s">
        <v>87</v>
      </c>
      <c r="B17" s="1062"/>
      <c r="C17" s="1058">
        <f>+IF(B13="no",0,B6*elect_use_lagoon_aerators*24/1000)</f>
        <v>0</v>
      </c>
      <c r="D17" s="1057"/>
      <c r="E17" s="1058">
        <f>+IF(D13="no",0,D6*elect_use_lagoon_aerators*24/1000)</f>
        <v>0</v>
      </c>
      <c r="F17" s="1057"/>
      <c r="G17" s="1058">
        <f>+IF(F13="no",0,F6*elect_use_lagoon_aerators*24/1000)</f>
        <v>0</v>
      </c>
      <c r="H17" s="1057"/>
      <c r="I17" s="1058">
        <f>+IF(H13="no",0,H6*elect_use_lagoon_aerators*24/1000)</f>
        <v>0</v>
      </c>
      <c r="J17" s="1057"/>
      <c r="K17" s="1058">
        <f>+IF(J13="no",0,J6*elect_use_lagoon_aerators*24/1000)</f>
        <v>0</v>
      </c>
      <c r="L17" s="1057"/>
      <c r="M17" s="1058">
        <f>+IF(L13="no",0,L6*elect_use_lagoon_aerators*24/1000)</f>
        <v>0</v>
      </c>
      <c r="N17" s="1057"/>
      <c r="O17" s="1058">
        <f>+IF(N13="no",0,N6*elect_use_lagoon_aerators*24/1000)</f>
        <v>0</v>
      </c>
      <c r="P17" s="1057"/>
      <c r="Q17" s="1058">
        <f>+IF(P13="no",0,P6*elect_use_lagoon_aerators*24/1000)</f>
        <v>0</v>
      </c>
      <c r="R17" s="1057"/>
      <c r="S17" s="1058">
        <f>+IF(R13="no",0,R6*elect_use_lagoon_aerators*24/1000)</f>
        <v>0</v>
      </c>
      <c r="T17" s="1057"/>
      <c r="U17" s="1058">
        <f>+IF(T13="no",0,T6*elect_use_lagoon_aerators*24/1000)</f>
        <v>0</v>
      </c>
    </row>
    <row r="18" spans="1:21" s="130" customFormat="1" ht="15.75" customHeight="1" x14ac:dyDescent="0.3">
      <c r="A18" s="331" t="s">
        <v>75</v>
      </c>
      <c r="B18" s="1063">
        <f>+B17*GHG_emissions_factors_by_province/1000000</f>
        <v>0</v>
      </c>
      <c r="C18" s="152"/>
      <c r="D18" s="151">
        <f>+D17*GHG_emissions_factors_by_province/1000000</f>
        <v>0</v>
      </c>
      <c r="E18" s="152"/>
      <c r="F18" s="151">
        <f>+F17*GHG_emissions_factors_by_province/1000000</f>
        <v>0</v>
      </c>
      <c r="G18" s="152"/>
      <c r="H18" s="151">
        <f>+H17*GHG_emissions_factors_by_province/1000000</f>
        <v>0</v>
      </c>
      <c r="I18" s="152"/>
      <c r="J18" s="151">
        <f>+J17*GHG_emissions_factors_by_province/1000000</f>
        <v>0</v>
      </c>
      <c r="K18" s="152"/>
      <c r="L18" s="151">
        <f>+L17*GHG_emissions_factors_by_province/1000000</f>
        <v>0</v>
      </c>
      <c r="M18" s="152"/>
      <c r="N18" s="151">
        <f>+N17*GHG_emissions_factors_by_province/1000000</f>
        <v>0</v>
      </c>
      <c r="O18" s="152"/>
      <c r="P18" s="151">
        <f>+P17*GHG_emissions_factors_by_province/1000000</f>
        <v>0</v>
      </c>
      <c r="Q18" s="152"/>
      <c r="R18" s="151">
        <f>+R17*GHG_emissions_factors_by_province/1000000</f>
        <v>0</v>
      </c>
      <c r="S18" s="152"/>
      <c r="T18" s="151">
        <f>+T17*GHG_emissions_factors_by_province/1000000</f>
        <v>0</v>
      </c>
      <c r="U18" s="152"/>
    </row>
    <row r="19" spans="1:21" s="105" customFormat="1" ht="15.75" customHeight="1" thickBot="1" x14ac:dyDescent="0.3">
      <c r="A19" s="1065"/>
      <c r="B19" s="1066"/>
      <c r="C19" s="1067"/>
      <c r="D19" s="1068"/>
      <c r="E19" s="1067"/>
      <c r="F19" s="1068"/>
      <c r="G19" s="1067"/>
      <c r="H19" s="1068"/>
      <c r="I19" s="1067"/>
      <c r="J19" s="1068"/>
      <c r="K19" s="1067"/>
      <c r="L19" s="1068"/>
      <c r="M19" s="1067"/>
      <c r="N19" s="1068"/>
      <c r="O19" s="1067"/>
      <c r="P19" s="1068"/>
      <c r="Q19" s="1067"/>
      <c r="R19" s="1068"/>
      <c r="S19" s="1067"/>
      <c r="T19" s="1068"/>
      <c r="U19" s="1067"/>
    </row>
    <row r="20" spans="1:21" s="130" customFormat="1" ht="15.75" customHeight="1" thickBot="1" x14ac:dyDescent="0.3">
      <c r="A20" s="1306" t="s">
        <v>290</v>
      </c>
      <c r="B20" s="1307"/>
      <c r="C20" s="1307"/>
      <c r="D20" s="1307"/>
      <c r="E20" s="1307"/>
      <c r="F20" s="1307"/>
      <c r="G20" s="1307"/>
      <c r="H20" s="1307"/>
      <c r="I20" s="1307"/>
      <c r="J20" s="1307"/>
      <c r="K20" s="1307"/>
      <c r="L20" s="1307"/>
      <c r="M20" s="1307"/>
      <c r="N20" s="1307"/>
      <c r="O20" s="1307"/>
      <c r="P20" s="1307"/>
      <c r="Q20" s="1307"/>
      <c r="R20" s="1307"/>
      <c r="S20" s="1307"/>
      <c r="T20" s="1307"/>
      <c r="U20" s="1308"/>
    </row>
    <row r="21" spans="1:21" s="105" customFormat="1" ht="15.75" customHeight="1" x14ac:dyDescent="0.3">
      <c r="A21" s="1069" t="s">
        <v>40</v>
      </c>
      <c r="B21" s="1070">
        <f>+IF(B13='References Assumptions'!$C$339,0,IF(B14='References Assumptions'!$C$339,B10*Typical_BOD_removal*CH4_from_shallow_anaerobic_lagoon,B10*Typical_BOD_removal*CH4_from_deep_anaerobic_lagoon)*avg_days_15C/1000)*CO2E_of_CH4_ClimateReg</f>
        <v>0</v>
      </c>
      <c r="C21" s="1071"/>
      <c r="D21" s="1072">
        <f>+IF(D13='References Assumptions'!$C$339,0,IF(D14='References Assumptions'!$C$339,D10*Typical_BOD_removal*CH4_from_shallow_anaerobic_lagoon,D10*Typical_BOD_removal*CH4_from_deep_anaerobic_lagoon)*avg_days_15C/1000)*CO2E_of_CH4_ClimateReg</f>
        <v>0</v>
      </c>
      <c r="E21" s="1071"/>
      <c r="F21" s="1072">
        <f>+IF(F13='References Assumptions'!$C$339,0,IF(F14='References Assumptions'!$C$339,F10*Typical_BOD_removal*CH4_from_shallow_anaerobic_lagoon,F10*Typical_BOD_removal*CH4_from_deep_anaerobic_lagoon)*avg_days_15C/1000)*CO2E_of_CH4_ClimateReg</f>
        <v>0</v>
      </c>
      <c r="G21" s="1071"/>
      <c r="H21" s="1072">
        <f>+IF(H13='References Assumptions'!$C$339,0,IF(H14='References Assumptions'!$C$339,H10*Typical_BOD_removal*CH4_from_shallow_anaerobic_lagoon,H10*Typical_BOD_removal*CH4_from_deep_anaerobic_lagoon)*avg_days_15C/1000)*CO2E_of_CH4_ClimateReg</f>
        <v>0</v>
      </c>
      <c r="I21" s="1071"/>
      <c r="J21" s="1072">
        <f>+IF(J13='References Assumptions'!$C$339,0,IF(J14='References Assumptions'!$C$339,J10*Typical_BOD_removal*CH4_from_shallow_anaerobic_lagoon,J10*Typical_BOD_removal*CH4_from_deep_anaerobic_lagoon)*avg_days_15C/1000)*CO2E_of_CH4_ClimateReg</f>
        <v>0</v>
      </c>
      <c r="K21" s="1071"/>
      <c r="L21" s="1072">
        <f>+IF(L13='References Assumptions'!$C$339,0,IF(L14='References Assumptions'!$C$339,L10*Typical_BOD_removal*CH4_from_shallow_anaerobic_lagoon,L10*Typical_BOD_removal*CH4_from_deep_anaerobic_lagoon)*avg_days_15C/1000)*CO2E_of_CH4_ClimateReg</f>
        <v>0</v>
      </c>
      <c r="M21" s="1071"/>
      <c r="N21" s="1072">
        <f>+IF(N13='References Assumptions'!$C$339,0,IF(N14='References Assumptions'!$C$339,N10*Typical_BOD_removal*CH4_from_shallow_anaerobic_lagoon,N10*Typical_BOD_removal*CH4_from_deep_anaerobic_lagoon)*avg_days_15C/1000)*CO2E_of_CH4_ClimateReg</f>
        <v>0</v>
      </c>
      <c r="O21" s="1071"/>
      <c r="P21" s="1072">
        <f>+IF(P13='References Assumptions'!$C$339,0,IF(P14='References Assumptions'!$C$339,P10*Typical_BOD_removal*CH4_from_shallow_anaerobic_lagoon,P10*Typical_BOD_removal*CH4_from_deep_anaerobic_lagoon)*avg_days_15C/1000)*CO2E_of_CH4_ClimateReg</f>
        <v>0</v>
      </c>
      <c r="Q21" s="1071"/>
      <c r="R21" s="1072">
        <f>+IF(R13='References Assumptions'!$C$339,0,IF(R14='References Assumptions'!$C$339,R10*Typical_BOD_removal*CH4_from_shallow_anaerobic_lagoon,R10*Typical_BOD_removal*CH4_from_deep_anaerobic_lagoon)*avg_days_15C/1000)*CO2E_of_CH4_ClimateReg</f>
        <v>0</v>
      </c>
      <c r="S21" s="1071"/>
      <c r="T21" s="1072">
        <f>+IF(T13='References Assumptions'!$C$339,0,IF(T14='References Assumptions'!$C$339,T10*Typical_BOD_removal*CH4_from_shallow_anaerobic_lagoon,T10*Typical_BOD_removal*CH4_from_deep_anaerobic_lagoon)*avg_days_15C/1000)*CO2E_of_CH4_ClimateReg</f>
        <v>0</v>
      </c>
      <c r="U21" s="1071"/>
    </row>
    <row r="22" spans="1:21" s="105" customFormat="1" ht="15.75" customHeight="1" thickBot="1" x14ac:dyDescent="0.3">
      <c r="A22" s="1064"/>
      <c r="B22" s="1073"/>
      <c r="C22" s="1074"/>
      <c r="D22" s="1075"/>
      <c r="E22" s="1074"/>
      <c r="F22" s="1075"/>
      <c r="G22" s="1074"/>
      <c r="H22" s="1075"/>
      <c r="I22" s="1074"/>
      <c r="J22" s="1075"/>
      <c r="K22" s="1074"/>
      <c r="L22" s="1075"/>
      <c r="M22" s="1074"/>
      <c r="N22" s="1075"/>
      <c r="O22" s="1074"/>
      <c r="P22" s="1075"/>
      <c r="Q22" s="1074"/>
      <c r="R22" s="1075"/>
      <c r="S22" s="1074"/>
      <c r="T22" s="1075"/>
      <c r="U22" s="1074"/>
    </row>
    <row r="23" spans="1:21" s="105" customFormat="1" ht="15.75" customHeight="1" thickBot="1" x14ac:dyDescent="0.25">
      <c r="A23" s="1303"/>
      <c r="B23" s="1304"/>
      <c r="C23" s="1304"/>
      <c r="D23" s="1304"/>
      <c r="E23" s="1304"/>
      <c r="F23" s="1304"/>
      <c r="G23" s="1304"/>
      <c r="H23" s="1304"/>
      <c r="I23" s="1304"/>
      <c r="J23" s="1304"/>
      <c r="K23" s="1304"/>
      <c r="L23" s="1304"/>
      <c r="M23" s="1304"/>
      <c r="N23" s="1304"/>
      <c r="O23" s="1304"/>
      <c r="P23" s="1304"/>
      <c r="Q23" s="1304"/>
      <c r="R23" s="1304"/>
      <c r="S23" s="1304"/>
      <c r="T23" s="1304"/>
      <c r="U23" s="1305"/>
    </row>
    <row r="24" spans="1:21" s="130" customFormat="1" ht="18.75" customHeight="1" thickBot="1" x14ac:dyDescent="0.25">
      <c r="A24" s="156" t="s">
        <v>44</v>
      </c>
      <c r="B24" s="157">
        <f>+(B18+B21)*days_yr</f>
        <v>0</v>
      </c>
      <c r="C24" s="158"/>
      <c r="D24" s="157">
        <f>+(D18+D21)*days_yr</f>
        <v>0</v>
      </c>
      <c r="E24" s="159"/>
      <c r="F24" s="157">
        <f>+(F18+F21)*days_yr</f>
        <v>0</v>
      </c>
      <c r="G24" s="158"/>
      <c r="H24" s="157">
        <f>+(H18+H21)*days_yr</f>
        <v>0</v>
      </c>
      <c r="I24" s="158"/>
      <c r="J24" s="157">
        <f>+(J18+J21)*days_yr</f>
        <v>0</v>
      </c>
      <c r="K24" s="158"/>
      <c r="L24" s="157">
        <f>+(L18+L21)*days_yr</f>
        <v>0</v>
      </c>
      <c r="M24" s="158"/>
      <c r="N24" s="157">
        <f>+(N18+N21)*days_yr</f>
        <v>0</v>
      </c>
      <c r="O24" s="158"/>
      <c r="P24" s="157">
        <f>+(P18+P21)*days_yr</f>
        <v>0</v>
      </c>
      <c r="Q24" s="158"/>
      <c r="R24" s="157">
        <f>+(R18+R21)*days_yr</f>
        <v>0</v>
      </c>
      <c r="S24" s="158"/>
      <c r="T24" s="157">
        <f>+(T18+T21)*days_yr</f>
        <v>0</v>
      </c>
      <c r="U24" s="160"/>
    </row>
    <row r="25" spans="1:21" s="105" customFormat="1" ht="15.75" customHeight="1" x14ac:dyDescent="0.25">
      <c r="A25" s="161" t="s">
        <v>228</v>
      </c>
      <c r="B25" s="137">
        <f>+B21*days_yr</f>
        <v>0</v>
      </c>
      <c r="D25" s="137">
        <f>+D21*days_yr</f>
        <v>0</v>
      </c>
      <c r="E25" s="162"/>
      <c r="F25" s="137">
        <f>+F21*days_yr</f>
        <v>0</v>
      </c>
      <c r="H25" s="137">
        <f>+H21*days_yr</f>
        <v>0</v>
      </c>
      <c r="J25" s="137">
        <f>+J21*days_yr</f>
        <v>0</v>
      </c>
      <c r="L25" s="137">
        <f>+L21*days_yr</f>
        <v>0</v>
      </c>
      <c r="N25" s="137">
        <f>+N21*days_yr</f>
        <v>0</v>
      </c>
      <c r="P25" s="137">
        <f>+P21*days_yr</f>
        <v>0</v>
      </c>
      <c r="R25" s="137">
        <f>+R21*days_yr</f>
        <v>0</v>
      </c>
      <c r="T25" s="137">
        <f>+T21*days_yr</f>
        <v>0</v>
      </c>
      <c r="U25" s="163"/>
    </row>
    <row r="26" spans="1:21" s="130" customFormat="1" ht="15.75" customHeight="1" x14ac:dyDescent="0.25">
      <c r="A26" s="164" t="s">
        <v>229</v>
      </c>
      <c r="B26" s="165">
        <f>+B18*days_yr</f>
        <v>0</v>
      </c>
      <c r="D26" s="165">
        <f>+D18*days_yr</f>
        <v>0</v>
      </c>
      <c r="E26" s="166"/>
      <c r="F26" s="165">
        <f>+F18*days_yr</f>
        <v>0</v>
      </c>
      <c r="H26" s="165">
        <f>+H18*days_yr</f>
        <v>0</v>
      </c>
      <c r="J26" s="165">
        <f>+J18*days_yr</f>
        <v>0</v>
      </c>
      <c r="L26" s="165">
        <f>+L18*days_yr</f>
        <v>0</v>
      </c>
      <c r="N26" s="165">
        <f>+N18*days_yr</f>
        <v>0</v>
      </c>
      <c r="P26" s="165">
        <f>+P18*days_yr</f>
        <v>0</v>
      </c>
      <c r="R26" s="165">
        <f>+R18*days_yr</f>
        <v>0</v>
      </c>
      <c r="T26" s="165">
        <f>+T18*days_yr</f>
        <v>0</v>
      </c>
      <c r="U26" s="167"/>
    </row>
    <row r="27" spans="1:21" s="105" customFormat="1" ht="15.75" customHeight="1" x14ac:dyDescent="0.25">
      <c r="A27" s="168" t="s">
        <v>231</v>
      </c>
      <c r="B27" s="138">
        <f>B25+B26</f>
        <v>0</v>
      </c>
      <c r="D27" s="138">
        <f>D25+D26</f>
        <v>0</v>
      </c>
      <c r="E27" s="162"/>
      <c r="F27" s="138">
        <f>F25+F26</f>
        <v>0</v>
      </c>
      <c r="H27" s="138">
        <f>H25+H26</f>
        <v>0</v>
      </c>
      <c r="J27" s="138">
        <f>J25+J26</f>
        <v>0</v>
      </c>
      <c r="L27" s="138">
        <f>L25+L26</f>
        <v>0</v>
      </c>
      <c r="N27" s="138">
        <f>N25+N26</f>
        <v>0</v>
      </c>
      <c r="P27" s="138">
        <f>P25+P26</f>
        <v>0</v>
      </c>
      <c r="R27" s="138">
        <f>R25+R26</f>
        <v>0</v>
      </c>
      <c r="T27" s="138">
        <f>T25+T26</f>
        <v>0</v>
      </c>
      <c r="U27" s="163"/>
    </row>
    <row r="28" spans="1:21" s="130" customFormat="1" ht="15.75" customHeight="1" x14ac:dyDescent="0.25">
      <c r="A28" s="164" t="s">
        <v>230</v>
      </c>
      <c r="B28" s="165">
        <v>0</v>
      </c>
      <c r="D28" s="165">
        <v>0</v>
      </c>
      <c r="E28" s="166"/>
      <c r="F28" s="165">
        <v>0</v>
      </c>
      <c r="H28" s="165">
        <v>0</v>
      </c>
      <c r="J28" s="165">
        <v>0</v>
      </c>
      <c r="L28" s="165">
        <v>0</v>
      </c>
      <c r="N28" s="165">
        <v>0</v>
      </c>
      <c r="P28" s="165">
        <v>0</v>
      </c>
      <c r="R28" s="165">
        <v>0</v>
      </c>
      <c r="T28" s="165">
        <v>0</v>
      </c>
      <c r="U28" s="167"/>
    </row>
    <row r="29" spans="1:21" s="105" customFormat="1" ht="15.75" customHeight="1" thickBot="1" x14ac:dyDescent="0.3">
      <c r="A29" s="169" t="s">
        <v>232</v>
      </c>
      <c r="B29" s="170" t="s">
        <v>102</v>
      </c>
      <c r="C29" s="171"/>
      <c r="D29" s="170" t="s">
        <v>102</v>
      </c>
      <c r="E29" s="172"/>
      <c r="F29" s="170" t="s">
        <v>102</v>
      </c>
      <c r="G29" s="171"/>
      <c r="H29" s="170" t="s">
        <v>102</v>
      </c>
      <c r="I29" s="171"/>
      <c r="J29" s="170" t="s">
        <v>102</v>
      </c>
      <c r="K29" s="171"/>
      <c r="L29" s="170" t="s">
        <v>102</v>
      </c>
      <c r="M29" s="171"/>
      <c r="N29" s="170" t="s">
        <v>102</v>
      </c>
      <c r="O29" s="171"/>
      <c r="P29" s="170" t="s">
        <v>102</v>
      </c>
      <c r="Q29" s="171"/>
      <c r="R29" s="170" t="s">
        <v>102</v>
      </c>
      <c r="S29" s="171"/>
      <c r="T29" s="170" t="s">
        <v>102</v>
      </c>
      <c r="U29" s="173"/>
    </row>
    <row r="30" spans="1:21" s="105" customFormat="1" x14ac:dyDescent="0.2">
      <c r="B30" s="155"/>
      <c r="D30" s="174"/>
      <c r="E30" s="174"/>
      <c r="F30" s="175"/>
    </row>
    <row r="31" spans="1:21" s="105" customFormat="1" ht="18" x14ac:dyDescent="0.25">
      <c r="A31" s="176" t="s">
        <v>97</v>
      </c>
      <c r="B31" s="155"/>
    </row>
    <row r="32" spans="1:21" s="105" customFormat="1" ht="54.75" customHeight="1" x14ac:dyDescent="0.2">
      <c r="A32" s="1297" t="s">
        <v>53</v>
      </c>
      <c r="B32" s="1292"/>
      <c r="C32" s="1292"/>
      <c r="D32" s="1029"/>
      <c r="E32" s="1029"/>
      <c r="F32" s="1029"/>
    </row>
    <row r="33" spans="1:6" s="105" customFormat="1" ht="15.75" customHeight="1" x14ac:dyDescent="0.2">
      <c r="A33" s="177"/>
      <c r="B33" s="1234" t="s">
        <v>110</v>
      </c>
      <c r="C33" s="1235"/>
      <c r="D33" s="1235"/>
      <c r="E33" s="1236"/>
      <c r="F33" s="1029"/>
    </row>
    <row r="34" spans="1:6" s="105" customFormat="1" ht="15.75" customHeight="1" x14ac:dyDescent="0.2">
      <c r="B34" s="1231" t="s">
        <v>31</v>
      </c>
      <c r="C34" s="1232"/>
      <c r="D34" s="1233"/>
      <c r="E34" s="563">
        <v>0</v>
      </c>
      <c r="F34" s="1029"/>
    </row>
    <row r="35" spans="1:6" s="105" customFormat="1" ht="15.75" customHeight="1" x14ac:dyDescent="0.2">
      <c r="B35" s="1231" t="s">
        <v>32</v>
      </c>
      <c r="C35" s="1232"/>
      <c r="D35" s="1233"/>
      <c r="E35" s="564">
        <v>0</v>
      </c>
      <c r="F35" s="1029"/>
    </row>
    <row r="36" spans="1:6" s="105" customFormat="1" ht="15.75" customHeight="1" x14ac:dyDescent="0.2">
      <c r="B36" s="1231" t="s">
        <v>615</v>
      </c>
      <c r="C36" s="1232"/>
      <c r="D36" s="1233"/>
      <c r="E36" s="565">
        <v>0</v>
      </c>
      <c r="F36" s="1029"/>
    </row>
    <row r="37" spans="1:6" ht="15" x14ac:dyDescent="0.25">
      <c r="B37" s="1231" t="s">
        <v>70</v>
      </c>
      <c r="C37" s="1232"/>
      <c r="D37" s="1233"/>
      <c r="E37" s="566">
        <v>0</v>
      </c>
    </row>
    <row r="38" spans="1:6" x14ac:dyDescent="0.2">
      <c r="B38" s="1231" t="s">
        <v>550</v>
      </c>
      <c r="C38" s="1232"/>
      <c r="D38" s="1233"/>
      <c r="E38" s="567">
        <v>0</v>
      </c>
    </row>
    <row r="39" spans="1:6" x14ac:dyDescent="0.2">
      <c r="B39" s="1231" t="s">
        <v>610</v>
      </c>
      <c r="C39" s="1232"/>
      <c r="D39" s="1233"/>
      <c r="E39" s="227">
        <v>0</v>
      </c>
    </row>
    <row r="50" spans="3:3" x14ac:dyDescent="0.2">
      <c r="C50" s="105"/>
    </row>
    <row r="51" spans="3:3" x14ac:dyDescent="0.2">
      <c r="C51" s="105"/>
    </row>
  </sheetData>
  <sheetProtection algorithmName="SHA-512" hashValue="bDcsEnxOt+Qnv2It064Rx92Pe035pNYjyiSwpB/NOUuIplVNjdboomsYMpThQwKoixPR+Trodz+i/ZEXAPMNWQ==" saltValue="7nV7atc82neDUqwfy3vPTQ==" spinCount="100000" sheet="1" objects="1" scenarios="1"/>
  <mergeCells count="34">
    <mergeCell ref="B33:E33"/>
    <mergeCell ref="A32:C32"/>
    <mergeCell ref="L3:M3"/>
    <mergeCell ref="B2:C2"/>
    <mergeCell ref="D2:E2"/>
    <mergeCell ref="A2:A3"/>
    <mergeCell ref="F2:G2"/>
    <mergeCell ref="H2:I2"/>
    <mergeCell ref="J2:K2"/>
    <mergeCell ref="L2:M2"/>
    <mergeCell ref="A5:U5"/>
    <mergeCell ref="A23:U23"/>
    <mergeCell ref="T3:U3"/>
    <mergeCell ref="A20:U20"/>
    <mergeCell ref="A16:U16"/>
    <mergeCell ref="A12:U12"/>
    <mergeCell ref="R2:S2"/>
    <mergeCell ref="T2:U2"/>
    <mergeCell ref="B3:C3"/>
    <mergeCell ref="D3:E3"/>
    <mergeCell ref="F3:G3"/>
    <mergeCell ref="H3:I3"/>
    <mergeCell ref="J3:K3"/>
    <mergeCell ref="N2:O2"/>
    <mergeCell ref="P2:Q2"/>
    <mergeCell ref="N3:O3"/>
    <mergeCell ref="P3:Q3"/>
    <mergeCell ref="R3:S3"/>
    <mergeCell ref="B39:D39"/>
    <mergeCell ref="B34:D34"/>
    <mergeCell ref="B35:D35"/>
    <mergeCell ref="B36:D36"/>
    <mergeCell ref="B37:D37"/>
    <mergeCell ref="B38:D38"/>
  </mergeCells>
  <phoneticPr fontId="43" type="noConversion"/>
  <dataValidations count="2">
    <dataValidation type="list" allowBlank="1" showInputMessage="1" showErrorMessage="1" sqref="D15 T15 R15 P15 N15 L15 J15 H15 F15 B15" xr:uid="{00000000-0002-0000-0700-000000000000}">
      <formula1>$C$50:$C$51</formula1>
    </dataValidation>
    <dataValidation type="list" allowBlank="1" showInputMessage="1" showErrorMessage="1" sqref="J13:J14 L13:L14 N13:N14 P13:P14 R13:R14 B13:B14 H13:H14 D13:D14 F13:F14 T13:T14" xr:uid="{00000000-0002-0000-0700-000001000000}">
      <formula1>Yes_No</formula1>
    </dataValidation>
  </dataValidations>
  <pageMargins left="0.7" right="0.7" top="0.75" bottom="0.75" header="0.3" footer="0.3"/>
  <pageSetup scale="90"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U33"/>
  <sheetViews>
    <sheetView workbookViewId="0"/>
  </sheetViews>
  <sheetFormatPr defaultColWidth="11.42578125" defaultRowHeight="14.25" x14ac:dyDescent="0.2"/>
  <cols>
    <col min="1" max="1" width="64.85546875" style="184" customWidth="1"/>
    <col min="2" max="2" width="15.42578125" style="184" customWidth="1"/>
    <col min="3" max="3" width="14.42578125" style="184" customWidth="1"/>
    <col min="4" max="4" width="15.42578125" style="183" customWidth="1"/>
    <col min="5" max="5" width="14.42578125" style="184" customWidth="1"/>
    <col min="6" max="6" width="15.42578125" style="184" customWidth="1"/>
    <col min="7" max="7" width="14.42578125" style="184" customWidth="1"/>
    <col min="8" max="8" width="15.42578125" style="184" customWidth="1"/>
    <col min="9" max="9" width="14.42578125" style="184" customWidth="1"/>
    <col min="10" max="10" width="15.42578125" style="184" customWidth="1"/>
    <col min="11" max="11" width="14.42578125" style="184" customWidth="1"/>
    <col min="12" max="12" width="15.42578125" style="184" customWidth="1"/>
    <col min="13" max="13" width="14.42578125" style="184" customWidth="1"/>
    <col min="14" max="14" width="15.42578125" style="184" customWidth="1"/>
    <col min="15" max="15" width="14.42578125" style="184" customWidth="1"/>
    <col min="16" max="16" width="15.42578125" style="184" customWidth="1"/>
    <col min="17" max="17" width="14.42578125" style="184" customWidth="1"/>
    <col min="18" max="18" width="15.42578125" style="184" customWidth="1"/>
    <col min="19" max="19" width="14.42578125" style="184" customWidth="1"/>
    <col min="20" max="20" width="15.42578125" style="184" customWidth="1"/>
    <col min="21" max="21" width="14.42578125" style="184" customWidth="1"/>
    <col min="22" max="16384" width="11.42578125" style="184"/>
  </cols>
  <sheetData>
    <row r="1" spans="1:21" ht="24" thickBot="1" x14ac:dyDescent="0.4">
      <c r="B1" s="185"/>
      <c r="D1" s="105"/>
    </row>
    <row r="2" spans="1:21" ht="15.75" customHeight="1" x14ac:dyDescent="0.2">
      <c r="A2" s="1318" t="s">
        <v>159</v>
      </c>
      <c r="B2" s="1293" t="s">
        <v>449</v>
      </c>
      <c r="C2" s="1294"/>
      <c r="D2" s="1293" t="s">
        <v>451</v>
      </c>
      <c r="E2" s="1294"/>
      <c r="F2" s="1293" t="s">
        <v>452</v>
      </c>
      <c r="G2" s="1294"/>
      <c r="H2" s="1293" t="s">
        <v>453</v>
      </c>
      <c r="I2" s="1294"/>
      <c r="J2" s="1293" t="s">
        <v>454</v>
      </c>
      <c r="K2" s="1294"/>
      <c r="L2" s="1293" t="s">
        <v>455</v>
      </c>
      <c r="M2" s="1294"/>
      <c r="N2" s="1293" t="s">
        <v>456</v>
      </c>
      <c r="O2" s="1294"/>
      <c r="P2" s="1293" t="s">
        <v>457</v>
      </c>
      <c r="Q2" s="1294"/>
      <c r="R2" s="1293" t="s">
        <v>458</v>
      </c>
      <c r="S2" s="1294"/>
      <c r="T2" s="1293" t="s">
        <v>459</v>
      </c>
      <c r="U2" s="1294"/>
    </row>
    <row r="3" spans="1:21" ht="15.75" customHeight="1" thickBot="1" x14ac:dyDescent="0.25">
      <c r="A3" s="1319"/>
      <c r="B3" s="1295" t="str">
        <f>'Scenarios Data'!B1</f>
        <v>Landfill</v>
      </c>
      <c r="C3" s="1296"/>
      <c r="D3" s="1295" t="str">
        <f>'Scenarios Data'!B33</f>
        <v>Co-digestion</v>
      </c>
      <c r="E3" s="1296"/>
      <c r="F3" s="1295">
        <f>'Scenarios Data'!B65</f>
        <v>0</v>
      </c>
      <c r="G3" s="1296"/>
      <c r="H3" s="1295">
        <f>'Scenarios Data'!B97</f>
        <v>0</v>
      </c>
      <c r="I3" s="1296"/>
      <c r="J3" s="1295">
        <f>'Scenarios Data'!B129</f>
        <v>0</v>
      </c>
      <c r="K3" s="1296"/>
      <c r="L3" s="1295">
        <f>'Scenarios Data'!B161</f>
        <v>0</v>
      </c>
      <c r="M3" s="1296"/>
      <c r="N3" s="1295" t="str">
        <f>'Scenarios Data'!B193</f>
        <v xml:space="preserve"> </v>
      </c>
      <c r="O3" s="1296"/>
      <c r="P3" s="1295">
        <f>'Scenarios Data'!B225</f>
        <v>0</v>
      </c>
      <c r="Q3" s="1296"/>
      <c r="R3" s="1295">
        <f>'Scenarios Data'!B257</f>
        <v>0</v>
      </c>
      <c r="S3" s="1296"/>
      <c r="T3" s="1295">
        <f>'Scenarios Data'!B289</f>
        <v>0</v>
      </c>
      <c r="U3" s="1296"/>
    </row>
    <row r="4" spans="1:21" s="187" customFormat="1" ht="48" customHeight="1" thickBot="1" x14ac:dyDescent="0.25">
      <c r="A4" s="145" t="s">
        <v>104</v>
      </c>
      <c r="B4" s="186" t="s">
        <v>105</v>
      </c>
      <c r="C4" s="147" t="s">
        <v>103</v>
      </c>
      <c r="D4" s="186" t="s">
        <v>105</v>
      </c>
      <c r="E4" s="147" t="s">
        <v>103</v>
      </c>
      <c r="F4" s="186" t="s">
        <v>105</v>
      </c>
      <c r="G4" s="147" t="s">
        <v>103</v>
      </c>
      <c r="H4" s="146" t="s">
        <v>105</v>
      </c>
      <c r="I4" s="147" t="s">
        <v>103</v>
      </c>
      <c r="J4" s="146" t="s">
        <v>105</v>
      </c>
      <c r="K4" s="147" t="s">
        <v>103</v>
      </c>
      <c r="L4" s="146" t="s">
        <v>105</v>
      </c>
      <c r="M4" s="147" t="s">
        <v>103</v>
      </c>
      <c r="N4" s="146" t="s">
        <v>105</v>
      </c>
      <c r="O4" s="147" t="s">
        <v>103</v>
      </c>
      <c r="P4" s="146" t="s">
        <v>105</v>
      </c>
      <c r="Q4" s="147" t="s">
        <v>103</v>
      </c>
      <c r="R4" s="146" t="s">
        <v>105</v>
      </c>
      <c r="S4" s="147" t="s">
        <v>103</v>
      </c>
      <c r="T4" s="186" t="s">
        <v>105</v>
      </c>
      <c r="U4" s="147" t="s">
        <v>103</v>
      </c>
    </row>
    <row r="5" spans="1:21" s="187" customFormat="1" ht="15.75" customHeight="1" thickBot="1" x14ac:dyDescent="0.3">
      <c r="A5" s="1309" t="s">
        <v>25</v>
      </c>
      <c r="B5" s="1310"/>
      <c r="C5" s="1310"/>
      <c r="D5" s="1310"/>
      <c r="E5" s="1310"/>
      <c r="F5" s="1310"/>
      <c r="G5" s="1310"/>
      <c r="H5" s="1310"/>
      <c r="I5" s="1310"/>
      <c r="J5" s="1310"/>
      <c r="K5" s="1310"/>
      <c r="L5" s="1310"/>
      <c r="M5" s="1310"/>
      <c r="N5" s="1310"/>
      <c r="O5" s="1310"/>
      <c r="P5" s="1310"/>
      <c r="Q5" s="1310"/>
      <c r="R5" s="1310"/>
      <c r="S5" s="1310"/>
      <c r="T5" s="1310"/>
      <c r="U5" s="1311"/>
    </row>
    <row r="6" spans="1:21" s="188" customFormat="1" ht="15.75" customHeight="1" x14ac:dyDescent="0.2">
      <c r="A6" s="1022" t="s">
        <v>847</v>
      </c>
      <c r="B6" s="24">
        <f>+sludge_to_condit</f>
        <v>0</v>
      </c>
      <c r="C6" s="1076"/>
      <c r="D6" s="24">
        <f>+sludge_to_condit</f>
        <v>0</v>
      </c>
      <c r="E6" s="1076"/>
      <c r="F6" s="24">
        <f>+sludge_to_condit</f>
        <v>0</v>
      </c>
      <c r="G6" s="1076"/>
      <c r="H6" s="24">
        <f>+sludge_to_condit</f>
        <v>0</v>
      </c>
      <c r="I6" s="1076"/>
      <c r="J6" s="24">
        <f>+sludge_to_condit</f>
        <v>0</v>
      </c>
      <c r="K6" s="1076"/>
      <c r="L6" s="24">
        <f>+sludge_to_condit</f>
        <v>0</v>
      </c>
      <c r="M6" s="1076"/>
      <c r="N6" s="24">
        <f>+sludge_to_condit</f>
        <v>0</v>
      </c>
      <c r="O6" s="1076"/>
      <c r="P6" s="24">
        <f>+sludge_to_condit</f>
        <v>0</v>
      </c>
      <c r="Q6" s="1076"/>
      <c r="R6" s="24">
        <f>+sludge_to_condit</f>
        <v>0</v>
      </c>
      <c r="S6" s="1076"/>
      <c r="T6" s="24">
        <f>+sludge_to_condit</f>
        <v>0</v>
      </c>
      <c r="U6" s="1076"/>
    </row>
    <row r="7" spans="1:21" s="191" customFormat="1" ht="15.75" customHeight="1" x14ac:dyDescent="0.2">
      <c r="A7" s="189" t="s">
        <v>927</v>
      </c>
      <c r="B7" s="40">
        <f>+solids_before_condit</f>
        <v>0</v>
      </c>
      <c r="C7" s="190">
        <f>+solids_of_unthickened_combined_sludge</f>
        <v>0.01</v>
      </c>
      <c r="D7" s="40">
        <f>+solids_before_condit</f>
        <v>0</v>
      </c>
      <c r="E7" s="190">
        <f>+solids_of_unthickened_combined_sludge</f>
        <v>0.01</v>
      </c>
      <c r="F7" s="40">
        <f>+solids_before_condit</f>
        <v>0</v>
      </c>
      <c r="G7" s="190">
        <f>+solids_of_unthickened_combined_sludge</f>
        <v>0.01</v>
      </c>
      <c r="H7" s="40">
        <f>+solids_before_condit</f>
        <v>0</v>
      </c>
      <c r="I7" s="190">
        <f>+solids_of_unthickened_combined_sludge</f>
        <v>0.01</v>
      </c>
      <c r="J7" s="40">
        <f>+solids_before_condit</f>
        <v>0</v>
      </c>
      <c r="K7" s="190">
        <f>+solids_of_unthickened_combined_sludge</f>
        <v>0.01</v>
      </c>
      <c r="L7" s="40">
        <f>+solids_before_condit</f>
        <v>0</v>
      </c>
      <c r="M7" s="190">
        <f>+solids_of_unthickened_combined_sludge</f>
        <v>0.01</v>
      </c>
      <c r="N7" s="40">
        <f>+solids_before_condit</f>
        <v>0</v>
      </c>
      <c r="O7" s="190">
        <f>+solids_of_unthickened_combined_sludge</f>
        <v>0.01</v>
      </c>
      <c r="P7" s="40">
        <f>+solids_before_condit</f>
        <v>0</v>
      </c>
      <c r="Q7" s="190">
        <f>+solids_of_unthickened_combined_sludge</f>
        <v>0.01</v>
      </c>
      <c r="R7" s="40">
        <f>+solids_before_condit</f>
        <v>0</v>
      </c>
      <c r="S7" s="190">
        <f>+solids_of_unthickened_combined_sludge</f>
        <v>0.01</v>
      </c>
      <c r="T7" s="40">
        <f>+solids_before_condit</f>
        <v>0</v>
      </c>
      <c r="U7" s="190">
        <f>+solids_of_unthickened_combined_sludge</f>
        <v>0.01</v>
      </c>
    </row>
    <row r="8" spans="1:21" s="187" customFormat="1" ht="15.75" customHeight="1" x14ac:dyDescent="0.2">
      <c r="A8" s="192" t="s">
        <v>210</v>
      </c>
      <c r="B8" s="193">
        <f>+B6*Water_density_Mg_per_m3*B7</f>
        <v>0</v>
      </c>
      <c r="C8" s="194"/>
      <c r="D8" s="193">
        <f>+D6*Water_density_Mg_per_m3*D7</f>
        <v>0</v>
      </c>
      <c r="E8" s="194"/>
      <c r="F8" s="193">
        <f>+F6*Water_density_Mg_per_m3*F7</f>
        <v>0</v>
      </c>
      <c r="G8" s="194"/>
      <c r="H8" s="193">
        <f>+H6*Water_density_Mg_per_m3*H7</f>
        <v>0</v>
      </c>
      <c r="I8" s="194"/>
      <c r="J8" s="193">
        <f>+J6*Water_density_Mg_per_m3*J7</f>
        <v>0</v>
      </c>
      <c r="K8" s="194"/>
      <c r="L8" s="193">
        <f>+L6*Water_density_Mg_per_m3*L7</f>
        <v>0</v>
      </c>
      <c r="M8" s="194"/>
      <c r="N8" s="193">
        <f>+N6*Water_density_Mg_per_m3*N7</f>
        <v>0</v>
      </c>
      <c r="O8" s="194"/>
      <c r="P8" s="193">
        <f>+P6*Water_density_Mg_per_m3*P7</f>
        <v>0</v>
      </c>
      <c r="Q8" s="194"/>
      <c r="R8" s="193">
        <f>+R6*Water_density_Mg_per_m3*R7</f>
        <v>0</v>
      </c>
      <c r="S8" s="194"/>
      <c r="T8" s="193">
        <f>+T6*Water_density_Mg_per_m3*T7</f>
        <v>0</v>
      </c>
      <c r="U8" s="194"/>
    </row>
    <row r="9" spans="1:21" s="187" customFormat="1" ht="15.75" customHeight="1" x14ac:dyDescent="0.2">
      <c r="A9" s="195" t="s">
        <v>151</v>
      </c>
      <c r="B9" s="888"/>
      <c r="C9" s="196" t="s">
        <v>328</v>
      </c>
      <c r="D9" s="13"/>
      <c r="E9" s="196" t="s">
        <v>328</v>
      </c>
      <c r="F9" s="13"/>
      <c r="G9" s="196" t="s">
        <v>328</v>
      </c>
      <c r="H9" s="13"/>
      <c r="I9" s="196" t="s">
        <v>328</v>
      </c>
      <c r="J9" s="13"/>
      <c r="K9" s="196" t="s">
        <v>328</v>
      </c>
      <c r="L9" s="13"/>
      <c r="M9" s="196" t="s">
        <v>328</v>
      </c>
      <c r="N9" s="13"/>
      <c r="O9" s="196" t="s">
        <v>328</v>
      </c>
      <c r="P9" s="13"/>
      <c r="Q9" s="196" t="s">
        <v>328</v>
      </c>
      <c r="R9" s="13"/>
      <c r="S9" s="196" t="s">
        <v>328</v>
      </c>
      <c r="T9" s="13"/>
      <c r="U9" s="196" t="s">
        <v>328</v>
      </c>
    </row>
    <row r="10" spans="1:21" s="130" customFormat="1" ht="15.75" customHeight="1" x14ac:dyDescent="0.2">
      <c r="A10" s="197" t="s">
        <v>142</v>
      </c>
      <c r="B10" s="8"/>
      <c r="C10" s="198">
        <f>+B8*polymer_use_thickening</f>
        <v>0</v>
      </c>
      <c r="D10" s="8"/>
      <c r="E10" s="198">
        <f>+D8*polymer_use_thickening</f>
        <v>0</v>
      </c>
      <c r="F10" s="8"/>
      <c r="G10" s="198">
        <f>+F8*polymer_use_thickening</f>
        <v>0</v>
      </c>
      <c r="H10" s="8"/>
      <c r="I10" s="198">
        <f>+H8*polymer_use_thickening</f>
        <v>0</v>
      </c>
      <c r="J10" s="8"/>
      <c r="K10" s="198">
        <f>+J8*polymer_use_thickening</f>
        <v>0</v>
      </c>
      <c r="L10" s="8"/>
      <c r="M10" s="198">
        <f>+L8*polymer_use_thickening</f>
        <v>0</v>
      </c>
      <c r="N10" s="8"/>
      <c r="O10" s="198">
        <f>+N8*polymer_use_thickening</f>
        <v>0</v>
      </c>
      <c r="P10" s="8"/>
      <c r="Q10" s="198">
        <f>+P8*polymer_use_thickening</f>
        <v>0</v>
      </c>
      <c r="R10" s="8"/>
      <c r="S10" s="198">
        <f>+R8*polymer_use_thickening</f>
        <v>0</v>
      </c>
      <c r="T10" s="8"/>
      <c r="U10" s="198">
        <f>+T8*polymer_use_thickening</f>
        <v>0</v>
      </c>
    </row>
    <row r="11" spans="1:21" s="105" customFormat="1" ht="15.75" customHeight="1" x14ac:dyDescent="0.3">
      <c r="A11" s="168" t="s">
        <v>34</v>
      </c>
      <c r="B11" s="199">
        <f>+B10*CO2E_for_Polymer_manufacture/1000</f>
        <v>0</v>
      </c>
      <c r="C11" s="200"/>
      <c r="D11" s="199">
        <f>+D10*CO2E_for_Polymer_manufacture/1000</f>
        <v>0</v>
      </c>
      <c r="E11" s="200"/>
      <c r="F11" s="199">
        <f>+F10*CO2E_for_Polymer_manufacture/1000</f>
        <v>0</v>
      </c>
      <c r="G11" s="200"/>
      <c r="H11" s="201">
        <f>+H10*CO2E_for_Polymer_manufacture/1000</f>
        <v>0</v>
      </c>
      <c r="I11" s="200"/>
      <c r="J11" s="201">
        <f>+J10*CO2E_for_Polymer_manufacture/1000</f>
        <v>0</v>
      </c>
      <c r="K11" s="200"/>
      <c r="L11" s="201">
        <f>+L10*CO2E_for_Polymer_manufacture/1000</f>
        <v>0</v>
      </c>
      <c r="M11" s="200"/>
      <c r="N11" s="201">
        <f>+N10*CO2E_for_Polymer_manufacture/1000</f>
        <v>0</v>
      </c>
      <c r="O11" s="200"/>
      <c r="P11" s="201">
        <f>+P10*CO2E_for_Polymer_manufacture/1000</f>
        <v>0</v>
      </c>
      <c r="Q11" s="200"/>
      <c r="R11" s="201">
        <f>+R10*CO2E_for_Polymer_manufacture/1000</f>
        <v>0</v>
      </c>
      <c r="S11" s="200"/>
      <c r="T11" s="199">
        <f>+T10*CO2E_for_Polymer_manufacture/1000</f>
        <v>0</v>
      </c>
      <c r="U11" s="200"/>
    </row>
    <row r="12" spans="1:21" s="105" customFormat="1" ht="15.75" customHeight="1" thickBot="1" x14ac:dyDescent="0.3">
      <c r="A12" s="169"/>
      <c r="B12" s="202"/>
      <c r="C12" s="203"/>
      <c r="D12" s="202"/>
      <c r="E12" s="203"/>
      <c r="F12" s="202"/>
      <c r="G12" s="203"/>
      <c r="H12" s="204"/>
      <c r="I12" s="203"/>
      <c r="J12" s="204"/>
      <c r="K12" s="203"/>
      <c r="L12" s="204"/>
      <c r="M12" s="203"/>
      <c r="N12" s="204"/>
      <c r="O12" s="203"/>
      <c r="P12" s="204"/>
      <c r="Q12" s="203"/>
      <c r="R12" s="204"/>
      <c r="S12" s="203"/>
      <c r="T12" s="202"/>
      <c r="U12" s="203"/>
    </row>
    <row r="13" spans="1:21" s="105" customFormat="1" ht="15.75" customHeight="1" thickBot="1" x14ac:dyDescent="0.3">
      <c r="A13" s="1312" t="s">
        <v>193</v>
      </c>
      <c r="B13" s="1313"/>
      <c r="C13" s="1313"/>
      <c r="D13" s="1313"/>
      <c r="E13" s="1313"/>
      <c r="F13" s="1313"/>
      <c r="G13" s="1313"/>
      <c r="H13" s="1313"/>
      <c r="I13" s="1313"/>
      <c r="J13" s="1313"/>
      <c r="K13" s="1313"/>
      <c r="L13" s="1313"/>
      <c r="M13" s="1313"/>
      <c r="N13" s="1313"/>
      <c r="O13" s="1313"/>
      <c r="P13" s="1313"/>
      <c r="Q13" s="1313"/>
      <c r="R13" s="1313"/>
      <c r="S13" s="1313"/>
      <c r="T13" s="1313"/>
      <c r="U13" s="1314"/>
    </row>
    <row r="14" spans="1:21" s="191" customFormat="1" ht="15.75" customHeight="1" x14ac:dyDescent="0.2">
      <c r="A14" s="205" t="s">
        <v>291</v>
      </c>
      <c r="B14" s="15"/>
      <c r="C14" s="206">
        <f>+IF(B9="centrifuge",B8*'References Assumptions'!$B$57, B8*'References Assumptions'!$B$56)</f>
        <v>0</v>
      </c>
      <c r="D14" s="15"/>
      <c r="E14" s="206">
        <f>+IF(D9="centrifuge",D8*'References Assumptions'!$B$57, D8*'References Assumptions'!$B$56)</f>
        <v>0</v>
      </c>
      <c r="F14" s="15"/>
      <c r="G14" s="206">
        <f>+IF(F9="centrifuge",F8*'References Assumptions'!$B$57, F8*'References Assumptions'!$B$56)</f>
        <v>0</v>
      </c>
      <c r="H14" s="15"/>
      <c r="I14" s="206">
        <f>+IF(H9="centrifuge",H8*'References Assumptions'!$B$57, H8*'References Assumptions'!$B$56)</f>
        <v>0</v>
      </c>
      <c r="J14" s="15"/>
      <c r="K14" s="206">
        <f>+IF(J9="centrifuge",J8*'References Assumptions'!$B$57, J8*'References Assumptions'!$B$56)</f>
        <v>0</v>
      </c>
      <c r="L14" s="15"/>
      <c r="M14" s="206">
        <f>+IF(L9="centrifuge",L8*'References Assumptions'!$B$57, L8*'References Assumptions'!$B$56)</f>
        <v>0</v>
      </c>
      <c r="N14" s="15"/>
      <c r="O14" s="206">
        <f>+IF(N9="centrifuge",N8*'References Assumptions'!$B$57, N8*'References Assumptions'!$B$56)</f>
        <v>0</v>
      </c>
      <c r="P14" s="15"/>
      <c r="Q14" s="206">
        <f>+IF(P9="centrifuge",P8*'References Assumptions'!$B$57, P8*'References Assumptions'!$B$56)</f>
        <v>0</v>
      </c>
      <c r="R14" s="15"/>
      <c r="S14" s="206">
        <f>+IF(R9="centrifuge",R8*'References Assumptions'!$B$57, R8*'References Assumptions'!$B$56)</f>
        <v>0</v>
      </c>
      <c r="T14" s="15"/>
      <c r="U14" s="206">
        <f>+IF(T9="centrifuge",T8*'References Assumptions'!$B$57, T8*'References Assumptions'!$B$56)</f>
        <v>0</v>
      </c>
    </row>
    <row r="15" spans="1:21" s="207" customFormat="1" ht="15.75" customHeight="1" x14ac:dyDescent="0.3">
      <c r="A15" s="417" t="s">
        <v>76</v>
      </c>
      <c r="B15" s="1042">
        <f>+B14*GHG_emissions_factors_by_province/1000000</f>
        <v>0</v>
      </c>
      <c r="C15" s="1043"/>
      <c r="D15" s="1042">
        <f>+D14*GHG_emissions_factors_by_province/1000000</f>
        <v>0</v>
      </c>
      <c r="E15" s="1043"/>
      <c r="F15" s="1042">
        <f>+F14*GHG_emissions_factors_by_province/1000000</f>
        <v>0</v>
      </c>
      <c r="G15" s="1043"/>
      <c r="H15" s="1044">
        <f>+H14*GHG_emissions_factors_by_province/1000000</f>
        <v>0</v>
      </c>
      <c r="I15" s="1043"/>
      <c r="J15" s="1044">
        <f>+J14*GHG_emissions_factors_by_province/1000000</f>
        <v>0</v>
      </c>
      <c r="K15" s="1043"/>
      <c r="L15" s="1044">
        <f>+L14*GHG_emissions_factors_by_province/1000000</f>
        <v>0</v>
      </c>
      <c r="M15" s="1043"/>
      <c r="N15" s="1044">
        <f>+N14*GHG_emissions_factors_by_province/1000000</f>
        <v>0</v>
      </c>
      <c r="O15" s="1043"/>
      <c r="P15" s="1044">
        <f>+P14*GHG_emissions_factors_by_province/1000000</f>
        <v>0</v>
      </c>
      <c r="Q15" s="1043"/>
      <c r="R15" s="1044">
        <f>+R14*GHG_emissions_factors_by_province/1000000</f>
        <v>0</v>
      </c>
      <c r="S15" s="1043"/>
      <c r="T15" s="1042">
        <f>+T14*GHG_emissions_factors_by_province/1000000</f>
        <v>0</v>
      </c>
      <c r="U15" s="1043"/>
    </row>
    <row r="16" spans="1:21" s="207" customFormat="1" ht="15.75" customHeight="1" thickBot="1" x14ac:dyDescent="0.3">
      <c r="A16" s="169"/>
      <c r="B16" s="202"/>
      <c r="C16" s="203"/>
      <c r="D16" s="202"/>
      <c r="E16" s="203"/>
      <c r="F16" s="202"/>
      <c r="G16" s="203"/>
      <c r="H16" s="204"/>
      <c r="I16" s="203"/>
      <c r="J16" s="204"/>
      <c r="K16" s="203"/>
      <c r="L16" s="204"/>
      <c r="M16" s="203"/>
      <c r="N16" s="204"/>
      <c r="O16" s="203"/>
      <c r="P16" s="204"/>
      <c r="Q16" s="203"/>
      <c r="R16" s="204"/>
      <c r="S16" s="203"/>
      <c r="T16" s="202"/>
      <c r="U16" s="203"/>
    </row>
    <row r="17" spans="1:21" s="188" customFormat="1" ht="15.75" customHeight="1" thickBot="1" x14ac:dyDescent="0.25">
      <c r="A17" s="1315"/>
      <c r="B17" s="1316"/>
      <c r="C17" s="1316"/>
      <c r="D17" s="1316"/>
      <c r="E17" s="1316"/>
      <c r="F17" s="1316"/>
      <c r="G17" s="1316"/>
      <c r="H17" s="1316"/>
      <c r="I17" s="1316"/>
      <c r="J17" s="1316"/>
      <c r="K17" s="1316"/>
      <c r="L17" s="1316"/>
      <c r="M17" s="1316"/>
      <c r="N17" s="1316"/>
      <c r="O17" s="1316"/>
      <c r="P17" s="1316"/>
      <c r="Q17" s="1316"/>
      <c r="R17" s="1316"/>
      <c r="S17" s="1316"/>
      <c r="T17" s="1316"/>
      <c r="U17" s="1317"/>
    </row>
    <row r="18" spans="1:21" ht="18.75" customHeight="1" thickBot="1" x14ac:dyDescent="0.25">
      <c r="A18" s="208" t="s">
        <v>329</v>
      </c>
      <c r="B18" s="209">
        <f>(+B11+B15)*days_yr</f>
        <v>0</v>
      </c>
      <c r="C18" s="210"/>
      <c r="D18" s="209">
        <f>(+D11+D15)*days_yr</f>
        <v>0</v>
      </c>
      <c r="E18" s="210"/>
      <c r="F18" s="209">
        <f>(+F11+F15)*days_yr</f>
        <v>0</v>
      </c>
      <c r="G18" s="210"/>
      <c r="H18" s="209">
        <f>(+H11+H15)*days_yr</f>
        <v>0</v>
      </c>
      <c r="I18" s="210"/>
      <c r="J18" s="209">
        <f>(+J11+J15)*days_yr</f>
        <v>0</v>
      </c>
      <c r="K18" s="210"/>
      <c r="L18" s="209">
        <f>(+L11+L15)*days_yr</f>
        <v>0</v>
      </c>
      <c r="M18" s="210"/>
      <c r="N18" s="209">
        <f>(+N11+N15)*days_yr</f>
        <v>0</v>
      </c>
      <c r="O18" s="210"/>
      <c r="P18" s="209">
        <f>(+P11+P15)*days_yr</f>
        <v>0</v>
      </c>
      <c r="Q18" s="210"/>
      <c r="R18" s="209">
        <f>(+R11+R15)*days_yr</f>
        <v>0</v>
      </c>
      <c r="S18" s="211"/>
      <c r="T18" s="209">
        <f>(+T11+T15)*days_yr</f>
        <v>0</v>
      </c>
      <c r="U18" s="211"/>
    </row>
    <row r="19" spans="1:21" s="187" customFormat="1" ht="15.75" customHeight="1" x14ac:dyDescent="0.25">
      <c r="A19" s="212" t="s">
        <v>228</v>
      </c>
      <c r="B19" s="213">
        <v>0</v>
      </c>
      <c r="C19" s="130"/>
      <c r="D19" s="213">
        <v>0</v>
      </c>
      <c r="F19" s="213">
        <v>0</v>
      </c>
      <c r="H19" s="213">
        <v>0</v>
      </c>
      <c r="J19" s="213">
        <v>0</v>
      </c>
      <c r="L19" s="213">
        <v>0</v>
      </c>
      <c r="N19" s="213">
        <v>0</v>
      </c>
      <c r="P19" s="213">
        <v>0</v>
      </c>
      <c r="R19" s="213">
        <v>0</v>
      </c>
      <c r="S19" s="214"/>
      <c r="T19" s="213">
        <v>0</v>
      </c>
      <c r="U19" s="214"/>
    </row>
    <row r="20" spans="1:21" ht="15.75" customHeight="1" x14ac:dyDescent="0.25">
      <c r="A20" s="215" t="s">
        <v>229</v>
      </c>
      <c r="B20" s="216">
        <f>B15*days_yr</f>
        <v>0</v>
      </c>
      <c r="C20" s="105"/>
      <c r="D20" s="216">
        <f>D15*days_yr</f>
        <v>0</v>
      </c>
      <c r="F20" s="216">
        <f>F15*days_yr</f>
        <v>0</v>
      </c>
      <c r="H20" s="216">
        <f>H15*days_yr</f>
        <v>0</v>
      </c>
      <c r="J20" s="216">
        <f>J15*days_yr</f>
        <v>0</v>
      </c>
      <c r="L20" s="216">
        <f>L15*days_yr</f>
        <v>0</v>
      </c>
      <c r="N20" s="216">
        <f>N15*days_yr</f>
        <v>0</v>
      </c>
      <c r="P20" s="216">
        <f>P15*days_yr</f>
        <v>0</v>
      </c>
      <c r="R20" s="216">
        <f>R15*days_yr</f>
        <v>0</v>
      </c>
      <c r="S20" s="217"/>
      <c r="T20" s="216">
        <f>T15*days_yr</f>
        <v>0</v>
      </c>
      <c r="U20" s="217"/>
    </row>
    <row r="21" spans="1:21" s="187" customFormat="1" ht="15.75" customHeight="1" x14ac:dyDescent="0.25">
      <c r="A21" s="218" t="s">
        <v>207</v>
      </c>
      <c r="B21" s="219">
        <f>B19+B20</f>
        <v>0</v>
      </c>
      <c r="C21" s="130"/>
      <c r="D21" s="219">
        <f>D19+D20</f>
        <v>0</v>
      </c>
      <c r="F21" s="219">
        <f>F19+F20</f>
        <v>0</v>
      </c>
      <c r="H21" s="219">
        <f>H19+H20</f>
        <v>0</v>
      </c>
      <c r="J21" s="219">
        <f>J19+J20</f>
        <v>0</v>
      </c>
      <c r="L21" s="219">
        <f>L19+L20</f>
        <v>0</v>
      </c>
      <c r="N21" s="219">
        <f>N19+N20</f>
        <v>0</v>
      </c>
      <c r="P21" s="219">
        <f>P19+P20</f>
        <v>0</v>
      </c>
      <c r="R21" s="219">
        <f>R19+R20</f>
        <v>0</v>
      </c>
      <c r="S21" s="214"/>
      <c r="T21" s="219">
        <f>T19+T20</f>
        <v>0</v>
      </c>
      <c r="U21" s="214"/>
    </row>
    <row r="22" spans="1:21" ht="15.75" customHeight="1" x14ac:dyDescent="0.25">
      <c r="A22" s="215" t="s">
        <v>230</v>
      </c>
      <c r="B22" s="216">
        <f>B11*days_yr</f>
        <v>0</v>
      </c>
      <c r="C22" s="105"/>
      <c r="D22" s="216">
        <f>D11*days_yr</f>
        <v>0</v>
      </c>
      <c r="F22" s="216">
        <f>F11*days_yr</f>
        <v>0</v>
      </c>
      <c r="H22" s="216">
        <f>H11*days_yr</f>
        <v>0</v>
      </c>
      <c r="J22" s="216">
        <f>J11*days_yr</f>
        <v>0</v>
      </c>
      <c r="L22" s="216">
        <f>L11*days_yr</f>
        <v>0</v>
      </c>
      <c r="N22" s="216">
        <f>N11*days_yr</f>
        <v>0</v>
      </c>
      <c r="P22" s="216">
        <f>P11*days_yr</f>
        <v>0</v>
      </c>
      <c r="R22" s="216">
        <f>R11*days_yr</f>
        <v>0</v>
      </c>
      <c r="S22" s="217"/>
      <c r="T22" s="216">
        <f>T11*days_yr</f>
        <v>0</v>
      </c>
      <c r="U22" s="217"/>
    </row>
    <row r="23" spans="1:21" s="187" customFormat="1" ht="15.75" customHeight="1" thickBot="1" x14ac:dyDescent="0.3">
      <c r="A23" s="220" t="s">
        <v>232</v>
      </c>
      <c r="B23" s="221" t="s">
        <v>102</v>
      </c>
      <c r="C23" s="222"/>
      <c r="D23" s="221" t="s">
        <v>102</v>
      </c>
      <c r="E23" s="222"/>
      <c r="F23" s="221" t="s">
        <v>102</v>
      </c>
      <c r="G23" s="222"/>
      <c r="H23" s="221" t="s">
        <v>102</v>
      </c>
      <c r="I23" s="222"/>
      <c r="J23" s="221" t="s">
        <v>102</v>
      </c>
      <c r="K23" s="222"/>
      <c r="L23" s="221" t="s">
        <v>102</v>
      </c>
      <c r="M23" s="222"/>
      <c r="N23" s="221" t="s">
        <v>102</v>
      </c>
      <c r="O23" s="222"/>
      <c r="P23" s="221" t="s">
        <v>102</v>
      </c>
      <c r="Q23" s="222"/>
      <c r="R23" s="221" t="s">
        <v>102</v>
      </c>
      <c r="S23" s="223"/>
      <c r="T23" s="221" t="s">
        <v>102</v>
      </c>
      <c r="U23" s="223"/>
    </row>
    <row r="24" spans="1:21" ht="15.6" customHeight="1" x14ac:dyDescent="0.35">
      <c r="A24" s="224"/>
      <c r="B24" s="185"/>
      <c r="D24" s="105"/>
    </row>
    <row r="25" spans="1:21" ht="18" x14ac:dyDescent="0.25">
      <c r="A25" s="176" t="s">
        <v>97</v>
      </c>
      <c r="B25" s="155"/>
      <c r="C25" s="105"/>
      <c r="D25" s="130"/>
    </row>
    <row r="26" spans="1:21" ht="54.75" customHeight="1" x14ac:dyDescent="0.25">
      <c r="A26" s="1297" t="s">
        <v>54</v>
      </c>
      <c r="B26" s="1292"/>
      <c r="C26" s="1292"/>
      <c r="D26"/>
      <c r="J26" s="188"/>
    </row>
    <row r="27" spans="1:21" ht="15" x14ac:dyDescent="0.2">
      <c r="B27" s="1234" t="s">
        <v>110</v>
      </c>
      <c r="C27" s="1235"/>
      <c r="D27" s="1235"/>
      <c r="E27" s="1236"/>
      <c r="J27" s="188"/>
    </row>
    <row r="28" spans="1:21" x14ac:dyDescent="0.2">
      <c r="B28" s="1231" t="s">
        <v>31</v>
      </c>
      <c r="C28" s="1232"/>
      <c r="D28" s="1233"/>
      <c r="E28" s="563">
        <v>0</v>
      </c>
      <c r="J28" s="188"/>
    </row>
    <row r="29" spans="1:21" x14ac:dyDescent="0.2">
      <c r="B29" s="1231" t="s">
        <v>32</v>
      </c>
      <c r="C29" s="1232"/>
      <c r="D29" s="1233"/>
      <c r="E29" s="564">
        <v>0</v>
      </c>
      <c r="J29" s="188"/>
    </row>
    <row r="30" spans="1:21" x14ac:dyDescent="0.2">
      <c r="B30" s="1231" t="s">
        <v>615</v>
      </c>
      <c r="C30" s="1232"/>
      <c r="D30" s="1233"/>
      <c r="E30" s="565">
        <v>0</v>
      </c>
    </row>
    <row r="31" spans="1:21" ht="15" x14ac:dyDescent="0.25">
      <c r="B31" s="1231" t="s">
        <v>70</v>
      </c>
      <c r="C31" s="1232"/>
      <c r="D31" s="1233"/>
      <c r="E31" s="566">
        <v>0</v>
      </c>
    </row>
    <row r="32" spans="1:21" x14ac:dyDescent="0.2">
      <c r="B32" s="1231" t="s">
        <v>550</v>
      </c>
      <c r="C32" s="1232"/>
      <c r="D32" s="1233"/>
      <c r="E32" s="567">
        <v>0</v>
      </c>
    </row>
    <row r="33" spans="2:5" x14ac:dyDescent="0.2">
      <c r="B33" s="1231" t="s">
        <v>610</v>
      </c>
      <c r="C33" s="1232"/>
      <c r="D33" s="1233"/>
      <c r="E33" s="227">
        <v>0</v>
      </c>
    </row>
  </sheetData>
  <sheetProtection algorithmName="SHA-512" hashValue="u0671NickW4cN2jipCahkY5lWoHvcpXykn51wqogyV7aG05dEtMdqOQIfNQ/MVZA0UO2eONKpOedz08Iy0+0YQ==" saltValue="73WqdkyQETSTkCDwhBQw1g==" spinCount="100000" sheet="1" objects="1" scenarios="1"/>
  <mergeCells count="32">
    <mergeCell ref="A26:C26"/>
    <mergeCell ref="B2:C2"/>
    <mergeCell ref="B3:C3"/>
    <mergeCell ref="D2:E2"/>
    <mergeCell ref="B27:E27"/>
    <mergeCell ref="F2:G2"/>
    <mergeCell ref="A13:U13"/>
    <mergeCell ref="A5:U5"/>
    <mergeCell ref="A17:U17"/>
    <mergeCell ref="H2:I2"/>
    <mergeCell ref="J2:K2"/>
    <mergeCell ref="D3:E3"/>
    <mergeCell ref="F3:G3"/>
    <mergeCell ref="H3:I3"/>
    <mergeCell ref="J3:K3"/>
    <mergeCell ref="A2:A3"/>
    <mergeCell ref="L3:M3"/>
    <mergeCell ref="N3:O3"/>
    <mergeCell ref="P3:Q3"/>
    <mergeCell ref="R3:S3"/>
    <mergeCell ref="T2:U2"/>
    <mergeCell ref="T3:U3"/>
    <mergeCell ref="L2:M2"/>
    <mergeCell ref="N2:O2"/>
    <mergeCell ref="P2:Q2"/>
    <mergeCell ref="R2:S2"/>
    <mergeCell ref="B33:D33"/>
    <mergeCell ref="B28:D28"/>
    <mergeCell ref="B29:D29"/>
    <mergeCell ref="B30:D30"/>
    <mergeCell ref="B31:D31"/>
    <mergeCell ref="B32:D32"/>
  </mergeCells>
  <phoneticPr fontId="44" type="noConversion"/>
  <dataValidations count="1">
    <dataValidation type="list" allowBlank="1" showInputMessage="1" showErrorMessage="1" sqref="B9 R9 D9 F9 H9 J9 L9 N9 P9 T9" xr:uid="{00000000-0002-0000-0800-000000000000}">
      <formula1>Type_of_thickener</formula1>
    </dataValidation>
  </dataValidations>
  <pageMargins left="0.75" right="0.75" top="1" bottom="1" header="0.5" footer="0.5"/>
  <pageSetup scale="18" orientation="portrait"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30</vt:i4>
      </vt:variant>
      <vt:variant>
        <vt:lpstr>Named Ranges</vt:lpstr>
      </vt:variant>
      <vt:variant>
        <vt:i4>249</vt:i4>
      </vt:variant>
    </vt:vector>
  </HeadingPairs>
  <TitlesOfParts>
    <vt:vector size="279" baseType="lpstr">
      <vt:lpstr>Instructions</vt:lpstr>
      <vt:lpstr>WRRF Info &amp; Results</vt:lpstr>
      <vt:lpstr>Charts</vt:lpstr>
      <vt:lpstr>Scenarios Data</vt:lpstr>
      <vt:lpstr>Amount and Destination</vt:lpstr>
      <vt:lpstr>Analyses</vt:lpstr>
      <vt:lpstr>Digestion-Process</vt:lpstr>
      <vt:lpstr>Storage</vt:lpstr>
      <vt:lpstr>Conditioning Thickening</vt:lpstr>
      <vt:lpstr>Aerobic Digestion</vt:lpstr>
      <vt:lpstr>Anaerobic Digestion</vt:lpstr>
      <vt:lpstr>Anaerobic Digestion (2)</vt:lpstr>
      <vt:lpstr>De-watering</vt:lpstr>
      <vt:lpstr>Thermal Drying</vt:lpstr>
      <vt:lpstr>BioDrying</vt:lpstr>
      <vt:lpstr>Alkaline Stabilization</vt:lpstr>
      <vt:lpstr>Composting</vt:lpstr>
      <vt:lpstr>Composting (2)</vt:lpstr>
      <vt:lpstr>Landfill Disposal Typical</vt:lpstr>
      <vt:lpstr>Landfill Disposal Worst-case</vt:lpstr>
      <vt:lpstr>Landfill Disposal Aggressive</vt:lpstr>
      <vt:lpstr>Landfill Disposal CA Regulatory</vt:lpstr>
      <vt:lpstr>Pyrolysis</vt:lpstr>
      <vt:lpstr>Land Application</vt:lpstr>
      <vt:lpstr>Land Application (2)</vt:lpstr>
      <vt:lpstr>Combustion</vt:lpstr>
      <vt:lpstr>Transportation</vt:lpstr>
      <vt:lpstr>References Assumptions</vt:lpstr>
      <vt:lpstr>Project Specific</vt:lpstr>
      <vt:lpstr>Misc Emissions</vt:lpstr>
      <vt:lpstr>AD_electricity_use_MandE</vt:lpstr>
      <vt:lpstr>AD_feed_rate</vt:lpstr>
      <vt:lpstr>AD_heating_reqt_MandE</vt:lpstr>
      <vt:lpstr>AD_solids_in</vt:lpstr>
      <vt:lpstr>AD_solids_out</vt:lpstr>
      <vt:lpstr>AD_volume_reduct</vt:lpstr>
      <vt:lpstr>AD_VS_in</vt:lpstr>
      <vt:lpstr>AD_VSR</vt:lpstr>
      <vt:lpstr>Additional_fuel_MHF_shutdowns</vt:lpstr>
      <vt:lpstr>aerobic_feed_rate</vt:lpstr>
      <vt:lpstr>aerobic_solids_in</vt:lpstr>
      <vt:lpstr>aerobic_solids_out</vt:lpstr>
      <vt:lpstr>aerobic_vol_reduct</vt:lpstr>
      <vt:lpstr>aerobic_VS_in</vt:lpstr>
      <vt:lpstr>Aerobic_VSR</vt:lpstr>
      <vt:lpstr>AerobicD_electricity_use_MandE</vt:lpstr>
      <vt:lpstr>AlkStab_A_fuel_use</vt:lpstr>
      <vt:lpstr>AlkStab_Electricity_Use_ClassA</vt:lpstr>
      <vt:lpstr>AlkStab_Electricity_Use_ClassB</vt:lpstr>
      <vt:lpstr>annual_wet_tons</vt:lpstr>
      <vt:lpstr>ASP_electricity_use</vt:lpstr>
      <vt:lpstr>avg_days_15C</vt:lpstr>
      <vt:lpstr>avg_days_15C_NYC</vt:lpstr>
      <vt:lpstr>Biodrying_Electricity_Use_for_Ancillary_Equipment</vt:lpstr>
      <vt:lpstr>Biodrying_Electricity_Use_for_Heating</vt:lpstr>
      <vt:lpstr>Biogas_yield_from_VS_destroyed</vt:lpstr>
      <vt:lpstr>Biosolids_Characteristics</vt:lpstr>
      <vt:lpstr>btu_kwh</vt:lpstr>
      <vt:lpstr>btu_kwh_100percent</vt:lpstr>
      <vt:lpstr>btu_value_methane_epa_2004</vt:lpstr>
      <vt:lpstr>btu_value_natural_gas_climate_registry</vt:lpstr>
      <vt:lpstr>C_seq</vt:lpstr>
      <vt:lpstr>C_to_CH4_conversion</vt:lpstr>
      <vt:lpstr>C_to_CO2_conversion</vt:lpstr>
      <vt:lpstr>candlestick_emit</vt:lpstr>
      <vt:lpstr>Carbon_as_a___of_TVS_compostinghandbook</vt:lpstr>
      <vt:lpstr>celcius_to_kelvin_conversion</vt:lpstr>
      <vt:lpstr>ch4_compost</vt:lpstr>
      <vt:lpstr>CH4_emissions_biosolids_storage</vt:lpstr>
      <vt:lpstr>CH4_emissions_uncovered_brown_2008</vt:lpstr>
      <vt:lpstr>CH4_from_deep_anaerobic_lagoon</vt:lpstr>
      <vt:lpstr>CH4_from_shallow_anaerobic_lagoon</vt:lpstr>
      <vt:lpstr>CH4_in_landfill_gas</vt:lpstr>
      <vt:lpstr>CHP_conv_elect</vt:lpstr>
      <vt:lpstr>CHP_conv_heat</vt:lpstr>
      <vt:lpstr>Climate_LandApp</vt:lpstr>
      <vt:lpstr>Instructions!CMP_conv_elect</vt:lpstr>
      <vt:lpstr>Instructions!cmp_conv_heat</vt:lpstr>
      <vt:lpstr>co2_biogas_combust</vt:lpstr>
      <vt:lpstr>CO2credit_for_ash_to_cement_Murrayetal_2008</vt:lpstr>
      <vt:lpstr>CO2E_diesel__ClimateReg</vt:lpstr>
      <vt:lpstr>CO2E_for_Polymer_manufacture</vt:lpstr>
      <vt:lpstr>CO2E_naturalgas_combustion</vt:lpstr>
      <vt:lpstr>CO2E_of_CH4_ClimateReg</vt:lpstr>
      <vt:lpstr>CO2E_of_CH4_ClimateReg_100yr</vt:lpstr>
      <vt:lpstr>CO2E_of_N2O_Climate_Reg</vt:lpstr>
      <vt:lpstr>CO2E_of_N2O_Climate_Reg_100yr</vt:lpstr>
      <vt:lpstr>combust_default_emit</vt:lpstr>
      <vt:lpstr>combust_efficiency</vt:lpstr>
      <vt:lpstr>Combustion</vt:lpstr>
      <vt:lpstr>Combustion_Process</vt:lpstr>
      <vt:lpstr>Composting</vt:lpstr>
      <vt:lpstr>Conversion_of_BtU_to_kWh</vt:lpstr>
      <vt:lpstr>Cseq_biochar</vt:lpstr>
      <vt:lpstr>Cut_off_between_low_and_high_C_N</vt:lpstr>
      <vt:lpstr>days_yr</vt:lpstr>
      <vt:lpstr>default_fine_text_soil</vt:lpstr>
      <vt:lpstr>default_lime_dose_Class_A</vt:lpstr>
      <vt:lpstr>default_lime_dose_Class_B</vt:lpstr>
      <vt:lpstr>Default_SRT_aerobic</vt:lpstr>
      <vt:lpstr>Default_SRT_anaerobic</vt:lpstr>
      <vt:lpstr>default_VSR_advanced</vt:lpstr>
      <vt:lpstr>default_VSR_plus</vt:lpstr>
      <vt:lpstr>default_VSR_primary_WAS</vt:lpstr>
      <vt:lpstr>default_VSR_WAS_only</vt:lpstr>
      <vt:lpstr>Degree_of_Stabilization</vt:lpstr>
      <vt:lpstr>density_h2o</vt:lpstr>
      <vt:lpstr>density_of_CH4_at_STP</vt:lpstr>
      <vt:lpstr>Density_of_de_watered_sludge</vt:lpstr>
      <vt:lpstr>dewat_solids</vt:lpstr>
      <vt:lpstr>Disposition_of_Ash</vt:lpstr>
      <vt:lpstr>efficiency_coverting_sludge_chemical_energy_to_heat</vt:lpstr>
      <vt:lpstr>elect_use_lagoon_aerators</vt:lpstr>
      <vt:lpstr>electgen_CO2E_alberta_sahely_2006</vt:lpstr>
      <vt:lpstr>electgen_CO2E_britishcolumbia_sahely_2006</vt:lpstr>
      <vt:lpstr>electgen_CO2E_Manitoba_sahely_2006</vt:lpstr>
      <vt:lpstr>electgen_CO2E_newbrunswick_sahely_2006</vt:lpstr>
      <vt:lpstr>electgen_CO2E_newfoundlandlabrador_sahely_2006</vt:lpstr>
      <vt:lpstr>electgen_CO2E_novascotia_sahely_2006</vt:lpstr>
      <vt:lpstr>electgen_CO2E_ontario_sahely_2006</vt:lpstr>
      <vt:lpstr>electgen_CO2E_PEI_sahely_2006</vt:lpstr>
      <vt:lpstr>electgen_CO2E_Quebec_sahely_2006</vt:lpstr>
      <vt:lpstr>electgen_CO2E_sask_sahely_2006</vt:lpstr>
      <vt:lpstr>Electricity_credit_for_using_excess_heat_from_pyrolysis_in_biodrying</vt:lpstr>
      <vt:lpstr>Electricity_Use_drying_Windsor_value</vt:lpstr>
      <vt:lpstr>emissions_from_lime_production</vt:lpstr>
      <vt:lpstr>enclosed_emit</vt:lpstr>
      <vt:lpstr>energy_to_remove_h2o_from_sludge_MandE</vt:lpstr>
      <vt:lpstr>FBI_electricity_use</vt:lpstr>
      <vt:lpstr>Flare_type</vt:lpstr>
      <vt:lpstr>Fraction_Carbon_in_CaCO3</vt:lpstr>
      <vt:lpstr>Fuel__for_ASP_brown_2008</vt:lpstr>
      <vt:lpstr>Fuel__for_grinding__brown_2008</vt:lpstr>
      <vt:lpstr>Fuel__windrow__ROU_2006</vt:lpstr>
      <vt:lpstr>fugitive_methane_combustion_IPCC</vt:lpstr>
      <vt:lpstr>g_lbs</vt:lpstr>
      <vt:lpstr>GHG_emissions_factors_by_province</vt:lpstr>
      <vt:lpstr>GJ_to_Btu_conversion</vt:lpstr>
      <vt:lpstr>GWP_Time_Horizon</vt:lpstr>
      <vt:lpstr>Heat_content__Btu_m3</vt:lpstr>
      <vt:lpstr>Heat_content_of_methane__Btu_m3</vt:lpstr>
      <vt:lpstr>heating_value_digested_sludge_MaE</vt:lpstr>
      <vt:lpstr>heating_value_undigested_sludge_MaE</vt:lpstr>
      <vt:lpstr>heavy_duty_diesel_truck_mileage</vt:lpstr>
      <vt:lpstr>HH_truck_std_mpg</vt:lpstr>
      <vt:lpstr>hrs_day</vt:lpstr>
      <vt:lpstr>in_vessel_electricity_use</vt:lpstr>
      <vt:lpstr>kg_lbs</vt:lpstr>
      <vt:lpstr>Kgm3_gcm3</vt:lpstr>
      <vt:lpstr>km_mile</vt:lpstr>
      <vt:lpstr>Land_Application</vt:lpstr>
      <vt:lpstr>Landfill</vt:lpstr>
      <vt:lpstr>Landfill_climate</vt:lpstr>
      <vt:lpstr>Landfill_cover_quality</vt:lpstr>
      <vt:lpstr>landfill_uncertainty</vt:lpstr>
      <vt:lpstr>liters_gal</vt:lpstr>
      <vt:lpstr>Location</vt:lpstr>
      <vt:lpstr>Lowest_combustion_temp</vt:lpstr>
      <vt:lpstr>m3_gallons</vt:lpstr>
      <vt:lpstr>MainManagement</vt:lpstr>
      <vt:lpstr>mass_condit_solids</vt:lpstr>
      <vt:lpstr>Mean_OrganicMatter</vt:lpstr>
      <vt:lpstr>Mean_OrganicMatter_Biochar</vt:lpstr>
      <vt:lpstr>Mean_solids</vt:lpstr>
      <vt:lpstr>Mean_solids_biochar</vt:lpstr>
      <vt:lpstr>Mean_Total_C</vt:lpstr>
      <vt:lpstr>Mean_Total_C_Biochar</vt:lpstr>
      <vt:lpstr>methane_correction_factor_anaerobic_managed_landfills</vt:lpstr>
      <vt:lpstr>methane_fugitive_during_combustion_IPCC</vt:lpstr>
      <vt:lpstr>Methane_in_anaerobic_digester_gas_Monteith</vt:lpstr>
      <vt:lpstr>Mg_g</vt:lpstr>
      <vt:lpstr>Mg_kg</vt:lpstr>
      <vt:lpstr>Mg_ton</vt:lpstr>
      <vt:lpstr>MHP_electricity_use</vt:lpstr>
      <vt:lpstr>min_solids_for_n2O_reduction_fine</vt:lpstr>
      <vt:lpstr>min_solids_for_no_N2O_or_CH4</vt:lpstr>
      <vt:lpstr>MJ_to_Btu_conversion</vt:lpstr>
      <vt:lpstr>ml_m3</vt:lpstr>
      <vt:lpstr>N_fertilizer_credit_ROU_2006</vt:lpstr>
      <vt:lpstr>N_to_N2O_conversion</vt:lpstr>
      <vt:lpstr>N2O_adjust_for_SNCR_by_urea</vt:lpstr>
      <vt:lpstr>N2O_adjustment_dry</vt:lpstr>
      <vt:lpstr>N2O_adjustment_semidry</vt:lpstr>
      <vt:lpstr>n2o_compost</vt:lpstr>
      <vt:lpstr>N2O_emissions__low_CN_brown_2008</vt:lpstr>
      <vt:lpstr>n2o_landfill</vt:lpstr>
      <vt:lpstr>N2O_reduction_fine</vt:lpstr>
      <vt:lpstr>Net_capacity_factor_EPA_2006</vt:lpstr>
      <vt:lpstr>NO2_emissions_biosolids_storage</vt:lpstr>
      <vt:lpstr>O2_solids_in</vt:lpstr>
      <vt:lpstr>O2_VS_in</vt:lpstr>
      <vt:lpstr>o2_VSR</vt:lpstr>
      <vt:lpstr>OX_of_methane_from_hiqual_soil_cover</vt:lpstr>
      <vt:lpstr>OX_of_methane_from_lowqual_soil_cover</vt:lpstr>
      <vt:lpstr>P_fertilizer_credit_ROU_2006</vt:lpstr>
      <vt:lpstr>PAN_of_Total_N</vt:lpstr>
      <vt:lpstr>percent</vt:lpstr>
      <vt:lpstr>percent_N_to_N2O_coarse_textured_soils</vt:lpstr>
      <vt:lpstr>percent_N_to_N2O_coarse_textured_soils_SLB</vt:lpstr>
      <vt:lpstr>percent_N_to_N2O_fine_textured_soils</vt:lpstr>
      <vt:lpstr>Percent_Solids</vt:lpstr>
      <vt:lpstr>percent_solids_after_biodrying</vt:lpstr>
      <vt:lpstr>percent_solids_after_combustion</vt:lpstr>
      <vt:lpstr>Percent_Solids_After_Pyrolysis</vt:lpstr>
      <vt:lpstr>percent_solids_after_thermal_drying</vt:lpstr>
      <vt:lpstr>Polymer_use_dewatering</vt:lpstr>
      <vt:lpstr>polymer_use_thickening</vt:lpstr>
      <vt:lpstr>'Aerobic Digestion'!Print_Area</vt:lpstr>
      <vt:lpstr>'Alkaline Stabilization'!Print_Area</vt:lpstr>
      <vt:lpstr>'Anaerobic Digestion'!Print_Area</vt:lpstr>
      <vt:lpstr>'Anaerobic Digestion (2)'!Print_Area</vt:lpstr>
      <vt:lpstr>BioDrying!Print_Area</vt:lpstr>
      <vt:lpstr>Combustion!Print_Area</vt:lpstr>
      <vt:lpstr>Composting!Print_Area</vt:lpstr>
      <vt:lpstr>'Composting (2)'!Print_Area</vt:lpstr>
      <vt:lpstr>'Conditioning Thickening'!Print_Area</vt:lpstr>
      <vt:lpstr>'De-watering'!Print_Area</vt:lpstr>
      <vt:lpstr>'Land Application'!Print_Area</vt:lpstr>
      <vt:lpstr>'Land Application (2)'!Print_Area</vt:lpstr>
      <vt:lpstr>'Landfill Disposal Aggressive'!Print_Area</vt:lpstr>
      <vt:lpstr>'Landfill Disposal CA Regulatory'!Print_Area</vt:lpstr>
      <vt:lpstr>'Landfill Disposal Typical'!Print_Area</vt:lpstr>
      <vt:lpstr>'Landfill Disposal Worst-case'!Print_Area</vt:lpstr>
      <vt:lpstr>Pyrolysis!Print_Area</vt:lpstr>
      <vt:lpstr>Storage!Print_Area</vt:lpstr>
      <vt:lpstr>'Thermal Drying'!Print_Area</vt:lpstr>
      <vt:lpstr>Transportation!Print_Area</vt:lpstr>
      <vt:lpstr>'WRRF Info &amp; Results'!Print_Area</vt:lpstr>
      <vt:lpstr>propane_co2e</vt:lpstr>
      <vt:lpstr>Pyrolysis_Electricity_Generated_BFT</vt:lpstr>
      <vt:lpstr>Pyrolysis_Electricity_Use_for_Ancillary_Equipment</vt:lpstr>
      <vt:lpstr>Pyrolysis_Electricity_Use_for_Heating</vt:lpstr>
      <vt:lpstr>PyrolysisUnit</vt:lpstr>
      <vt:lpstr>rail_emis</vt:lpstr>
      <vt:lpstr>RNG_parasitic</vt:lpstr>
      <vt:lpstr>RoundTripOneWay</vt:lpstr>
      <vt:lpstr>sawdust_density</vt:lpstr>
      <vt:lpstr>sawdust_nitrogen_content</vt:lpstr>
      <vt:lpstr>sawdust_organic_carbon</vt:lpstr>
      <vt:lpstr>sawdust_Solids_content</vt:lpstr>
      <vt:lpstr>sawdust_tvs</vt:lpstr>
      <vt:lpstr>Select_DOCf</vt:lpstr>
      <vt:lpstr>Size_of_loads__m3</vt:lpstr>
      <vt:lpstr>sludge_to_condit</vt:lpstr>
      <vt:lpstr>sludge_to_dewat</vt:lpstr>
      <vt:lpstr>solids_after_condit</vt:lpstr>
      <vt:lpstr>solids_before_condit</vt:lpstr>
      <vt:lpstr>solids_before_dewat</vt:lpstr>
      <vt:lpstr>solids_of_unthickened_combined_sludge</vt:lpstr>
      <vt:lpstr>SRT_AD</vt:lpstr>
      <vt:lpstr>SRT_aerobic</vt:lpstr>
      <vt:lpstr>SSO_diesel</vt:lpstr>
      <vt:lpstr>SSO_elect</vt:lpstr>
      <vt:lpstr>SSO_propane</vt:lpstr>
      <vt:lpstr>suzuki_N2Ocombust_constant1</vt:lpstr>
      <vt:lpstr>suzuki_N2Ocombust_constant2</vt:lpstr>
      <vt:lpstr>Time_to_apply__loads_hr</vt:lpstr>
      <vt:lpstr>Total_N</vt:lpstr>
      <vt:lpstr>Total_N_alkstabilized</vt:lpstr>
      <vt:lpstr>Total_N_Biochar</vt:lpstr>
      <vt:lpstr>total_N_digested</vt:lpstr>
      <vt:lpstr>Total_N_untreated</vt:lpstr>
      <vt:lpstr>Total_P</vt:lpstr>
      <vt:lpstr>Total_P_alkstabilized</vt:lpstr>
      <vt:lpstr>Total_P_Biochar</vt:lpstr>
      <vt:lpstr>Total_P_digested</vt:lpstr>
      <vt:lpstr>Total_P_untreated</vt:lpstr>
      <vt:lpstr>Tractor_fuel_use__l_diesel_hr</vt:lpstr>
      <vt:lpstr>TruckRail</vt:lpstr>
      <vt:lpstr>TVS_alkstabilized</vt:lpstr>
      <vt:lpstr>TVS_digested</vt:lpstr>
      <vt:lpstr>TVS_untreated</vt:lpstr>
      <vt:lpstr>Type_of_Biosolids</vt:lpstr>
      <vt:lpstr>Type_of_thickener</vt:lpstr>
      <vt:lpstr>TypeDewater</vt:lpstr>
      <vt:lpstr>Typical_BOD_removal</vt:lpstr>
      <vt:lpstr>USavg_landfill_gas_recovery</vt:lpstr>
      <vt:lpstr>Water_density_Mg_per_m3</vt:lpstr>
      <vt:lpstr>Yes_No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Carpenter</dc:creator>
  <cp:lastModifiedBy>Rob Chapler</cp:lastModifiedBy>
  <cp:lastPrinted>2009-05-01T14:27:48Z</cp:lastPrinted>
  <dcterms:created xsi:type="dcterms:W3CDTF">2008-11-10T23:48:44Z</dcterms:created>
  <dcterms:modified xsi:type="dcterms:W3CDTF">2024-03-29T15:56:14Z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4c20b45f-d940-4aa3-87bb-85f1b6a1b522</vt:lpwstr>
  </property>
</Properties>
</file>