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codeName="ThisWorkbook" defaultThemeVersion="166925"/>
  <xr:revisionPtr revIDLastSave="2271" documentId="8_{4702DBA1-EFC9-4653-906E-E771528DB252}" xr6:coauthVersionLast="47" xr6:coauthVersionMax="47" xr10:uidLastSave="{02128E7D-59D5-42BF-8B9A-0E1C50186893}"/>
  <bookViews>
    <workbookView xWindow="-19485" yWindow="-16320" windowWidth="29040" windowHeight="15840" tabRatio="654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state="hidden" r:id="rId4"/>
    <sheet name="Measure 3 Budget" sheetId="28" state="hidden" r:id="rId5"/>
    <sheet name="Measure 4 Budget" sheetId="29" state="hidden" r:id="rId6"/>
    <sheet name="Measure 5 Budget" sheetId="31" state="hidden" r:id="rId7"/>
    <sheet name="Sample Budget 1" sheetId="32" state="hidden" r:id="rId8"/>
    <sheet name="Sample Budget 2" sheetId="33" state="hidden" r:id="rId9"/>
    <sheet name="Sample Budget 3" sheetId="34" state="hidden" r:id="rId10"/>
  </sheets>
  <externalReferences>
    <externalReference r:id="rId11"/>
    <externalReference r:id="rId12"/>
  </externalReference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6" l="1"/>
  <c r="D54" i="16"/>
  <c r="J32" i="16"/>
  <c r="H54" i="16"/>
  <c r="R43" i="16"/>
  <c r="R42" i="16"/>
  <c r="Q44" i="16"/>
  <c r="Q45" i="16" s="1"/>
  <c r="Q42" i="16"/>
  <c r="P44" i="16"/>
  <c r="J52" i="16"/>
  <c r="J30" i="16" l="1"/>
  <c r="E23" i="16" l="1"/>
  <c r="F23" i="16" s="1"/>
  <c r="G23" i="16" s="1"/>
  <c r="H23" i="16" s="1"/>
  <c r="D22" i="16"/>
  <c r="E22" i="16" s="1"/>
  <c r="D21" i="16"/>
  <c r="E21" i="16" s="1"/>
  <c r="D20" i="16"/>
  <c r="D10" i="16"/>
  <c r="E51" i="16" l="1"/>
  <c r="J51" i="16" s="1"/>
  <c r="E50" i="16"/>
  <c r="J50" i="16" s="1"/>
  <c r="F47" i="16"/>
  <c r="E47" i="16"/>
  <c r="F46" i="16"/>
  <c r="E46" i="16"/>
  <c r="F44" i="16"/>
  <c r="E44" i="16"/>
  <c r="G49" i="16"/>
  <c r="F49" i="16"/>
  <c r="E49" i="16"/>
  <c r="F48" i="16"/>
  <c r="E48" i="16"/>
  <c r="J48" i="16" s="1"/>
  <c r="F45" i="16"/>
  <c r="E45" i="16"/>
  <c r="G43" i="16"/>
  <c r="F43" i="16"/>
  <c r="E43" i="16"/>
  <c r="F42" i="16"/>
  <c r="E42" i="16"/>
  <c r="U54" i="16"/>
  <c r="V54" i="16"/>
  <c r="D52" i="16" s="1"/>
  <c r="Y54" i="16"/>
  <c r="X54" i="16"/>
  <c r="W54" i="16"/>
  <c r="Z55" i="16"/>
  <c r="Y57" i="16" s="1"/>
  <c r="AA44" i="16"/>
  <c r="AA46" i="16"/>
  <c r="AA47" i="16"/>
  <c r="AA48" i="16"/>
  <c r="AA50" i="16"/>
  <c r="AA51" i="16"/>
  <c r="AA53" i="16"/>
  <c r="H52" i="16"/>
  <c r="J49" i="16" l="1"/>
  <c r="J42" i="16"/>
  <c r="J47" i="16"/>
  <c r="AA54" i="16"/>
  <c r="J44" i="16"/>
  <c r="J45" i="16"/>
  <c r="AA49" i="16"/>
  <c r="AA45" i="16"/>
  <c r="AA52" i="16"/>
  <c r="G52" i="16"/>
  <c r="F52" i="16"/>
  <c r="E52" i="16"/>
  <c r="AA57" i="16" l="1"/>
  <c r="G31" i="16"/>
  <c r="Z18" i="16"/>
  <c r="Z17" i="16"/>
  <c r="Z16" i="16"/>
  <c r="Z15" i="16"/>
  <c r="Z14" i="16"/>
  <c r="Z13" i="16"/>
  <c r="Z12" i="16"/>
  <c r="Z11" i="16"/>
  <c r="Z10" i="16"/>
  <c r="Z9" i="16"/>
  <c r="Z19" i="16" s="1"/>
  <c r="J31" i="16" l="1"/>
  <c r="N18" i="16"/>
  <c r="N20" i="16" s="1"/>
  <c r="N22" i="16" s="1"/>
  <c r="G19" i="16" s="1"/>
  <c r="G53" i="16"/>
  <c r="G54" i="16" s="1"/>
  <c r="E53" i="16"/>
  <c r="F53" i="16"/>
  <c r="F54" i="16" s="1"/>
  <c r="E10" i="16"/>
  <c r="H10" i="16"/>
  <c r="G10" i="16"/>
  <c r="F10" i="16"/>
  <c r="D16" i="16"/>
  <c r="J53" i="16" l="1"/>
  <c r="E54" i="16"/>
  <c r="J54" i="16" s="1"/>
  <c r="H19" i="16"/>
  <c r="J10" i="16"/>
  <c r="F19" i="16"/>
  <c r="D19" i="16"/>
  <c r="J46" i="16"/>
  <c r="E19" i="16"/>
  <c r="D24" i="16" l="1"/>
  <c r="J19" i="16"/>
  <c r="J43" i="16" l="1"/>
  <c r="M51" i="16" l="1"/>
  <c r="O34" i="16"/>
  <c r="O28" i="16"/>
  <c r="O37" i="16" s="1"/>
  <c r="E20" i="16" l="1"/>
  <c r="F21" i="16"/>
  <c r="G21" i="16" s="1"/>
  <c r="H21" i="16" s="1"/>
  <c r="F22" i="16"/>
  <c r="G22" i="16" s="1"/>
  <c r="H22" i="16" s="1"/>
  <c r="H16" i="16"/>
  <c r="G16" i="16"/>
  <c r="F16" i="16"/>
  <c r="E16" i="16"/>
  <c r="H9" i="16"/>
  <c r="H15" i="16" s="1"/>
  <c r="G9" i="16"/>
  <c r="G15" i="16" s="1"/>
  <c r="F9" i="16"/>
  <c r="F15" i="16" s="1"/>
  <c r="E9" i="16"/>
  <c r="E15" i="16" s="1"/>
  <c r="D9" i="16"/>
  <c r="D15" i="16" s="1"/>
  <c r="H8" i="16"/>
  <c r="H14" i="16" s="1"/>
  <c r="G8" i="16"/>
  <c r="G14" i="16" s="1"/>
  <c r="F8" i="16"/>
  <c r="F14" i="16" s="1"/>
  <c r="E8" i="16"/>
  <c r="E14" i="16" s="1"/>
  <c r="D8" i="16"/>
  <c r="D14" i="16" s="1"/>
  <c r="H7" i="16"/>
  <c r="G7" i="16"/>
  <c r="F7" i="16"/>
  <c r="E7" i="16"/>
  <c r="D7" i="16"/>
  <c r="J15" i="16" l="1"/>
  <c r="J14" i="16"/>
  <c r="J16" i="16"/>
  <c r="J23" i="16"/>
  <c r="J21" i="16"/>
  <c r="D13" i="16"/>
  <c r="D11" i="16"/>
  <c r="J22" i="16"/>
  <c r="F20" i="16"/>
  <c r="E24" i="16"/>
  <c r="H13" i="16"/>
  <c r="H11" i="16"/>
  <c r="E13" i="16"/>
  <c r="E17" i="16" s="1"/>
  <c r="E11" i="16"/>
  <c r="F13" i="16"/>
  <c r="F17" i="16" s="1"/>
  <c r="F56" i="16" s="1"/>
  <c r="F11" i="16"/>
  <c r="G13" i="16"/>
  <c r="G17" i="16" s="1"/>
  <c r="G11" i="16"/>
  <c r="W33" i="16"/>
  <c r="V28" i="16"/>
  <c r="W28" i="16" s="1"/>
  <c r="W32" i="16"/>
  <c r="X32" i="16" s="1"/>
  <c r="Y32" i="16" s="1"/>
  <c r="Z32" i="16" s="1"/>
  <c r="AA32" i="16" s="1"/>
  <c r="AB32" i="16" s="1"/>
  <c r="Y30" i="16"/>
  <c r="Z30" i="16" s="1"/>
  <c r="X30" i="16"/>
  <c r="W30" i="16"/>
  <c r="W31" i="16"/>
  <c r="X31" i="16" s="1"/>
  <c r="E56" i="16" l="1"/>
  <c r="E59" i="16" s="1"/>
  <c r="E55" i="16"/>
  <c r="J13" i="16"/>
  <c r="J17" i="16" s="1"/>
  <c r="G20" i="16"/>
  <c r="F24" i="16"/>
  <c r="W37" i="16"/>
  <c r="D17" i="16"/>
  <c r="H17" i="16"/>
  <c r="H56" i="16" s="1"/>
  <c r="H59" i="16" s="1"/>
  <c r="W36" i="16"/>
  <c r="W35" i="16"/>
  <c r="X28" i="16"/>
  <c r="X37" i="16" s="1"/>
  <c r="Y31" i="16"/>
  <c r="V33" i="16"/>
  <c r="X33" i="16" s="1"/>
  <c r="AA30" i="16"/>
  <c r="V29" i="16"/>
  <c r="W29" i="16" s="1"/>
  <c r="W34" i="16" s="1"/>
  <c r="G24" i="16" l="1"/>
  <c r="H20" i="16"/>
  <c r="J20" i="16" s="1"/>
  <c r="J24" i="16" s="1"/>
  <c r="W38" i="16"/>
  <c r="Y28" i="16"/>
  <c r="Y37" i="16" s="1"/>
  <c r="X35" i="16"/>
  <c r="X36" i="16"/>
  <c r="X29" i="16"/>
  <c r="Y29" i="16" s="1"/>
  <c r="Z29" i="16" s="1"/>
  <c r="AA29" i="16" s="1"/>
  <c r="AB29" i="16" s="1"/>
  <c r="Y33" i="16"/>
  <c r="Z31" i="16"/>
  <c r="AB30" i="16"/>
  <c r="H24" i="16" l="1"/>
  <c r="Z28" i="16"/>
  <c r="Z37" i="16" s="1"/>
  <c r="Z33" i="16"/>
  <c r="Y36" i="16"/>
  <c r="Y35" i="16"/>
  <c r="X34" i="16"/>
  <c r="X38" i="16" s="1"/>
  <c r="X39" i="16" s="1"/>
  <c r="Y34" i="16"/>
  <c r="AA31" i="16"/>
  <c r="D33" i="16" l="1"/>
  <c r="D34" i="16" s="1"/>
  <c r="AA28" i="16"/>
  <c r="AA37" i="16" s="1"/>
  <c r="AA33" i="16"/>
  <c r="AA34" i="16" s="1"/>
  <c r="Z35" i="16"/>
  <c r="Z36" i="16"/>
  <c r="Y38" i="16"/>
  <c r="Z34" i="16"/>
  <c r="AB31" i="16"/>
  <c r="D56" i="16" l="1"/>
  <c r="D55" i="16"/>
  <c r="Y39" i="16"/>
  <c r="E33" i="16"/>
  <c r="E34" i="16" s="1"/>
  <c r="AB28" i="16"/>
  <c r="AB37" i="16" s="1"/>
  <c r="AB33" i="16"/>
  <c r="AB34" i="16" s="1"/>
  <c r="AA35" i="16"/>
  <c r="AA36" i="16"/>
  <c r="Z38" i="16"/>
  <c r="Z39" i="16" s="1"/>
  <c r="D59" i="16" l="1"/>
  <c r="F33" i="16"/>
  <c r="AA38" i="16"/>
  <c r="AA39" i="16" s="1"/>
  <c r="AB36" i="16"/>
  <c r="AB35" i="16"/>
  <c r="F34" i="16" l="1"/>
  <c r="AB38" i="16"/>
  <c r="G33" i="16"/>
  <c r="G34" i="16" s="1"/>
  <c r="D46" i="32"/>
  <c r="D45" i="32"/>
  <c r="O52" i="16"/>
  <c r="H33" i="16" l="1"/>
  <c r="H34" i="16" s="1"/>
  <c r="AB39" i="16"/>
  <c r="J33" i="16" l="1"/>
  <c r="J34" i="16" s="1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E54" i="34"/>
  <c r="J54" i="34" s="1"/>
  <c r="F54" i="34"/>
  <c r="F56" i="34" s="1"/>
  <c r="J56" i="34" s="1"/>
  <c r="G54" i="34"/>
  <c r="H54" i="34"/>
  <c r="D54" i="34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J45" i="32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40" i="16"/>
  <c r="F40" i="16"/>
  <c r="G40" i="16"/>
  <c r="G56" i="16" s="1"/>
  <c r="J56" i="16" s="1"/>
  <c r="H40" i="16"/>
  <c r="D40" i="16"/>
  <c r="J39" i="16"/>
  <c r="J36" i="16"/>
  <c r="J37" i="16"/>
  <c r="J38" i="16"/>
  <c r="E28" i="16"/>
  <c r="F28" i="16"/>
  <c r="G28" i="16"/>
  <c r="H28" i="16"/>
  <c r="D28" i="16"/>
  <c r="J27" i="16"/>
  <c r="J26" i="16"/>
  <c r="F55" i="16" l="1"/>
  <c r="F59" i="16"/>
  <c r="E10" i="30"/>
  <c r="J9" i="16"/>
  <c r="G55" i="16"/>
  <c r="J8" i="16"/>
  <c r="J7" i="16"/>
  <c r="H7" i="30"/>
  <c r="J40" i="16"/>
  <c r="J28" i="16"/>
  <c r="G10" i="30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E11" i="30"/>
  <c r="F10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E51" i="28"/>
  <c r="E58" i="28" s="1"/>
  <c r="J13" i="28"/>
  <c r="J16" i="28" s="1"/>
  <c r="D51" i="28"/>
  <c r="D58" i="28" s="1"/>
  <c r="D8" i="30"/>
  <c r="G51" i="28"/>
  <c r="G58" i="28" s="1"/>
  <c r="F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J55" i="29"/>
  <c r="J49" i="29"/>
  <c r="J50" i="28"/>
  <c r="J56" i="27"/>
  <c r="J11" i="16" l="1"/>
  <c r="D60" i="16"/>
  <c r="D62" i="16" s="1"/>
  <c r="G8" i="30"/>
  <c r="G14" i="30" s="1"/>
  <c r="H55" i="16"/>
  <c r="J55" i="16" s="1"/>
  <c r="F60" i="16"/>
  <c r="J10" i="30"/>
  <c r="J11" i="30"/>
  <c r="D58" i="34"/>
  <c r="J51" i="34"/>
  <c r="J58" i="34" s="1"/>
  <c r="J51" i="33"/>
  <c r="J58" i="33" s="1"/>
  <c r="D58" i="33"/>
  <c r="J46" i="32"/>
  <c r="J53" i="32" s="1"/>
  <c r="E14" i="30"/>
  <c r="J12" i="30"/>
  <c r="F14" i="30"/>
  <c r="J9" i="30"/>
  <c r="J51" i="28"/>
  <c r="J58" i="28" s="1"/>
  <c r="D25" i="30" s="1"/>
  <c r="J7" i="30"/>
  <c r="F58" i="28"/>
  <c r="D14" i="30"/>
  <c r="J13" i="30"/>
  <c r="J50" i="31"/>
  <c r="J57" i="31" s="1"/>
  <c r="J50" i="29"/>
  <c r="J57" i="29" s="1"/>
  <c r="D26" i="30" s="1"/>
  <c r="J51" i="27"/>
  <c r="J58" i="27" s="1"/>
  <c r="D24" i="30" s="1"/>
  <c r="H8" i="30" l="1"/>
  <c r="J8" i="30" s="1"/>
  <c r="G59" i="16"/>
  <c r="J59" i="16" s="1"/>
  <c r="J60" i="16" s="1"/>
  <c r="J62" i="16" s="1"/>
  <c r="F16" i="30"/>
  <c r="F18" i="30" s="1"/>
  <c r="F62" i="16"/>
  <c r="D16" i="30"/>
  <c r="D18" i="30" s="1"/>
  <c r="G20" i="30" s="1"/>
  <c r="E60" i="16"/>
  <c r="E62" i="16" s="1"/>
  <c r="H14" i="30" l="1"/>
  <c r="J14" i="30" s="1"/>
  <c r="G60" i="16"/>
  <c r="G16" i="30" s="1"/>
  <c r="G18" i="30" s="1"/>
  <c r="H60" i="16"/>
  <c r="E16" i="30"/>
  <c r="H16" i="30" l="1"/>
  <c r="H62" i="16"/>
  <c r="H18" i="30"/>
  <c r="G62" i="16"/>
  <c r="J16" i="30"/>
  <c r="J18" i="30" s="1"/>
  <c r="E18" i="30"/>
  <c r="L65" i="16" l="1"/>
  <c r="D23" i="30" l="1"/>
  <c r="D29" i="30" s="1"/>
  <c r="E24" i="30" s="1"/>
  <c r="E25" i="30" l="1"/>
  <c r="E27" i="30"/>
  <c r="E26" i="30"/>
  <c r="E23" i="30"/>
  <c r="E29" i="3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tc={520B832A-AAF2-487C-BC62-83EBC3E36F52}</author>
  </authors>
  <commentList>
    <comment ref="Q42" authorId="0" shapeId="0" xr:uid="{520B832A-AAF2-487C-BC62-83EBC3E36F52}">
      <text>
        <t>[Threaded comment]
Your version of Excel allows you to read this threaded comment; however, any edits to it will get removed if the file is opened in a newer version of Excel. Learn more: https://go.microsoft.com/fwlink/?linkid=870924
Comment:
    [Mention was removed] :  how do you get to $12,800 here?  What's the math?
Reply:
    There is no math. That's the cost for 4 years, per the link. 
Reply:
    See screenshot</t>
      </text>
    </comment>
  </commentList>
</comments>
</file>

<file path=xl/sharedStrings.xml><?xml version="1.0" encoding="utf-8"?>
<sst xmlns="http://schemas.openxmlformats.org/spreadsheetml/2006/main" count="692" uniqueCount="273">
  <si>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</si>
  <si>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</si>
  <si>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</si>
  <si>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</si>
  <si>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</si>
  <si>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</si>
  <si>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</si>
  <si>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</si>
  <si>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</si>
  <si>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</si>
  <si>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</si>
  <si>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</si>
  <si>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</si>
  <si>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</si>
  <si>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</si>
  <si>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</si>
  <si>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</si>
  <si>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</si>
  <si>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</si>
  <si>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</si>
  <si>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</si>
  <si>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</si>
  <si>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</si>
  <si>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</si>
  <si>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</si>
  <si>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</si>
  <si>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</si>
  <si>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</si>
  <si>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</si>
  <si>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</si>
  <si>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</si>
  <si>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</si>
  <si>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</si>
  <si>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</si>
  <si>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</si>
  <si>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Carla Comments / Notes</t>
  </si>
  <si>
    <t>EP Response</t>
  </si>
  <si>
    <t>Need to add ROUND formual to all cells.</t>
  </si>
  <si>
    <t>done</t>
  </si>
  <si>
    <t>CFR 200, section 200.413 Direct Costs (c)</t>
  </si>
  <si>
    <t>PERSONNEL</t>
  </si>
  <si>
    <t> </t>
  </si>
  <si>
    <t xml:space="preserve">Executive Director - 3% of time with 3% salary increases annually. </t>
  </si>
  <si>
    <t>See note in cc CPRG multiplier.  May need to reduce %age later.</t>
  </si>
  <si>
    <t>ok</t>
  </si>
  <si>
    <t>Miles</t>
  </si>
  <si>
    <t>Town</t>
  </si>
  <si>
    <t>Address</t>
  </si>
  <si>
    <t xml:space="preserve">Deputy Executive Director - 5% of time  with 3% salary increases annually. </t>
  </si>
  <si>
    <t>I think is this pretty spot on.</t>
  </si>
  <si>
    <t>HVRC Offices</t>
  </si>
  <si>
    <t>105 Ann St, Newburgh, NY 12550</t>
  </si>
  <si>
    <t xml:space="preserve">Program Manager - 100% of time with 3% salary increases annually. </t>
  </si>
  <si>
    <t>Currently seems appropriate to have 1FTE assigned to project.  Should they start @65K?</t>
  </si>
  <si>
    <t>I was thinking this was Mary and wanted to give her the raise you mentioned.</t>
  </si>
  <si>
    <t>City of Peekskill</t>
  </si>
  <si>
    <t>2 Nelson Avenue Peekskill, NY 10566</t>
  </si>
  <si>
    <t>Administrative Manager &amp; Comptroller - 7% of time with 3% increases annually.</t>
  </si>
  <si>
    <t>See note in cc CPRG multiplier.  Will need to land on %age later.</t>
  </si>
  <si>
    <t>ok - 7% admin</t>
  </si>
  <si>
    <t>City of White Plains</t>
  </si>
  <si>
    <t>100 Martine Ave, White Plains, NY 10601</t>
  </si>
  <si>
    <t>Total Personnel</t>
  </si>
  <si>
    <t>Town of Amenia</t>
  </si>
  <si>
    <t>4988 NY-22, Amenia, NY 12501</t>
  </si>
  <si>
    <t>FRINGE BENEFITS</t>
  </si>
  <si>
    <t>Town of Pleasant Valley</t>
  </si>
  <si>
    <t>1903 Route 44 Pleasant Valley NY 12569</t>
  </si>
  <si>
    <t>See updated fringe %age to cc CPRG multiplier.</t>
  </si>
  <si>
    <t>Town of Poughkeepsie</t>
  </si>
  <si>
    <t>14 Abes Wy, Poughkeepsie, NY 12601</t>
  </si>
  <si>
    <t>Village of Irviington</t>
  </si>
  <si>
    <t xml:space="preserve"> 85 Main Street, Irvington NY 10533</t>
  </si>
  <si>
    <t>Site visit travel back up</t>
  </si>
  <si>
    <t>LB Conference travel back up</t>
  </si>
  <si>
    <t>per diem 2024</t>
  </si>
  <si>
    <t>Village of Ossining</t>
  </si>
  <si>
    <t>6 Waller Ave, Ossining, NY 10562</t>
  </si>
  <si>
    <t>pok to nyc and back</t>
  </si>
  <si>
    <t>Village of Rhinebeck</t>
  </si>
  <si>
    <t>76 East Market Street Rhinebeck, NY 12572</t>
  </si>
  <si>
    <t>Total Fringe Benefits</t>
  </si>
  <si>
    <t>nyc to dc and back</t>
  </si>
  <si>
    <t>Village of Tarrytown</t>
  </si>
  <si>
    <t>401 Deperan Rd, Tarrytown NY 10591</t>
  </si>
  <si>
    <t>TRAVEL</t>
  </si>
  <si>
    <t>miles roundtrip</t>
  </si>
  <si>
    <t>taxis</t>
  </si>
  <si>
    <t>f/l day of travel</t>
  </si>
  <si>
    <t>Village of Wappingers Falls.</t>
  </si>
  <si>
    <t>2628 South Ave, Wappingers Falls, NY 12590</t>
  </si>
  <si>
    <t>Site visits to construction sites</t>
  </si>
  <si>
    <t>Will need to update if # sites changes.</t>
  </si>
  <si>
    <t>visits a year</t>
  </si>
  <si>
    <t>food totals</t>
  </si>
  <si>
    <t>full day away</t>
  </si>
  <si>
    <t>Total Roundtrip Miles</t>
  </si>
  <si>
    <t>Update to train fare to DC if past conferences appear to be held there, using EPA WW + 3%.</t>
  </si>
  <si>
    <t>milesa year</t>
  </si>
  <si>
    <t>hotel per night</t>
  </si>
  <si>
    <t>Hotel - per diem DC rate @ 2 days per year, 3% increase per year.</t>
  </si>
  <si>
    <t>Is this the allowed rate for hotel in DC?</t>
  </si>
  <si>
    <t>yes</t>
  </si>
  <si>
    <t>IRS Rate</t>
  </si>
  <si>
    <t>Is this the allowed rate for food in DC?</t>
  </si>
  <si>
    <t>OK</t>
  </si>
  <si>
    <t>changed to lauren's rate for DC + 3%</t>
  </si>
  <si>
    <t>Total Travel</t>
  </si>
  <si>
    <t xml:space="preserve">SUPPLIES BACKUP: </t>
  </si>
  <si>
    <t>Software/Network per Employee:  Based on Cost Details HVRC-Multiplier-2024.xlsx</t>
  </si>
  <si>
    <t>EQUIPMENT</t>
  </si>
  <si>
    <t>New Staff Start Up Costs</t>
  </si>
  <si>
    <t>2 new staff</t>
  </si>
  <si>
    <t>Increase</t>
  </si>
  <si>
    <t>Notes</t>
  </si>
  <si>
    <t>None anticipated.</t>
  </si>
  <si>
    <t>monitor (2)</t>
  </si>
  <si>
    <t>https://www.dell.com/en-us/shop/dell-24-monitor-p2422h/apd/210-bbcc/monitors-monitor-accessories</t>
  </si>
  <si>
    <t>Adobe Pro</t>
  </si>
  <si>
    <t>Carla's 2023 as baseline for Pro</t>
  </si>
  <si>
    <t xml:space="preserve"> </t>
  </si>
  <si>
    <t>docking port</t>
  </si>
  <si>
    <t>https://www.dell.com/en-us/shop/dell-universal-dock-ud22/apd/210-bexr/docks</t>
  </si>
  <si>
    <t>Adobe Standard</t>
  </si>
  <si>
    <t>Mary's 2023 as baseline for Standard</t>
  </si>
  <si>
    <t>Total Equipment</t>
  </si>
  <si>
    <t>keybord</t>
  </si>
  <si>
    <t>https://www.amazon.com/s?k=keyboard&amp;crid=1GQI94MIQRWDY&amp;sprefix=keyboard%2Caps%2C77&amp;ref=nb_sb_noss_1</t>
  </si>
  <si>
    <t>BitDefender</t>
  </si>
  <si>
    <t>2024 price based on 8 staff 8</t>
  </si>
  <si>
    <t>SUPPLIES</t>
  </si>
  <si>
    <t>mouse</t>
  </si>
  <si>
    <t>https://www.amazon.com/s?k=mouse&amp;crid=331RV246I0SPL&amp;sprefix=mouse%2Caps%2C96&amp;ref=nb_sb_noss_1</t>
  </si>
  <si>
    <t>MS365</t>
  </si>
  <si>
    <t>2023 payment as baseline based on 9 staff</t>
  </si>
  <si>
    <t>Office Supplies</t>
  </si>
  <si>
    <t>https://www.signs.com/aluminum/?iv=__iv_p_1_a_281554951_g_69886998217_c_485348495496_k_%2Bmetal%20%2Bsign_m_b_w_kwd-19388282764_n_g_d_c_v__l__t__r__x__y__f__o__z__i__j__s__e__h_9004857_ii__vi__&amp;nbs=__iv_p_1_a_281554951_g_69886998217_c_485348495496_k_%2Bmetal%20%2Bsign_m_b_w_kwd-19388282764_n_g_d_c_v__l__t__r__x__y__f__o__z__i__j__s__e__h_9004857_ii__vi__&amp;gad_source=1&amp;gclid=CjwKCAjwh4-wBhB3EiwAeJsppGobri_-pytAb9W3NklcYtEac4oWHmOcl0udMQKXuE_pEcGu1N6BoBoCU1QQAvD_BwE</t>
  </si>
  <si>
    <t>surge protector</t>
  </si>
  <si>
    <t>https://www.amazon.com/Surge-Protectors/b?ie=UTF8&amp;node=761520</t>
  </si>
  <si>
    <t>Verizon</t>
  </si>
  <si>
    <t>2024 monthly payment as baseline based on 6 staff phones; does not include cost of phone</t>
  </si>
  <si>
    <t>--Get current estimate for items previously quoted by Colby.
--Quote for monitors same size as CC's.
--We have extra chair's stored; won't need chair.
--I added cost for mouse yr 4</t>
  </si>
  <si>
    <t>done, see N28. Will add more details in narrative.</t>
  </si>
  <si>
    <t>desk</t>
  </si>
  <si>
    <t>https://www.ikea.com/us/en/p/trotten-desk-sit-stand-white-s79429602/</t>
  </si>
  <si>
    <t>Zoom</t>
  </si>
  <si>
    <t>2023 payment as baseline based on 6 staff</t>
  </si>
  <si>
    <t>Start Up Costs for 1 new employee (computer, monitors, docking port, keyboard, mouse, surge protector, desk, phone)</t>
  </si>
  <si>
    <t>--See change to description.
--Adjust and don't hardcode bc when I used formula in D35 I got different total.  OR, use summation starting in cell U27.</t>
  </si>
  <si>
    <t xml:space="preserve">changed description and used your software calcs on the right. Will add more details in narrative. </t>
  </si>
  <si>
    <t>making desk</t>
  </si>
  <si>
    <t>estimate + removal of bookcases</t>
  </si>
  <si>
    <t>Total New Person</t>
  </si>
  <si>
    <t>New person @ 100%</t>
  </si>
  <si>
    <t xml:space="preserve">Software for program staff (zoom, MS365, adobe, verizon, bitdefender) </t>
  </si>
  <si>
    <t>new phone</t>
  </si>
  <si>
    <t>memory from Carla</t>
  </si>
  <si>
    <t>Total ED</t>
  </si>
  <si>
    <t>ED @3%</t>
  </si>
  <si>
    <t>Total Supplies</t>
  </si>
  <si>
    <t>computer</t>
  </si>
  <si>
    <t>https://www.dell.com/en-us/shop/dell-laptops/latitude-5540-laptop/spd/latitude-15-5540-laptop/s119l5540usvp?ref=variantstack</t>
  </si>
  <si>
    <t>Total DED</t>
  </si>
  <si>
    <t>DED @5%</t>
  </si>
  <si>
    <t>CONTRACTUAL</t>
  </si>
  <si>
    <t>Total AM&amp;C</t>
  </si>
  <si>
    <t>AM&amp;C @7% yes Adobe Pro, no Zoom</t>
  </si>
  <si>
    <t>Total All Program Staff</t>
  </si>
  <si>
    <t>ICLEI FEE Structure</t>
  </si>
  <si>
    <t>https://icleiusa.org/join-iclei/</t>
  </si>
  <si>
    <t>4 years</t>
  </si>
  <si>
    <t>Total Contractual</t>
  </si>
  <si>
    <t>Regional Gov</t>
  </si>
  <si>
    <t>Op Budget $1.5-3M</t>
  </si>
  <si>
    <t>Y1</t>
  </si>
  <si>
    <t>Y2</t>
  </si>
  <si>
    <t>Y3</t>
  </si>
  <si>
    <t>Y4</t>
  </si>
  <si>
    <t>Y5</t>
  </si>
  <si>
    <t>Cross Check</t>
  </si>
  <si>
    <t>OTHER</t>
  </si>
  <si>
    <t>Everyone else</t>
  </si>
  <si>
    <t>pop 0-100K</t>
  </si>
  <si>
    <t>Overarching Scope of Work (launch event, template RFP, template sign, travel, and GRITS for 4 years</t>
  </si>
  <si>
    <t>Muni 1</t>
  </si>
  <si>
    <t>^annual cost last year</t>
  </si>
  <si>
    <t>&lt;--annual cost first 4 years</t>
  </si>
  <si>
    <t>Muni 2</t>
  </si>
  <si>
    <t>Muni 3</t>
  </si>
  <si>
    <t>Muni 4</t>
  </si>
  <si>
    <t>Muni 5</t>
  </si>
  <si>
    <t>Village of Irvington</t>
  </si>
  <si>
    <t>Muni 6</t>
  </si>
  <si>
    <t>Other:  This is where project  costs will appear.</t>
  </si>
  <si>
    <t>NOTE -- cell E47:  currently for 8 munis, adjust for final muni count.</t>
  </si>
  <si>
    <t>Muni 7</t>
  </si>
  <si>
    <t>Min Proj Budget:</t>
  </si>
  <si>
    <t>MM</t>
  </si>
  <si>
    <t>Muni 8</t>
  </si>
  <si>
    <t>Muni 9</t>
  </si>
  <si>
    <t>Village of Wappingers Falls</t>
  </si>
  <si>
    <t>Muni total</t>
  </si>
  <si>
    <t>Muni 10</t>
  </si>
  <si>
    <t>Sustainable Westchester</t>
  </si>
  <si>
    <t>https://www.ecfr.gov/current/title-2/subtitle-A/chapter-II/part-200/subpart-E/subject-group-ECFRd93f2a98b1f6455/section-200.414</t>
  </si>
  <si>
    <t>ICLEI Membership for each municipality and HVRC</t>
  </si>
  <si>
    <t>Total Other</t>
  </si>
  <si>
    <t>Total Direct</t>
  </si>
  <si>
    <t>Indirect Costs</t>
  </si>
  <si>
    <t>Modified Total Direct</t>
  </si>
  <si>
    <t>10% de minimus on Modified Total Direct</t>
  </si>
  <si>
    <t>https://www.ecfr.gov/current/title-2/subtitle-A/chapter-II/part-200/subpart-A/subject-group-ECFR2a6a0087862fd2c/section-200.1</t>
  </si>
  <si>
    <t>Total Indirect</t>
  </si>
  <si>
    <t xml:space="preserve">TOTAL FUNDING </t>
  </si>
  <si>
    <t>Participant support costs not applicable to us because only employees would benefit from travel for conferences or training.</t>
  </si>
  <si>
    <t>Personnel</t>
  </si>
  <si>
    <t xml:space="preserve"> Fringe Benefits </t>
  </si>
  <si>
    <t xml:space="preserve"> Travel </t>
  </si>
  <si>
    <t xml:space="preserve"> Equipment </t>
  </si>
  <si>
    <t xml:space="preserve"> Supplies </t>
  </si>
  <si>
    <t xml:space="preserve"> Contractual 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</si>
  <si>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</si>
  <si>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</si>
  <si>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</si>
  <si>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</si>
  <si>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</si>
  <si>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</si>
  <si>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</si>
  <si>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</si>
  <si>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</si>
  <si>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</si>
  <si>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</si>
  <si>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</si>
  <si>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</si>
  <si>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</si>
  <si>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</si>
  <si>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</si>
  <si>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</si>
  <si>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</si>
  <si>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</si>
  <si>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</si>
  <si>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</si>
  <si>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</si>
  <si>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</si>
  <si>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</si>
  <si>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</si>
  <si>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</si>
  <si>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</si>
  <si>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</si>
  <si>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</si>
  <si>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</si>
  <si>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</si>
  <si>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</si>
  <si>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</si>
  <si>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</si>
  <si>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From Rachel's Email - doesn't quite add up perfectly, but needs to be rounded up anyways. </t>
  </si>
  <si>
    <t xml:space="preserve">2 new people (landfill): </t>
  </si>
  <si>
    <t>x</t>
  </si>
  <si>
    <t>Executive Director - % of Program salary: 70%, 71%, 73%, 74%, 75%</t>
  </si>
  <si>
    <t>Deputy Executive Director - % of Program salary:  39%, 39%, 40%, 41%, 41%</t>
  </si>
  <si>
    <t>Program Manager - % of Program salary:  85%, 86%, 88%, 91%, 93%</t>
  </si>
  <si>
    <t>Administrative Manager &amp; Comptroller - % of Program salary:  81%, 81%, 83%, 87%, 89%</t>
  </si>
  <si>
    <t>Train tickets to/from DC, 3% increase per year.</t>
  </si>
  <si>
    <t>2x3 ft. sign @$90/municipality</t>
  </si>
  <si>
    <t>Food - per diem DC - $79 per day @ 1 full day, 59.25 for first and last day of travel, 3% increase per year.</t>
  </si>
  <si>
    <t>Taxi - $55 per year, 3% increase per year.</t>
  </si>
  <si>
    <t>annual cost for first 4 years</t>
  </si>
  <si>
    <t xml:space="preserve">TOTAL FRINGE BENEFITS  </t>
  </si>
  <si>
    <t xml:space="preserve">TOTAL TRAVEL </t>
  </si>
  <si>
    <t xml:space="preserve">TOTAL EQUIPMENT </t>
  </si>
  <si>
    <t xml:space="preserve">TOTAL SUPPLIES </t>
  </si>
  <si>
    <t xml:space="preserve">TOTAL CONTRACTUAL </t>
  </si>
  <si>
    <t>Mid-Hudson Municipal Building Electrification Coalition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</si>
</sst>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_([$$-409]* #,##0.00_);_([$$-409]* \(#,##0.00\);_([$$-409]* &quot;-&quot;??_);_(@_)"/>
    <numFmt numFmtId="166" formatCode="&quot;$&quot;#,##0"/>
    <numFmt numFmtId="167" formatCode="&quot;$&quot;#,##0.00"/>
  </numFmts>
  <fonts count="2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6E6E6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206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2" fillId="0" borderId="2" xfId="0" applyFont="1" applyBorder="1" applyAlignment="1">
      <alignment vertical="top" wrapText="1"/>
    </xf>
    <xf numFmtId="0" fontId="0" fillId="0" borderId="24" xfId="0" applyBorder="1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14" fillId="0" borderId="0" xfId="0" applyFont="1" applyAlignment="1">
      <alignment vertical="center"/>
    </xf>
    <xf numFmtId="164" fontId="0" fillId="0" borderId="0" xfId="1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3" fillId="5" borderId="8" xfId="0" applyFont="1" applyFill="1" applyBorder="1" applyAlignment="1">
      <alignment vertical="center"/>
    </xf>
    <xf numFmtId="0" fontId="1" fillId="5" borderId="7" xfId="0" applyFont="1" applyFill="1" applyBorder="1" applyAlignment="1">
      <alignment vertical="center" wrapText="1"/>
    </xf>
    <xf numFmtId="0" fontId="10" fillId="6" borderId="13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0" fontId="2" fillId="0" borderId="21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2" fillId="0" borderId="24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2" fillId="9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44" fontId="0" fillId="0" borderId="24" xfId="1" applyFont="1" applyBorder="1" applyAlignment="1">
      <alignment vertical="center"/>
    </xf>
    <xf numFmtId="44" fontId="0" fillId="0" borderId="26" xfId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0" fillId="0" borderId="8" xfId="0" applyFont="1" applyBorder="1" applyAlignment="1">
      <alignment vertical="center" wrapText="1"/>
    </xf>
    <xf numFmtId="0" fontId="0" fillId="0" borderId="0" xfId="0" quotePrefix="1" applyAlignment="1">
      <alignment vertical="center" wrapText="1"/>
    </xf>
    <xf numFmtId="2" fontId="0" fillId="0" borderId="0" xfId="0" applyNumberFormat="1" applyAlignment="1">
      <alignment vertical="center"/>
    </xf>
    <xf numFmtId="0" fontId="2" fillId="0" borderId="26" xfId="0" applyFont="1" applyBorder="1" applyAlignment="1">
      <alignment vertical="center"/>
    </xf>
    <xf numFmtId="0" fontId="10" fillId="4" borderId="1" xfId="0" applyFont="1" applyFill="1" applyBorder="1" applyAlignment="1">
      <alignment vertical="center" wrapText="1"/>
    </xf>
    <xf numFmtId="44" fontId="0" fillId="0" borderId="30" xfId="1" applyFont="1" applyBorder="1" applyAlignment="1">
      <alignment vertical="center"/>
    </xf>
    <xf numFmtId="44" fontId="2" fillId="0" borderId="29" xfId="0" applyNumberFormat="1" applyFont="1" applyBorder="1" applyAlignment="1">
      <alignment vertical="center"/>
    </xf>
    <xf numFmtId="0" fontId="2" fillId="10" borderId="0" xfId="0" applyFont="1" applyFill="1" applyAlignment="1">
      <alignment vertical="center" wrapText="1"/>
    </xf>
    <xf numFmtId="166" fontId="19" fillId="0" borderId="0" xfId="0" applyNumberFormat="1" applyFont="1" applyAlignment="1">
      <alignment vertical="center"/>
    </xf>
    <xf numFmtId="0" fontId="2" fillId="0" borderId="22" xfId="0" applyFont="1" applyBorder="1" applyAlignment="1">
      <alignment vertical="center"/>
    </xf>
    <xf numFmtId="165" fontId="0" fillId="0" borderId="30" xfId="0" applyNumberFormat="1" applyBorder="1" applyAlignment="1">
      <alignment vertical="center"/>
    </xf>
    <xf numFmtId="0" fontId="0" fillId="0" borderId="26" xfId="0" applyBorder="1" applyAlignment="1">
      <alignment vertical="center" wrapText="1"/>
    </xf>
    <xf numFmtId="165" fontId="0" fillId="0" borderId="27" xfId="0" applyNumberFormat="1" applyBorder="1" applyAlignment="1">
      <alignment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/>
    </xf>
    <xf numFmtId="44" fontId="0" fillId="0" borderId="1" xfId="1" applyFont="1" applyBorder="1" applyAlignment="1">
      <alignment vertical="center"/>
    </xf>
    <xf numFmtId="166" fontId="19" fillId="0" borderId="1" xfId="1" applyNumberFormat="1" applyFont="1" applyBorder="1" applyAlignment="1">
      <alignment vertical="center" wrapText="1"/>
    </xf>
    <xf numFmtId="166" fontId="19" fillId="0" borderId="0" xfId="1" applyNumberFormat="1" applyFont="1" applyAlignment="1">
      <alignment vertical="center"/>
    </xf>
    <xf numFmtId="166" fontId="19" fillId="0" borderId="1" xfId="1" applyNumberFormat="1" applyFont="1" applyFill="1" applyBorder="1" applyAlignment="1">
      <alignment vertical="center" wrapText="1"/>
    </xf>
    <xf numFmtId="166" fontId="1" fillId="5" borderId="7" xfId="0" applyNumberFormat="1" applyFont="1" applyFill="1" applyBorder="1" applyAlignment="1">
      <alignment vertical="center" wrapText="1"/>
    </xf>
    <xf numFmtId="166" fontId="1" fillId="5" borderId="6" xfId="0" applyNumberFormat="1" applyFont="1" applyFill="1" applyBorder="1" applyAlignment="1">
      <alignment vertical="center" wrapText="1"/>
    </xf>
    <xf numFmtId="166" fontId="10" fillId="6" borderId="13" xfId="0" applyNumberFormat="1" applyFont="1" applyFill="1" applyBorder="1" applyAlignment="1">
      <alignment vertical="center" wrapText="1"/>
    </xf>
    <xf numFmtId="166" fontId="10" fillId="6" borderId="14" xfId="0" applyNumberFormat="1" applyFont="1" applyFill="1" applyBorder="1" applyAlignment="1">
      <alignment vertical="center" wrapText="1"/>
    </xf>
    <xf numFmtId="166" fontId="10" fillId="6" borderId="15" xfId="0" applyNumberFormat="1" applyFont="1" applyFill="1" applyBorder="1" applyAlignment="1">
      <alignment vertical="center" wrapText="1"/>
    </xf>
    <xf numFmtId="166" fontId="10" fillId="6" borderId="7" xfId="0" applyNumberFormat="1" applyFont="1" applyFill="1" applyBorder="1" applyAlignment="1">
      <alignment vertical="center" wrapText="1"/>
    </xf>
    <xf numFmtId="166" fontId="10" fillId="6" borderId="3" xfId="0" applyNumberFormat="1" applyFont="1" applyFill="1" applyBorder="1" applyAlignment="1">
      <alignment vertical="center"/>
    </xf>
    <xf numFmtId="166" fontId="19" fillId="0" borderId="7" xfId="0" applyNumberFormat="1" applyFont="1" applyBorder="1" applyAlignment="1">
      <alignment vertical="center" wrapText="1"/>
    </xf>
    <xf numFmtId="166" fontId="19" fillId="0" borderId="6" xfId="0" applyNumberFormat="1" applyFont="1" applyBorder="1" applyAlignment="1">
      <alignment vertical="center" wrapText="1"/>
    </xf>
    <xf numFmtId="166" fontId="19" fillId="0" borderId="1" xfId="0" applyNumberFormat="1" applyFont="1" applyBorder="1" applyAlignment="1">
      <alignment vertical="center"/>
    </xf>
    <xf numFmtId="166" fontId="19" fillId="0" borderId="0" xfId="1" applyNumberFormat="1" applyFont="1" applyFill="1" applyAlignment="1">
      <alignment vertical="center"/>
    </xf>
    <xf numFmtId="166" fontId="20" fillId="4" borderId="1" xfId="1" applyNumberFormat="1" applyFont="1" applyFill="1" applyBorder="1" applyAlignment="1">
      <alignment vertical="center" wrapText="1"/>
    </xf>
    <xf numFmtId="166" fontId="20" fillId="0" borderId="0" xfId="1" applyNumberFormat="1" applyFont="1" applyAlignment="1">
      <alignment vertical="center"/>
    </xf>
    <xf numFmtId="166" fontId="19" fillId="0" borderId="7" xfId="1" applyNumberFormat="1" applyFont="1" applyBorder="1" applyAlignment="1">
      <alignment vertical="center" wrapText="1"/>
    </xf>
    <xf numFmtId="166" fontId="19" fillId="0" borderId="6" xfId="1" applyNumberFormat="1" applyFont="1" applyBorder="1" applyAlignment="1">
      <alignment vertical="center" wrapText="1"/>
    </xf>
    <xf numFmtId="166" fontId="19" fillId="0" borderId="1" xfId="1" applyNumberFormat="1" applyFont="1" applyBorder="1" applyAlignment="1">
      <alignment vertical="center"/>
    </xf>
    <xf numFmtId="166" fontId="20" fillId="4" borderId="4" xfId="1" applyNumberFormat="1" applyFont="1" applyFill="1" applyBorder="1" applyAlignment="1">
      <alignment vertical="center" wrapText="1"/>
    </xf>
    <xf numFmtId="166" fontId="0" fillId="0" borderId="0" xfId="1" applyNumberFormat="1" applyFont="1" applyBorder="1" applyAlignment="1">
      <alignment vertical="center"/>
    </xf>
    <xf numFmtId="166" fontId="0" fillId="0" borderId="0" xfId="1" applyNumberFormat="1" applyFont="1" applyAlignment="1">
      <alignment vertical="center"/>
    </xf>
    <xf numFmtId="166" fontId="7" fillId="0" borderId="0" xfId="1" applyNumberFormat="1" applyFont="1" applyAlignment="1">
      <alignment vertical="center"/>
    </xf>
    <xf numFmtId="166" fontId="2" fillId="0" borderId="0" xfId="1" applyNumberFormat="1" applyFont="1" applyAlignment="1">
      <alignment vertical="center"/>
    </xf>
    <xf numFmtId="166" fontId="20" fillId="0" borderId="12" xfId="1" applyNumberFormat="1" applyFont="1" applyBorder="1" applyAlignment="1">
      <alignment vertical="center" wrapText="1"/>
    </xf>
    <xf numFmtId="166" fontId="19" fillId="0" borderId="3" xfId="1" applyNumberFormat="1" applyFont="1" applyBorder="1" applyAlignment="1">
      <alignment vertical="center" wrapText="1"/>
    </xf>
    <xf numFmtId="6" fontId="0" fillId="0" borderId="1" xfId="0" applyNumberFormat="1" applyBorder="1" applyAlignment="1">
      <alignment horizontal="right" vertical="center" wrapText="1"/>
    </xf>
    <xf numFmtId="0" fontId="0" fillId="11" borderId="0" xfId="0" applyFill="1" applyAlignment="1">
      <alignment vertical="center" wrapText="1"/>
    </xf>
    <xf numFmtId="166" fontId="0" fillId="11" borderId="0" xfId="0" applyNumberFormat="1" applyFill="1" applyAlignment="1">
      <alignment vertical="center" wrapText="1"/>
    </xf>
    <xf numFmtId="167" fontId="0" fillId="0" borderId="1" xfId="1" applyNumberFormat="1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44" fontId="0" fillId="0" borderId="0" xfId="0" applyNumberFormat="1" applyAlignment="1">
      <alignment vertical="center"/>
    </xf>
    <xf numFmtId="8" fontId="21" fillId="0" borderId="31" xfId="0" applyNumberFormat="1" applyFont="1" applyBorder="1" applyAlignment="1">
      <alignment horizontal="right" vertical="center" wrapText="1"/>
    </xf>
    <xf numFmtId="44" fontId="2" fillId="0" borderId="1" xfId="1" applyFont="1" applyBorder="1" applyAlignment="1">
      <alignment vertical="center"/>
    </xf>
    <xf numFmtId="44" fontId="2" fillId="0" borderId="1" xfId="1" applyFont="1" applyBorder="1" applyAlignment="1">
      <alignment vertical="center" wrapText="1"/>
    </xf>
    <xf numFmtId="167" fontId="0" fillId="0" borderId="1" xfId="0" applyNumberFormat="1" applyBorder="1" applyAlignment="1">
      <alignment vertical="center"/>
    </xf>
    <xf numFmtId="166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11" borderId="0" xfId="0" applyFill="1" applyAlignment="1">
      <alignment horizontal="center" vertical="center"/>
    </xf>
    <xf numFmtId="166" fontId="0" fillId="0" borderId="1" xfId="1" applyNumberFormat="1" applyFont="1" applyBorder="1" applyAlignment="1">
      <alignment vertical="center"/>
    </xf>
    <xf numFmtId="0" fontId="0" fillId="0" borderId="32" xfId="0" applyBorder="1" applyAlignment="1">
      <alignment vertical="center"/>
    </xf>
    <xf numFmtId="0" fontId="7" fillId="7" borderId="1" xfId="0" applyFont="1" applyFill="1" applyBorder="1" applyAlignment="1">
      <alignment vertical="center" wrapText="1"/>
    </xf>
    <xf numFmtId="6" fontId="19" fillId="7" borderId="1" xfId="0" applyNumberFormat="1" applyFont="1" applyFill="1" applyBorder="1" applyAlignment="1">
      <alignment horizontal="left" vertical="center" wrapText="1"/>
    </xf>
    <xf numFmtId="6" fontId="19" fillId="7" borderId="8" xfId="0" applyNumberFormat="1" applyFont="1" applyFill="1" applyBorder="1" applyAlignment="1">
      <alignment vertical="center" wrapText="1"/>
    </xf>
    <xf numFmtId="0" fontId="10" fillId="0" borderId="11" xfId="0" applyFont="1" applyBorder="1" applyAlignment="1">
      <alignment vertical="center"/>
    </xf>
    <xf numFmtId="166" fontId="20" fillId="0" borderId="33" xfId="1" applyNumberFormat="1" applyFont="1" applyBorder="1" applyAlignment="1">
      <alignment vertical="center" wrapText="1"/>
    </xf>
    <xf numFmtId="166" fontId="20" fillId="0" borderId="19" xfId="1" applyNumberFormat="1" applyFont="1" applyBorder="1" applyAlignment="1">
      <alignment vertical="center" wrapText="1"/>
    </xf>
    <xf numFmtId="0" fontId="10" fillId="0" borderId="8" xfId="0" applyFont="1" applyBorder="1" applyAlignment="1" applyProtection="1">
      <alignment vertical="center" wrapText="1"/>
      <protection locked="0"/>
    </xf>
    <xf numFmtId="6" fontId="9" fillId="0" borderId="7" xfId="0" applyNumberFormat="1" applyFont="1" applyBorder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/>
      <protection locked="0"/>
    </xf>
    <xf numFmtId="0" fontId="7" fillId="0" borderId="6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6" fontId="9" fillId="0" borderId="1" xfId="0" applyNumberFormat="1" applyFont="1" applyBorder="1" applyAlignment="1" applyProtection="1">
      <alignment vertical="center"/>
      <protection locked="0"/>
    </xf>
    <xf numFmtId="0" fontId="19" fillId="0" borderId="7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6" fontId="19" fillId="0" borderId="1" xfId="0" applyNumberFormat="1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22" fillId="0" borderId="1" xfId="3" applyBorder="1" applyAlignment="1">
      <alignment vertical="center"/>
    </xf>
    <xf numFmtId="166" fontId="20" fillId="12" borderId="1" xfId="1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0" fillId="3" borderId="13" xfId="0" applyFont="1" applyFill="1" applyBorder="1" applyAlignment="1">
      <alignment vertical="center" wrapText="1"/>
    </xf>
    <xf numFmtId="0" fontId="10" fillId="3" borderId="14" xfId="0" applyFont="1" applyFill="1" applyBorder="1" applyAlignment="1">
      <alignment vertical="center" wrapText="1"/>
    </xf>
    <xf numFmtId="0" fontId="10" fillId="3" borderId="15" xfId="0" applyFont="1" applyFill="1" applyBorder="1" applyAlignment="1">
      <alignment vertical="center" wrapText="1"/>
    </xf>
    <xf numFmtId="0" fontId="10" fillId="3" borderId="7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6" fontId="19" fillId="7" borderId="1" xfId="0" applyNumberFormat="1" applyFont="1" applyFill="1" applyBorder="1" applyAlignment="1">
      <alignment vertical="center" wrapText="1"/>
    </xf>
    <xf numFmtId="0" fontId="19" fillId="8" borderId="0" xfId="0" applyFont="1" applyFill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7" fillId="4" borderId="1" xfId="0" applyFont="1" applyFill="1" applyBorder="1" applyAlignment="1">
      <alignment vertical="center" wrapText="1"/>
    </xf>
    <xf numFmtId="6" fontId="19" fillId="4" borderId="1" xfId="0" applyNumberFormat="1" applyFont="1" applyFill="1" applyBorder="1" applyAlignment="1">
      <alignment vertical="center" wrapText="1"/>
    </xf>
    <xf numFmtId="0" fontId="19" fillId="0" borderId="0" xfId="0" applyFont="1" applyAlignment="1">
      <alignment vertical="center"/>
    </xf>
    <xf numFmtId="6" fontId="7" fillId="4" borderId="1" xfId="0" applyNumberFormat="1" applyFont="1" applyFill="1" applyBorder="1" applyAlignment="1">
      <alignment vertical="center" wrapText="1"/>
    </xf>
    <xf numFmtId="6" fontId="10" fillId="0" borderId="19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6" fontId="0" fillId="0" borderId="0" xfId="0" applyNumberFormat="1" applyAlignment="1">
      <alignment vertical="center"/>
    </xf>
    <xf numFmtId="0" fontId="10" fillId="3" borderId="20" xfId="0" applyFont="1" applyFill="1" applyBorder="1" applyAlignment="1">
      <alignment vertical="center" wrapText="1"/>
    </xf>
    <xf numFmtId="6" fontId="9" fillId="7" borderId="1" xfId="0" applyNumberFormat="1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0" fontId="0" fillId="0" borderId="30" xfId="0" applyBorder="1" applyAlignment="1">
      <alignment vertical="center"/>
    </xf>
    <xf numFmtId="6" fontId="10" fillId="0" borderId="12" xfId="0" applyNumberFormat="1" applyFont="1" applyBorder="1" applyAlignment="1">
      <alignment vertical="center" wrapText="1"/>
    </xf>
    <xf numFmtId="6" fontId="10" fillId="0" borderId="33" xfId="0" applyNumberFormat="1" applyFont="1" applyBorder="1" applyAlignment="1">
      <alignment vertical="center" wrapText="1"/>
    </xf>
    <xf numFmtId="166" fontId="7" fillId="4" borderId="2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9" fontId="19" fillId="7" borderId="1" xfId="2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6E6E6"/>
      <color rgb="FFFF99FF"/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vrc.sharepoint.com/sites/TeamHVRC-Personnel--EleanorPeck/Shared%20Documents/Personnel--EleanorPeck/WorkingFolder/Grant%20Apps/EPA%20CPRG/HVRC-Multiplier-2025_2026_2027_2028_2029-EPACPRG-cc.xlsx" TargetMode="External"/><Relationship Id="rId1" Type="http://schemas.openxmlformats.org/officeDocument/2006/relationships/externalLinkPath" Target="HVRC-Multiplier-2025_2026_2027_2028_2029-EPACPRG-cc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vrc.sharepoint.com/sites/TeamHVRC/Shared%20Documents/General/GrantApps/CPRG/Heat%20Pumps/App%20Forms/GHGcalcs_HVRC.xlsx" TargetMode="External"/><Relationship Id="rId1" Type="http://schemas.openxmlformats.org/officeDocument/2006/relationships/externalLinkPath" Target="/sites/TeamHVRC/Shared%20Documents/General/GrantApps/CPRG/Heat%20Pumps/App%20Forms/GHGcalcs_HVR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racking"/>
      <sheetName val="Base-EPACPRG2025"/>
      <sheetName val="Base-EPACPRG2026"/>
      <sheetName val="Base-EPACPRG2027"/>
      <sheetName val="Base-EPACPRG2028"/>
      <sheetName val="Base-EPACPRG2029"/>
    </sheetNames>
    <sheetDataSet>
      <sheetData sheetId="0"/>
      <sheetData sheetId="1">
        <row r="17">
          <cell r="E17">
            <v>103000</v>
          </cell>
          <cell r="F17">
            <v>77250</v>
          </cell>
          <cell r="G17">
            <v>75000</v>
          </cell>
          <cell r="L17">
            <v>70000</v>
          </cell>
        </row>
        <row r="51">
          <cell r="E51">
            <v>0.7</v>
          </cell>
          <cell r="F51">
            <v>0.39</v>
          </cell>
          <cell r="G51">
            <v>0.81</v>
          </cell>
          <cell r="L51">
            <v>0.85</v>
          </cell>
        </row>
      </sheetData>
      <sheetData sheetId="2">
        <row r="17">
          <cell r="E17">
            <v>106090</v>
          </cell>
          <cell r="F17">
            <v>79567.5</v>
          </cell>
          <cell r="G17">
            <v>77250</v>
          </cell>
          <cell r="L17">
            <v>72100</v>
          </cell>
        </row>
        <row r="51">
          <cell r="E51">
            <v>0.71</v>
          </cell>
          <cell r="F51">
            <v>0.39</v>
          </cell>
          <cell r="G51">
            <v>0.81</v>
          </cell>
          <cell r="L51">
            <v>0.86</v>
          </cell>
        </row>
      </sheetData>
      <sheetData sheetId="3">
        <row r="17">
          <cell r="E17">
            <v>109272.7</v>
          </cell>
          <cell r="F17">
            <v>81954.525000000009</v>
          </cell>
          <cell r="G17">
            <v>79567.5</v>
          </cell>
          <cell r="L17">
            <v>74263</v>
          </cell>
        </row>
        <row r="51">
          <cell r="E51">
            <v>0.73</v>
          </cell>
          <cell r="F51">
            <v>0.4</v>
          </cell>
          <cell r="G51">
            <v>0.83</v>
          </cell>
          <cell r="L51">
            <v>0.88</v>
          </cell>
        </row>
      </sheetData>
      <sheetData sheetId="4">
        <row r="17">
          <cell r="E17">
            <v>112550.88099999999</v>
          </cell>
          <cell r="F17">
            <v>84413.16075000001</v>
          </cell>
          <cell r="G17">
            <v>81954.525000000009</v>
          </cell>
          <cell r="L17">
            <v>76490.89</v>
          </cell>
        </row>
        <row r="51">
          <cell r="E51">
            <v>0.74</v>
          </cell>
          <cell r="F51">
            <v>0.41</v>
          </cell>
          <cell r="G51">
            <v>0.87</v>
          </cell>
          <cell r="L51">
            <v>0.91</v>
          </cell>
        </row>
      </sheetData>
      <sheetData sheetId="5">
        <row r="17">
          <cell r="E17">
            <v>115927.40742999999</v>
          </cell>
          <cell r="F17">
            <v>86945.555572500016</v>
          </cell>
          <cell r="G17">
            <v>84413.16075000001</v>
          </cell>
          <cell r="L17">
            <v>78785.616699999999</v>
          </cell>
        </row>
        <row r="51">
          <cell r="E51">
            <v>0.75</v>
          </cell>
          <cell r="F51">
            <v>0.41</v>
          </cell>
          <cell r="G51">
            <v>0.89</v>
          </cell>
          <cell r="L51">
            <v>0.93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solidated Budget"/>
      <sheetName val="Consolidated GHG Emissions"/>
      <sheetName val="Instructions"/>
      <sheetName val="C-Peekskill"/>
      <sheetName val="C-White Plains"/>
      <sheetName val="T-Amenia"/>
      <sheetName val="T-Pleasant Valley"/>
      <sheetName val="T-Poughkeepsie"/>
      <sheetName val="V-Irvington"/>
      <sheetName val="V-Ossining"/>
      <sheetName val="V-Rhinebeck"/>
      <sheetName val="V- Tarrytown"/>
      <sheetName val="V-Wappingers"/>
      <sheetName val="Dutchess Forecast Guidance"/>
      <sheetName val="Westchester Forecast Guidance"/>
    </sheetNames>
    <sheetDataSet>
      <sheetData sheetId="0"/>
      <sheetData sheetId="1"/>
      <sheetData sheetId="2"/>
      <sheetData sheetId="3">
        <row r="19">
          <cell r="C19">
            <v>720000</v>
          </cell>
          <cell r="D19">
            <v>720000</v>
          </cell>
        </row>
      </sheetData>
      <sheetData sheetId="4">
        <row r="24">
          <cell r="F24">
            <v>858849</v>
          </cell>
          <cell r="G24">
            <v>858850</v>
          </cell>
          <cell r="H24">
            <v>858850</v>
          </cell>
        </row>
      </sheetData>
      <sheetData sheetId="5">
        <row r="28">
          <cell r="C28">
            <v>157466</v>
          </cell>
          <cell r="D28">
            <v>157467</v>
          </cell>
        </row>
      </sheetData>
      <sheetData sheetId="6">
        <row r="24">
          <cell r="D24">
            <v>329439</v>
          </cell>
          <cell r="E24">
            <v>329439</v>
          </cell>
        </row>
      </sheetData>
      <sheetData sheetId="7">
        <row r="29">
          <cell r="D29">
            <v>167475</v>
          </cell>
          <cell r="E29">
            <v>167475</v>
          </cell>
        </row>
      </sheetData>
      <sheetData sheetId="8">
        <row r="18">
          <cell r="D18">
            <v>500000</v>
          </cell>
          <cell r="E18">
            <v>500000</v>
          </cell>
        </row>
      </sheetData>
      <sheetData sheetId="9">
        <row r="25">
          <cell r="D25">
            <v>187867</v>
          </cell>
          <cell r="E25">
            <v>187867</v>
          </cell>
        </row>
      </sheetData>
      <sheetData sheetId="10">
        <row r="27">
          <cell r="F27">
            <v>316346</v>
          </cell>
          <cell r="G27">
            <v>316347</v>
          </cell>
          <cell r="H27">
            <v>316347</v>
          </cell>
        </row>
      </sheetData>
      <sheetData sheetId="11">
        <row r="27">
          <cell r="D27">
            <v>235501</v>
          </cell>
        </row>
      </sheetData>
      <sheetData sheetId="12">
        <row r="25">
          <cell r="D25">
            <v>106400</v>
          </cell>
        </row>
      </sheetData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Q42" dT="2024-04-01T06:13:12.42" personId="{00000000-0000-0000-0000-000000000000}" id="{520B832A-AAF2-487C-BC62-83EBC3E36F52}">
    <text>[Mention was removed] :  how do you get to $12,800 here?  What's the math?</text>
  </threadedComment>
  <threadedComment ref="Q42" dT="2024-04-01T14:21:45.38" personId="{00000000-0000-0000-0000-000000000000}" id="{E35B085B-3689-4151-A4E5-D5A5F7946CED}" parentId="{520B832A-AAF2-487C-BC62-83EBC3E36F52}">
    <text xml:space="preserve">There is no math. That's the cost for 4 years, per the link. </text>
  </threadedComment>
  <threadedComment ref="Q42" dT="2024-04-01T14:22:19.24" personId="{00000000-0000-0000-0000-000000000000}" id="{179BD68A-B6A5-4F71-A3E4-924FD16C7450}" parentId="{520B832A-AAF2-487C-BC62-83EBC3E36F52}">
    <text>See screenshot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icleiusa.org/join-iclei/" TargetMode="External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R38" sqref="R38"/>
    </sheetView>
  </sheetViews>
  <sheetFormatPr defaultRowHeight="15" x14ac:dyDescent="0.25"/>
  <cols>
    <col min="1" max="1" width="1.85546875" customWidth="1"/>
    <col min="5" max="5" width="13.28515625" bestFit="1" customWidth="1"/>
    <col min="6" max="6" width="14.28515625" bestFit="1" customWidth="1"/>
    <col min="7" max="9" width="14.285156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48"/>
      <c r="R28" s="49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285156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215</v>
      </c>
      <c r="D7" s="10" t="s">
        <v>41</v>
      </c>
      <c r="E7" s="10" t="s">
        <v>41</v>
      </c>
      <c r="F7" s="10" t="s">
        <v>41</v>
      </c>
      <c r="G7" s="10"/>
      <c r="H7" s="10" t="s">
        <v>41</v>
      </c>
      <c r="I7" s="7"/>
      <c r="J7" s="8" t="s">
        <v>41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246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224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216</v>
      </c>
      <c r="D12" s="13" t="s">
        <v>41</v>
      </c>
      <c r="E12" s="10"/>
      <c r="F12" s="10"/>
      <c r="G12" s="10"/>
      <c r="H12" s="10"/>
      <c r="J12" s="8" t="s">
        <v>41</v>
      </c>
    </row>
    <row r="13" spans="2:39" x14ac:dyDescent="0.25">
      <c r="B13" s="23"/>
      <c r="C13" s="25" t="s">
        <v>225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217</v>
      </c>
      <c r="D17" s="13" t="s">
        <v>41</v>
      </c>
      <c r="E17" s="10"/>
      <c r="F17" s="10"/>
      <c r="G17" s="10"/>
      <c r="H17" s="10"/>
      <c r="J17" s="8" t="s">
        <v>41</v>
      </c>
    </row>
    <row r="18" spans="2:10" x14ac:dyDescent="0.25">
      <c r="B18" s="23"/>
      <c r="C18" s="25" t="s">
        <v>241</v>
      </c>
      <c r="D18" s="13"/>
      <c r="E18" s="10"/>
      <c r="F18" s="10"/>
      <c r="G18" s="10"/>
      <c r="H18" s="10"/>
      <c r="J18" s="15" t="s">
        <v>41</v>
      </c>
    </row>
    <row r="19" spans="2:10" x14ac:dyDescent="0.25">
      <c r="B19" s="23"/>
      <c r="C19" s="29" t="s">
        <v>226</v>
      </c>
      <c r="D19" s="15" t="s">
        <v>120</v>
      </c>
      <c r="E19" s="11" t="s">
        <v>120</v>
      </c>
      <c r="F19" s="11" t="s">
        <v>120</v>
      </c>
      <c r="G19" s="11"/>
      <c r="H19" s="11"/>
      <c r="J19" s="15"/>
    </row>
    <row r="20" spans="2:10" x14ac:dyDescent="0.25">
      <c r="B20" s="23"/>
      <c r="C20" s="29" t="s">
        <v>227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228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247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230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231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232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218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120</v>
      </c>
      <c r="C30" s="28" t="s">
        <v>120</v>
      </c>
      <c r="D30" s="13" t="s">
        <v>41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219</v>
      </c>
      <c r="D32" s="13" t="s">
        <v>41</v>
      </c>
      <c r="E32" s="10"/>
      <c r="F32" s="10"/>
      <c r="G32" s="10"/>
      <c r="H32" s="10"/>
      <c r="J32" s="15"/>
    </row>
    <row r="33" spans="2:10" x14ac:dyDescent="0.25">
      <c r="B33" s="23"/>
      <c r="C33" s="25" t="s">
        <v>235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220</v>
      </c>
      <c r="D36" s="13" t="s">
        <v>41</v>
      </c>
      <c r="E36" s="10"/>
      <c r="F36" s="10"/>
      <c r="G36" s="10"/>
      <c r="H36" s="10"/>
      <c r="J36" s="15"/>
    </row>
    <row r="37" spans="2:10" ht="30" x14ac:dyDescent="0.25">
      <c r="B37" s="23"/>
      <c r="C37" s="46" t="s">
        <v>248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249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250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251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252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180</v>
      </c>
      <c r="D43" s="13" t="s">
        <v>41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253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208</v>
      </c>
      <c r="C53" s="17" t="s">
        <v>208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254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30"/>
  <sheetViews>
    <sheetView showGridLines="0" tabSelected="1" zoomScale="83" zoomScaleNormal="85" workbookViewId="0">
      <selection activeCell="J33" sqref="J33"/>
    </sheetView>
  </sheetViews>
  <sheetFormatPr defaultColWidth="9.140625" defaultRowHeight="15" customHeight="1" x14ac:dyDescent="0.25"/>
  <cols>
    <col min="1" max="1" width="3.140625" style="54" customWidth="1"/>
    <col min="2" max="2" width="12.140625" style="54" customWidth="1"/>
    <col min="3" max="3" width="29.140625" style="54" customWidth="1"/>
    <col min="4" max="4" width="12.85546875" style="54" bestFit="1" customWidth="1"/>
    <col min="5" max="5" width="11.85546875" style="58" customWidth="1"/>
    <col min="6" max="6" width="12.140625" style="54" customWidth="1"/>
    <col min="7" max="7" width="11.28515625" style="54" customWidth="1"/>
    <col min="8" max="8" width="12" style="58" customWidth="1"/>
    <col min="9" max="9" width="3.5703125" style="59" customWidth="1"/>
    <col min="10" max="10" width="12.7109375" style="54" bestFit="1" customWidth="1"/>
    <col min="11" max="11" width="10.140625" style="54" customWidth="1"/>
    <col min="12" max="16384" width="9.140625" style="54"/>
  </cols>
  <sheetData>
    <row r="2" spans="2:39" ht="23.25" x14ac:dyDescent="0.25">
      <c r="B2" s="57" t="s">
        <v>0</v>
      </c>
    </row>
    <row r="3" spans="2:39" ht="43.9" customHeight="1" x14ac:dyDescent="0.25">
      <c r="B3" s="193" t="s">
        <v>1</v>
      </c>
      <c r="C3" s="193"/>
      <c r="D3" s="193"/>
      <c r="E3" s="193"/>
      <c r="F3" s="193"/>
      <c r="G3" s="193"/>
      <c r="H3" s="193"/>
      <c r="I3" s="193"/>
      <c r="J3" s="193"/>
    </row>
    <row r="4" spans="2:39" ht="15" customHeight="1" x14ac:dyDescent="0.25">
      <c r="B4" s="60"/>
    </row>
    <row r="5" spans="2:39" ht="18.75" x14ac:dyDescent="0.25">
      <c r="B5" s="166" t="s">
        <v>2</v>
      </c>
      <c r="C5" s="167"/>
      <c r="D5" s="167"/>
      <c r="E5" s="167"/>
      <c r="F5" s="167"/>
      <c r="G5" s="167"/>
      <c r="H5" s="167"/>
      <c r="I5" s="167"/>
      <c r="J5" s="168"/>
    </row>
    <row r="6" spans="2:39" ht="17.100000000000001" customHeight="1" x14ac:dyDescent="0.25">
      <c r="B6" s="169" t="s">
        <v>3</v>
      </c>
      <c r="C6" s="169" t="s">
        <v>4</v>
      </c>
      <c r="D6" s="169" t="s">
        <v>5</v>
      </c>
      <c r="E6" s="170" t="s">
        <v>6</v>
      </c>
      <c r="F6" s="170" t="s">
        <v>7</v>
      </c>
      <c r="G6" s="170" t="s">
        <v>8</v>
      </c>
      <c r="H6" s="171" t="s">
        <v>9</v>
      </c>
      <c r="I6" s="172"/>
      <c r="J6" s="173" t="s">
        <v>10</v>
      </c>
    </row>
    <row r="7" spans="2:39" s="60" customFormat="1" x14ac:dyDescent="0.25">
      <c r="B7" s="174" t="s">
        <v>11</v>
      </c>
      <c r="C7" s="143" t="s">
        <v>12</v>
      </c>
      <c r="D7" s="175">
        <f>'Measure 1 Budget'!D11+'Measure 2 Budget'!D11+'Measure 3 Budget'!D11+'Measure 4 Budget'!D11+'Measure 5 Budget'!D11</f>
        <v>82203</v>
      </c>
      <c r="E7" s="175">
        <f>'Measure 1 Budget'!E11+'Measure 2 Budget'!E11+'Measure 3 Budget'!E11+'Measure 4 Budget'!E11+'Measure 5 Budget'!E11</f>
        <v>84669</v>
      </c>
      <c r="F7" s="175">
        <f>'Measure 1 Budget'!F11+'Measure 2 Budget'!F11+'Measure 3 Budget'!F11+'Measure 4 Budget'!F11+'Measure 5 Budget'!F11</f>
        <v>87209</v>
      </c>
      <c r="G7" s="175">
        <f>'Measure 1 Budget'!G11+'Measure 2 Budget'!G11+'Measure 3 Budget'!G11+'Measure 4 Budget'!G11+'Measure 5 Budget'!G11</f>
        <v>89826</v>
      </c>
      <c r="H7" s="175">
        <f>'Measure 1 Budget'!H11+'Measure 2 Budget'!H11+'Measure 3 Budget'!H11+'Measure 4 Budget'!H11+'Measure 5 Budget'!H11</f>
        <v>92520</v>
      </c>
      <c r="I7" s="176"/>
      <c r="J7" s="175">
        <f>SUM(D7:I7)</f>
        <v>436427</v>
      </c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</row>
    <row r="8" spans="2:39" x14ac:dyDescent="0.25">
      <c r="B8" s="177"/>
      <c r="C8" s="143" t="s">
        <v>267</v>
      </c>
      <c r="D8" s="175">
        <f>'Measure 1 Budget'!D17+'Measure 2 Budget'!D16+'Measure 3 Budget'!D16+'Measure 4 Budget'!D16+'Measure 5 Budget'!D16</f>
        <v>67423</v>
      </c>
      <c r="E8" s="175">
        <f>'Measure 1 Budget'!E17+'Measure 2 Budget'!E16+'Measure 3 Budget'!E16+'Measure 4 Budget'!E16</f>
        <v>70197</v>
      </c>
      <c r="F8" s="175">
        <f>'Measure 1 Budget'!F17+'Measure 2 Budget'!F16+'Measure 3 Budget'!F16+'Measure 4 Budget'!F16</f>
        <v>74006</v>
      </c>
      <c r="G8" s="175">
        <f>'Measure 1 Budget'!G17+'Measure 2 Budget'!G16+'Measure 3 Budget'!G16+'Measure 4 Budget'!G16</f>
        <v>78828</v>
      </c>
      <c r="H8" s="175">
        <f>'Measure 1 Budget'!H17+'Measure 2 Budget'!H16+'Measure 3 Budget'!H16+'Measure 4 Budget'!H16</f>
        <v>82921</v>
      </c>
      <c r="I8" s="176"/>
      <c r="J8" s="175">
        <f t="shared" ref="J8:J14" si="0">SUM(D8:I8)</f>
        <v>373375</v>
      </c>
    </row>
    <row r="9" spans="2:39" x14ac:dyDescent="0.25">
      <c r="B9" s="177"/>
      <c r="C9" s="143" t="s">
        <v>268</v>
      </c>
      <c r="D9" s="175">
        <f>'Measure 1 Budget'!D24+'Measure 2 Budget'!D27+'Measure 3 Budget'!D27+'Measure 4 Budget'!D27+'Measure 5 Budget'!D27</f>
        <v>3158</v>
      </c>
      <c r="E9" s="175">
        <f>'Measure 1 Budget'!E24+'Measure 2 Budget'!E27+'Measure 3 Budget'!E27+'Measure 4 Budget'!E27</f>
        <v>3197</v>
      </c>
      <c r="F9" s="175">
        <f>'Measure 1 Budget'!F24+'Measure 2 Budget'!F27+'Measure 3 Budget'!F27+'Measure 4 Budget'!F27</f>
        <v>3237</v>
      </c>
      <c r="G9" s="175">
        <f>'Measure 1 Budget'!G24+'Measure 2 Budget'!G27+'Measure 3 Budget'!G27+'Measure 4 Budget'!G27</f>
        <v>3278</v>
      </c>
      <c r="H9" s="175">
        <f>'Measure 1 Budget'!H24+'Measure 2 Budget'!H27+'Measure 3 Budget'!H27+'Measure 4 Budget'!H27</f>
        <v>3320</v>
      </c>
      <c r="I9" s="176"/>
      <c r="J9" s="175">
        <f t="shared" si="0"/>
        <v>16190</v>
      </c>
    </row>
    <row r="10" spans="2:39" x14ac:dyDescent="0.25">
      <c r="B10" s="177"/>
      <c r="C10" s="143" t="s">
        <v>269</v>
      </c>
      <c r="D10" s="175">
        <f>'Measure 1 Budget'!D28+'Measure 2 Budget'!D31+'Measure 3 Budget'!D31+'Measure 4 Budget'!D31+'Measure 5 Budget'!D31</f>
        <v>0</v>
      </c>
      <c r="E10" s="175">
        <f>'Measure 1 Budget'!E28+'Measure 2 Budget'!E31+'Measure 3 Budget'!E31+'Measure 4 Budget'!E31</f>
        <v>0</v>
      </c>
      <c r="F10" s="175">
        <f>'Measure 1 Budget'!F28+'Measure 2 Budget'!F31+'Measure 3 Budget'!F31+'Measure 4 Budget'!F31</f>
        <v>0</v>
      </c>
      <c r="G10" s="175">
        <f>'Measure 1 Budget'!G28+'Measure 2 Budget'!G31+'Measure 3 Budget'!G31+'Measure 4 Budget'!G31</f>
        <v>0</v>
      </c>
      <c r="H10" s="175">
        <f>'Measure 1 Budget'!H28+'Measure 2 Budget'!H31+'Measure 3 Budget'!H31+'Measure 4 Budget'!H31</f>
        <v>0</v>
      </c>
      <c r="I10" s="176"/>
      <c r="J10" s="175">
        <f t="shared" si="0"/>
        <v>0</v>
      </c>
    </row>
    <row r="11" spans="2:39" x14ac:dyDescent="0.25">
      <c r="B11" s="177"/>
      <c r="C11" s="143" t="s">
        <v>270</v>
      </c>
      <c r="D11" s="175">
        <f>'Measure 1 Budget'!D34+'Measure 2 Budget'!D35+'Measure 3 Budget'!D35+'Measure 4 Budget'!D35+'Measure 5 Budget'!D35</f>
        <v>4687</v>
      </c>
      <c r="E11" s="175">
        <f>'Measure 1 Budget'!E34+'Measure 2 Budget'!E35+'Measure 3 Budget'!E35+'Measure 4 Budget'!E35</f>
        <v>1543</v>
      </c>
      <c r="F11" s="175">
        <f>'Measure 1 Budget'!F34+'Measure 2 Budget'!F35+'Measure 3 Budget'!F35+'Measure 4 Budget'!F35</f>
        <v>1763</v>
      </c>
      <c r="G11" s="175">
        <f>'Measure 1 Budget'!G34+'Measure 2 Budget'!G35+'Measure 3 Budget'!G35+'Measure 4 Budget'!G35</f>
        <v>2943</v>
      </c>
      <c r="H11" s="175">
        <f>'Measure 1 Budget'!H34+'Measure 2 Budget'!H35+'Measure 3 Budget'!H35+'Measure 4 Budget'!H35</f>
        <v>2370</v>
      </c>
      <c r="I11" s="176"/>
      <c r="J11" s="175">
        <f t="shared" si="0"/>
        <v>13306</v>
      </c>
    </row>
    <row r="12" spans="2:39" x14ac:dyDescent="0.25">
      <c r="B12" s="177"/>
      <c r="C12" s="143" t="s">
        <v>271</v>
      </c>
      <c r="D12" s="175">
        <f>'Measure 1 Budget'!D40+'Measure 2 Budget'!D42+'Measure 3 Budget'!D42+'Measure 4 Budget'!D41+'Measure 5 Budget'!D41</f>
        <v>0</v>
      </c>
      <c r="E12" s="175">
        <f>'Measure 1 Budget'!E40+'Measure 2 Budget'!E42+'Measure 3 Budget'!E42+'Measure 4 Budget'!E41</f>
        <v>0</v>
      </c>
      <c r="F12" s="175">
        <f>'Measure 1 Budget'!F40+'Measure 2 Budget'!F42+'Measure 3 Budget'!F42+'Measure 4 Budget'!F41</f>
        <v>0</v>
      </c>
      <c r="G12" s="175">
        <f>'Measure 1 Budget'!G40+'Measure 2 Budget'!G42+'Measure 3 Budget'!G42+'Measure 4 Budget'!G41</f>
        <v>0</v>
      </c>
      <c r="H12" s="175">
        <f>'Measure 1 Budget'!H40+'Measure 2 Budget'!H42+'Measure 3 Budget'!H42+'Measure 4 Budget'!H41</f>
        <v>0</v>
      </c>
      <c r="I12" s="176"/>
      <c r="J12" s="175">
        <f t="shared" si="0"/>
        <v>0</v>
      </c>
    </row>
    <row r="13" spans="2:39" x14ac:dyDescent="0.25">
      <c r="B13" s="177"/>
      <c r="C13" s="143" t="s">
        <v>18</v>
      </c>
      <c r="D13" s="175">
        <f>'Measure 1 Budget'!D54+'Measure 2 Budget'!D50+'Measure 3 Budget'!D50+'Measure 4 Budget'!D49+'Measure 5 Budget'!D49</f>
        <v>106582.39000000001</v>
      </c>
      <c r="E13" s="175">
        <f>'Measure 1 Budget'!E54+'Measure 2 Budget'!E50+'Measure 3 Budget'!E50+'Measure 4 Budget'!E49</f>
        <v>3675336.64</v>
      </c>
      <c r="F13" s="175">
        <f>'Measure 1 Budget'!F54+'Measure 2 Budget'!F50+'Measure 3 Budget'!F50+'Measure 4 Budget'!F49</f>
        <v>3333438.64</v>
      </c>
      <c r="G13" s="175">
        <f>'Measure 1 Budget'!G54+'Measure 2 Budget'!G50+'Measure 3 Budget'!G50+'Measure 4 Budget'!G49</f>
        <v>1222394.8600000001</v>
      </c>
      <c r="H13" s="175">
        <f>'Measure 1 Budget'!H54+'Measure 2 Budget'!H50+'Measure 3 Budget'!H50+'Measure 4 Budget'!H49</f>
        <v>12800</v>
      </c>
      <c r="I13" s="176"/>
      <c r="J13" s="175">
        <f t="shared" si="0"/>
        <v>8350552.5300000003</v>
      </c>
    </row>
    <row r="14" spans="2:39" x14ac:dyDescent="0.25">
      <c r="B14" s="178"/>
      <c r="C14" s="179" t="s">
        <v>19</v>
      </c>
      <c r="D14" s="180">
        <f>D13+D12+D11+D10+D9+D8+D7</f>
        <v>264053.39</v>
      </c>
      <c r="E14" s="180">
        <f>E13+E12+E11+E10+E9+E8+E7</f>
        <v>3834942.64</v>
      </c>
      <c r="F14" s="180">
        <f>F13+F12+F11+F10+F9+F8+F7</f>
        <v>3499653.64</v>
      </c>
      <c r="G14" s="180">
        <f>G13+G12+G11+G10+G9+G8+G7</f>
        <v>1397269.86</v>
      </c>
      <c r="H14" s="180">
        <f>H13+H12+H11+H10+H9+H8+H7</f>
        <v>193931</v>
      </c>
      <c r="I14" s="181"/>
      <c r="J14" s="180">
        <f t="shared" si="0"/>
        <v>9189850.5299999993</v>
      </c>
    </row>
    <row r="15" spans="2:39" x14ac:dyDescent="0.25">
      <c r="B15" s="99"/>
      <c r="E15" s="54"/>
      <c r="H15" s="54"/>
      <c r="I15" s="54"/>
      <c r="J15" s="99" t="s">
        <v>20</v>
      </c>
    </row>
    <row r="16" spans="2:39" ht="20.100000000000001" customHeight="1" x14ac:dyDescent="0.25">
      <c r="B16" s="65" t="s">
        <v>208</v>
      </c>
      <c r="C16" s="179" t="s">
        <v>21</v>
      </c>
      <c r="D16" s="182">
        <f>'Measure 1 Budget'!D60+'Measure 2 Budget'!D56+'Measure 3 Budget'!D56+'Measure 4 Budget'!D55+'Measure 5 Budget'!D55</f>
        <v>18247</v>
      </c>
      <c r="E16" s="182">
        <f>'Measure 1 Budget'!E60+'Measure 2 Budget'!E56+'Measure 3 Budget'!E56+'Measure 4 Budget'!E55</f>
        <v>42241</v>
      </c>
      <c r="F16" s="182">
        <f>'Measure 1 Budget'!F60+'Measure 2 Budget'!F56+'Measure 3 Budget'!F56+'Measure 4 Budget'!F55</f>
        <v>17902</v>
      </c>
      <c r="G16" s="182">
        <f>'Measure 1 Budget'!G60+'Measure 2 Budget'!G56+'Measure 3 Budget'!G56+'Measure 4 Budget'!G55</f>
        <v>18768</v>
      </c>
      <c r="H16" s="182">
        <f>'Measure 1 Budget'!H60+'Measure 2 Budget'!H56+'Measure 3 Budget'!H56+'Measure 4 Budget'!H55</f>
        <v>19393</v>
      </c>
      <c r="J16" s="192">
        <f>SUM(D16:H16)</f>
        <v>116551</v>
      </c>
    </row>
    <row r="17" spans="2:10" ht="15.75" thickBot="1" x14ac:dyDescent="0.3">
      <c r="B17" s="188"/>
      <c r="C17" s="189"/>
      <c r="E17" s="54"/>
      <c r="H17" s="54"/>
      <c r="I17" s="54"/>
      <c r="J17" s="189" t="s">
        <v>20</v>
      </c>
    </row>
    <row r="18" spans="2:10" ht="15.75" thickBot="1" x14ac:dyDescent="0.3">
      <c r="B18" s="197" t="s">
        <v>22</v>
      </c>
      <c r="C18" s="198"/>
      <c r="D18" s="190">
        <f>D14+D16</f>
        <v>282300.39</v>
      </c>
      <c r="E18" s="190">
        <f>E14+E16</f>
        <v>3877183.64</v>
      </c>
      <c r="F18" s="190">
        <f>F14+F16</f>
        <v>3517555.64</v>
      </c>
      <c r="G18" s="190">
        <f>G14+G16</f>
        <v>1416037.86</v>
      </c>
      <c r="H18" s="191">
        <f>H14+H16</f>
        <v>213324</v>
      </c>
      <c r="I18" s="184"/>
      <c r="J18" s="183">
        <f>J14+J16</f>
        <v>9306401.5299999993</v>
      </c>
    </row>
    <row r="19" spans="2:10" s="64" customFormat="1" x14ac:dyDescent="0.25">
      <c r="B19" s="54"/>
      <c r="C19" s="54"/>
      <c r="D19" s="54"/>
      <c r="E19" s="58"/>
      <c r="F19" s="54"/>
      <c r="G19" s="54"/>
      <c r="H19" s="58"/>
      <c r="I19" s="59"/>
      <c r="J19" s="54"/>
    </row>
    <row r="20" spans="2:10" ht="15" customHeight="1" x14ac:dyDescent="0.25">
      <c r="G20" s="185">
        <f>D18/4</f>
        <v>70575.097500000003</v>
      </c>
    </row>
    <row r="21" spans="2:10" ht="15" customHeight="1" x14ac:dyDescent="0.25">
      <c r="B21" s="166" t="s">
        <v>23</v>
      </c>
      <c r="C21" s="167"/>
      <c r="D21" s="167"/>
      <c r="E21" s="195"/>
      <c r="F21" s="195"/>
      <c r="H21" s="54"/>
      <c r="I21" s="54"/>
    </row>
    <row r="22" spans="2:10" ht="29.1" customHeight="1" x14ac:dyDescent="0.25">
      <c r="B22" s="169" t="s">
        <v>24</v>
      </c>
      <c r="C22" s="169" t="s">
        <v>25</v>
      </c>
      <c r="D22" s="186" t="s">
        <v>26</v>
      </c>
      <c r="E22" s="196" t="s">
        <v>27</v>
      </c>
      <c r="F22" s="196"/>
      <c r="H22" s="54"/>
      <c r="I22" s="54"/>
    </row>
    <row r="23" spans="2:10" ht="45" x14ac:dyDescent="0.25">
      <c r="B23" s="143">
        <v>1</v>
      </c>
      <c r="C23" s="144" t="s">
        <v>272</v>
      </c>
      <c r="D23" s="145">
        <f>'Measure 1 Budget'!J62</f>
        <v>9306401.5299999993</v>
      </c>
      <c r="E23" s="194">
        <f>D23/D$29</f>
        <v>1</v>
      </c>
      <c r="F23" s="194"/>
      <c r="H23" s="54"/>
      <c r="I23" s="54"/>
    </row>
    <row r="24" spans="2:10" ht="15" hidden="1" customHeight="1" x14ac:dyDescent="0.25">
      <c r="B24" s="143">
        <v>2</v>
      </c>
      <c r="C24" s="187" t="s">
        <v>28</v>
      </c>
      <c r="D24" s="145">
        <f>'Measure 2 Budget'!J58</f>
        <v>0</v>
      </c>
      <c r="E24" s="194">
        <f t="shared" ref="E24:E27" si="1">D24/D$29</f>
        <v>0</v>
      </c>
      <c r="F24" s="194"/>
      <c r="H24" s="54"/>
      <c r="I24" s="54"/>
    </row>
    <row r="25" spans="2:10" ht="15" hidden="1" customHeight="1" x14ac:dyDescent="0.25">
      <c r="B25" s="143">
        <v>3</v>
      </c>
      <c r="C25" s="187" t="s">
        <v>29</v>
      </c>
      <c r="D25" s="145">
        <f>'Measure 3 Budget'!J58</f>
        <v>0</v>
      </c>
      <c r="E25" s="194">
        <f t="shared" si="1"/>
        <v>0</v>
      </c>
      <c r="F25" s="194"/>
      <c r="H25" s="54"/>
      <c r="I25" s="54"/>
    </row>
    <row r="26" spans="2:10" ht="15" hidden="1" customHeight="1" x14ac:dyDescent="0.25">
      <c r="B26" s="143">
        <v>4</v>
      </c>
      <c r="C26" s="187" t="s">
        <v>30</v>
      </c>
      <c r="D26" s="145">
        <f>'Measure 4 Budget'!J57</f>
        <v>0</v>
      </c>
      <c r="E26" s="194">
        <f t="shared" si="1"/>
        <v>0</v>
      </c>
      <c r="F26" s="194"/>
      <c r="H26" s="54"/>
      <c r="I26" s="54"/>
    </row>
    <row r="27" spans="2:10" ht="15" hidden="1" customHeight="1" x14ac:dyDescent="0.25">
      <c r="B27" s="143">
        <v>5</v>
      </c>
      <c r="C27" s="187" t="s">
        <v>31</v>
      </c>
      <c r="D27" s="145">
        <v>0</v>
      </c>
      <c r="E27" s="194">
        <f t="shared" si="1"/>
        <v>0</v>
      </c>
      <c r="F27" s="194"/>
      <c r="H27" s="54"/>
      <c r="I27" s="54"/>
    </row>
    <row r="28" spans="2:10" ht="15" customHeight="1" x14ac:dyDescent="0.25">
      <c r="B28" s="143"/>
      <c r="C28" s="187"/>
      <c r="D28" s="145"/>
      <c r="E28" s="194"/>
      <c r="F28" s="194"/>
      <c r="H28" s="54"/>
      <c r="I28" s="54"/>
    </row>
    <row r="29" spans="2:10" ht="15" customHeight="1" x14ac:dyDescent="0.25">
      <c r="B29" s="143" t="s">
        <v>32</v>
      </c>
      <c r="C29" s="187"/>
      <c r="D29" s="145">
        <f>SUM(D23:D28)</f>
        <v>9306401.5299999993</v>
      </c>
      <c r="E29" s="194">
        <f t="shared" ref="E29" si="2">SUM(E23:E28)</f>
        <v>1</v>
      </c>
      <c r="F29" s="194"/>
      <c r="H29" s="54"/>
      <c r="I29" s="54"/>
    </row>
    <row r="30" spans="2:10" ht="15" customHeight="1" x14ac:dyDescent="0.25">
      <c r="H30" s="54"/>
      <c r="I30" s="54"/>
    </row>
  </sheetData>
  <sheetProtection algorithmName="SHA-512" hashValue="lR9wTZLbzfTfYeGlFpZo9fEHJC69Kms2JKBLGxPAyzJmGFPH/mCGxIqU9fnnJJVGlZ38mH2Si7rFFnYEoLldYA==" saltValue="FBj4QczzRDi94Uf3f/w8Mw==" spinCount="100000" sheet="1" objects="1" scenarios="1"/>
  <mergeCells count="11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  <mergeCell ref="B18:C18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A2:AM79"/>
  <sheetViews>
    <sheetView showGridLines="0" zoomScaleNormal="100" workbookViewId="0">
      <pane ySplit="5" topLeftCell="A6" activePane="bottomLeft" state="frozen"/>
      <selection activeCell="B1" sqref="B1"/>
      <selection pane="bottomLeft" activeCell="B2" sqref="B2"/>
    </sheetView>
  </sheetViews>
  <sheetFormatPr defaultColWidth="9.140625" defaultRowHeight="15" x14ac:dyDescent="0.25"/>
  <cols>
    <col min="1" max="1" width="3.140625" style="54" customWidth="1"/>
    <col min="2" max="2" width="10.140625" style="54" customWidth="1"/>
    <col min="3" max="3" width="35.28515625" style="54" customWidth="1"/>
    <col min="4" max="4" width="13.140625" style="54" customWidth="1"/>
    <col min="5" max="5" width="15.28515625" style="58" customWidth="1"/>
    <col min="6" max="6" width="15.7109375" style="54" customWidth="1"/>
    <col min="7" max="7" width="14.7109375" style="54" customWidth="1"/>
    <col min="8" max="8" width="14.28515625" style="58" customWidth="1"/>
    <col min="9" max="9" width="1.7109375" style="59" customWidth="1"/>
    <col min="10" max="10" width="14.28515625" style="54" customWidth="1"/>
    <col min="11" max="11" width="2.7109375" style="138" hidden="1" customWidth="1"/>
    <col min="12" max="12" width="41.85546875" style="79" hidden="1" customWidth="1"/>
    <col min="13" max="13" width="29.85546875" style="79" hidden="1" customWidth="1"/>
    <col min="14" max="14" width="17.140625" style="54" hidden="1" customWidth="1"/>
    <col min="15" max="15" width="25.28515625" style="54" hidden="1" customWidth="1"/>
    <col min="16" max="16" width="23.28515625" style="54" hidden="1" customWidth="1"/>
    <col min="17" max="17" width="12.28515625" style="54" hidden="1" customWidth="1"/>
    <col min="18" max="18" width="25" style="54" hidden="1" customWidth="1"/>
    <col min="19" max="19" width="78.5703125" style="54" hidden="1" customWidth="1"/>
    <col min="20" max="20" width="31.42578125" style="54" hidden="1" customWidth="1"/>
    <col min="21" max="21" width="15.7109375" style="54" hidden="1" customWidth="1"/>
    <col min="22" max="22" width="12.28515625" style="54" hidden="1" customWidth="1"/>
    <col min="23" max="23" width="12.42578125" style="54" hidden="1" customWidth="1"/>
    <col min="24" max="24" width="12.7109375" style="54" hidden="1" customWidth="1"/>
    <col min="25" max="25" width="13" style="54" hidden="1" customWidth="1"/>
    <col min="26" max="26" width="13.28515625" style="54" hidden="1" customWidth="1"/>
    <col min="27" max="27" width="34.5703125" style="54" hidden="1" customWidth="1"/>
    <col min="28" max="28" width="51.85546875" style="54" hidden="1" customWidth="1"/>
    <col min="29" max="35" width="9.140625" style="54" hidden="1" customWidth="1"/>
    <col min="36" max="37" width="0" style="54" hidden="1" customWidth="1"/>
    <col min="38" max="16384" width="9.140625" style="54"/>
  </cols>
  <sheetData>
    <row r="2" spans="2:39" ht="23.25" x14ac:dyDescent="0.25">
      <c r="B2" s="57" t="s">
        <v>33</v>
      </c>
    </row>
    <row r="3" spans="2:39" x14ac:dyDescent="0.25">
      <c r="B3" s="60"/>
    </row>
    <row r="4" spans="2:39" ht="18.75" x14ac:dyDescent="0.25">
      <c r="B4" s="61" t="s">
        <v>2</v>
      </c>
      <c r="C4" s="62"/>
      <c r="D4" s="104"/>
      <c r="E4" s="104"/>
      <c r="F4" s="104"/>
      <c r="G4" s="104"/>
      <c r="H4" s="104"/>
      <c r="I4" s="104"/>
      <c r="J4" s="105"/>
      <c r="L4" s="80" t="s">
        <v>35</v>
      </c>
      <c r="M4" s="92" t="s">
        <v>36</v>
      </c>
    </row>
    <row r="5" spans="2:39" ht="14.45" customHeight="1" x14ac:dyDescent="0.25">
      <c r="B5" s="63" t="s">
        <v>3</v>
      </c>
      <c r="C5" s="63" t="s">
        <v>4</v>
      </c>
      <c r="D5" s="106" t="s">
        <v>5</v>
      </c>
      <c r="E5" s="107" t="s">
        <v>6</v>
      </c>
      <c r="F5" s="107" t="s">
        <v>7</v>
      </c>
      <c r="G5" s="107" t="s">
        <v>8</v>
      </c>
      <c r="H5" s="108" t="s">
        <v>9</v>
      </c>
      <c r="I5" s="109"/>
      <c r="J5" s="110" t="s">
        <v>10</v>
      </c>
      <c r="L5" s="79" t="s">
        <v>37</v>
      </c>
      <c r="M5" s="79" t="s">
        <v>38</v>
      </c>
      <c r="N5" s="64" t="s">
        <v>39</v>
      </c>
    </row>
    <row r="6" spans="2:39" s="60" customFormat="1" x14ac:dyDescent="0.25">
      <c r="B6" s="203" t="s">
        <v>11</v>
      </c>
      <c r="C6" s="84" t="s">
        <v>40</v>
      </c>
      <c r="D6" s="111" t="s">
        <v>41</v>
      </c>
      <c r="E6" s="111" t="s">
        <v>41</v>
      </c>
      <c r="F6" s="111" t="s">
        <v>41</v>
      </c>
      <c r="G6" s="111"/>
      <c r="H6" s="112" t="s">
        <v>41</v>
      </c>
      <c r="I6" s="93"/>
      <c r="J6" s="113" t="s">
        <v>41</v>
      </c>
      <c r="K6" s="138"/>
      <c r="L6" s="79"/>
      <c r="M6" s="79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</row>
    <row r="7" spans="2:39" s="60" customFormat="1" ht="30" x14ac:dyDescent="0.25">
      <c r="B7" s="204"/>
      <c r="C7" s="66" t="s">
        <v>42</v>
      </c>
      <c r="D7" s="101">
        <f>ROUND(('[1]Base-EPACPRG2025'!$E$17*0.03),0)</f>
        <v>3090</v>
      </c>
      <c r="E7" s="101">
        <f>ROUND(('[1]Base-EPACPRG2026'!$E$17*0.03),0)</f>
        <v>3183</v>
      </c>
      <c r="F7" s="101">
        <f>ROUND(('[1]Base-EPACPRG2027'!$E$17*0.03),0)</f>
        <v>3278</v>
      </c>
      <c r="G7" s="101">
        <f>ROUND(('[1]Base-EPACPRG2028'!$E$17*0.03),0)</f>
        <v>3377</v>
      </c>
      <c r="H7" s="101">
        <f>ROUND(('[1]Base-EPACPRG2029'!$E$17*0.03),0)</f>
        <v>3478</v>
      </c>
      <c r="I7" s="102"/>
      <c r="J7" s="101">
        <f>SUM(D7:H7)</f>
        <v>16406</v>
      </c>
      <c r="K7" s="138"/>
      <c r="L7" s="79" t="s">
        <v>43</v>
      </c>
      <c r="M7" s="79" t="s">
        <v>44</v>
      </c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99" t="s">
        <v>45</v>
      </c>
      <c r="AA7" s="99" t="s">
        <v>46</v>
      </c>
      <c r="AB7" s="99" t="s">
        <v>47</v>
      </c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</row>
    <row r="8" spans="2:39" ht="45" x14ac:dyDescent="0.25">
      <c r="B8" s="204"/>
      <c r="C8" s="66" t="s">
        <v>48</v>
      </c>
      <c r="D8" s="102">
        <f>ROUND(('[1]Base-EPACPRG2025'!$F$17*0.05),0)</f>
        <v>3863</v>
      </c>
      <c r="E8" s="101">
        <f>ROUND(('[1]Base-EPACPRG2026'!$F$17*0.05),0)</f>
        <v>3978</v>
      </c>
      <c r="F8" s="101">
        <f>ROUND(('[1]Base-EPACPRG2027'!$F$17*0.05),0)</f>
        <v>4098</v>
      </c>
      <c r="G8" s="101">
        <f>ROUND(('[1]Base-EPACPRG2028'!$F$17*0.05),0)</f>
        <v>4221</v>
      </c>
      <c r="H8" s="101">
        <f>ROUND(('[1]Base-EPACPRG2029'!$F$17*0.05),0)</f>
        <v>4347</v>
      </c>
      <c r="I8" s="102"/>
      <c r="J8" s="101">
        <f>SUM(D8:H8)</f>
        <v>20507</v>
      </c>
      <c r="L8" s="79" t="s">
        <v>49</v>
      </c>
      <c r="M8" s="79" t="s">
        <v>44</v>
      </c>
      <c r="Z8" s="99"/>
      <c r="AA8" s="99" t="s">
        <v>50</v>
      </c>
      <c r="AB8" s="99" t="s">
        <v>51</v>
      </c>
    </row>
    <row r="9" spans="2:39" ht="29.25" customHeight="1" x14ac:dyDescent="0.25">
      <c r="B9" s="204"/>
      <c r="C9" s="67" t="s">
        <v>52</v>
      </c>
      <c r="D9" s="101">
        <f>'[1]Base-EPACPRG2025'!$L$17</f>
        <v>70000</v>
      </c>
      <c r="E9" s="101">
        <f>'[1]Base-EPACPRG2026'!$L$17</f>
        <v>72100</v>
      </c>
      <c r="F9" s="101">
        <f>'[1]Base-EPACPRG2027'!$L$17</f>
        <v>74263</v>
      </c>
      <c r="G9" s="101">
        <f>ROUND(('[1]Base-EPACPRG2028'!$L$17),0)</f>
        <v>76491</v>
      </c>
      <c r="H9" s="101">
        <f>ROUND(('[1]Base-EPACPRG2029'!$L$17),0)</f>
        <v>78786</v>
      </c>
      <c r="I9" s="102"/>
      <c r="J9" s="101">
        <f>SUM(D9:H9)</f>
        <v>371640</v>
      </c>
      <c r="L9" s="79" t="s">
        <v>53</v>
      </c>
      <c r="M9" s="79" t="s">
        <v>54</v>
      </c>
      <c r="Z9" s="99">
        <f>22.3*2</f>
        <v>44.6</v>
      </c>
      <c r="AA9" s="99" t="s">
        <v>55</v>
      </c>
      <c r="AB9" s="98" t="s">
        <v>56</v>
      </c>
    </row>
    <row r="10" spans="2:39" ht="45" x14ac:dyDescent="0.25">
      <c r="B10" s="204"/>
      <c r="C10" s="67" t="s">
        <v>57</v>
      </c>
      <c r="D10" s="103">
        <f>ROUND('[1]Base-EPACPRG2025'!$G$17*0.07,0)</f>
        <v>5250</v>
      </c>
      <c r="E10" s="103">
        <f>ROUND('[1]Base-EPACPRG2026'!$G$17*0.07,0)</f>
        <v>5408</v>
      </c>
      <c r="F10" s="103">
        <f>ROUND(('[1]Base-EPACPRG2027'!$G$17*0.07),0)</f>
        <v>5570</v>
      </c>
      <c r="G10" s="103">
        <f>ROUND(('[1]Base-EPACPRG2028'!$G$17*0.07),0)</f>
        <v>5737</v>
      </c>
      <c r="H10" s="103">
        <f>ROUND(('[1]Base-EPACPRG2029'!$G$17*0.07),0)</f>
        <v>5909</v>
      </c>
      <c r="I10" s="114"/>
      <c r="J10" s="103">
        <f>SUM(D10:H10)</f>
        <v>27874</v>
      </c>
      <c r="L10" s="79" t="s">
        <v>58</v>
      </c>
      <c r="M10" s="79" t="s">
        <v>59</v>
      </c>
      <c r="Z10" s="99">
        <f>49.7*2</f>
        <v>99.4</v>
      </c>
      <c r="AA10" s="99" t="s">
        <v>60</v>
      </c>
      <c r="AB10" s="18" t="s">
        <v>61</v>
      </c>
    </row>
    <row r="11" spans="2:39" x14ac:dyDescent="0.25">
      <c r="B11" s="204"/>
      <c r="C11" s="89" t="s">
        <v>62</v>
      </c>
      <c r="D11" s="115">
        <f>SUM(D7:D10)</f>
        <v>82203</v>
      </c>
      <c r="E11" s="115">
        <f>SUM(E7:E10)</f>
        <v>84669</v>
      </c>
      <c r="F11" s="115">
        <f>SUM(F7:F10)</f>
        <v>87209</v>
      </c>
      <c r="G11" s="115">
        <f>SUM(G7:G10)</f>
        <v>89826</v>
      </c>
      <c r="H11" s="115">
        <f>SUM(H7:H10)</f>
        <v>92520</v>
      </c>
      <c r="I11" s="116"/>
      <c r="J11" s="115">
        <f>SUM(J7:J10)</f>
        <v>436427</v>
      </c>
      <c r="Z11" s="99">
        <f>48.2*2</f>
        <v>96.4</v>
      </c>
      <c r="AA11" s="99" t="s">
        <v>63</v>
      </c>
      <c r="AB11" s="98" t="s">
        <v>64</v>
      </c>
    </row>
    <row r="12" spans="2:39" x14ac:dyDescent="0.25">
      <c r="B12" s="204"/>
      <c r="C12" s="85" t="s">
        <v>65</v>
      </c>
      <c r="D12" s="117" t="s">
        <v>41</v>
      </c>
      <c r="E12" s="117"/>
      <c r="F12" s="117"/>
      <c r="G12" s="117"/>
      <c r="H12" s="118"/>
      <c r="I12" s="102"/>
      <c r="J12" s="119" t="s">
        <v>41</v>
      </c>
      <c r="Z12" s="99">
        <f>32.5*2</f>
        <v>65</v>
      </c>
      <c r="AA12" s="99" t="s">
        <v>66</v>
      </c>
      <c r="AB12" s="98" t="s">
        <v>67</v>
      </c>
    </row>
    <row r="13" spans="2:39" ht="30" x14ac:dyDescent="0.25">
      <c r="B13" s="204"/>
      <c r="C13" s="67" t="s">
        <v>258</v>
      </c>
      <c r="D13" s="101">
        <f>ROUND((D7*'[1]Base-EPACPRG2025'!$E$51),0)</f>
        <v>2163</v>
      </c>
      <c r="E13" s="101">
        <f>ROUND((E7*'[1]Base-EPACPRG2026'!$E$51),0)</f>
        <v>2260</v>
      </c>
      <c r="F13" s="101">
        <f>ROUND((F7*'[1]Base-EPACPRG2027'!$E$51),0)</f>
        <v>2393</v>
      </c>
      <c r="G13" s="101">
        <f>ROUND((G7*'[1]Base-EPACPRG2028'!$E$51),0)</f>
        <v>2499</v>
      </c>
      <c r="H13" s="101">
        <f>ROUND((H7*'[1]Base-EPACPRG2029'!$E$51),0)</f>
        <v>2609</v>
      </c>
      <c r="I13" s="102"/>
      <c r="J13" s="101">
        <f>SUM(D13:H13)</f>
        <v>11924</v>
      </c>
      <c r="K13" s="140" t="s">
        <v>257</v>
      </c>
      <c r="L13" s="79" t="s">
        <v>68</v>
      </c>
      <c r="M13" s="79" t="s">
        <v>38</v>
      </c>
      <c r="Z13" s="99">
        <f>14.7*2</f>
        <v>29.4</v>
      </c>
      <c r="AA13" s="99" t="s">
        <v>69</v>
      </c>
      <c r="AB13" s="98" t="s">
        <v>70</v>
      </c>
    </row>
    <row r="14" spans="2:39" ht="29.25" customHeight="1" thickBot="1" x14ac:dyDescent="0.3">
      <c r="B14" s="204"/>
      <c r="C14" s="67" t="s">
        <v>259</v>
      </c>
      <c r="D14" s="101">
        <f>ROUND((D8*'[1]Base-EPACPRG2025'!$F$51),0)</f>
        <v>1507</v>
      </c>
      <c r="E14" s="101">
        <f>ROUND((E8*'[1]Base-EPACPRG2026'!$F$51),0)</f>
        <v>1551</v>
      </c>
      <c r="F14" s="101">
        <f>ROUND((F8*'[1]Base-EPACPRG2027'!$F$51),0)</f>
        <v>1639</v>
      </c>
      <c r="G14" s="101">
        <f>ROUND((G8*'[1]Base-EPACPRG2028'!$F$51),0)</f>
        <v>1731</v>
      </c>
      <c r="H14" s="101">
        <f>ROUND((H8*'[1]Base-EPACPRG2029'!$F$51),0)</f>
        <v>1782</v>
      </c>
      <c r="I14" s="102"/>
      <c r="J14" s="101">
        <f>SUM(D14:H14)</f>
        <v>8210</v>
      </c>
      <c r="K14" s="140" t="s">
        <v>257</v>
      </c>
      <c r="L14" s="79" t="s">
        <v>68</v>
      </c>
      <c r="M14" s="79" t="s">
        <v>38</v>
      </c>
      <c r="Z14" s="99">
        <f>45.3*2</f>
        <v>90.6</v>
      </c>
      <c r="AA14" s="99" t="s">
        <v>71</v>
      </c>
      <c r="AB14" s="18" t="s">
        <v>72</v>
      </c>
    </row>
    <row r="15" spans="2:39" ht="30" x14ac:dyDescent="0.25">
      <c r="B15" s="204"/>
      <c r="C15" s="67" t="s">
        <v>260</v>
      </c>
      <c r="D15" s="101">
        <f>ROUND((D9*'[1]Base-EPACPRG2025'!$L$51),0)</f>
        <v>59500</v>
      </c>
      <c r="E15" s="101">
        <f>ROUND((E9*'[1]Base-EPACPRG2026'!$L$51),0)</f>
        <v>62006</v>
      </c>
      <c r="F15" s="101">
        <f>ROUND((F9*'[1]Base-EPACPRG2027'!$L$51),0)</f>
        <v>65351</v>
      </c>
      <c r="G15" s="101">
        <f>ROUND((G9*'[1]Base-EPACPRG2028'!$L$51),0)</f>
        <v>69607</v>
      </c>
      <c r="H15" s="101">
        <f>ROUND((H9*'[1]Base-EPACPRG2029'!$L$51),0)</f>
        <v>73271</v>
      </c>
      <c r="I15" s="102"/>
      <c r="J15" s="101">
        <f>SUM(D15:H15)</f>
        <v>329735</v>
      </c>
      <c r="K15" s="140" t="s">
        <v>257</v>
      </c>
      <c r="L15" s="79" t="s">
        <v>68</v>
      </c>
      <c r="M15" s="79" t="s">
        <v>38</v>
      </c>
      <c r="N15" s="68" t="s">
        <v>73</v>
      </c>
      <c r="O15" s="69"/>
      <c r="P15" s="70"/>
      <c r="R15" s="73" t="s">
        <v>74</v>
      </c>
      <c r="S15" s="69"/>
      <c r="T15" s="69" t="s">
        <v>75</v>
      </c>
      <c r="U15" s="70"/>
      <c r="Z15" s="99">
        <f>32.3*2</f>
        <v>64.599999999999994</v>
      </c>
      <c r="AA15" s="99" t="s">
        <v>76</v>
      </c>
      <c r="AB15" s="98" t="s">
        <v>77</v>
      </c>
    </row>
    <row r="16" spans="2:39" ht="45" x14ac:dyDescent="0.25">
      <c r="B16" s="204"/>
      <c r="C16" s="67" t="s">
        <v>261</v>
      </c>
      <c r="D16" s="103">
        <f>ROUND((D10*'[1]Base-EPACPRG2025'!$G$51),0)</f>
        <v>4253</v>
      </c>
      <c r="E16" s="103">
        <f>ROUND((E10*'[1]Base-EPACPRG2026'!$G$51),0)</f>
        <v>4380</v>
      </c>
      <c r="F16" s="103">
        <f>ROUND((F10*'[1]Base-EPACPRG2027'!$G$51),0)</f>
        <v>4623</v>
      </c>
      <c r="G16" s="103">
        <f>ROUND((G10*'[1]Base-EPACPRG2028'!$G$51),0)</f>
        <v>4991</v>
      </c>
      <c r="H16" s="103">
        <f>ROUND((H10*'[1]Base-EPACPRG2029'!$G$51),0)</f>
        <v>5259</v>
      </c>
      <c r="I16" s="114"/>
      <c r="J16" s="103">
        <f>SUM(D16:H16)</f>
        <v>23506</v>
      </c>
      <c r="K16" s="140" t="s">
        <v>257</v>
      </c>
      <c r="L16" s="79" t="s">
        <v>68</v>
      </c>
      <c r="M16" s="79" t="s">
        <v>38</v>
      </c>
      <c r="N16" s="78"/>
      <c r="P16" s="71"/>
      <c r="R16" s="52">
        <v>104</v>
      </c>
      <c r="S16" s="54" t="s">
        <v>78</v>
      </c>
      <c r="U16" s="71"/>
      <c r="Z16" s="99">
        <f>47.2*2</f>
        <v>94.4</v>
      </c>
      <c r="AA16" s="99" t="s">
        <v>79</v>
      </c>
      <c r="AB16" s="98" t="s">
        <v>80</v>
      </c>
    </row>
    <row r="17" spans="2:32" x14ac:dyDescent="0.25">
      <c r="B17" s="204"/>
      <c r="C17" s="89" t="s">
        <v>81</v>
      </c>
      <c r="D17" s="115">
        <f>SUM(D13:D16)</f>
        <v>67423</v>
      </c>
      <c r="E17" s="115">
        <f>SUM(E13:E16)</f>
        <v>70197</v>
      </c>
      <c r="F17" s="115">
        <f>SUM(F13:F16)</f>
        <v>74006</v>
      </c>
      <c r="G17" s="115">
        <f>SUM(G13:G16)</f>
        <v>78828</v>
      </c>
      <c r="H17" s="115">
        <f>SUM(H13:H16)</f>
        <v>82921</v>
      </c>
      <c r="I17" s="116"/>
      <c r="J17" s="115">
        <f>SUM(J13:J16)</f>
        <v>373375</v>
      </c>
      <c r="N17" s="52"/>
      <c r="P17" s="71"/>
      <c r="R17" s="52">
        <v>412</v>
      </c>
      <c r="S17" s="54" t="s">
        <v>82</v>
      </c>
      <c r="U17" s="71"/>
      <c r="Z17" s="99">
        <f>45.3*2</f>
        <v>90.6</v>
      </c>
      <c r="AA17" s="99" t="s">
        <v>83</v>
      </c>
      <c r="AB17" s="98" t="s">
        <v>84</v>
      </c>
    </row>
    <row r="18" spans="2:32" x14ac:dyDescent="0.25">
      <c r="B18" s="204"/>
      <c r="C18" s="85" t="s">
        <v>85</v>
      </c>
      <c r="D18" s="117" t="s">
        <v>41</v>
      </c>
      <c r="E18" s="117"/>
      <c r="F18" s="117"/>
      <c r="G18" s="117"/>
      <c r="H18" s="118"/>
      <c r="I18" s="102"/>
      <c r="J18" s="119" t="s">
        <v>41</v>
      </c>
      <c r="N18" s="52">
        <f>Z19</f>
        <v>696.8</v>
      </c>
      <c r="O18" s="54" t="s">
        <v>86</v>
      </c>
      <c r="P18" s="71"/>
      <c r="R18" s="52">
        <v>54.77</v>
      </c>
      <c r="S18" s="54" t="s">
        <v>87</v>
      </c>
      <c r="T18" s="54">
        <v>59.25</v>
      </c>
      <c r="U18" s="71" t="s">
        <v>88</v>
      </c>
      <c r="Z18" s="99">
        <f>10.9*2</f>
        <v>21.8</v>
      </c>
      <c r="AA18" s="99" t="s">
        <v>89</v>
      </c>
      <c r="AB18" s="98" t="s">
        <v>90</v>
      </c>
    </row>
    <row r="19" spans="2:32" x14ac:dyDescent="0.25">
      <c r="B19" s="204"/>
      <c r="C19" s="67" t="s">
        <v>91</v>
      </c>
      <c r="D19" s="103">
        <f>ROUND(N22,0)</f>
        <v>1867</v>
      </c>
      <c r="E19" s="103">
        <f>ROUND(N22,0)</f>
        <v>1867</v>
      </c>
      <c r="F19" s="103">
        <f>ROUND(N22,0)</f>
        <v>1867</v>
      </c>
      <c r="G19" s="103">
        <f>ROUND(N22,0)</f>
        <v>1867</v>
      </c>
      <c r="H19" s="103">
        <f>ROUND(N22,0)</f>
        <v>1867</v>
      </c>
      <c r="I19" s="102"/>
      <c r="J19" s="101">
        <f>SUM(D19:H19)</f>
        <v>9335</v>
      </c>
      <c r="L19" s="79" t="s">
        <v>92</v>
      </c>
      <c r="M19" s="79" t="s">
        <v>38</v>
      </c>
      <c r="N19" s="52">
        <v>4</v>
      </c>
      <c r="O19" s="54" t="s">
        <v>93</v>
      </c>
      <c r="P19" s="71"/>
      <c r="R19" s="52">
        <v>88</v>
      </c>
      <c r="S19" s="54" t="s">
        <v>94</v>
      </c>
      <c r="T19" s="54">
        <v>79</v>
      </c>
      <c r="U19" s="71" t="s">
        <v>95</v>
      </c>
      <c r="Z19" s="99">
        <f>SUM(Z9:Z18)</f>
        <v>696.8</v>
      </c>
      <c r="AA19" s="99" t="s">
        <v>96</v>
      </c>
      <c r="AB19" s="99"/>
    </row>
    <row r="20" spans="2:32" ht="30.75" thickBot="1" x14ac:dyDescent="0.3">
      <c r="B20" s="204"/>
      <c r="C20" s="67" t="s">
        <v>262</v>
      </c>
      <c r="D20" s="101">
        <f>R16+R17</f>
        <v>516</v>
      </c>
      <c r="E20" s="101">
        <f t="shared" ref="E20:H22" si="0">ROUND(D20*1.03,0)</f>
        <v>531</v>
      </c>
      <c r="F20" s="101">
        <f t="shared" si="0"/>
        <v>547</v>
      </c>
      <c r="G20" s="101">
        <f t="shared" si="0"/>
        <v>563</v>
      </c>
      <c r="H20" s="101">
        <f t="shared" si="0"/>
        <v>580</v>
      </c>
      <c r="I20" s="102"/>
      <c r="J20" s="101">
        <f>SUM(D20:H20)</f>
        <v>2737</v>
      </c>
      <c r="L20" s="79" t="s">
        <v>97</v>
      </c>
      <c r="N20" s="52">
        <f>N18*N19</f>
        <v>2787.2</v>
      </c>
      <c r="O20" s="54" t="s">
        <v>98</v>
      </c>
      <c r="P20" s="71"/>
      <c r="R20" s="55">
        <v>279.25</v>
      </c>
      <c r="S20" s="56" t="s">
        <v>99</v>
      </c>
      <c r="T20" s="56">
        <v>261</v>
      </c>
      <c r="U20" s="72"/>
    </row>
    <row r="21" spans="2:32" ht="30" x14ac:dyDescent="0.25">
      <c r="B21" s="204"/>
      <c r="C21" s="67" t="s">
        <v>100</v>
      </c>
      <c r="D21" s="101">
        <f>T20*2</f>
        <v>522</v>
      </c>
      <c r="E21" s="101">
        <f>ROUND(D21*1.03,0)</f>
        <v>538</v>
      </c>
      <c r="F21" s="101">
        <f t="shared" si="0"/>
        <v>554</v>
      </c>
      <c r="G21" s="101">
        <f t="shared" si="0"/>
        <v>571</v>
      </c>
      <c r="H21" s="101">
        <f t="shared" si="0"/>
        <v>588</v>
      </c>
      <c r="I21" s="102"/>
      <c r="J21" s="101">
        <f>SUM(D21:H21)</f>
        <v>2773</v>
      </c>
      <c r="L21" s="79" t="s">
        <v>101</v>
      </c>
      <c r="M21" s="79" t="s">
        <v>102</v>
      </c>
      <c r="N21" s="82">
        <v>0.67</v>
      </c>
      <c r="O21" s="54" t="s">
        <v>103</v>
      </c>
      <c r="P21" s="71"/>
    </row>
    <row r="22" spans="2:32" ht="45.75" thickBot="1" x14ac:dyDescent="0.3">
      <c r="B22" s="204"/>
      <c r="C22" s="67" t="s">
        <v>264</v>
      </c>
      <c r="D22" s="101">
        <f>ROUND(T19+T18+T18,0)</f>
        <v>198</v>
      </c>
      <c r="E22" s="101">
        <f>ROUND(D22*1.03,0)</f>
        <v>204</v>
      </c>
      <c r="F22" s="101">
        <f t="shared" si="0"/>
        <v>210</v>
      </c>
      <c r="G22" s="101">
        <f t="shared" si="0"/>
        <v>216</v>
      </c>
      <c r="H22" s="101">
        <f t="shared" si="0"/>
        <v>222</v>
      </c>
      <c r="I22" s="102"/>
      <c r="J22" s="101">
        <f>SUM(D22:H22)</f>
        <v>1050</v>
      </c>
      <c r="L22" s="79" t="s">
        <v>104</v>
      </c>
      <c r="M22" s="79" t="s">
        <v>102</v>
      </c>
      <c r="N22" s="83">
        <f>N20*N21</f>
        <v>1867.424</v>
      </c>
      <c r="O22" s="56"/>
      <c r="P22" s="72"/>
    </row>
    <row r="23" spans="2:32" ht="14.65" customHeight="1" x14ac:dyDescent="0.25">
      <c r="B23" s="204"/>
      <c r="C23" s="67" t="s">
        <v>265</v>
      </c>
      <c r="D23" s="101">
        <v>55</v>
      </c>
      <c r="E23" s="101">
        <f>ROUND(D23*1.03,0)</f>
        <v>57</v>
      </c>
      <c r="F23" s="101">
        <f>ROUND(E23*1.03,0)</f>
        <v>59</v>
      </c>
      <c r="G23" s="101">
        <f>ROUND(F23*1.03,0)</f>
        <v>61</v>
      </c>
      <c r="H23" s="101">
        <f>ROUND(G23*1.03,0)</f>
        <v>63</v>
      </c>
      <c r="I23" s="102"/>
      <c r="J23" s="101">
        <f>SUM(D23:H23)</f>
        <v>295</v>
      </c>
      <c r="L23" s="79" t="s">
        <v>105</v>
      </c>
      <c r="M23" s="79" t="s">
        <v>106</v>
      </c>
    </row>
    <row r="24" spans="2:32" x14ac:dyDescent="0.25">
      <c r="B24" s="204"/>
      <c r="C24" s="89" t="s">
        <v>107</v>
      </c>
      <c r="D24" s="115">
        <f>SUM(D19:D23)</f>
        <v>3158</v>
      </c>
      <c r="E24" s="115">
        <f>SUM(E19:E23)</f>
        <v>3197</v>
      </c>
      <c r="F24" s="115">
        <f>SUM(F19:F23)</f>
        <v>3237</v>
      </c>
      <c r="G24" s="115">
        <f>SUM(G19:G23)</f>
        <v>3278</v>
      </c>
      <c r="H24" s="115">
        <f>SUM(H19:H23)</f>
        <v>3320</v>
      </c>
      <c r="I24" s="116"/>
      <c r="J24" s="115">
        <f>SUM(J19:J23)</f>
        <v>16190</v>
      </c>
    </row>
    <row r="25" spans="2:32" ht="15.75" thickBot="1" x14ac:dyDescent="0.3">
      <c r="B25" s="204"/>
      <c r="C25" s="149" t="s">
        <v>110</v>
      </c>
      <c r="D25" s="150"/>
      <c r="E25" s="151"/>
      <c r="F25" s="151"/>
      <c r="G25" s="151"/>
      <c r="H25" s="152"/>
      <c r="I25" s="153"/>
      <c r="J25" s="154" t="s">
        <v>20</v>
      </c>
    </row>
    <row r="26" spans="2:32" ht="30.75" thickBot="1" x14ac:dyDescent="0.3">
      <c r="B26" s="204"/>
      <c r="C26" s="74"/>
      <c r="D26" s="101"/>
      <c r="E26" s="101"/>
      <c r="F26" s="101"/>
      <c r="G26" s="101"/>
      <c r="H26" s="101"/>
      <c r="I26" s="102"/>
      <c r="J26" s="101">
        <f>SUM(D26:H26)</f>
        <v>0</v>
      </c>
      <c r="L26" s="79" t="s">
        <v>115</v>
      </c>
      <c r="N26" s="81" t="s">
        <v>108</v>
      </c>
      <c r="U26" s="73" t="s">
        <v>109</v>
      </c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70"/>
    </row>
    <row r="27" spans="2:32" x14ac:dyDescent="0.25">
      <c r="B27" s="204"/>
      <c r="C27" s="75" t="s">
        <v>120</v>
      </c>
      <c r="D27" s="101" t="s">
        <v>41</v>
      </c>
      <c r="E27" s="101"/>
      <c r="F27" s="101"/>
      <c r="G27" s="101"/>
      <c r="H27" s="101"/>
      <c r="I27" s="102"/>
      <c r="J27" s="101">
        <f t="shared" ref="J27:J39" si="1">SUM(D27:H27)</f>
        <v>0</v>
      </c>
      <c r="N27" s="68" t="s">
        <v>111</v>
      </c>
      <c r="O27" s="69"/>
      <c r="P27" s="94" t="s">
        <v>112</v>
      </c>
      <c r="Q27" s="69"/>
      <c r="R27" s="69"/>
      <c r="S27" s="69"/>
      <c r="U27" s="52"/>
      <c r="V27" s="64" t="s">
        <v>113</v>
      </c>
      <c r="W27" s="64">
        <v>2024</v>
      </c>
      <c r="X27" s="64">
        <v>2025</v>
      </c>
      <c r="Y27" s="64">
        <v>2026</v>
      </c>
      <c r="Z27" s="64">
        <v>2027</v>
      </c>
      <c r="AA27" s="64">
        <v>2028</v>
      </c>
      <c r="AB27" s="64">
        <v>2029</v>
      </c>
      <c r="AC27" s="64" t="s">
        <v>114</v>
      </c>
      <c r="AF27" s="71"/>
    </row>
    <row r="28" spans="2:32" x14ac:dyDescent="0.25">
      <c r="B28" s="204"/>
      <c r="C28" s="89" t="s">
        <v>125</v>
      </c>
      <c r="D28" s="120">
        <f>SUM(D26:D27)</f>
        <v>0</v>
      </c>
      <c r="E28" s="120">
        <f t="shared" ref="E28:H28" si="2">SUM(E26:E27)</f>
        <v>0</v>
      </c>
      <c r="F28" s="120">
        <f t="shared" si="2"/>
        <v>0</v>
      </c>
      <c r="G28" s="120">
        <f t="shared" si="2"/>
        <v>0</v>
      </c>
      <c r="H28" s="120">
        <f t="shared" si="2"/>
        <v>0</v>
      </c>
      <c r="I28" s="116"/>
      <c r="J28" s="115">
        <f>SUM(J26:J27)</f>
        <v>0</v>
      </c>
      <c r="N28" s="52" t="s">
        <v>116</v>
      </c>
      <c r="O28" s="53">
        <f>175*2</f>
        <v>350</v>
      </c>
      <c r="P28" s="54" t="s">
        <v>117</v>
      </c>
      <c r="U28" s="78" t="s">
        <v>118</v>
      </c>
      <c r="V28" s="54">
        <f>ROUND(21.61/16.21,2)</f>
        <v>1.33</v>
      </c>
      <c r="W28" s="87">
        <f>ROUND(233.91*$V28,0)</f>
        <v>311</v>
      </c>
      <c r="X28" s="87">
        <f t="shared" ref="X28:AB29" si="3">ROUND(W28*$V28,0)</f>
        <v>414</v>
      </c>
      <c r="Y28" s="87">
        <f t="shared" si="3"/>
        <v>551</v>
      </c>
      <c r="Z28" s="87">
        <f t="shared" si="3"/>
        <v>733</v>
      </c>
      <c r="AA28" s="87">
        <f t="shared" si="3"/>
        <v>975</v>
      </c>
      <c r="AB28" s="87">
        <f t="shared" si="3"/>
        <v>1297</v>
      </c>
      <c r="AC28" s="54" t="s">
        <v>119</v>
      </c>
      <c r="AF28" s="71"/>
    </row>
    <row r="29" spans="2:32" x14ac:dyDescent="0.25">
      <c r="B29" s="204"/>
      <c r="C29" s="149" t="s">
        <v>130</v>
      </c>
      <c r="D29" s="155" t="s">
        <v>41</v>
      </c>
      <c r="E29" s="155"/>
      <c r="F29" s="155"/>
      <c r="G29" s="155"/>
      <c r="H29" s="156"/>
      <c r="I29" s="157"/>
      <c r="J29" s="158"/>
      <c r="N29" s="52" t="s">
        <v>121</v>
      </c>
      <c r="O29" s="53">
        <v>170</v>
      </c>
      <c r="P29" s="54" t="s">
        <v>122</v>
      </c>
      <c r="U29" s="78" t="s">
        <v>123</v>
      </c>
      <c r="V29" s="54">
        <f>ROUND(21.61/16.21,2)</f>
        <v>1.33</v>
      </c>
      <c r="W29" s="87">
        <f>ROUND(146.15*$V29,0)</f>
        <v>194</v>
      </c>
      <c r="X29" s="87">
        <f t="shared" si="3"/>
        <v>258</v>
      </c>
      <c r="Y29" s="87">
        <f t="shared" si="3"/>
        <v>343</v>
      </c>
      <c r="Z29" s="87">
        <f t="shared" si="3"/>
        <v>456</v>
      </c>
      <c r="AA29" s="87">
        <f t="shared" si="3"/>
        <v>606</v>
      </c>
      <c r="AB29" s="87">
        <f t="shared" si="3"/>
        <v>806</v>
      </c>
      <c r="AC29" s="54" t="s">
        <v>124</v>
      </c>
      <c r="AF29" s="71"/>
    </row>
    <row r="30" spans="2:32" x14ac:dyDescent="0.25">
      <c r="B30" s="204"/>
      <c r="C30" s="76" t="s">
        <v>135</v>
      </c>
      <c r="D30" s="127">
        <v>60</v>
      </c>
      <c r="E30" s="127">
        <v>50</v>
      </c>
      <c r="F30" s="127">
        <v>50</v>
      </c>
      <c r="G30" s="127">
        <v>50</v>
      </c>
      <c r="H30" s="127">
        <v>50</v>
      </c>
      <c r="I30" s="102"/>
      <c r="J30" s="101">
        <f>SUM(D30:H30)</f>
        <v>260</v>
      </c>
      <c r="N30" s="52" t="s">
        <v>126</v>
      </c>
      <c r="O30" s="53">
        <v>30</v>
      </c>
      <c r="P30" s="54" t="s">
        <v>127</v>
      </c>
      <c r="U30" s="78" t="s">
        <v>128</v>
      </c>
      <c r="V30" s="54">
        <v>1.03</v>
      </c>
      <c r="W30" s="87">
        <f>ROUND((534.32/8)/3,0)</f>
        <v>22</v>
      </c>
      <c r="X30" s="87">
        <f>ROUND((534.32/8)/3,0)</f>
        <v>22</v>
      </c>
      <c r="Y30" s="87">
        <f>ROUND((534.32/8)/3,0)</f>
        <v>22</v>
      </c>
      <c r="Z30" s="87">
        <f>ROUND(Y30*V30,0)</f>
        <v>23</v>
      </c>
      <c r="AA30" s="87">
        <f>Z30</f>
        <v>23</v>
      </c>
      <c r="AB30" s="87">
        <f>AA30</f>
        <v>23</v>
      </c>
      <c r="AC30" s="54" t="s">
        <v>129</v>
      </c>
      <c r="AF30" s="71"/>
    </row>
    <row r="31" spans="2:32" x14ac:dyDescent="0.25">
      <c r="B31" s="204"/>
      <c r="C31" s="67" t="s">
        <v>263</v>
      </c>
      <c r="D31" s="126"/>
      <c r="E31" s="126"/>
      <c r="F31" s="126"/>
      <c r="G31" s="126">
        <f>90*10</f>
        <v>900</v>
      </c>
      <c r="H31" s="126"/>
      <c r="I31" s="102"/>
      <c r="J31" s="101">
        <f>SUM(D31:H31)</f>
        <v>900</v>
      </c>
      <c r="M31" s="54" t="s">
        <v>136</v>
      </c>
      <c r="N31" s="52" t="s">
        <v>131</v>
      </c>
      <c r="O31" s="53">
        <v>10</v>
      </c>
      <c r="P31" s="54" t="s">
        <v>132</v>
      </c>
      <c r="U31" s="78" t="s">
        <v>133</v>
      </c>
      <c r="V31" s="54">
        <v>1.07</v>
      </c>
      <c r="W31" s="87">
        <f>ROUND((2569.05/9)*V31,0)</f>
        <v>305</v>
      </c>
      <c r="X31" s="87">
        <f t="shared" ref="X31:AB33" si="4">ROUND(W31*$V31,0)</f>
        <v>326</v>
      </c>
      <c r="Y31" s="87">
        <f t="shared" si="4"/>
        <v>349</v>
      </c>
      <c r="Z31" s="87">
        <f t="shared" si="4"/>
        <v>373</v>
      </c>
      <c r="AA31" s="87">
        <f t="shared" si="4"/>
        <v>399</v>
      </c>
      <c r="AB31" s="87">
        <f t="shared" si="4"/>
        <v>427</v>
      </c>
      <c r="AC31" s="54" t="s">
        <v>134</v>
      </c>
      <c r="AF31" s="71"/>
    </row>
    <row r="32" spans="2:32" ht="57.6" customHeight="1" x14ac:dyDescent="0.25">
      <c r="B32" s="204"/>
      <c r="C32" s="67" t="s">
        <v>147</v>
      </c>
      <c r="D32" s="101">
        <f>ROUND(O37,0)</f>
        <v>3314</v>
      </c>
      <c r="E32" s="101"/>
      <c r="F32" s="101"/>
      <c r="G32" s="101">
        <v>10</v>
      </c>
      <c r="H32" s="101"/>
      <c r="I32" s="102"/>
      <c r="J32" s="101">
        <f>SUM(D32:H32)</f>
        <v>3324</v>
      </c>
      <c r="K32" s="140" t="s">
        <v>257</v>
      </c>
      <c r="L32" s="86" t="s">
        <v>141</v>
      </c>
      <c r="M32" s="79" t="s">
        <v>142</v>
      </c>
      <c r="N32" s="52" t="s">
        <v>137</v>
      </c>
      <c r="O32" s="53">
        <v>25</v>
      </c>
      <c r="P32" s="54" t="s">
        <v>138</v>
      </c>
      <c r="U32" s="78" t="s">
        <v>139</v>
      </c>
      <c r="V32" s="87">
        <v>1.1000000000000001</v>
      </c>
      <c r="W32" s="87">
        <f>ROUND(325.05,0)</f>
        <v>325</v>
      </c>
      <c r="X32" s="87">
        <f t="shared" si="4"/>
        <v>358</v>
      </c>
      <c r="Y32" s="87">
        <f t="shared" si="4"/>
        <v>394</v>
      </c>
      <c r="Z32" s="87">
        <f t="shared" si="4"/>
        <v>433</v>
      </c>
      <c r="AA32" s="87">
        <f t="shared" si="4"/>
        <v>476</v>
      </c>
      <c r="AB32" s="87">
        <f t="shared" si="4"/>
        <v>524</v>
      </c>
      <c r="AC32" s="54" t="s">
        <v>140</v>
      </c>
      <c r="AF32" s="71"/>
    </row>
    <row r="33" spans="2:32" ht="29.25" customHeight="1" x14ac:dyDescent="0.25">
      <c r="B33" s="204"/>
      <c r="C33" s="67" t="s">
        <v>154</v>
      </c>
      <c r="D33" s="101">
        <f>X38</f>
        <v>1313</v>
      </c>
      <c r="E33" s="101">
        <f>Y38</f>
        <v>1493</v>
      </c>
      <c r="F33" s="101">
        <f>Z38</f>
        <v>1713</v>
      </c>
      <c r="G33" s="101">
        <f>AA38</f>
        <v>1983</v>
      </c>
      <c r="H33" s="101">
        <f>AB38</f>
        <v>2320</v>
      </c>
      <c r="I33" s="102"/>
      <c r="J33" s="101">
        <f>SUM(D33:H33)</f>
        <v>8822</v>
      </c>
      <c r="L33" s="86" t="s">
        <v>148</v>
      </c>
      <c r="M33" s="79" t="s">
        <v>149</v>
      </c>
      <c r="N33" s="52" t="s">
        <v>143</v>
      </c>
      <c r="O33" s="53">
        <v>370</v>
      </c>
      <c r="P33" s="54" t="s">
        <v>144</v>
      </c>
      <c r="U33" s="78" t="s">
        <v>145</v>
      </c>
      <c r="V33" s="54">
        <f>V31</f>
        <v>1.07</v>
      </c>
      <c r="W33" s="87">
        <f>ROUND(1049.3/6,0)</f>
        <v>175</v>
      </c>
      <c r="X33" s="87">
        <f t="shared" si="4"/>
        <v>187</v>
      </c>
      <c r="Y33" s="87">
        <f t="shared" si="4"/>
        <v>200</v>
      </c>
      <c r="Z33" s="87">
        <f t="shared" si="4"/>
        <v>214</v>
      </c>
      <c r="AA33" s="87">
        <f t="shared" si="4"/>
        <v>229</v>
      </c>
      <c r="AB33" s="87">
        <f t="shared" si="4"/>
        <v>245</v>
      </c>
      <c r="AC33" s="54" t="s">
        <v>146</v>
      </c>
      <c r="AF33" s="71"/>
    </row>
    <row r="34" spans="2:32" x14ac:dyDescent="0.25">
      <c r="B34" s="204"/>
      <c r="C34" s="89" t="s">
        <v>159</v>
      </c>
      <c r="D34" s="115">
        <f>SUM(D30:D33)</f>
        <v>4687</v>
      </c>
      <c r="E34" s="115">
        <f>SUM(E30:E33)</f>
        <v>1543</v>
      </c>
      <c r="F34" s="115">
        <f>SUM(F30:F33)</f>
        <v>1763</v>
      </c>
      <c r="G34" s="115">
        <f>SUM(G30:G33)</f>
        <v>2943</v>
      </c>
      <c r="H34" s="115">
        <f>SUM(H30:H33)</f>
        <v>2370</v>
      </c>
      <c r="I34" s="116"/>
      <c r="J34" s="115">
        <f>SUM(J30:J33)</f>
        <v>13306</v>
      </c>
      <c r="N34" s="52" t="s">
        <v>150</v>
      </c>
      <c r="O34" s="53">
        <f>350+300</f>
        <v>650</v>
      </c>
      <c r="P34" s="54" t="s">
        <v>151</v>
      </c>
      <c r="U34" s="78" t="s">
        <v>152</v>
      </c>
      <c r="W34" s="90">
        <f>SUM(W29:W33)</f>
        <v>1021</v>
      </c>
      <c r="X34" s="90">
        <f t="shared" ref="X34:AB34" si="5">SUM(X29:X33)</f>
        <v>1151</v>
      </c>
      <c r="Y34" s="90">
        <f t="shared" si="5"/>
        <v>1308</v>
      </c>
      <c r="Z34" s="90">
        <f t="shared" si="5"/>
        <v>1499</v>
      </c>
      <c r="AA34" s="90">
        <f t="shared" si="5"/>
        <v>1733</v>
      </c>
      <c r="AB34" s="90">
        <f t="shared" si="5"/>
        <v>2025</v>
      </c>
      <c r="AC34" s="54" t="s">
        <v>153</v>
      </c>
      <c r="AF34" s="71"/>
    </row>
    <row r="35" spans="2:32" x14ac:dyDescent="0.25">
      <c r="B35" s="204"/>
      <c r="C35" s="149" t="s">
        <v>164</v>
      </c>
      <c r="D35" s="155" t="s">
        <v>41</v>
      </c>
      <c r="E35" s="155"/>
      <c r="F35" s="155"/>
      <c r="G35" s="155"/>
      <c r="H35" s="156"/>
      <c r="I35" s="157"/>
      <c r="J35" s="158"/>
      <c r="N35" s="52" t="s">
        <v>155</v>
      </c>
      <c r="O35" s="53">
        <v>100</v>
      </c>
      <c r="P35" s="54" t="s">
        <v>156</v>
      </c>
      <c r="U35" s="78" t="s">
        <v>157</v>
      </c>
      <c r="W35" s="87">
        <f>ROUND(0.03*(W28+W30+W31+W32+W33),0)</f>
        <v>34</v>
      </c>
      <c r="X35" s="87">
        <f t="shared" ref="X35:AB35" si="6">ROUND(0.03*(X28+X30+X31+X32+X33),0)</f>
        <v>39</v>
      </c>
      <c r="Y35" s="87">
        <f t="shared" si="6"/>
        <v>45</v>
      </c>
      <c r="Z35" s="87">
        <f t="shared" si="6"/>
        <v>53</v>
      </c>
      <c r="AA35" s="87">
        <f t="shared" si="6"/>
        <v>63</v>
      </c>
      <c r="AB35" s="87">
        <f t="shared" si="6"/>
        <v>75</v>
      </c>
      <c r="AC35" s="54" t="s">
        <v>158</v>
      </c>
      <c r="AF35" s="71"/>
    </row>
    <row r="36" spans="2:32" x14ac:dyDescent="0.25">
      <c r="B36" s="204"/>
      <c r="C36" s="74"/>
      <c r="D36" s="101"/>
      <c r="E36" s="101"/>
      <c r="F36" s="101"/>
      <c r="G36" s="101"/>
      <c r="H36" s="101"/>
      <c r="I36" s="102"/>
      <c r="J36" s="101">
        <f t="shared" si="1"/>
        <v>0</v>
      </c>
      <c r="N36" s="52" t="s">
        <v>160</v>
      </c>
      <c r="O36" s="53">
        <v>1609</v>
      </c>
      <c r="P36" s="54" t="s">
        <v>161</v>
      </c>
      <c r="U36" s="78" t="s">
        <v>162</v>
      </c>
      <c r="W36" s="87">
        <f>ROUND(0.05*(W30+W31+W32+W33),0)</f>
        <v>41</v>
      </c>
      <c r="X36" s="87">
        <f t="shared" ref="X36:AB36" si="7">ROUND(0.05*(X30+X31+X32+X33),0)</f>
        <v>45</v>
      </c>
      <c r="Y36" s="87">
        <f t="shared" si="7"/>
        <v>48</v>
      </c>
      <c r="Z36" s="87">
        <f t="shared" si="7"/>
        <v>52</v>
      </c>
      <c r="AA36" s="87">
        <f t="shared" si="7"/>
        <v>56</v>
      </c>
      <c r="AB36" s="87">
        <f t="shared" si="7"/>
        <v>61</v>
      </c>
      <c r="AC36" s="54" t="s">
        <v>163</v>
      </c>
      <c r="AF36" s="71"/>
    </row>
    <row r="37" spans="2:32" x14ac:dyDescent="0.25">
      <c r="B37" s="204"/>
      <c r="C37" s="74"/>
      <c r="D37" s="101"/>
      <c r="E37" s="101"/>
      <c r="F37" s="101"/>
      <c r="G37" s="101"/>
      <c r="H37" s="101"/>
      <c r="I37" s="102"/>
      <c r="J37" s="101">
        <f t="shared" si="1"/>
        <v>0</v>
      </c>
      <c r="N37" s="52"/>
      <c r="O37" s="95">
        <f>ROUND(SUM(O28:O36),0)</f>
        <v>3314</v>
      </c>
      <c r="U37" s="78" t="s">
        <v>165</v>
      </c>
      <c r="W37" s="87">
        <f t="shared" ref="W37:AB37" si="8">ROUND(0.07*(W28+W30+W31+W32),0)</f>
        <v>67</v>
      </c>
      <c r="X37" s="87">
        <f t="shared" si="8"/>
        <v>78</v>
      </c>
      <c r="Y37" s="87">
        <f t="shared" si="8"/>
        <v>92</v>
      </c>
      <c r="Z37" s="87">
        <f t="shared" si="8"/>
        <v>109</v>
      </c>
      <c r="AA37" s="87">
        <f t="shared" si="8"/>
        <v>131</v>
      </c>
      <c r="AB37" s="87">
        <f t="shared" si="8"/>
        <v>159</v>
      </c>
      <c r="AC37" s="54" t="s">
        <v>166</v>
      </c>
      <c r="AF37" s="71"/>
    </row>
    <row r="38" spans="2:32" ht="15.75" thickBot="1" x14ac:dyDescent="0.3">
      <c r="B38" s="204"/>
      <c r="C38" s="74"/>
      <c r="D38" s="101"/>
      <c r="E38" s="101"/>
      <c r="F38" s="101"/>
      <c r="G38" s="101"/>
      <c r="H38" s="101"/>
      <c r="I38" s="102"/>
      <c r="J38" s="101">
        <f t="shared" si="1"/>
        <v>0</v>
      </c>
      <c r="N38" s="96"/>
      <c r="O38" s="56"/>
      <c r="P38" s="56"/>
      <c r="Q38" s="56"/>
      <c r="R38" s="56"/>
      <c r="S38" s="97"/>
      <c r="U38" s="88" t="s">
        <v>167</v>
      </c>
      <c r="V38" s="56"/>
      <c r="W38" s="91">
        <f>W34+W35+W36+W37</f>
        <v>1163</v>
      </c>
      <c r="X38" s="91">
        <f>X34+X35+X36+X37</f>
        <v>1313</v>
      </c>
      <c r="Y38" s="91">
        <f t="shared" ref="Y38:AB38" si="9">Y34+Y35+Y36+Y37</f>
        <v>1493</v>
      </c>
      <c r="Z38" s="91">
        <f t="shared" si="9"/>
        <v>1713</v>
      </c>
      <c r="AA38" s="91">
        <f t="shared" si="9"/>
        <v>1983</v>
      </c>
      <c r="AB38" s="91">
        <f t="shared" si="9"/>
        <v>2320</v>
      </c>
      <c r="AC38" s="56"/>
      <c r="AD38" s="56"/>
      <c r="AE38" s="56"/>
      <c r="AF38" s="72"/>
    </row>
    <row r="39" spans="2:32" x14ac:dyDescent="0.25">
      <c r="B39" s="204"/>
      <c r="C39" s="74"/>
      <c r="D39" s="101"/>
      <c r="E39" s="101"/>
      <c r="F39" s="101"/>
      <c r="G39" s="101"/>
      <c r="H39" s="101"/>
      <c r="I39" s="102"/>
      <c r="J39" s="101">
        <f t="shared" si="1"/>
        <v>0</v>
      </c>
      <c r="U39" s="54" t="s">
        <v>256</v>
      </c>
      <c r="X39" s="132">
        <f>X38+X34</f>
        <v>2464</v>
      </c>
      <c r="Y39" s="132">
        <f>Y38+Y34</f>
        <v>2801</v>
      </c>
      <c r="Z39" s="132">
        <f>Z38+Z34</f>
        <v>3212</v>
      </c>
      <c r="AA39" s="132">
        <f>AA38+AA34</f>
        <v>3716</v>
      </c>
      <c r="AB39" s="132">
        <f>AB38+AB34</f>
        <v>4345</v>
      </c>
    </row>
    <row r="40" spans="2:32" x14ac:dyDescent="0.25">
      <c r="B40" s="204"/>
      <c r="C40" s="89" t="s">
        <v>171</v>
      </c>
      <c r="D40" s="115">
        <f>SUM(D36:D39)</f>
        <v>0</v>
      </c>
      <c r="E40" s="115">
        <f t="shared" ref="E40:H40" si="10">SUM(E36:E39)</f>
        <v>0</v>
      </c>
      <c r="F40" s="115">
        <f t="shared" si="10"/>
        <v>0</v>
      </c>
      <c r="G40" s="115">
        <f t="shared" si="10"/>
        <v>0</v>
      </c>
      <c r="H40" s="115">
        <f t="shared" si="10"/>
        <v>0</v>
      </c>
      <c r="I40" s="116"/>
      <c r="J40" s="115">
        <f>SUM(J36:J39)</f>
        <v>0</v>
      </c>
    </row>
    <row r="41" spans="2:32" x14ac:dyDescent="0.25">
      <c r="B41" s="204"/>
      <c r="C41" s="149" t="s">
        <v>180</v>
      </c>
      <c r="D41" s="155" t="s">
        <v>41</v>
      </c>
      <c r="E41" s="155"/>
      <c r="F41" s="155"/>
      <c r="G41" s="155"/>
      <c r="H41" s="156"/>
      <c r="I41" s="157"/>
      <c r="J41" s="158"/>
      <c r="N41" s="99" t="s">
        <v>168</v>
      </c>
      <c r="O41" s="99"/>
      <c r="P41" s="164" t="s">
        <v>169</v>
      </c>
      <c r="Q41" s="99" t="s">
        <v>170</v>
      </c>
      <c r="R41" s="99" t="s">
        <v>266</v>
      </c>
    </row>
    <row r="42" spans="2:32" x14ac:dyDescent="0.25">
      <c r="B42" s="204"/>
      <c r="C42" s="76" t="s">
        <v>55</v>
      </c>
      <c r="D42" s="101"/>
      <c r="E42" s="101">
        <f>'[2]C-Peekskill'!$C$19</f>
        <v>720000</v>
      </c>
      <c r="F42" s="101">
        <f>'[2]C-Peekskill'!$D$19</f>
        <v>720000</v>
      </c>
      <c r="G42" s="101"/>
      <c r="H42" s="101"/>
      <c r="I42" s="102"/>
      <c r="J42" s="101">
        <f>SUM(D42:H42)</f>
        <v>1440000</v>
      </c>
      <c r="N42" s="99" t="s">
        <v>172</v>
      </c>
      <c r="O42" s="99" t="s">
        <v>173</v>
      </c>
      <c r="P42" s="100">
        <v>4000</v>
      </c>
      <c r="Q42" s="100">
        <f>12800</f>
        <v>12800</v>
      </c>
      <c r="R42" s="131">
        <f>Q42/4</f>
        <v>3200</v>
      </c>
      <c r="T42" s="134"/>
      <c r="U42" s="134" t="s">
        <v>32</v>
      </c>
      <c r="V42" s="134" t="s">
        <v>174</v>
      </c>
      <c r="W42" s="134" t="s">
        <v>175</v>
      </c>
      <c r="X42" s="134" t="s">
        <v>176</v>
      </c>
      <c r="Y42" s="134" t="s">
        <v>177</v>
      </c>
      <c r="Z42" s="134" t="s">
        <v>178</v>
      </c>
      <c r="AA42" s="65" t="s">
        <v>179</v>
      </c>
    </row>
    <row r="43" spans="2:32" ht="60.75" thickBot="1" x14ac:dyDescent="0.3">
      <c r="B43" s="204"/>
      <c r="C43" s="76" t="s">
        <v>60</v>
      </c>
      <c r="D43" s="101"/>
      <c r="E43" s="101">
        <f>'[2]C-White Plains'!$F$24</f>
        <v>858849</v>
      </c>
      <c r="F43" s="101">
        <f>'[2]C-White Plains'!$G$24</f>
        <v>858850</v>
      </c>
      <c r="G43" s="101">
        <f>'[2]C-White Plains'!$H$24</f>
        <v>858850</v>
      </c>
      <c r="H43" s="101"/>
      <c r="I43" s="102"/>
      <c r="J43" s="101">
        <f t="shared" ref="J43:J52" si="11">SUM(D43:H43)</f>
        <v>2576549</v>
      </c>
      <c r="N43" s="99" t="s">
        <v>181</v>
      </c>
      <c r="O43" s="99" t="s">
        <v>182</v>
      </c>
      <c r="P43" s="100">
        <v>1200</v>
      </c>
      <c r="Q43" s="100">
        <v>3840</v>
      </c>
      <c r="R43" s="131">
        <f>Q43/4</f>
        <v>960</v>
      </c>
      <c r="T43" s="135" t="s">
        <v>183</v>
      </c>
      <c r="U43" s="133">
        <v>63388.75</v>
      </c>
      <c r="V43" s="133">
        <v>33388.75</v>
      </c>
      <c r="W43" s="133">
        <v>10000</v>
      </c>
      <c r="X43" s="133">
        <v>10000</v>
      </c>
      <c r="Y43" s="133">
        <v>10000</v>
      </c>
      <c r="Z43" s="130"/>
      <c r="AA43" s="130"/>
    </row>
    <row r="44" spans="2:32" ht="15.75" thickBot="1" x14ac:dyDescent="0.3">
      <c r="B44" s="204"/>
      <c r="C44" s="76" t="s">
        <v>63</v>
      </c>
      <c r="D44" s="101"/>
      <c r="E44" s="101">
        <f>'[2]T-Amenia'!$C$28</f>
        <v>157466</v>
      </c>
      <c r="F44" s="101">
        <f>'[2]T-Amenia'!$D$28</f>
        <v>157467</v>
      </c>
      <c r="G44" s="101"/>
      <c r="H44" s="101"/>
      <c r="I44" s="102"/>
      <c r="J44" s="101">
        <f>SUM(D44:H44)</f>
        <v>314933</v>
      </c>
      <c r="N44" s="99"/>
      <c r="O44" s="99"/>
      <c r="P44" s="100">
        <f>P42+(P43*10)</f>
        <v>16000</v>
      </c>
      <c r="Q44" s="100">
        <f>Q42+(Q43*10)</f>
        <v>51200</v>
      </c>
      <c r="R44" s="99"/>
      <c r="T44" s="134" t="s">
        <v>184</v>
      </c>
      <c r="U44" s="133">
        <v>24594.63</v>
      </c>
      <c r="V44" s="133">
        <v>7378.39</v>
      </c>
      <c r="W44" s="133">
        <v>7378.39</v>
      </c>
      <c r="X44" s="133">
        <v>7378.39</v>
      </c>
      <c r="Y44" s="133">
        <v>2459.46</v>
      </c>
      <c r="Z44" s="130"/>
      <c r="AA44" s="131">
        <f t="shared" ref="AA44:AA53" si="12">SUM(V44:Z44)</f>
        <v>24594.63</v>
      </c>
    </row>
    <row r="45" spans="2:32" ht="15.75" thickBot="1" x14ac:dyDescent="0.3">
      <c r="B45" s="204"/>
      <c r="C45" s="76" t="s">
        <v>66</v>
      </c>
      <c r="D45" s="101"/>
      <c r="E45" s="101">
        <f>'[2]T-Pleasant Valley'!$D$24</f>
        <v>329439</v>
      </c>
      <c r="F45" s="101">
        <f>'[2]T-Pleasant Valley'!$E$24</f>
        <v>329439</v>
      </c>
      <c r="G45" s="101"/>
      <c r="H45" s="101"/>
      <c r="I45" s="102"/>
      <c r="J45" s="101">
        <f>SUM(D45:H45)</f>
        <v>658878</v>
      </c>
      <c r="N45" s="99"/>
      <c r="O45" s="99"/>
      <c r="P45" s="100" t="s">
        <v>185</v>
      </c>
      <c r="Q45" s="100">
        <f>Q44/4</f>
        <v>12800</v>
      </c>
      <c r="R45" s="99" t="s">
        <v>186</v>
      </c>
      <c r="T45" s="134" t="s">
        <v>187</v>
      </c>
      <c r="U45" s="133">
        <v>24594.63</v>
      </c>
      <c r="V45" s="133">
        <v>7378.39</v>
      </c>
      <c r="W45" s="133">
        <v>7378.39</v>
      </c>
      <c r="X45" s="133">
        <v>7378.39</v>
      </c>
      <c r="Y45" s="133">
        <v>2459.46</v>
      </c>
      <c r="Z45" s="130"/>
      <c r="AA45" s="131">
        <f t="shared" si="12"/>
        <v>24594.63</v>
      </c>
    </row>
    <row r="46" spans="2:32" ht="15.75" thickBot="1" x14ac:dyDescent="0.3">
      <c r="B46" s="204"/>
      <c r="C46" s="76" t="s">
        <v>69</v>
      </c>
      <c r="D46" s="101"/>
      <c r="E46" s="101">
        <f>'[2]T-Poughkeepsie'!$D$29</f>
        <v>167475</v>
      </c>
      <c r="F46" s="101">
        <f>'[2]T-Poughkeepsie'!$E$29</f>
        <v>167475</v>
      </c>
      <c r="G46" s="101"/>
      <c r="H46" s="101"/>
      <c r="I46" s="102"/>
      <c r="J46" s="101">
        <f t="shared" si="11"/>
        <v>334950</v>
      </c>
      <c r="T46" s="134" t="s">
        <v>188</v>
      </c>
      <c r="U46" s="133">
        <v>24594.63</v>
      </c>
      <c r="V46" s="133">
        <v>7378.39</v>
      </c>
      <c r="W46" s="133">
        <v>7378.39</v>
      </c>
      <c r="X46" s="133">
        <v>7378.39</v>
      </c>
      <c r="Y46" s="133">
        <v>2459.46</v>
      </c>
      <c r="Z46" s="130"/>
      <c r="AA46" s="131">
        <f t="shared" si="12"/>
        <v>24594.63</v>
      </c>
    </row>
    <row r="47" spans="2:32" ht="15.75" thickBot="1" x14ac:dyDescent="0.3">
      <c r="B47" s="204"/>
      <c r="C47" s="76" t="s">
        <v>191</v>
      </c>
      <c r="D47" s="101"/>
      <c r="E47" s="101">
        <f>'[2]V-Irvington'!$D$18</f>
        <v>500000</v>
      </c>
      <c r="F47" s="101">
        <f>'[2]V-Irvington'!$E$18</f>
        <v>500000</v>
      </c>
      <c r="G47" s="101"/>
      <c r="H47" s="101"/>
      <c r="I47" s="102"/>
      <c r="J47" s="101">
        <f>SUM(D47:H47)</f>
        <v>1000000</v>
      </c>
      <c r="T47" s="134" t="s">
        <v>189</v>
      </c>
      <c r="U47" s="133">
        <v>24594.63</v>
      </c>
      <c r="V47" s="133">
        <v>7378.39</v>
      </c>
      <c r="W47" s="133">
        <v>7378.39</v>
      </c>
      <c r="X47" s="133">
        <v>7378.39</v>
      </c>
      <c r="Y47" s="133">
        <v>2459.46</v>
      </c>
      <c r="Z47" s="130"/>
      <c r="AA47" s="131">
        <f t="shared" si="12"/>
        <v>24594.63</v>
      </c>
    </row>
    <row r="48" spans="2:32" ht="15.75" thickBot="1" x14ac:dyDescent="0.3">
      <c r="B48" s="204"/>
      <c r="C48" s="76" t="s">
        <v>76</v>
      </c>
      <c r="D48" s="101"/>
      <c r="E48" s="101">
        <f>ROUND('[2]V-Ossining'!$D$25,0)</f>
        <v>187867</v>
      </c>
      <c r="F48" s="101">
        <f>ROUND('[2]V-Ossining'!$E$25,0)</f>
        <v>187867</v>
      </c>
      <c r="G48" s="101"/>
      <c r="H48" s="101"/>
      <c r="I48" s="102"/>
      <c r="J48" s="101">
        <f>SUM(D48:H48)</f>
        <v>375734</v>
      </c>
      <c r="T48" s="134" t="s">
        <v>190</v>
      </c>
      <c r="U48" s="133">
        <v>24348.68</v>
      </c>
      <c r="V48" s="133">
        <v>7304.61</v>
      </c>
      <c r="W48" s="133">
        <v>7304.61</v>
      </c>
      <c r="X48" s="133">
        <v>7304.61</v>
      </c>
      <c r="Y48" s="133">
        <v>2434.87</v>
      </c>
      <c r="Z48" s="130"/>
      <c r="AA48" s="131">
        <f t="shared" si="12"/>
        <v>24348.699999999997</v>
      </c>
    </row>
    <row r="49" spans="1:32" ht="15.75" thickBot="1" x14ac:dyDescent="0.3">
      <c r="B49" s="204"/>
      <c r="C49" s="76" t="s">
        <v>79</v>
      </c>
      <c r="D49" s="101"/>
      <c r="E49" s="101">
        <f>'[2]V-Rhinebeck'!$F$27</f>
        <v>316346</v>
      </c>
      <c r="F49" s="101">
        <f>'[2]V-Rhinebeck'!$G$27</f>
        <v>316347</v>
      </c>
      <c r="G49" s="101">
        <f>'[2]V-Rhinebeck'!$H$27</f>
        <v>316347</v>
      </c>
      <c r="H49" s="101"/>
      <c r="I49" s="102"/>
      <c r="J49" s="101">
        <f t="shared" si="11"/>
        <v>949040</v>
      </c>
      <c r="T49" s="134" t="s">
        <v>192</v>
      </c>
      <c r="U49" s="133">
        <v>24348.68</v>
      </c>
      <c r="V49" s="133">
        <v>7304.61</v>
      </c>
      <c r="W49" s="133">
        <v>7304.61</v>
      </c>
      <c r="X49" s="133">
        <v>7304.61</v>
      </c>
      <c r="Y49" s="133">
        <v>2434.87</v>
      </c>
      <c r="Z49" s="130"/>
      <c r="AA49" s="131">
        <f t="shared" si="12"/>
        <v>24348.699999999997</v>
      </c>
    </row>
    <row r="50" spans="1:32" ht="15.75" thickBot="1" x14ac:dyDescent="0.3">
      <c r="B50" s="204"/>
      <c r="C50" s="67" t="s">
        <v>83</v>
      </c>
      <c r="D50" s="101"/>
      <c r="E50" s="101">
        <f>'[2]V- Tarrytown'!$D$27</f>
        <v>235501</v>
      </c>
      <c r="F50" s="101"/>
      <c r="G50" s="101"/>
      <c r="H50" s="101"/>
      <c r="I50" s="102"/>
      <c r="J50" s="101">
        <f t="shared" si="11"/>
        <v>235501</v>
      </c>
      <c r="N50" s="54" t="s">
        <v>193</v>
      </c>
      <c r="Q50" s="64" t="s">
        <v>194</v>
      </c>
      <c r="T50" s="134" t="s">
        <v>195</v>
      </c>
      <c r="U50" s="133">
        <v>24348.68</v>
      </c>
      <c r="V50" s="133">
        <v>7304.61</v>
      </c>
      <c r="W50" s="133">
        <v>7304.61</v>
      </c>
      <c r="X50" s="133">
        <v>7304.61</v>
      </c>
      <c r="Y50" s="133">
        <v>2434.87</v>
      </c>
      <c r="Z50" s="130"/>
      <c r="AA50" s="131">
        <f t="shared" si="12"/>
        <v>24348.699999999997</v>
      </c>
    </row>
    <row r="51" spans="1:32" ht="15.75" thickBot="1" x14ac:dyDescent="0.3">
      <c r="B51" s="204"/>
      <c r="C51" s="67" t="s">
        <v>200</v>
      </c>
      <c r="D51" s="101"/>
      <c r="E51" s="101">
        <f>'[2]V-Wappingers'!$D$25</f>
        <v>106400</v>
      </c>
      <c r="F51" s="101"/>
      <c r="G51" s="101"/>
      <c r="H51" s="101"/>
      <c r="I51" s="102"/>
      <c r="J51" s="101">
        <f t="shared" si="11"/>
        <v>106400</v>
      </c>
      <c r="L51" s="128" t="s">
        <v>201</v>
      </c>
      <c r="M51" s="129">
        <f>SUM(J42:J51)</f>
        <v>7991985</v>
      </c>
      <c r="N51" s="54" t="s">
        <v>196</v>
      </c>
      <c r="O51" s="54">
        <v>10</v>
      </c>
      <c r="P51" s="54" t="s">
        <v>197</v>
      </c>
      <c r="T51" s="134" t="s">
        <v>198</v>
      </c>
      <c r="U51" s="133">
        <v>24348.68</v>
      </c>
      <c r="V51" s="133">
        <v>7304.61</v>
      </c>
      <c r="W51" s="133">
        <v>7304.61</v>
      </c>
      <c r="X51" s="133">
        <v>7304.61</v>
      </c>
      <c r="Y51" s="133">
        <v>2434.87</v>
      </c>
      <c r="Z51" s="130"/>
      <c r="AA51" s="131">
        <f t="shared" si="12"/>
        <v>24348.699999999997</v>
      </c>
    </row>
    <row r="52" spans="1:32" ht="15.75" thickBot="1" x14ac:dyDescent="0.3">
      <c r="B52" s="204"/>
      <c r="C52" s="76" t="s">
        <v>203</v>
      </c>
      <c r="D52" s="101">
        <f>V54</f>
        <v>106582.39000000001</v>
      </c>
      <c r="E52" s="101">
        <f>W54</f>
        <v>83193.640000000014</v>
      </c>
      <c r="F52" s="101">
        <f>X54</f>
        <v>83193.640000000014</v>
      </c>
      <c r="G52" s="101">
        <f>Y54</f>
        <v>34397.859999999993</v>
      </c>
      <c r="H52" s="141">
        <f>Z54</f>
        <v>0</v>
      </c>
      <c r="I52" s="102"/>
      <c r="J52" s="101">
        <f t="shared" si="11"/>
        <v>307367.53000000003</v>
      </c>
      <c r="O52" s="54">
        <f>10/5</f>
        <v>2</v>
      </c>
      <c r="P52" s="54" t="s">
        <v>197</v>
      </c>
      <c r="T52" s="134" t="s">
        <v>199</v>
      </c>
      <c r="U52" s="133">
        <v>24102.74</v>
      </c>
      <c r="V52" s="133">
        <v>7230.82</v>
      </c>
      <c r="W52" s="133">
        <v>7230.82</v>
      </c>
      <c r="X52" s="133">
        <v>7230.82</v>
      </c>
      <c r="Y52" s="133">
        <v>2410.27</v>
      </c>
      <c r="Z52" s="130"/>
      <c r="AA52" s="131">
        <f t="shared" si="12"/>
        <v>24102.73</v>
      </c>
    </row>
    <row r="53" spans="1:32" ht="30.75" thickBot="1" x14ac:dyDescent="0.3">
      <c r="B53" s="204"/>
      <c r="C53" s="76" t="s">
        <v>205</v>
      </c>
      <c r="D53" s="101"/>
      <c r="E53" s="101">
        <f>Q45</f>
        <v>12800</v>
      </c>
      <c r="F53" s="101">
        <f>Q45</f>
        <v>12800</v>
      </c>
      <c r="G53" s="101">
        <f>Q45</f>
        <v>12800</v>
      </c>
      <c r="H53" s="101">
        <v>12800</v>
      </c>
      <c r="I53" s="102"/>
      <c r="J53" s="101">
        <f>SUM(D53:H53)</f>
        <v>51200</v>
      </c>
      <c r="T53" s="134" t="s">
        <v>202</v>
      </c>
      <c r="U53" s="133">
        <v>24102.74</v>
      </c>
      <c r="V53" s="133">
        <v>7230.82</v>
      </c>
      <c r="W53" s="133">
        <v>7230.82</v>
      </c>
      <c r="X53" s="133">
        <v>7230.82</v>
      </c>
      <c r="Y53" s="133">
        <v>2410.27</v>
      </c>
      <c r="Z53" s="130"/>
      <c r="AA53" s="131">
        <f t="shared" si="12"/>
        <v>24102.73</v>
      </c>
    </row>
    <row r="54" spans="1:32" x14ac:dyDescent="0.25">
      <c r="B54" s="204"/>
      <c r="C54" s="89" t="s">
        <v>206</v>
      </c>
      <c r="D54" s="115">
        <f>SUM(D42:D53)</f>
        <v>106582.39000000001</v>
      </c>
      <c r="E54" s="115">
        <f>SUM(E41:E53)</f>
        <v>3675336.64</v>
      </c>
      <c r="F54" s="115">
        <f>SUM(F42:F53)</f>
        <v>3333438.64</v>
      </c>
      <c r="G54" s="115">
        <f>SUM(G42:G53)</f>
        <v>1222394.8600000001</v>
      </c>
      <c r="H54" s="115">
        <f>SUM(H42:H53)</f>
        <v>12800</v>
      </c>
      <c r="I54" s="116"/>
      <c r="J54" s="165">
        <f>SUM(D54:H54)</f>
        <v>8350552.5300000003</v>
      </c>
      <c r="N54" s="54" t="s">
        <v>204</v>
      </c>
      <c r="T54" s="134" t="s">
        <v>32</v>
      </c>
      <c r="U54" s="130">
        <f>SUM(U43:U53)</f>
        <v>307367.46999999997</v>
      </c>
      <c r="V54" s="130">
        <f>SUM(V43:V53)</f>
        <v>106582.39000000001</v>
      </c>
      <c r="W54" s="130">
        <f>SUM(W43:W53)</f>
        <v>83193.640000000014</v>
      </c>
      <c r="X54" s="130">
        <f>SUM(X43:X53)</f>
        <v>83193.640000000014</v>
      </c>
      <c r="Y54" s="130">
        <f>SUM(Y43:Y53)</f>
        <v>34397.859999999993</v>
      </c>
      <c r="Z54" s="130"/>
      <c r="AA54" s="136">
        <f>SUM(V54:Z54)</f>
        <v>307367.53000000003</v>
      </c>
    </row>
    <row r="55" spans="1:32" x14ac:dyDescent="0.25">
      <c r="B55" s="204"/>
      <c r="C55" s="89" t="s">
        <v>207</v>
      </c>
      <c r="D55" s="115">
        <f>SUM(D54,D40,D34,D28,D24,D17,D11)</f>
        <v>264053.39</v>
      </c>
      <c r="E55" s="115">
        <f>SUM(E54,E40,E34,E28,E24,E17,E11)</f>
        <v>3834942.64</v>
      </c>
      <c r="F55" s="115">
        <f>SUM(F54,F40,F34,F28,F24,F17,F11)</f>
        <v>3499653.64</v>
      </c>
      <c r="G55" s="115">
        <f>SUM(G54,G40,G34,G28,G24,G17,G11)</f>
        <v>1397269.86</v>
      </c>
      <c r="H55" s="115">
        <f>SUM(H54,H40,H34,H28,H24,H17,H11)</f>
        <v>193931</v>
      </c>
      <c r="I55" s="116"/>
      <c r="J55" s="165">
        <f>SUM(D55:H55)</f>
        <v>9189850.5299999993</v>
      </c>
      <c r="N55" s="199"/>
      <c r="O55" s="199"/>
      <c r="P55" s="199"/>
      <c r="Q55" s="199"/>
      <c r="R55" s="199"/>
      <c r="S55" s="199"/>
      <c r="Y55" s="99">
        <v>428</v>
      </c>
      <c r="Z55" s="99">
        <f>Y55*10</f>
        <v>4280</v>
      </c>
      <c r="AA55" s="99"/>
    </row>
    <row r="56" spans="1:32" x14ac:dyDescent="0.25">
      <c r="B56" s="205"/>
      <c r="C56" s="89" t="s">
        <v>209</v>
      </c>
      <c r="D56" s="115">
        <f>SUM(25000+D40,D34,D24,D17,D11)</f>
        <v>182471</v>
      </c>
      <c r="E56" s="115">
        <f>SUM((25000*10),E40,E34,E24,E17,E11,E53)</f>
        <v>422406</v>
      </c>
      <c r="F56" s="115">
        <f>SUM(F40,F34,F24,F17,F11,F53)</f>
        <v>179015</v>
      </c>
      <c r="G56" s="115">
        <f>SUM(G40,G34,G24,G17,G11,G53)</f>
        <v>187675</v>
      </c>
      <c r="H56" s="115">
        <f>SUM(H34,H24,H17,H11,H53)</f>
        <v>193931</v>
      </c>
      <c r="I56" s="116"/>
      <c r="J56" s="165">
        <f>SUM(D56:H56)</f>
        <v>1165498</v>
      </c>
      <c r="N56" s="199"/>
      <c r="O56" s="199"/>
      <c r="P56" s="199"/>
      <c r="Q56" s="199"/>
      <c r="R56" s="199"/>
      <c r="S56" s="199"/>
      <c r="Y56" s="99">
        <v>375</v>
      </c>
      <c r="Z56" s="99"/>
      <c r="AA56" s="99"/>
    </row>
    <row r="57" spans="1:32" x14ac:dyDescent="0.25">
      <c r="B57" s="142"/>
      <c r="D57" s="122"/>
      <c r="E57" s="121"/>
      <c r="F57" s="122"/>
      <c r="G57" s="122"/>
      <c r="H57" s="121"/>
      <c r="I57" s="123"/>
      <c r="J57" s="122"/>
      <c r="N57" s="199"/>
      <c r="O57" s="199"/>
      <c r="P57" s="199"/>
      <c r="Q57" s="199"/>
      <c r="R57" s="199"/>
      <c r="S57" s="199"/>
      <c r="Y57" s="99">
        <f>Z55+Y56</f>
        <v>4655</v>
      </c>
      <c r="Z57" s="99"/>
      <c r="AA57" s="131">
        <f>AA54/Y57</f>
        <v>66.029544575725026</v>
      </c>
    </row>
    <row r="58" spans="1:32" x14ac:dyDescent="0.25">
      <c r="B58" s="200" t="s">
        <v>208</v>
      </c>
      <c r="C58" s="159" t="s">
        <v>208</v>
      </c>
      <c r="D58" s="160"/>
      <c r="E58" s="160"/>
      <c r="F58" s="160"/>
      <c r="G58" s="160"/>
      <c r="H58" s="161"/>
      <c r="I58" s="162"/>
      <c r="J58" s="163" t="s">
        <v>20</v>
      </c>
      <c r="N58" s="199"/>
      <c r="O58" s="199"/>
      <c r="P58" s="199"/>
      <c r="Q58" s="199"/>
      <c r="R58" s="199"/>
      <c r="S58" s="199"/>
      <c r="T58" s="54" t="s">
        <v>255</v>
      </c>
      <c r="AA58" s="132"/>
    </row>
    <row r="59" spans="1:32" ht="30" x14ac:dyDescent="0.25">
      <c r="B59" s="201"/>
      <c r="C59" s="67" t="s">
        <v>210</v>
      </c>
      <c r="D59" s="101">
        <f>ROUND(D56*0.1,0)</f>
        <v>18247</v>
      </c>
      <c r="E59" s="101">
        <f>ROUND(E56*0.1,0)</f>
        <v>42241</v>
      </c>
      <c r="F59" s="101">
        <f>ROUND(F56*0.1,0)</f>
        <v>17902</v>
      </c>
      <c r="G59" s="101">
        <f>ROUND(G56*0.1,0)</f>
        <v>18768</v>
      </c>
      <c r="H59" s="101">
        <f>ROUND(H56*0.1,0)</f>
        <v>19393</v>
      </c>
      <c r="I59" s="102"/>
      <c r="J59" s="101">
        <f>SUM(D59:H59)</f>
        <v>116551</v>
      </c>
    </row>
    <row r="60" spans="1:32" x14ac:dyDescent="0.25">
      <c r="B60" s="202"/>
      <c r="C60" s="89" t="s">
        <v>212</v>
      </c>
      <c r="D60" s="115">
        <f>SUM(D59:D59)</f>
        <v>18247</v>
      </c>
      <c r="E60" s="115">
        <f>SUM(E59:E59)</f>
        <v>42241</v>
      </c>
      <c r="F60" s="115">
        <f>SUM(F59:F59)</f>
        <v>17902</v>
      </c>
      <c r="G60" s="115">
        <f>SUM(G59:G59)</f>
        <v>18768</v>
      </c>
      <c r="H60" s="115">
        <f>SUM(H59:H59)</f>
        <v>19393</v>
      </c>
      <c r="I60" s="116"/>
      <c r="J60" s="115">
        <f>SUM(J59:J59)</f>
        <v>116551</v>
      </c>
      <c r="K60" s="139"/>
      <c r="L60" s="81"/>
      <c r="M60" s="81"/>
    </row>
    <row r="61" spans="1:32" ht="15.75" thickBot="1" x14ac:dyDescent="0.3">
      <c r="C61" s="64"/>
      <c r="D61" s="124"/>
      <c r="E61" s="124"/>
      <c r="F61" s="124"/>
      <c r="G61" s="124"/>
      <c r="H61" s="124"/>
      <c r="I61" s="124"/>
      <c r="J61" s="124"/>
    </row>
    <row r="62" spans="1:32" s="64" customFormat="1" ht="14.65" customHeight="1" thickBot="1" x14ac:dyDescent="0.3">
      <c r="A62" s="54"/>
      <c r="B62" s="146" t="s">
        <v>213</v>
      </c>
      <c r="C62" s="77"/>
      <c r="D62" s="125">
        <f>SUM(D60,D55)</f>
        <v>282300.39</v>
      </c>
      <c r="E62" s="125">
        <f>SUM(E60,E55)</f>
        <v>3877183.64</v>
      </c>
      <c r="F62" s="125">
        <f>SUM(F60,F55)</f>
        <v>3517555.64</v>
      </c>
      <c r="G62" s="125">
        <f>SUM(G60,G55)</f>
        <v>1416037.86</v>
      </c>
      <c r="H62" s="147">
        <f>SUM(H60,H55)</f>
        <v>213324</v>
      </c>
      <c r="I62" s="116"/>
      <c r="J62" s="148">
        <f>SUM(J60,J55)</f>
        <v>9306401.5299999993</v>
      </c>
      <c r="K62" s="138"/>
      <c r="L62" s="79"/>
      <c r="M62" s="79"/>
      <c r="N62" s="54" t="s">
        <v>211</v>
      </c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</row>
    <row r="63" spans="1:32" x14ac:dyDescent="0.25">
      <c r="A63" s="64"/>
      <c r="AD63" s="64"/>
      <c r="AE63" s="64"/>
      <c r="AF63" s="64"/>
    </row>
    <row r="64" spans="1:32" x14ac:dyDescent="0.25">
      <c r="U64" s="64"/>
      <c r="V64" s="64"/>
      <c r="W64" s="64"/>
      <c r="X64" s="64"/>
      <c r="Y64" s="64"/>
      <c r="Z64" s="64"/>
      <c r="AA64" s="64"/>
      <c r="AB64" s="64"/>
      <c r="AC64" s="64"/>
    </row>
    <row r="65" spans="12:14" x14ac:dyDescent="0.25">
      <c r="L65" s="137">
        <f>J62/1630</f>
        <v>5709.4487914110423</v>
      </c>
    </row>
    <row r="66" spans="12:14" x14ac:dyDescent="0.25">
      <c r="L66" s="137"/>
    </row>
    <row r="79" spans="12:14" x14ac:dyDescent="0.25">
      <c r="N79" s="54" t="s">
        <v>214</v>
      </c>
    </row>
  </sheetData>
  <sheetProtection algorithmName="SHA-512" hashValue="8Q1ZVZO6Zz/agYFCLrfHpdzzEDmbHFM94YNUtnWVqdwORWDAdWH2MaBa5rwAVMywo6dAA089UohXr2No6s5Xlg==" saltValue="uiu4ayhUr1TNwf67tZI+PQ==" spinCount="100000" sheet="1" insertRows="0" sort="0"/>
  <mergeCells count="4">
    <mergeCell ref="N57:S58"/>
    <mergeCell ref="N55:S56"/>
    <mergeCell ref="B58:B60"/>
    <mergeCell ref="B6:B56"/>
  </mergeCells>
  <hyperlinks>
    <hyperlink ref="P41" r:id="rId1" xr:uid="{82BA1DE1-1BD5-4D8E-A8B9-B32FBDACAFAB}"/>
  </hyperlinks>
  <pageMargins left="0.7" right="0.7" top="0.75" bottom="0.75" header="0.3" footer="0.3"/>
  <pageSetup scale="97" fitToHeight="0" orientation="landscape" r:id="rId2"/>
  <ignoredErrors>
    <ignoredError sqref="J36:J38" formulaRange="1"/>
  </ignoredError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C8" sqref="C8"/>
      <selection pane="bottomLeft" activeCell="C8" sqref="C8"/>
      <selection pane="bottomRight" activeCell="C8" sqref="C8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28515625" customWidth="1"/>
    <col min="4" max="4" width="12.85546875" style="6" customWidth="1"/>
    <col min="5" max="5" width="12.28515625" style="2" customWidth="1"/>
    <col min="6" max="6" width="12.7109375" customWidth="1"/>
    <col min="7" max="7" width="12.85546875" customWidth="1"/>
    <col min="8" max="8" width="13.28515625" style="2" customWidth="1"/>
    <col min="9" max="9" width="0.85546875" style="7" customWidth="1"/>
    <col min="10" max="10" width="14.285156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215</v>
      </c>
      <c r="D7" s="10" t="s">
        <v>41</v>
      </c>
      <c r="E7" s="10" t="s">
        <v>41</v>
      </c>
      <c r="F7" s="10" t="s">
        <v>41</v>
      </c>
      <c r="G7" s="10"/>
      <c r="H7" s="10" t="s">
        <v>41</v>
      </c>
      <c r="I7" s="7"/>
      <c r="J7" s="8" t="s">
        <v>41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216</v>
      </c>
      <c r="D12" s="13" t="s">
        <v>41</v>
      </c>
      <c r="E12" s="10"/>
      <c r="F12" s="10"/>
      <c r="G12" s="10"/>
      <c r="H12" s="10"/>
      <c r="J12" s="8" t="s">
        <v>41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217</v>
      </c>
      <c r="D17" s="13" t="s">
        <v>41</v>
      </c>
      <c r="E17" s="10"/>
      <c r="F17" s="10"/>
      <c r="G17" s="10"/>
      <c r="H17" s="10"/>
      <c r="J17" s="8" t="s">
        <v>41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218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120</v>
      </c>
      <c r="C30" s="28" t="s">
        <v>120</v>
      </c>
      <c r="D30" s="13" t="s">
        <v>41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25">
      <c r="B32" s="23"/>
      <c r="C32" s="14" t="s">
        <v>219</v>
      </c>
      <c r="D32" s="13" t="s">
        <v>41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220</v>
      </c>
      <c r="D36" s="13" t="s">
        <v>41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47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25">
      <c r="B43" s="23"/>
      <c r="C43" s="14" t="s">
        <v>180</v>
      </c>
      <c r="D43" s="13" t="s">
        <v>41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208</v>
      </c>
      <c r="C53" s="17" t="s">
        <v>208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C8" sqref="C8"/>
      <selection pane="bottomLeft" activeCell="C8" sqref="C8"/>
      <selection pane="bottomRight" activeCell="C8" sqref="C8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285156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0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215</v>
      </c>
      <c r="D7" s="10" t="s">
        <v>41</v>
      </c>
      <c r="E7" s="10" t="s">
        <v>41</v>
      </c>
      <c r="F7" s="10" t="s">
        <v>41</v>
      </c>
      <c r="G7" s="10"/>
      <c r="H7" s="10" t="s">
        <v>41</v>
      </c>
      <c r="I7" s="7"/>
      <c r="J7" s="8" t="s">
        <v>41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216</v>
      </c>
      <c r="D12" s="13" t="s">
        <v>41</v>
      </c>
      <c r="E12" s="10"/>
      <c r="F12" s="10"/>
      <c r="G12" s="10"/>
      <c r="H12" s="10"/>
      <c r="J12" s="8" t="s">
        <v>41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217</v>
      </c>
      <c r="D17" s="13" t="s">
        <v>41</v>
      </c>
      <c r="E17" s="10"/>
      <c r="F17" s="10"/>
      <c r="G17" s="10"/>
      <c r="H17" s="10"/>
      <c r="J17" s="8" t="s">
        <v>41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218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120</v>
      </c>
      <c r="C30" s="28" t="s">
        <v>120</v>
      </c>
      <c r="D30" s="13" t="s">
        <v>41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219</v>
      </c>
      <c r="D32" s="13" t="s">
        <v>41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220</v>
      </c>
      <c r="D36" s="13" t="s">
        <v>41</v>
      </c>
      <c r="E36" s="10"/>
      <c r="F36" s="10"/>
      <c r="G36" s="10"/>
      <c r="H36" s="10"/>
      <c r="J36" s="15"/>
    </row>
    <row r="37" spans="2:10" x14ac:dyDescent="0.25">
      <c r="B37" s="23"/>
      <c r="C37" s="46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180</v>
      </c>
      <c r="D43" s="13" t="s">
        <v>41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51" t="s">
        <v>208</v>
      </c>
      <c r="C53" s="17" t="s">
        <v>208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C8" sqref="C8"/>
      <selection pane="bottomLeft" activeCell="C8" sqref="C8"/>
      <selection pane="bottomRight" activeCell="C8" sqref="C8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28515625" style="2" customWidth="1"/>
    <col min="6" max="6" width="12.85546875" customWidth="1"/>
    <col min="7" max="7" width="12.285156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0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215</v>
      </c>
      <c r="D7" s="10" t="s">
        <v>41</v>
      </c>
      <c r="E7" s="10" t="s">
        <v>41</v>
      </c>
      <c r="F7" s="10" t="s">
        <v>41</v>
      </c>
      <c r="G7" s="10"/>
      <c r="H7" s="10" t="s">
        <v>41</v>
      </c>
      <c r="I7" s="7"/>
      <c r="J7" s="8" t="s">
        <v>41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216</v>
      </c>
      <c r="D12" s="13" t="s">
        <v>41</v>
      </c>
      <c r="E12" s="10"/>
      <c r="F12" s="10"/>
      <c r="G12" s="10"/>
      <c r="H12" s="10"/>
      <c r="J12" s="8" t="s">
        <v>41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217</v>
      </c>
      <c r="D17" s="13" t="s">
        <v>41</v>
      </c>
      <c r="E17" s="10"/>
      <c r="F17" s="10"/>
      <c r="G17" s="10"/>
      <c r="H17" s="10"/>
      <c r="J17" s="8" t="s">
        <v>41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120</v>
      </c>
      <c r="E19" s="11" t="s">
        <v>120</v>
      </c>
      <c r="F19" s="11" t="s">
        <v>120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218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120</v>
      </c>
      <c r="C30" s="28" t="s">
        <v>120</v>
      </c>
      <c r="D30" s="13" t="s">
        <v>41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219</v>
      </c>
      <c r="D32" s="13" t="s">
        <v>41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220</v>
      </c>
      <c r="D36" s="13" t="s">
        <v>41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221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222</v>
      </c>
      <c r="D42" s="13" t="s">
        <v>41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51" t="s">
        <v>208</v>
      </c>
      <c r="C52" s="17" t="s">
        <v>208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C8" sqref="C8"/>
      <selection pane="bottomLeft" activeCell="C8" sqref="C8"/>
      <selection pane="bottomRight" activeCell="C8" sqref="C8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285156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0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215</v>
      </c>
      <c r="D7" s="10" t="s">
        <v>41</v>
      </c>
      <c r="E7" s="10" t="s">
        <v>41</v>
      </c>
      <c r="F7" s="10" t="s">
        <v>41</v>
      </c>
      <c r="G7" s="10"/>
      <c r="H7" s="10" t="s">
        <v>41</v>
      </c>
      <c r="I7" s="7"/>
      <c r="J7" s="8" t="s">
        <v>41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216</v>
      </c>
      <c r="D12" s="13" t="s">
        <v>41</v>
      </c>
      <c r="E12" s="10"/>
      <c r="F12" s="10"/>
      <c r="G12" s="10"/>
      <c r="H12" s="10"/>
      <c r="J12" s="8" t="s">
        <v>41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217</v>
      </c>
      <c r="D17" s="13" t="s">
        <v>41</v>
      </c>
      <c r="E17" s="10"/>
      <c r="F17" s="10"/>
      <c r="G17" s="10"/>
      <c r="H17" s="10"/>
      <c r="J17" s="8" t="s">
        <v>41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218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120</v>
      </c>
      <c r="C30" s="28" t="s">
        <v>120</v>
      </c>
      <c r="D30" s="13" t="s">
        <v>41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219</v>
      </c>
      <c r="D32" s="13" t="s">
        <v>41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220</v>
      </c>
      <c r="D36" s="13" t="s">
        <v>41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180</v>
      </c>
      <c r="D42" s="13" t="s">
        <v>41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51" t="s">
        <v>208</v>
      </c>
      <c r="C52" s="17" t="s">
        <v>208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topLeftCell="A33" zoomScale="85" zoomScaleNormal="85" workbookViewId="0">
      <selection activeCell="C9" sqref="C9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28515625" style="6" customWidth="1"/>
    <col min="5" max="5" width="12.5703125" style="2" customWidth="1"/>
    <col min="6" max="6" width="12.28515625" customWidth="1"/>
    <col min="7" max="7" width="13" customWidth="1"/>
    <col min="8" max="8" width="12.285156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215</v>
      </c>
      <c r="D7" s="10" t="s">
        <v>41</v>
      </c>
      <c r="E7" s="10" t="s">
        <v>41</v>
      </c>
      <c r="F7" s="10" t="s">
        <v>41</v>
      </c>
      <c r="G7" s="10"/>
      <c r="H7" s="10" t="s">
        <v>41</v>
      </c>
      <c r="I7" s="7"/>
      <c r="J7" s="8" t="s">
        <v>41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223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224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216</v>
      </c>
      <c r="D12" s="13" t="s">
        <v>41</v>
      </c>
      <c r="E12" s="10"/>
      <c r="F12" s="10"/>
      <c r="G12" s="10"/>
      <c r="H12" s="10"/>
      <c r="J12" s="8" t="s">
        <v>41</v>
      </c>
    </row>
    <row r="13" spans="2:39" x14ac:dyDescent="0.25">
      <c r="B13" s="23"/>
      <c r="C13" s="25" t="s">
        <v>225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217</v>
      </c>
      <c r="D17" s="13" t="s">
        <v>41</v>
      </c>
      <c r="E17" s="10"/>
      <c r="F17" s="10"/>
      <c r="G17" s="10"/>
      <c r="H17" s="10"/>
      <c r="J17" s="8" t="s">
        <v>41</v>
      </c>
    </row>
    <row r="18" spans="2:10" x14ac:dyDescent="0.25">
      <c r="B18" s="23"/>
      <c r="C18" s="29" t="s">
        <v>226</v>
      </c>
      <c r="D18" s="15" t="s">
        <v>120</v>
      </c>
      <c r="E18" s="11" t="s">
        <v>120</v>
      </c>
      <c r="F18" s="11" t="s">
        <v>120</v>
      </c>
      <c r="G18" s="11"/>
      <c r="H18" s="11"/>
      <c r="J18" s="15"/>
    </row>
    <row r="19" spans="2:10" x14ac:dyDescent="0.25">
      <c r="B19" s="23"/>
      <c r="C19" s="29" t="s">
        <v>227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228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229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230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231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232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233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218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234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120</v>
      </c>
      <c r="C29" s="28" t="s">
        <v>120</v>
      </c>
      <c r="D29" s="13" t="s">
        <v>41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219</v>
      </c>
      <c r="D31" s="13" t="s">
        <v>41</v>
      </c>
      <c r="E31" s="10"/>
      <c r="F31" s="10"/>
      <c r="G31" s="10"/>
      <c r="H31" s="10"/>
      <c r="J31" s="15"/>
    </row>
    <row r="32" spans="2:10" x14ac:dyDescent="0.25">
      <c r="B32" s="23"/>
      <c r="C32" s="25" t="s">
        <v>235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220</v>
      </c>
      <c r="D35" s="13" t="s">
        <v>41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236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237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238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180</v>
      </c>
      <c r="D41" s="13" t="s">
        <v>41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239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240</v>
      </c>
      <c r="D43" s="15">
        <v>10000000</v>
      </c>
      <c r="E43" s="45">
        <v>10000000</v>
      </c>
      <c r="F43" s="45">
        <v>10000000</v>
      </c>
      <c r="G43" s="45">
        <v>10000000</v>
      </c>
      <c r="H43" s="45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208</v>
      </c>
      <c r="C48" s="17" t="s">
        <v>208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28515625" style="2" customWidth="1"/>
    <col min="6" max="6" width="12.7109375" customWidth="1"/>
    <col min="7" max="7" width="12.85546875" customWidth="1"/>
    <col min="8" max="8" width="13.28515625" style="2" customWidth="1"/>
    <col min="9" max="9" width="0.85546875" style="7" customWidth="1"/>
    <col min="10" max="10" width="14.285156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215</v>
      </c>
      <c r="D7" s="10" t="s">
        <v>41</v>
      </c>
      <c r="E7" s="10" t="s">
        <v>41</v>
      </c>
      <c r="F7" s="10" t="s">
        <v>41</v>
      </c>
      <c r="G7" s="10"/>
      <c r="H7" s="10" t="s">
        <v>41</v>
      </c>
      <c r="I7" s="7"/>
      <c r="J7" s="8" t="s">
        <v>41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223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216</v>
      </c>
      <c r="D12" s="13" t="s">
        <v>41</v>
      </c>
      <c r="E12" s="10"/>
      <c r="F12" s="10"/>
      <c r="G12" s="10"/>
      <c r="H12" s="10"/>
      <c r="J12" s="8" t="s">
        <v>41</v>
      </c>
    </row>
    <row r="13" spans="2:39" x14ac:dyDescent="0.25">
      <c r="B13" s="23"/>
      <c r="C13" s="25" t="s">
        <v>225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217</v>
      </c>
      <c r="D17" s="13" t="s">
        <v>41</v>
      </c>
      <c r="E17" s="10"/>
      <c r="F17" s="10"/>
      <c r="G17" s="10"/>
      <c r="H17" s="10"/>
      <c r="J17" s="8" t="s">
        <v>41</v>
      </c>
    </row>
    <row r="18" spans="2:10" x14ac:dyDescent="0.25">
      <c r="B18" s="23"/>
      <c r="C18" s="25" t="s">
        <v>241</v>
      </c>
      <c r="D18" s="13"/>
      <c r="E18" s="10"/>
      <c r="F18" s="10"/>
      <c r="G18" s="10"/>
      <c r="H18" s="10"/>
      <c r="J18" s="15" t="s">
        <v>41</v>
      </c>
    </row>
    <row r="19" spans="2:10" x14ac:dyDescent="0.25">
      <c r="B19" s="23"/>
      <c r="C19" s="29" t="s">
        <v>226</v>
      </c>
      <c r="D19" s="15" t="s">
        <v>120</v>
      </c>
      <c r="E19" s="11" t="s">
        <v>120</v>
      </c>
      <c r="F19" s="11" t="s">
        <v>120</v>
      </c>
      <c r="G19" s="11"/>
      <c r="H19" s="11"/>
      <c r="J19" s="15"/>
    </row>
    <row r="20" spans="2:10" x14ac:dyDescent="0.25">
      <c r="B20" s="23"/>
      <c r="C20" s="29" t="s">
        <v>227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228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229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230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231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232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233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218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120</v>
      </c>
      <c r="C30" s="28" t="s">
        <v>120</v>
      </c>
      <c r="D30" s="13" t="s">
        <v>41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219</v>
      </c>
      <c r="D32" s="13" t="s">
        <v>41</v>
      </c>
      <c r="E32" s="10"/>
      <c r="F32" s="10"/>
      <c r="G32" s="10"/>
      <c r="H32" s="10"/>
      <c r="J32" s="15"/>
    </row>
    <row r="33" spans="2:10" x14ac:dyDescent="0.25">
      <c r="B33" s="23"/>
      <c r="C33" s="25" t="s">
        <v>242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220</v>
      </c>
      <c r="D36" s="13" t="s">
        <v>41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47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180</v>
      </c>
      <c r="D43" s="13" t="s">
        <v>41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243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244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245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208</v>
      </c>
      <c r="C53" s="17" t="s">
        <v>208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084f64e2-ad4a-40a0-a9ce-9540fb4beab1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2054D22DA4714CB7CF75E31B1BF727" ma:contentTypeVersion="8" ma:contentTypeDescription="Create a new document." ma:contentTypeScope="" ma:versionID="0eb1c5237914f67347f4afbc76d3eac8">
  <xsd:schema xmlns:xsd="http://www.w3.org/2001/XMLSchema" xmlns:xs="http://www.w3.org/2001/XMLSchema" xmlns:p="http://schemas.microsoft.com/office/2006/metadata/properties" xmlns:ns2="4af14768-05da-45a1-8aed-7c6176d6610a" xmlns:ns3="084f64e2-ad4a-40a0-a9ce-9540fb4beab1" targetNamespace="http://schemas.microsoft.com/office/2006/metadata/properties" ma:root="true" ma:fieldsID="f3003ffe0129685fb6d7724ce723629d" ns2:_="" ns3:_="">
    <xsd:import namespace="4af14768-05da-45a1-8aed-7c6176d6610a"/>
    <xsd:import namespace="084f64e2-ad4a-40a0-a9ce-9540fb4bea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f14768-05da-45a1-8aed-7c6176d661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f64e2-ad4a-40a0-a9ce-9540fb4beab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4af14768-05da-45a1-8aed-7c6176d6610a"/>
    <ds:schemaRef ds:uri="http://schemas.openxmlformats.org/package/2006/metadata/core-properties"/>
    <ds:schemaRef ds:uri="084f64e2-ad4a-40a0-a9ce-9540fb4beab1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F22922F2-FD60-4B2D-AB00-83C0802F15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f14768-05da-45a1-8aed-7c6176d6610a"/>
    <ds:schemaRef ds:uri="084f64e2-ad4a-40a0-a9ce-9540fb4bea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2024-04-01T23:37:56Z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0x010100602054D22DA4714CB7CF75E31B1BF727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